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psaoJTFXAfb3py+GykIsKc/w6/g=="/>
    </ext>
  </extLst>
</workbook>
</file>

<file path=xl/sharedStrings.xml><?xml version="1.0" encoding="utf-8"?>
<sst xmlns="http://schemas.openxmlformats.org/spreadsheetml/2006/main" count="14115" uniqueCount="13304">
  <si>
    <t>text_review</t>
  </si>
  <si>
    <t>text_review_english</t>
  </si>
  <si>
    <t>score</t>
  </si>
  <si>
    <t>['lelet', 'paan', 'kesalahan', 'sistem', 'mulu', 'hapus', 'download', 'mulu', 'login']</t>
  </si>
  <si>
    <t>['bermanfaat', 'utsmanya', 'pulsa', 'paket', 'data', 'habis', 'ditanggulangi', 'diselesaykan', 'selelah', 'mengisi', 'psket', 'dsta', 'tanpavtambahan', 'biaya', 'trima', 'kasih', 'tel', 'komsel', '']</t>
  </si>
  <si>
    <t>['pas', 'kuota', 'udah', 'sekarat', 'kencengya', 'kek', 'lamborgini', 'kuota', 'gb', 'kek', 'bajai', 'rusak', 'sampah', 'sampah', 'share', 'lock', 'min', 'baku', 'hantam', '']</t>
  </si>
  <si>
    <t>['mohon', 'telkomsel', 'dida', 'era', 'tolong', 'jaringan', 'distabilkan']</t>
  </si>
  <si>
    <t>['', 'wilayah', 'pesisir', 'barat', 'lampung', 'kec', 'karya', 'penggawa', 'telkomsel', 'rusak', 'parah', 'pelanggan', 'beralih', 'indosat', 'jaringan', 'lemot', 'kualiatas', 'jaringan', 'sinyal', 'ilang', 'muncul', 'udah', 'terparah', 'indosat']</t>
  </si>
  <si>
    <t>['instal', 'pulsa', 'ilang']</t>
  </si>
  <si>
    <t>['update', 'aplikasi', 'latar', 'putih', 'muncul', '']</t>
  </si>
  <si>
    <t>['sinyal', 'bagus', 'cuman', 'buka', 'telkomsel', 'doang', 'beli', 'paket', 'muter', 'mulukk', '']</t>
  </si>
  <si>
    <t>['telkomsel', 'jaringa', 'lemot', 'emosi', 'buka', 'youtobe', 'dll', 'kecewa', '']</t>
  </si>
  <si>
    <t>['aplikasinya', 'apdate', 'kali', 'apdate', 'susah', 'login', 'berat', 'masuk', 'cek', 'sisa', 'pulsa', 'kouta', 'susah', '']</t>
  </si>
  <si>
    <t>['', 'telkomsel', 'mengecewa', 'daftar', 'paket', 'darurat', 'daftar', 'dipersulit', 'banget', 'acc', 'apk', '']</t>
  </si>
  <si>
    <t>['', 'evaluasi', 'aplikasi', 'sibuk', 'aplikasi', 'tolong', 'diperbaiki', 'bugsnya', 'buka', 'aplikasinya', '']</t>
  </si>
  <si>
    <t>['telkomsel', 'mahal', 'pakek', 'setia', 'balasan', 'area', 'jakarta', 'barat', 'jam', 'sore', 'jam', 'malam', 'internet', 'konek', 'pergantian', 'jam', 'menit', 'jam', 'internet', 'konek', 'tolong', 'telkomsel', 'hati', 'dermawan', 'cek', 'area', 'jakarta', 'barat', 'kali', 'gangguan', 'tower', 'moga', 'respon', 'sekian', 'terima', 'kasih', '']</t>
  </si>
  <si>
    <t>['tolong', 'diperbaiki', 'poin', 'ditukar']</t>
  </si>
  <si>
    <t>['aplikasi', 'nggak', 'buka']</t>
  </si>
  <si>
    <t>['maaf', 'edisi', 'update', 'aplikasi', 'putih', 'ram', 'memori', 'tolong', 'ringan', 'terimakasih']</t>
  </si>
  <si>
    <t>['knapa', 'ulasanya', 'jelek', 'smuanya', 'hadeeuuh', 'udh', 'terlanjur', 'dwonlod', 'coba', 'dlu', 'klu', 'sperti', 'ulasan', 'uinstal', 'deh', '']</t>
  </si>
  <si>
    <t>['buruk', 'telkomsel', 'menggembirakan']</t>
  </si>
  <si>
    <t>['lag', 'parah', 'ngga', 'telkomsel', 'jaringannya', 'susah', 'heran', '']</t>
  </si>
  <si>
    <t>['kuota', 'lokal', 'pakek', 'taii', '']</t>
  </si>
  <si>
    <t>['jaringan', 'pakai', 'wifi', 'aplikasi', 'terbuka', 'tampilan', 'putih', 'aplikasi', 'update', 'terbaru', 'aplikasi', 'bapuk', 'kalah', 'indosat', 'aplikasinya', 'ringan']</t>
  </si>
  <si>
    <t>['diancukk', 'bagus', 'nambah', 'parah']</t>
  </si>
  <si>
    <t>['paket', 'multimedia', 'gmna', 'nyesel', 'udah', 'beli', 'mending', 'beli', 'indosat', 'buru', 'buru', 'perbaiki', 'deh', 'telkomsel', 'harga', 'mahal', 'jaringan', 'jelek', 'kang', 'tipu', 'semoga', 'cepet', 'bangkrut', 'deh']</t>
  </si>
  <si>
    <t>['gimana', 'app', 'dibuka', 'warna', 'putih', 'doang', 'web', 'lemottttt', 'ttttt', 'parah']</t>
  </si>
  <si>
    <t>['tolong', 'diperbaiki', 'liat', 'youtube', 'habis', 'kuota', 'internet', 'lainya', 'kuota', 'omg', 'nggak', 'kaya', 'gini', 'liat', 'chat', 'kuota', 'omg', 'diprioritaskan', 'diinfonya', 'tertulis', 'kuota', 'omg', 'youtube', 'dll', 'mohon', 'diperbaiki', 'terima', 'kasih']</t>
  </si>
  <si>
    <t>['jaringan', 'lemot', 'provider', 'bukanya', 'cpet', 'lemot', 'dipake', 'bego']</t>
  </si>
  <si>
    <t>['sinyal', 'ampas', 'ganti', 'lokasi', 'giliran', 'comment', 'blsnya']</t>
  </si>
  <si>
    <t>['keren', 'promonya', 'trimakasih']</t>
  </si>
  <si>
    <t>['prosesnya', 'cepat', 'transaksi', 'pembelian', 'data']</t>
  </si>
  <si>
    <t>['buka', 'aplikasinya', 'banget', 'udah', 'ditunggu', 'menit', 'loading', 'layar', 'putih', 'jaringan', 'stabil', 'plis', 'gausah', 'nambahin', 'fitur', 'fitur', 'dirasa', 'berat', 'loading', 'aplikasinya', 'dibutuhin', 'banget', 'fungsi', 'utamanya']</t>
  </si>
  <si>
    <t>['susah', 'masuk', 'aplikasi', 'paket', 'mahal', 'kecepatan', 'internet', 'menurun', 'menyedihkan', '']</t>
  </si>
  <si>
    <t>['', 'simpel']</t>
  </si>
  <si>
    <t>['tingkatkan', 'jaringan']</t>
  </si>
  <si>
    <t>['mantap', 'combo', 'sakti', 'sampe', 'ilang', '']</t>
  </si>
  <si>
    <t>['rugi', 'beli', 'paket', 'jaringan', 'jalan', 'siput', 'lambat', 'lelet', '']</t>
  </si>
  <si>
    <t>['bagus', 'tolong', 'optimalkan', 'notifikasi', 'terkadang', 'paket', 'habis', 'notifikasi', 'masuk', '']</t>
  </si>
  <si>
    <t>['telkomsel', 'jelek', 'sinyal', 'skrng', '']</t>
  </si>
  <si>
    <t>['knapa', 'pas', 'dibuka', 'warna', 'putih', 'pembritahuan']</t>
  </si>
  <si>
    <t>['giliran', 'update', 'buka', 'aplikasi', 'ngeblank', 'layar', 'putih', 'telkomsel', 'payah', 'wes']</t>
  </si>
  <si>
    <t>['jaringanya', 'stabil', 'turun']</t>
  </si>
  <si>
    <t>['masuk', 'link', 'mending', 'langsung', 'masuk', 'gagal', 'koneksi', 'pdhl', 'kuota', 'bintang', 'kasih', '']</t>
  </si>
  <si>
    <t>['jaringan', 'jelek', 'parah', 'habis', 'pelanggan']</t>
  </si>
  <si>
    <t>['buka', 'telkomsel', 'seharian', 'muter', 'muter', 'buka', 'aplikasi', 'lancar', 'lancar', 'buruk', 'banget', 'telkomsel', 'parah']</t>
  </si>
  <si>
    <t>['nasuk', 'aplikasi']</t>
  </si>
  <si>
    <t>['jaringan', 'hilang', 'lelet']</t>
  </si>
  <si>
    <t>['keren', 'bagus']</t>
  </si>
  <si>
    <t>['semoga', 'versi', 'terbaru', 'lambat', 'akses']</t>
  </si>
  <si>
    <t>['kecewa', 'aplikasi', 'bbrpa', 'kmrn', 'program', 'check', 'harian', 'udh', 'susah', 'check', 'kuota', 'gb', 'aplikasinya', 'error', 'blank', 'putih', 'seharian', 'kmrn', 'nggk', 'masuk', 'aneh', 'sengaja', 'spt', 'nggk', 'rugi', 'tlg', 'dengarkan', 'keluhan', 'pelanggan', 'terima', 'kasih']</t>
  </si>
  <si>
    <t>['telkomsel', 'babi', 'anying', 'monyet', 'setan', 'sinyal', 'hilang', 'teruss', 'pdahal', 'kentang', 'kuoata', 'mahal', 'sinyal', 'error', 'mulu', 'anying', 'seimbang', 'harga', 'paket', 'mending', 'bakar', 'telkomsel', 'anyng', 'sinyal', 'error', 'trus', '']</t>
  </si>
  <si>
    <t>['kasih', 'nyoba']</t>
  </si>
  <si>
    <t>['telkomsel', 'jaringannya', 'perbaikin', 'lgi', 'payah', 'skarang', 'telkomsel', 'tuj', 'jaringan', 'kek', 'eek']</t>
  </si>
  <si>
    <t>['sip', 'puas']</t>
  </si>
  <si>
    <t>['tolong', 'jaringan', 'kalimantan', 'selatan', 'marabahan', 'kecamatan', 'alalak', 'kbptn', 'barito', 'kuala', 'perbaiki', 'stabil', 'minggu', 'koneksi', 'pagi', 'siang', 'sore', 'down', 'parah', 'masuk', 'jaringan', 'edge', 'kasian', 'adik', 'belajarnya', 'medsos', 'koneksinya', 'putus', 'putus', 'keluarga', 'telkomsel', 'kepercayaan', 'jaringan', 'stabilnya', 'tolong', 'lahh', 'perbaiki', 'sekian', 'terimakasih']</t>
  </si>
  <si>
    <t>['min', 'sinyal', 'udh', 'full', 'pas', 'buka', 'medsos', 'game', 'lelet', 'banget', 'nyesel', 'banget', 'telkomsel', '']</t>
  </si>
  <si>
    <t>['beli', 'paket', 'mahal', 'mahal', 'karutu', 'mahal', 'jaringan', 'lemot', 'merugikan', 'rakyat', 'besok', 'besok', 'kalok', 'kek', 'gini', 'gua', 'patah', 'karu', 'gua', 'kartu', 'telkom', 'sel']</t>
  </si>
  <si>
    <t>['kadang', 'jaringan', 'stabil']</t>
  </si>
  <si>
    <t>['sinyal', 'jelek', 'jaringan', 'suka', 'turun', 'stabil', 'hilang', 'sinyal', 'udah', 'chat', 'admin', 'via', 'petunjuk', 'adminnya', 'admin', 'gangguan', 'sinyal', 'daerah', 'sinyal', 'lelet', 'stabil', 'anggap', 'telkomsel', 'taik']</t>
  </si>
  <si>
    <t>['jaringan', 'lelet', 'pulsa', 'suka', 'dipotong', 'ngerti']</t>
  </si>
  <si>
    <t>['udah', 'lelet', 'peraturannya', 'ribet']</t>
  </si>
  <si>
    <t>['jaringan', 'internet', 'tsel', 'lemot', 'gaes', '']</t>
  </si>
  <si>
    <t>['jaringan', 'daerahku', 'buruk', '']</t>
  </si>
  <si>
    <t>['aplikasi', 'telkomsel', 'dibuka', 'blank', 'doang', '']</t>
  </si>
  <si>
    <t>['', 'pengguna', 'provider', 'telkomsel', 'thn', 'belkangan', 'ngerasaain', 'jaringan', 'telkom', 'bener', 'jelek', 'banget', 'kecewa', 'pengguna', 'provider', 'telkomsel', 'kesini', 'jaringan', 'lemot', 'beli', 'paket', 'data', 'paket', 'dibagi']</t>
  </si>
  <si>
    <t>['mengecewakan', 'paket', 'msih', 'bnyk', 'tpi', 'jaringan', 'jelel', 'cupu', 'paket', 'doang', 'mahal', 'jaringan', 'jelek', 'mending', 'indosat', 'cupu', 'telkomsel', '']</t>
  </si>
  <si>
    <t>['bobrok', 'jelek', 'lelet']</t>
  </si>
  <si>
    <t>['parah', 'apknya', 'menambah', 'bagus']</t>
  </si>
  <si>
    <t>['jaringan', 'telkomsel', 'lemot', 'bagus', 'bail', 'tutup', 'jaringan', 'telkomsel', 'ganti', 'kaya', 'gini', 'penggemar', 'kartu', 'terkomsel', 'bnyk', 'jaringanny', 'lemot']</t>
  </si>
  <si>
    <t>['bagus', 'lancar', '']</t>
  </si>
  <si>
    <t>['kru', 'telkomsel', 'jaringan', 'internet', 'riau', 'kecamatan', 'tasik', 'putri', 'puyu', 'jelek', 'mohon', 'bantuannya', 'mohon', 'maaf', 'sopan']</t>
  </si>
  <si>
    <t>['ampas', 'ram', 'buka', 'apk', 'gagal', 'mulu', 'sinyalnya', 'aplikasinya', '']</t>
  </si>
  <si>
    <t>['telkomsel', 'buruk', 'jaringan', 'main', 'monton', 'hilang', 'jelek', 'perbaiki', 'wilayah', 'banyumas', 'jawa', 'jatilawang']</t>
  </si>
  <si>
    <t>['beli', 'pulsa', 'disedot', 'gimana', 'min', '']</t>
  </si>
  <si>
    <t>['kumemaki', 'kesal', 'jaringan', 'lemot', 'pindah', 'ajalah', 'udh', 'beli', 'paket', 'mahal', 'beli', 'paket', 'disney', 'nonton', 'muter', 'doank', 'jalan', 'kesal', 'udh', 'buang', 'uang', 'beli', 'paket', 'nyesal', '']</t>
  </si>
  <si>
    <t>['kecepatan', 'internet', 'minim', 'terkadang', 'menghilang', 'pembelian', 'kuota', 'aplikasi', 'lambat', 'responnya', 'bacaan', 'pembelian', 'berhasil', 'menit', 'muncul', 'sms', 'terpotongnya', 'pulsa', 'cek', 'aplikasi', 'pemeblian', 'kuota', 'berhasil', 'kuota', 'nol', '']</t>
  </si>
  <si>
    <t>['telkomsel', 'sakit', 'jiwa', 'ksini', 'sakit', 'jaringan', 'bermutu', 'kaya', 'gini', 'ajah', 'tolong', 'perbaiki']</t>
  </si>
  <si>
    <t>['jaringan', 'telkomsel', 'buruk', 'mengecewakan', 'kesal', 'tolong', 'perbaiki', '']</t>
  </si>
  <si>
    <t>['buruuk', 'paket', 'suka', 'berubah', 'berubah', 'mahal', 'kualitas', 'buruk', 'gini', 'namanya', 'bumn', '']</t>
  </si>
  <si>
    <t>['pulsa', 'gua', 'beli', 'paket', 'gb', 'abis', 'pulsanya', 'maksudnya', 'gimana', 'telkomsel', 'udah', 'tipu']</t>
  </si>
  <si>
    <t>['tolong', 'telkomsel', 'gimana', 'error', 'kah', 'aplikasi', 'buka', 'urgent', 'bgttt', 'paketin', 'besok', 'ulangan', '']</t>
  </si>
  <si>
    <t>['meemang', 'jaringan', 'telkomsel', 'leg', 'banget', 'maklumim', 'deh', 'telkomsel', 'penggunannya', 'orang', 'makenya', 'telkomsel', 'keluhin', 'sehari', 'masuk', 'putih', 'nggak', 'muncul', 'muncul', 'kek', 'gitu', 'telkomsel', 'mohon', 'perbaiki']</t>
  </si>
  <si>
    <t>['kecewa', 'banget', 'telkomsel', 'akun', 'login', 'eror', 'mulu', 'sampek', 'berkali', 'kali', 'install', 'tetep', 'erorr', 'mohon', 'perbarui']</t>
  </si>
  <si>
    <t>['parah', 'banget', 'paket', 'mytelkomsel', 'promo', 'kost', 'mytelkomsel', 'kemudahan', 'pengguna', 'murah', 'membeli', 'paket', 'paket', 'murah', 'pembelian', 'lonjakan', 'harga', 'signifikan', 'miris', 'tolong', 'terkait', 'perbaiki', 'cari', 'jalan', 'terbaik', 'sekian', '']</t>
  </si>
  <si>
    <t>['coba', 'nukar', 'poin', 'beneran', 'hadiah', 'bismillah', '']</t>
  </si>
  <si>
    <t>['buka', 'apliaksi', 'blank', 'putih', 'hr', 'reinstal', 'apliaksi', 'ttp', 'sma', 'mohon', 'bantuany', '']</t>
  </si>
  <si>
    <t>['aplikasih', 'berat', 'eror']</t>
  </si>
  <si>
    <t>['harga', 'paket', 'masuk', 'akal', 'kalangan', 'pelajar', 'pilihan', 'paket', 'menyusahkan', 'pelajar', '']</t>
  </si>
  <si>
    <t>['jaringan', 'lelet', 'kalah', 'im', 'axis', 'kadang', 'suka', 'mengalami', 'gangguan', 'sinyal', 'lancar']</t>
  </si>
  <si>
    <t>['sinyal', 'urusin', 'jaringan', 'full', 'ngegame', 'merah', 'jaringan', 'benerin', 'operator']</t>
  </si>
  <si>
    <t>['', 'gmn', 'telkomsel', 'ngelag', 'daring', 'ngelag', 'belajar', 'ngelag', 'knp', 'min', 'gitu', 'langganan', 'telkom', 'min', 'sekaranh', 'suka', 'jaringan', 'lag', 'lelet', 'tolong', 'min', 'perbagus', 'males', 'lag', 'ganti', 'rugi', 'min', 'udah', 'beli', 'telkomsel', 'mahal', 'mahal', 'kek', 'gini', 'langganan', 'capek', 'kemarin', 'lag', 'lelet', 'terusssss']</t>
  </si>
  <si>
    <t>['bagus', 'membantu', 'cek', 'kuota', 'udh', 'ngak', 'mksh']</t>
  </si>
  <si>
    <t>['oke', 'pokoknya']</t>
  </si>
  <si>
    <t>['dibuka', 'kesalahan', 'jaringan', 'internet', 'lancar', 'stabil', 'mohon', 'diperbaiki', '']</t>
  </si>
  <si>
    <t>['pakai', 'telkomsel', 'puas', 'puas', 'puas']</t>
  </si>
  <si>
    <t>['jaringan', 'ancur', 'dikota', 'ujan', 'dikit', 'auto', 'edge', 'gmana', 'tolong', 'perbaiki', 'secepatnya', 'jaringan', 'jelek', 'paketan', 'kuota', 'mahal', 'aneh', 'deh', 'mahal', 'paketannya', 'sesuaikan', 'kualitas', 'internetnya', '']</t>
  </si>
  <si>
    <t>['tolong', 'pasang', 'jaringan', 'telkomsel', 'daerah', 'kab', 'garut', 'limbangan', 'cihanjuang', 'jaringan', 'telkomsel', '']</t>
  </si>
  <si>
    <t>['perubahan', 'telkomsel', 'terkenal', 'lelet', 'uda', 'mahal', 'lelet', 'makasi', 'telkomsel']</t>
  </si>
  <si>
    <t>['manajemen', 'buruk']</t>
  </si>
  <si>
    <t>['sinyal', 'patik', 'pulung', 'terkadang', 'bagus', '']</t>
  </si>
  <si>
    <t>['oke', 'simpel', 'mudah', 'aman']</t>
  </si>
  <si>
    <t>['super', 'lelet', 'arahkan', 'halaman', 'pengguna', 'tulisan', 'telkomsel', 'menanggapinya', 'menutupnya', '']</t>
  </si>
  <si>
    <t>['sinyal', 'lelet', 'upgrade', 'telkomsel']</t>
  </si>
  <si>
    <t>['telkomsel', 'sekrang', 'giman', 'enak', 'banget', 'sinyal', 'mahal', 'enak']</t>
  </si>
  <si>
    <t>['perbanyak', 'lgi', 'yaa', 'promonyaa', 'okee', 'sayang', 'sma', 'telkomsel', '']</t>
  </si>
  <si>
    <t>['aplikasi', 'susah', 'buka', 'ribet', 'lagii', 'perasaan', 'pngalaman', 'indosat', 'enak', 'ajh', 'maketin', 'buka', 'apk', 'katany', 'kartu', 'sejuta', 'umat', 'ribettt', 'ampun', 'mahal']</t>
  </si>
  <si>
    <t>['semangat', 'telkomsel']</t>
  </si>
  <si>
    <t>['telkosel', 'yth', 'php', 'jagang', 'coba', 'cek', 'list', 'sms', 'kuota', 'sekian', 'harga', 'sekian', 'balas', 'sms', 'pas', 'dibalas', 'pulsa', 'mencukupi', 'habis', 'masuk', 'harga', 'kuota', 'harinya', 'kurangi', 'php', 'tingkat', 'nasional', 'alamak', 'ampun', 'telkomsellllllllllllllll', '']</t>
  </si>
  <si>
    <t>['lelet', 'punyanya', 'adik', 'lancar', 'whyyy', '']</t>
  </si>
  <si>
    <t>['telkom', 'ngentdd', 'paketan', 'doang', 'mahal', 'kualitas', 'jaringan', 'busuk']</t>
  </si>
  <si>
    <t>['udah', 'mahal', 'ngelag', '']</t>
  </si>
  <si>
    <t>['buruk', 'jarinh', 'area', 'rmh', 'parah', 'abis', 'telkomsel']</t>
  </si>
  <si>
    <t>['berat', 'hati', 'kurangi', 'bintangnya', 'mjd', 'aplikasinya', 'buruk', 'loading', 'lambat', 'cek', 'kuota', 'via', 'model', 'balasan', 'notifikasi', 'disuruh', 'cek', 'telkomsel', 'coba', 'cek', 'telkomsel', 'loading', 'lambat', 'banget', 'masuk', 'update', 'appnya', 'fitur', 'kuota', 'darurat', 'layanannya', 'sibuk', 'isi', 'pulsa', 'seumpama', 'pinjam', 'kuota', 'darurat', 'harian', 'itupun', 'aktif', 'kartu', 'smpe', 'pokoknya', 'menyedihkan', 'banget']</t>
  </si>
  <si>
    <t>['semangatku', 'yes', 'telkomsel']</t>
  </si>
  <si>
    <t>['kasih', 'bonus', 'dongg']</t>
  </si>
  <si>
    <t>['gangguan', 'hujan']</t>
  </si>
  <si>
    <t>['suka', 'kartu', 'telkomsel', 'jaringannya', 'bagus', 'dikalangan', 'kartu', 'telkomsel', 'bergengsi', 'kadang', 'orang', 'suka', 'nyebutnya', 'katu', 'sultan', 'pokonya', 'suka', '']</t>
  </si>
  <si>
    <t>['lelet', 'parah', 'buang', 'kartu', 'ganti', 'ketetanggan', 'indosat', 'murah', 'beli', 'mahal', 'ngapa', '']</t>
  </si>
  <si>
    <t>['telkomsel', 'buruk', 'pulsa', 'terpotong', '']</t>
  </si>
  <si>
    <t>['', 'buka', 'appnya', 'susah', 'blank', 'buka', 'youtube', 'lancar', 'wifi', 'buka']</t>
  </si>
  <si>
    <t>['update', 'pala', 'lelet', 'melulu', 'data', 'off', 'jaringan', 'full', 'pas', 'konek', 'konek', 'jaringan', 'full', 'bhkan', 'trus', 'berubah', 'stiap', 'bhkan', 'smpe', 'jaringan', '']</t>
  </si>
  <si>
    <t>['kuota', 'mahal', 'jaringan', 'jelek', 'seimbang']</t>
  </si>
  <si>
    <t>['sinyal', 'telkomsel', 'masya', 'allah', '']</t>
  </si>
  <si>
    <t>['kuota', 'nonton', 'lokal', 'gabisa', 'youtube']</t>
  </si>
  <si>
    <t>['bermain', 'game', 'leg', 'jaringan', 'bagus']</t>
  </si>
  <si>
    <t>['knp', 'lgi', 'pdhal', 'kuota', 'msih', 'bnyk', 'knp', 'pulsa', 'kesedot', 'trss', 'dri', 'kmrin', 'rada', 'ksellll', 'why', 'pdahal', 'dlu', 'gini', 'lohh', 'trs', 'jga', 'bsa', 'tukar', 'poin', 'keluhan', 'sya', 'terimakasih', '']</t>
  </si>
  <si>
    <t>['', 'telkomsel', 'sinyalnya', 'ilang', 'mulu', 'kesel', 'enak', 'push', 'rank', 'cerita', 'sinyal', 'plampiasan', 'ngecewain', 'bener', 'deng', 'kuota', 'mahal', 'kualitas', 'sinyal', 'huruk', 'huu', 'ngak', 'sesuai']</t>
  </si>
  <si>
    <t>['saran', 'provider', 'bagus', 'resah', 'telkomsel', 'jaringan', 'ngga', 'stabil', 'kecewa', 'banget', 'gangguan', 'mulu']</t>
  </si>
  <si>
    <t>['buka', 'aplikasinya', 'susah', 'banget', 'buka', 'aplikasi', 'muat', 'ulang', 'tolonglah', 'perbaiki', 'aplikasinya', 'secepatnya', 'tambahin', 'fitur', 'dibuka', 'kuota', 'gampang', 'isi', 'paketnya', '']</t>
  </si>
  <si>
    <t>['aplikasi', 'leletnya', 'ampun', '']</t>
  </si>
  <si>
    <t>['update', 'terbaru', 'masuk', 'aplikasinya', 'lelet', 'banget', 'gitu', 'sesi', 'habis', 'trus', 'ulang', 'oops', 'kesalahan', 'jaringan', 'bagus']</t>
  </si>
  <si>
    <t>['good', 'hadiahnya', 'hebat', 'mobil']</t>
  </si>
  <si>
    <t>['harga', 'paket', 'ngotak', 'sinyal', 'internet', 'kek', 'kaya', 'idup', 'antarctica', 'make', 'telkomsel']</t>
  </si>
  <si>
    <t>['mudah', 'bertransaksi', 'pembelian', 'paket', 'data']</t>
  </si>
  <si>
    <t>['', 'login', 'ribut', 'link', 'link', 'otp', 'coeg', 'add', 'nomor', 'aha', 'susah', 'nga', 'bales', 'bales', 'maaf', 'keluhan', 'bla', 'bot', 'berati', 'udah', 'pindah', 'byu', 'telkomsel', 'mendingan', 'login', 'nga', 'kek', '']</t>
  </si>
  <si>
    <t>['aplikasi', 'telkomsel', 'hancur', 'aplikasi', 'bagus', 'ganti', 'hancur', 'spt', 'swasta', 'bagus', 'spt']</t>
  </si>
  <si>
    <t>['habis', 'update', 'buka', 'uninstall', 'trus', 'install', 'warna', 'putih', 'buka']</t>
  </si>
  <si>
    <t>['aplikasi', 'sihh', 'internet', 'bagus', 'masuk', 'apk', 'susah', 'banget', 'merugikan', 'pengguna']</t>
  </si>
  <si>
    <t>['paket', 'telkomsel', 'mahal', 'jaringan', 'jelek', 'bagus', 'jaringan', 'kasih', 'bintang', 'full', 'kasih', 'kerana', 'jaringan', 'jelek', 'suka', 'ngeselin']</t>
  </si>
  <si>
    <t>['provider', 'contol', 'paket', 'mahal', 'internet', 'lelet', 'main', 'kota', '']</t>
  </si>
  <si>
    <t>['kuota']</t>
  </si>
  <si>
    <t>['sinyal', 'buruk', 'main', 'potong', 'pulsa', 'provider', 'lucu', 'rugi']</t>
  </si>
  <si>
    <t>['aplikasi', 'error']</t>
  </si>
  <si>
    <t>['susah', 'login']</t>
  </si>
  <si>
    <t>['hbis', 'diupdate', 'hilng', 'paket', 'internetomg', 'gimna', '']</t>
  </si>
  <si>
    <t>['beli', 'paket', 'gb', 'pemakaian', 'semenjak', 'beli', 'paket', 'gb', 'cepat', 'boros', 'pemakaian', 'kuota', 'habis', 'kuota', 'hemat', 'boros', '']</t>
  </si>
  <si>
    <t>['aplikasi', 'tang', 'dimiliki', 'lumayan', 'keren', 'dijaga', 'privasi', 'pelanggan']</t>
  </si>
  <si>
    <t>['apknya', 'berguna', 'bagus', 'min', 'banyakin', 'penjualan', 'pulsanya']</t>
  </si>
  <si>
    <t>['aplikasi', 'mutu', 'berfungsi', 'pakai', 'andorid', 'ram', 'terbaru', 'tetep', 'bukak', 'lemot', 'super']</t>
  </si>
  <si>
    <t>['harganya', 'lumayan', 'unlimited', 'main', 'game']</t>
  </si>
  <si>
    <t>['membingungkan', 'pemula']</t>
  </si>
  <si>
    <t>['jaringan', 'lemot']</t>
  </si>
  <si>
    <t>['tolong', 'perbaiki', 'login', 'susah', 'banget', 'pelanggan', 'kecewa']</t>
  </si>
  <si>
    <t>['gabisa', 'dibuka']</t>
  </si>
  <si>
    <t>['harga', 'paketan', 'mahal', 'jaringan', 'lelet', 'siput', 'pindah', 'provider', 'udah']</t>
  </si>
  <si>
    <t>['kadang', 'gangguan']</t>
  </si>
  <si>
    <t>['diperbaharui', 'dibuka', 'hadeeh', 'payah', '']</t>
  </si>
  <si>
    <t>['mahal']</t>
  </si>
  <si>
    <t>['jaringan', 'telkomsel', 'buruk', '']</t>
  </si>
  <si>
    <t>['masuk', 'apk', 'lelet', 'buka', 'apk', 'lancar', 'jaya', 'apk']</t>
  </si>
  <si>
    <t>['apk', 'bosok']</t>
  </si>
  <si>
    <t>['telkomsel', 'sinyalnya', 'sampah', 'lelet', 'sebanding', 'harganya']</t>
  </si>
  <si>
    <t>['supah', 'ribet', 'banget', 'login', 'eror', 'trus', 'gmn', 'min', 'tolong', 'donk', 'aplikasinya', 'perbaiki', 'apknya', 'eror', 'bli', 'paket', '']</t>
  </si>
  <si>
    <t>['tolong', 'uptade', 'udh', 'uptade', 'jaringan', 'nyaman', 'pulsa', 'hilang', 'rb', 'memakai', 'pulsa', 'tolong', 'telkomsel', 'diadakan', 'fitur', 'kembalian', 'pulsa', 'memakai', 'pulsa', 'jaringan', 'lemot', 'mksh', '']</t>
  </si>
  <si>
    <t>['mantap', 'makasih', 'telkomsel']</t>
  </si>
  <si>
    <t>['cekin', 'pembohongan']</t>
  </si>
  <si>
    <t>['membeli', 'paket', 'gamesmax', 'error', 'bermain', 'game', '']</t>
  </si>
  <si>
    <t>['jaringan', 'lemot', 'kuota', 'paketan', 'mahal', 'udah', 'ber', 'berlangganan', 'telkomsel', '']</t>
  </si>
  <si>
    <t>['sinyal', 'lemot']</t>
  </si>
  <si>
    <t>['tlg', 'doank', 'hrg', 'paket', 'combo', 'sakti', 'kurangi', 'terima', 'kasih']</t>
  </si>
  <si>
    <t>['mantap', 'pokoknya', '']</t>
  </si>
  <si>
    <t>['dipakai', 'nomor', 'kartu', 'simcard', 'feature', 'fungsi', 'kalah', 'toko', 'online', 'pembayaran', 'belanja', 'hasil', 'konvert', 'pulsa', 'nilai', 'tukar']</t>
  </si>
  <si>
    <t>['telkomsel', 'kesini', 'jaringan', 'hilang', 'telkomsel', '']</t>
  </si>
  <si>
    <t>['min', 'gimana', 'jaringan', 'telkom', 'harga', 'paket', 'mahal', 'harga', 'paket', 'data', 'naikan', 'koneksi', 'internet', '']</t>
  </si>
  <si>
    <t>['layanannya', 'bagus', 'mundur']</t>
  </si>
  <si>
    <t>['udah', 'beli', 'kartu', 'kartu', 'sakti', 'emang', 'kali', 'beli', 'dapet', 'gb', 'naiknya', 'ngotak', 'gb', 'ayolah', 'papua', 'telkomsel', 'tolong', 'dipersulit', 'harga', 'paket', 'ngotak', 'asli', '']</t>
  </si>
  <si>
    <t>['gangguan', 'kemaren', 'sya', 'beli', 'paket', 'telkomsel', '']</t>
  </si>
  <si>
    <t>['jaringan', 'kadang', 'sinyal', 'penuh', 'rto', 'gimana', 'paket', 'mahal', 'jaringan', 'membaik', '']</t>
  </si>
  <si>
    <t>['astaghfirullah', 'udah', 'beli', 'paketannya', 'mahal', 'jaringannya', 'buka', 'lambat', 'bin', 'lemot', '']</t>
  </si>
  <si>
    <t>['aplikasi', 'buruk', 'msa', 'masuk', 'bisaaaaaaaaaa']</t>
  </si>
  <si>
    <t>['membantu']</t>
  </si>
  <si>
    <t>['tolong', 'telkomsel', 'berfikir', 'lgi', 'mahal', 'beli', 'kuota', 'tpi', 'kualitas', 'jaringan', 'gada', 'otak', 'mikirin', 'harta', 'tpi', 'pikirin', 'org', 'kaya', '']</t>
  </si>
  <si>
    <t>['gimana', 'habis', 'update', 'sampe', 'white', 'screen', 'mahal', 'doang', 'memuaskan', 'pelanggan', '']</t>
  </si>
  <si>
    <t>['update', 'apanya', 'aplikasi', 'telkomsel', 'sblm', 'diupdate', 'lancar', 'disuruh', 'update', 'diupdate', 'muncul', 'layar', 'putih', 'udalah', 'maksakan', 'blm', 'nyampe', 'android', '']</t>
  </si>
  <si>
    <t>['mahal', 'ngelegnya', 'ampun', 'ujan', 'ngeleg', 'pindah', 'cm', 'ngeleg', 'main', 'mobile', 'legend', 'behh', 'ngelegnya', 'ngotak', 'gmn', 'harga', 'ngotak', 'murahin', 'sesuai', 'kualitas', 'asw', 'mahal', 'kualitasnya', 'mending', 'sebelah', 'harga', 'murah', 'sesuai', 'kualitas', 'telkomsel', 'harga', 'elite', 'sinyal', 'melilit', '']</t>
  </si>
  <si>
    <t>['mahal', 'doang', 'paket', 'internet', 'kualitas', 'nol', 'super', 'lemot', '']</t>
  </si>
  <si>
    <t>['login', 'susah', 'verifikasi', 'sms', 'cepat', '']</t>
  </si>
  <si>
    <t>['telkomsel', 'telkomsel', 'kau', 'lelet', 'jaringam', 'internetnya', 'harga', 'kuota', 'mahal', 'mahal', 'ayolah', 'telkomsel', 'bergerak', 'perubahan', 'berkembang', 'lelet', 'nia', 'kau', 'diam', '']</t>
  </si>
  <si>
    <t>['mudah', 'membantu', 'pengguna']</t>
  </si>
  <si>
    <t>['', 'masuk', 'pagi', 'malam', 'masuk', 'klik', 'link', 'sms', 'mentok', 'masuk', 'masuk']</t>
  </si>
  <si>
    <t>['abis', 'update', 'error', 'app', 'pas', 'buka', 'putih', 'doang', 'tolong', 'perbaiki']</t>
  </si>
  <si>
    <t>['terbantu', 'menurutku', 'aplikasi']</t>
  </si>
  <si>
    <t>['buruk', 'banget', 'apknya', 'lwmot']</t>
  </si>
  <si>
    <t>['mudah', 'telkomsel', 'jangkauan', 'nyaman', 'tingkat', 'pelosok', 'mantap']</t>
  </si>
  <si>
    <t>['kuota', 'unlimited', 'susah', 'sinyalnya', 'ampun', 'payah', 'beli', 'paket', 'kuota', '']</t>
  </si>
  <si>
    <t>['semoga', 'terwujud']</t>
  </si>
  <si>
    <t>['kasih', 'bintang', 'jaringan', 'telkomsel', 'buruk', 'jaringan', 'setabil', 'tinggal', 'dikota', 'seharunya', 'telkomsel', 'jaringy', 'bagus', 'tolong', 'diperbaiki', 'pelanggan', 'setia', 'telkomsel', 'kecewa']</t>
  </si>
  <si>
    <t>['update', 'mulu', 'tpi', 'jaringan', 'error', 'game', 'pdahal', 'sinyal', 'full']</t>
  </si>
  <si>
    <t>['jaringan', 'bagus', 'sayang', 'dipake', 'main', 'mobile', 'leg', 'nd', 'lag']</t>
  </si>
  <si>
    <t>['jaringan', 'telkomsel', 'lelet', 'pakai', 'daftar', 'paket', 'internetan', 'bagus', 'pakai', 'wifi', 'jamin', 'anti', 'lelet']</t>
  </si>
  <si>
    <t>['membantu', 'pekerjaan', 'terima', 'kasih', 'telkomsel', 'semoga', 'dimasa', 'jaya', '']</t>
  </si>
  <si>
    <t>['pas', 'versi', 'masuk', 'login', 'gagal', '']</t>
  </si>
  <si>
    <t>['paket', 'data', 'bulanan', 'bawa', '']</t>
  </si>
  <si>
    <t>['gunanya', 'update', 'susah', 'login']</t>
  </si>
  <si>
    <t>['bintang', 'turunin', 'membuka', 'apk', 'telkomsel', 'kali', 'kebuka', 'sinyal', 'apk', 'laon', 'kebuka', '']</t>
  </si>
  <si>
    <t>['aplikasi', 'berat', 'kadang', 'masuk', 'jaringan', 'aman', '']</t>
  </si>
  <si>
    <t>['', 'telkomsel', 'masuk', 'apk', 'mytelkomasel', 'jaringan', 'oke', 'wifi', 'oke', 'masuk', 'check', 'mohon', 'perbaiki', 'semalam', '']</t>
  </si>
  <si>
    <t>['kupun', 'undiannya', 'knp', 'blm', 'dpt', 'info', 'area', 'gunung', 'sindur', 'bogor', 'klw', 'listrik', 'mati', 'signal', 'hilang', 'titik', 'signal', 'kenceng', 'harap', 'perbaikan', 'telkomsel', 'terimakasih', '']</t>
  </si>
  <si>
    <t>['aplikasi', 'lelet', 'cek', 'saldo', 'bisaa', 'warna', 'putih', '']</t>
  </si>
  <si>
    <t>['woi', 'beli', 'paket', 'booster', 'tertera', 'sosmed', 'youtube', 'tiktok', 'kepakai', 'parah', '']</t>
  </si>
  <si>
    <t>['gimana', 'telkomsel', 'masuk', 'telkomsel', 'layar', 'putih', 'hape', 'dicoba', 'log', 'tolong', 'perbaiki', '']</t>
  </si>
  <si>
    <t>['dipakai', 'pulsa', 'terpotong', 'sms']</t>
  </si>
  <si>
    <t>['pengisian', 'pulsa', 'masuk', 'jdi', 'beli', 'paket', 'data', 'pulsa', 'lngsung', 'hbis', 'telkomsel', 'emosi', '']</t>
  </si>
  <si>
    <t>['puas', 'kehilangan', 'pulsa', 'pakai', 'wifi', 'pulsanya', 'kesedot', 'sistemnya', 'gimana', '']</t>
  </si>
  <si>
    <t>['masuk', 'aplksi', 'pdhl', 'lancar', 'doang', 'masuk', 'blank', 'putih']</t>
  </si>
  <si>
    <t>['kecewa', 'jaringan', 'jelek', 'udah', 'sabar', 'bertahan', 'perubahan', 'hub', 'jelek', 'seeekkaaalliiii', 'hub', 'ttep', 'jelek']</t>
  </si>
  <si>
    <t>['memuaskan', '']</t>
  </si>
  <si>
    <t>['maaf', 'kak', 'nyaman', 'gitu', 'jaringan', 'terburuk', 'hadeuh', 'kacaw', 'kacaw', 'kacaw', '']</t>
  </si>
  <si>
    <t>['suka', 'bangeettt', 'semenjak', 'program', 'chek', 'gitu', 'rajin', 'chek', 'loyal', 'kuota', 'tambahan', 'free', '']</t>
  </si>
  <si>
    <t>['ngga', 'fitur', 'gembok', 'kunci', 'pulsa', 'kuota', 'habis', 'data', 'langsung', 'nyedot', 'pulsa', 'pulsanya', 'langsung', 'sedot', 'payah', '']</t>
  </si>
  <si>
    <t>['parah', 'banget', 'buka', 'aplikasi', 'telkomsel', 'pakai', 'wifi', 'susah', 'banget', 'ampun', 'parah', 'aplikasi']</t>
  </si>
  <si>
    <t>['tolong', 'signal', 'telkom', 'lbh', 'bgs', 'lemot', 'mllu', 'trims']</t>
  </si>
  <si>
    <t>['salam', 'kediri']</t>
  </si>
  <si>
    <t>['akor', 'pukok', 'app', 'alap', 'nian', 'mudah', 'pakai', '']</t>
  </si>
  <si>
    <t>['pelayanan', 'jaringan', 'telkomsel', '']</t>
  </si>
  <si>
    <t>['harga', 'paket', 'gb', 'pas', 'harga', '']</t>
  </si>
  <si>
    <t>['mulu', 'aplikasi', 'knpa', 'sii', 'trs', 'klw', 'masuk', 'susah', 'bner', 'njisss']</t>
  </si>
  <si>
    <t>['good', 'succes', 'jaya']</t>
  </si>
  <si>
    <t>['jujur', 'kecewa', 'banget', 'telkomsel', 'jaringan', 'gangguan', 'mulu', 'kayak', 'jaringan', 'lancar', 'buruk', '']</t>
  </si>
  <si>
    <t>['beli', 'pulsa', 'bonus', 'paketny', 'blum']</t>
  </si>
  <si>
    <t>['mudah', 'seputar', 'kartu', 'telkomsel', 'miliki', 'promo', 'menarik', 'telkomsel']</t>
  </si>
  <si>
    <t>['telkomsel', 'buka', 'maketin', 'mohon', 'perbaiki']</t>
  </si>
  <si>
    <t>['pengguna', 'kaya', 'dpt', 'doorprize']</t>
  </si>
  <si>
    <t>['update', 'nggak', 'dibuka', 'layar', 'putih', 'jaringannya', 'gampang', 'berubah', 'ubah', 'gampang', 'lemot', 'paketan', 'tolong', 'diperhatikan']</t>
  </si>
  <si>
    <t>['menu', 'muncul']</t>
  </si>
  <si>
    <t>['mantap', 'udah', 'cek', 'nagak', 'klaim']</t>
  </si>
  <si>
    <t>['emang', 'ikan', 'hiu', 'gigit', 'kabel', 'jaringan', 'telkom', 'udah', 'brapa', 'lelet', 'mulu', 'jaringan', 'telkom', 'ketagihan', 'kali', 'ikan', 'hiu', 'gigit', 'kabel', 'jaringan', 'telkom', 'udah', 'jaringan', 'lelet', 'paket', 'diturunin', 'harga', 'fix', 'debat', 'suka', 'deh', 'jaringan', 'telkom', 'kek', 'gini', 'trusss']</t>
  </si>
  <si>
    <t>['jaringan', 'lelet', 'paket', 'mahal', 'mahal', 'ditambah', 'paket', 'tambahan', 'extra', 'unlimite', 'hilangkan', 'udah', 'pakai', 'telkomsel', 'thn', 'pokoknya', 'kecewa', 'telkomsel', '']</t>
  </si>
  <si>
    <t>['', 'memudahkan', 'banget', 'bonus', 'review', 'diatas', 'aplikasinya', 'berat', 'sya', 'kecewa', 'pengembang', 'mytelkomsel', 'playstore', 'hnya', 'mytelkomsel', 'berat', 'dihp', 'sya', 'ram', 'gb', 'sya', 'lihat', 'dihp', 'telkomsel', 'lite', 'ukurnnya', 'minim', 'ready', 'dihp', 'sya', 'enta', 'maksudnya', 'maaf', 'sya', 'edit', 'revies', 'sya', 'star', 'star', 'sjaa', 'app', 'sya', '']</t>
  </si>
  <si>
    <t>['knp', 'apk', 'buka', 'jaringan', 'bagus', 'tolong', 'telkomsel']</t>
  </si>
  <si>
    <t>['sengaja', 'susah', 'diakses', 'nggak', 'klaim', 'daily', 'check', '']</t>
  </si>
  <si>
    <t>['apk', 'ngeleg', 'banget', 'apk', 'lancar']</t>
  </si>
  <si>
    <t>['harga', 'paket', 'kualitas', 'menurun', 'mengecewakan', 'harga', 'paketan', 'mahal', 'sintal', 'ilang', 'kalah', 'indosat', 'menyusahkan', 'disaat', 'upload', 'tugas', 'dll', 'sorry', 'jujur', 'telkomsel', 'mengecewakan', '']</t>
  </si>
  <si>
    <t>['koin', 'butu', 'bet']</t>
  </si>
  <si>
    <t>['mantap', 'tingkatkan']</t>
  </si>
  <si>
    <t>['aplikasi', 'lelet', 'sampah', 'super', 'lemot', 'aplikasi']</t>
  </si>
  <si>
    <t>['apk', 'knp', 'buka']</t>
  </si>
  <si>
    <t>['mahall', 'sms', 'mahalnya', '']</t>
  </si>
  <si>
    <t>['buka']</t>
  </si>
  <si>
    <t>['', 'tutup']</t>
  </si>
  <si>
    <t>['aplikasi', 'bermutu', 'kali', 'eror', 'gitu', '']</t>
  </si>
  <si>
    <t>['login', 'aplikasi', 'susah', 'banget', 'sii', 'aplikasi', 'perawan', 'gimana', '']</t>
  </si>
  <si>
    <t>['parah', 'update', 'pajangan', 'icon', 'layar', 'doang', 'loadingnya', 'buka', 'aplikasi', 'lancar', 'apl', 'telkomsel', 'mendem', 'mending', 'ditambah', 'in', 'fitur', 'deh', 'berat']</t>
  </si>
  <si>
    <t>['puas', 'aplikasi', 'sukses', 'yha']</t>
  </si>
  <si>
    <t>['suka', 'lucu', 'sma', 'telkomsel', 'dpet', 'hadiah', 'ajh', 'bayar', 'dlu', 'wkwkk', 'aneh', 'tpi', 'lucu', '']</t>
  </si>
  <si>
    <t>['', 'banding', 'menang']</t>
  </si>
  <si>
    <t>['berlangganan', 'kartu', 'hallo', 'pembayaran', 'tagihan', 'berbeda', 'beda', 'pembayaran', 'perbulan', 'tambahan', 'pembelian', 'paket', 'mohon', 'petunjuk', '']</t>
  </si>
  <si>
    <t>['lumayan', 'muraaah', 'jaringan', 'ilang', '']</t>
  </si>
  <si>
    <t>['bgs']</t>
  </si>
  <si>
    <t>['memuaskan', 'pokok']</t>
  </si>
  <si>
    <t>['mantab']</t>
  </si>
  <si>
    <t>['aplikasi', 'mytelkomsel', 'membantu']</t>
  </si>
  <si>
    <t>['beli', 'udah', 'telkomsel', 'benerin', 'apk', '']</t>
  </si>
  <si>
    <t>['susuh', 'buka', 'aplikasi']</t>
  </si>
  <si>
    <t>['mahal', 'kualitas', 'menurun', 'aplikasi', 'mytelkomsel', 'buka', 'layar', 'putih', 'doang', 'muncul', 'parah', 'abis', 'mending', 'pindah', 'oprator', 'kayak', 'gini']</t>
  </si>
  <si>
    <t>['aplikasi', 'sampah', 'login', 'download', 'lancar']</t>
  </si>
  <si>
    <t>['aplikasi', 'gakjelas', 'buka', 'update', 'buka', 'aplikasi', 'cek', 'kuota', 'sinyal', 'bagus', '']</t>
  </si>
  <si>
    <t>['telkomsel', 'siiii', 'paket', 'inter', 'rb', 'tmn', 'tmn', 'harga', 'kuotanya', 'gue', 'uda', 'tlkomsel', 'kali', 'udah', 'kecewa', 'berat', '']</t>
  </si>
  <si>
    <t>['kesini', 'hancur', 'telkomsel']</t>
  </si>
  <si>
    <t>['bayar']</t>
  </si>
  <si>
    <t>['memudahkan']</t>
  </si>
  <si>
    <t>['game', 'lancar', 'jaya', 'kasi', 'bintang', 'nnti']</t>
  </si>
  <si>
    <t>['suka']</t>
  </si>
  <si>
    <t>['keren', 'kejutan', 'suka']</t>
  </si>
  <si>
    <t>['telkomsel', 'jitu']</t>
  </si>
  <si>
    <t>['main', 'game', 'game', 'down', 'sinyal', 'hilang']</t>
  </si>
  <si>
    <t>['gambarnya', 'layar', 'putih', 'kosong', '']</t>
  </si>
  <si>
    <t>['bagus', 'promo', 'internet', 'nelpon', 'naikan', 'menit', 'menit', 'membantu', 'badget', 'minim', 'terimakasih']</t>
  </si>
  <si>
    <t>['telkomsel', 'masuk', '']</t>
  </si>
  <si>
    <t>['harga', 'paketan', 'telkomsel', 'mahal', 'jaringan', 'sesuai', 'harganya', 'lelet', 'jakarta', 'kampung', 'pegunungan', 'tolong', 'perbaiki', 'mending', 'pindah', 'jaringan', 'murah', 'jaringan', 'bagus', 'terimakasih']</t>
  </si>
  <si>
    <t>['aplikasi', 'knpa', 'buka', 'udah', 'update', 'rusak']</t>
  </si>
  <si>
    <t>['', 'klau', 'telkomsel', 'ngbulin', 'promo', 'merespon', 'tanngapan', 'hapus', 'app', 'dpt', 'sms', 'kuota', 'harga', 'terjangkau', 'promonya', 'abad', 'cari', 'udah', 'deh', 'bye']</t>
  </si>
  <si>
    <t>['luarr', 'bagus', 'kasih', 'bintang', '']</t>
  </si>
  <si>
    <t>['ksh']</t>
  </si>
  <si>
    <t>['ditawarin', 'migrasi', 'prabayar', 'pascabayar', 'via', 'telp', 'prosesnya', 'seminggu', 'blm', 'selesai', 'berkali', 'hubungin', 'cust', 'service', 'via', 'telp', 'call', 'center', 'memuaskan', 'jawabannya', 'proses', 'deadline', 'aktif', 'layanan', 'telkomsel', '']</t>
  </si>
  <si>
    <t>['bagus']</t>
  </si>
  <si>
    <t>['memudahkan', 'pengguna', 'recommended']</t>
  </si>
  <si>
    <t>['udah', 'update', 'tpi', 'ngga', 'buka', '']</t>
  </si>
  <si>
    <t>['mahal', 'lemot']</t>
  </si>
  <si>
    <t>['maksih', 'telkomsel', 'moga', 'bsa', 'dpt', 'hadiah', 'undingan', 'motor', 'mobil', 'uang']</t>
  </si>
  <si>
    <t>['pulsa', 'beli', 'paket', 'telpon', 'harag']</t>
  </si>
  <si>
    <t>['bermanfaat', 'kemudahan', 'pengguna']</t>
  </si>
  <si>
    <t>['jaringan', 'lag', 'tod']</t>
  </si>
  <si>
    <t>['telkomsel', 'knp', 'kartu', 'isi', 'ulang', 'paket', 'gb', 'habis', 'lelet', 'parah', 'kayak', 'gitu', 'mohon', 'perbaiki', 'telkomsel']</t>
  </si>
  <si>
    <t>['promo', 'mantap']</t>
  </si>
  <si>
    <t>['tukar', 'poin', 'prosesnya', 'ribet', 'banget', 'ngasih', 'ampas']</t>
  </si>
  <si>
    <t>['buruk', 'pemberitahuan', 'pengambilan', 'pulsa']</t>
  </si>
  <si>
    <t>['apk', 'bagus', 'membantu']</t>
  </si>
  <si>
    <t>['harga', 'paket', 'murah']</t>
  </si>
  <si>
    <t>['', 'pemakai', 'telkomsel', 'jaringan', 'telkomsel', 'ketinggalan']</t>
  </si>
  <si>
    <t>['seru', 'hadiahnya']</t>
  </si>
  <si>
    <t>['sms', 'pemberitahuan', 'kepotong', 'pulsa', 'bangkrut', 'kek', 'gini', 'infokan', 'pelanggan', 'blokir', 'nomor', 'sms', 'telkomsel']</t>
  </si>
  <si>
    <t>['signal', 'telkomsel', 'bagus', 'yahh', 'kayak', 'gini', 'lemot', 'udah', 'gitu', 'mahal', '']</t>
  </si>
  <si>
    <t>['jaringan', 'daerah', 'bagus']</t>
  </si>
  <si>
    <t>['sngat', 'mendukung', 'membantu', 'sya', 'sngat', 'suka', 'aplikasi']</t>
  </si>
  <si>
    <t>['login', 'cek', 'paketan', 'error']</t>
  </si>
  <si>
    <t>['ayo', 'kawan', 'download', 'aplikasi', 'ribet', 'cek', 'data', 'internet', 'cek', 'pulsa', 'beli', 'pulsa', 'data', 'pokok', 'lengkap', 'deh', '']</t>
  </si>
  <si>
    <t>['sinyal', 'kayak', 'babi']</t>
  </si>
  <si>
    <t>['masuk', 'mytelkomsel', 'susah', 'sinyal', 'lemah', 'diwilayah', 'jakarta']</t>
  </si>
  <si>
    <t>['min', 'knp', 'login']</t>
  </si>
  <si>
    <t>['aplikasi', 'bego', 'diupdate', 'masuk', 'bener', 'masuk', '']</t>
  </si>
  <si>
    <t>['kuota', 'internet', 'mahal', 'jaringan', 'dapet', 'ngga', 'sesuai', 'harga', 'kuota', 'dibeli', 'simpati', 'udah', 'kaga', 'bagus', 'lemot', 'parah', 'buka', 'gogle', 'signyal', 'hilang', 'lemot']</t>
  </si>
  <si>
    <t>['sinyal']</t>
  </si>
  <si>
    <t>['dagang', 'bisnis', 'betani']</t>
  </si>
  <si>
    <t>['laporan', 'beli', 'kuota', 'bayarnya', 'aplikasi', 'dana', 'menu', 'aplikasi', 'telkkmsel', 'kuotanya', 'masuk']</t>
  </si>
  <si>
    <t>['tolong', 'adakan', 'kembli', 'paket', 'nelponnya', 'menit', 'combo', 'saktinya', 'papa', 'kurangi', 'paket', 'internet', 'paket', 'nelponnya', 'lembali', 'menit', 'kaya', '']</t>
  </si>
  <si>
    <t>['dibuka', 'jaringan', 'indosat', 'beli', 'paket', 'tsel', 'aplikasinya', 'gmna', 'bambang', 'beli', 'karna', 'kehabisan', 'jdi', 'bsa', 'masuk', 'apk']</t>
  </si>
  <si>
    <t>['pas', 'buka', 'warna', 'putih']</t>
  </si>
  <si>
    <t>['paket', 'tawarkan', 'mahal']</t>
  </si>
  <si>
    <t>['yes', 'aplikasi', 'bagus']</t>
  </si>
  <si>
    <t>['saran', 'simple', 'kebanyakan', 'fitur', 'fitur', 'kontrol', 'pulsa', 'spt', 'pulsa', 'kesedot', 'habis', 'bonus', 'free', 'call', 'telkomsel', 'mnt', 'beli', 'kuota', '']</t>
  </si>
  <si>
    <t>['cepat', 'aman']</t>
  </si>
  <si>
    <t>['byk', 'makan', 'kuota', 'lelet', 'bug', 'mulu', 'dih']</t>
  </si>
  <si>
    <t>['', 'aplikasi', 'yak', 'buka', 'udah', 'coba', 'uninstal', 'instal', 'tetep', 'buka', '']</t>
  </si>
  <si>
    <t>['buka', 'aplikasi']</t>
  </si>
  <si>
    <t>['woi', 'pulsa', 'berkurang', 'transaksi', 'rb', 'rb', 'kecurangan', 'main', 'curang', 'kuota', 'internet', 'full', 'pulsa', 'utama', 'rb', 'rb', '']</t>
  </si>
  <si>
    <t>['', 'telkomsel', 'buka']</t>
  </si>
  <si>
    <t>['hadoh', 'pusing', 'liat', 'telkomsel', 'jaman', 'ambil', 'untung', 'mikirin', 'pengguna', 'make', 'nurunin', 'kualitas', 'sinyalnya', 'kuat', 'banget', 'full', 'bar', 'tetep', 'ngelag', 'kali', 'internetnya', 'babi']</t>
  </si>
  <si>
    <t>['memuaskan', 'semoga', 'telkomsel', 'sakin', 'jaya', '']</t>
  </si>
  <si>
    <t>['mantapppppppppppppppppp', 'mahaaaal', 'promo']</t>
  </si>
  <si>
    <t>['lokasi', 'bandara', 'solo', 'koneksi', 'signal', 'buruk', 'lebaran', 'perbaikan', 'signal', 'ayolah', 'pengguna', 'telkomsel', 'pindah', 'sebelah', 'sebelah', 'upgrade', '']</t>
  </si>
  <si>
    <t>['telkomsel', 'mah', 'busuk', 'login', 'telkomsel', 'ngk']</t>
  </si>
  <si>
    <t>['semoga', 'murah', 'harga', 'paket', 'datanya']</t>
  </si>
  <si>
    <t>['simpati', 'kesini', 'sinyal', 'daerah', 'alam', 'sutera', 'perubahan', 'simpati', 'kaya', '']</t>
  </si>
  <si>
    <t>['mencari', 'terbaik', '']</t>
  </si>
  <si>
    <t>['bagus', 'info', 'nys']</t>
  </si>
  <si>
    <t>['udah', 'providernya', 'jaringannya', 'kyak', 'sampah']</t>
  </si>
  <si>
    <t>['indonesia', 'perusahaan', 'milik', 'pemerintah', 'lemah', 'pln', 'telkomsel', 'semangkin', 'update', 'semangkin', 'lambat', 'loading', 'tolong', 'dicek', 'ulang', 'penyebabnya', 'ganguan', 'teknis', 'alamiah', 'manusia', 'mengganggu', 'teratasi', 'mending', 'ganti', 'operator', 'seluler', 'sebelah', '']</t>
  </si>
  <si>
    <t>['jelek', 'banget', 'telkomsel', 'paketan', 'gua', 'udah', 'abis', 'beli', 'telkomsel', '']</t>
  </si>
  <si>
    <t>['paket', 'menjebak', 'penjelasan', 'rumit']</t>
  </si>
  <si>
    <t>['koneksinya', 'buruk', 'babi']</t>
  </si>
  <si>
    <t>['oops', 'kesalahan', 'hahaha', 'login', 'susah', 'sinyal', 'full', 'jalan', '']</t>
  </si>
  <si>
    <t>['donlod', 'masuk', 'susah', 'kuota', 'jalan', 'kesedot', 'gimana']</t>
  </si>
  <si>
    <t>['gimana', 'telkomsel', 'beli', 'paket', 'youtube', 'nyedot', 'paket', 'kuota', 'utama', 'kek', 'gini', 'rugi', 'beli', 'paket', 'mahal', 'pembagian', 'paketnya', 'sesuai', 'iya', 'kuota', 'utama', 'kepotong', 'nonton', 'youtube', 'padhal', 'udah', 'beli', 'paket', 'youtube', 'jelek', 'kali', 'bah', 'sistem', 'telkomsel']</t>
  </si>
  <si>
    <t>['aneh', 'habis', 'hujan', 'hujan', 'jaringan', 'tersendat', 'kartu', 'bagus', 'engga', 'beda', 'kartu', 'payah', 'buka', 'perbaiki', 'diemin']</t>
  </si>
  <si>
    <t>['', 'telkomsel', 'cuman', 'sayang', 'daerah', 'sinyal', 'memuaskan', '']</t>
  </si>
  <si>
    <t>['login', 'ribet', 'login', 'alloh', 'jelek', 'telkomsel']</t>
  </si>
  <si>
    <t>['', 'ngerti', 'kerja', 'telkom', 'internetan', 'kouta', 'kartu', 'sebelah', 'telkomsel', 'pulsa', 'ngurang', '']</t>
  </si>
  <si>
    <t>['pulsa', 'sisa', 'ilang', 'sndiri', 'perporman', 'internet', 'melemah', 'pinjaman', 'pulsa', 'kota', 'data', 'internet', 'persetujuan', 'telkomsel', 'sehat', 'kah', '']</t>
  </si>
  <si>
    <t>['gmn', 'jaringan', 'telkomsel', 'gue', 'pasang', 'paket', 'pulsa', 'udh', 'beli', 'pas', 'bukk', 'aplikasi', 'layar', 'putih', 'gmn', 'min', 'mengganggu', 'kenyamanan', 'nyesel', 'banget', 'isi', 'pulsa', 'mendingan', 'gue', 'beli', 'paket', '']</t>
  </si>
  <si>
    <t>['pelayanan', 'bgus', 'nnti', 'kasih', 'bintang', '']</t>
  </si>
  <si>
    <t>['klu', 'unlimited', 'bebas', 'penggunaan', 'kena', 'fup', 'udh', 'beli', 'mahal', 'kena', 'fup', 'mah', 'sma', 'ajh', 'kyk', 'beli', 'kuota', 'unlimited']</t>
  </si>
  <si>
    <t>['mantap', 'kali', 'beli', 'paket', 'mudah', 'promo', 'menarik', 'keren', 'telkomsel']</t>
  </si>
  <si>
    <t>['isi', 'pulsa', 'beli', 'kuota', 'mudah', 'nggk', 'ribet', 'dlm', 'layanan', 'aplikasi', 'promo', 'bonusnya', 'terimakasih', 'telkomsel', 'smg', 'didepan', 'dlm', 'layanan', 'informasi', 'teknologi', '']</t>
  </si>
  <si>
    <t>['ngga', 'buka', 'layar', 'putih', 'muncul', 'kesalahan', 'udh', 'uninstal', 'instal', 'ulang', 'ngga', 'login', '']</t>
  </si>
  <si>
    <t>['', 'terpenting', 'membeli', 'pulsa', 'paket', 'internet', 'murah', 'pilihan', 'telkomsel']</t>
  </si>
  <si>
    <t>['aplikasi', 'membantu', 'diperingan', 'aplikasinya', 'hape', 'versi', 'kuno', 'menikmati', 'keunggulan', 'aplikasi', 'terimakasih']</t>
  </si>
  <si>
    <t>['gangguan', 'jaringan']</t>
  </si>
  <si>
    <t>['sampah', 'nyesel', 'kartu', 'komen', 'positif', 'kayaknya', 'halu', '']</t>
  </si>
  <si>
    <t>['mantap', 'download', 'lambat', 'menitan', 'download', 'ngebut', 'banget']</t>
  </si>
  <si>
    <t>['manteb', 'membantu']</t>
  </si>
  <si>
    <t>['mantap', 'proses', 'pengisian', 'paketnya', 'cepat']</t>
  </si>
  <si>
    <t>['aplikasi', 'telkomsel', 'buka', '']</t>
  </si>
  <si>
    <t>['keren', 'cepat']</t>
  </si>
  <si>
    <t>['jam', 'wita', 'app', 'loading', 'menu', 'unable', 'load', 'sorry', 'there', 'something', 'error', 'our', 'system', 'trus', 'pas', 'promo', 'masuk', 'sms', 'pas', 'diklik', 'muncul', 'unstable', 'connection', 'sinyal', 'normal', 'play', 'youtube', 'fps', 'lancar', 'beli', 'paketan', 'wis', 'indosat', 'rb', 'dapet', 'gb']</t>
  </si>
  <si>
    <t>['aplikasi', 'terbaik', '']</t>
  </si>
  <si>
    <t>['kartu', 'berguna', 'harga', 'paket', 'mahal', 'jaringan', 'kyk', 'gini', 'telkomsel', 'udh', 'thun', 'knp', 'telkom', 'jelek', 'mending', 'ganti', 'buang', 'kartu', 'kecewa']</t>
  </si>
  <si>
    <t>['pulsa', 'woy', 'beli', 'pulsa', 'aplikasi', 'leletnya', 'ampun', 'pdahal', 'bayar', 'akun', 'virtual', 'aduh', 'mentang', 'telkimsil']</t>
  </si>
  <si>
    <t>['hadiah', 'telkomsel', 'point']</t>
  </si>
  <si>
    <t>['pengaturan', 'kunci', 'pulsa', 'penggunaan', 'data', 'kepotong', 'pulsanya']</t>
  </si>
  <si>
    <t>['membantu', 'cek', 'saldo', 'pulsa', 'paket', 'internet', 'proses', 'top', 'paket', 'internet']</t>
  </si>
  <si>
    <t>['bgus', 'sii', 'bgus', 'lgi', 'ngutang']</t>
  </si>
  <si>
    <t>['min', 'aplikasi', 'dipakai', 'kesalahan', 'sistem', '']</t>
  </si>
  <si>
    <t>['asik', 'simpel', 'suka']</t>
  </si>
  <si>
    <t>['kerja', 'patah']</t>
  </si>
  <si>
    <t>['telkomsel', '']</t>
  </si>
  <si>
    <t>['dibaca', 'ulasannya', 'pembuat', 'apk', 'dibuka', 'putih', 'tok', 'mending', 'operator', '']</t>
  </si>
  <si>
    <t>['beli', 'paket', 'aplikasi', 'buruk', 'beli', 'paket', 'ceria', 'proses', 'gagalin', 'sisa', 'pulsa', 'berkurang', 'paket', 'kunjung', 'paket', 'beli', 'paket', 'kuota', 'payah', '']</t>
  </si>
  <si>
    <t>['paket', 'pembelian', 'data', 'moga', 'murah', '']</t>
  </si>
  <si>
    <t>['habis', 'diapdet', 'lelet', 'banget', 'gabisa', 'dipake', 'beli', 'kuota', 'gimanaaaaaaa']</t>
  </si>
  <si>
    <t>['pulsa', 'hilang', 'kepotong', 'make', 'langganan', 'internet', 'nsp', 'sms', 'berbayar', 'dial', 'stop', 'krm', 'laporkan', 'kominfo', 'ditindak', '']</t>
  </si>
  <si>
    <t>['bermanfaat', 'menguntungkan']</t>
  </si>
  <si>
    <t>['tolong', 'kembalikan', 'paket', 'unlimited', 'terbatasnya', 'hilangkan', 'karna', 'butuh', 'keluarga']</t>
  </si>
  <si>
    <t>['gua', 'udah', 'rugi', 'rb', 'gara', 'gara', 'beli', 'paket', 'tulisannya', 'udah', 'berhasil', 'pas', 'notif', 'email', 'pulsa', 'mencukupi', 'mengisi', 'ulang', 'paket', 'silakan', 'isi', 'ulang', 'pulsa', 'udah', 'beli', 'pulsa', 'dana', 'saldo', 'gua', 'sisa', 'gua', 'kios', 'isi', 'pulsa', 'pas', 'isi', 'paket', 'notifnya', 'tolong', 'perbaiki', '']</t>
  </si>
  <si>
    <t>['memalukan', 'sekelas', 'telkomsel', 'jaringannya', 'jelek', 'masuk', 'mytelkomsel', 'alasannya', 'kesalahan', 'tolong', 'perbaiki', 'beralih', 'provider', 'murah']</t>
  </si>
  <si>
    <t>['apk', 'taik', 'log', 'susah', 'bayar', 'prabayar', 'udh', 'paketan', 'cepet', 'abis', 'payah']</t>
  </si>
  <si>
    <t>['', 'kasih', 'give', 'away']</t>
  </si>
  <si>
    <t>['buka', 'dri', 'pagi', '']</t>
  </si>
  <si>
    <t>['jaringan', 'natuna', 'krang']</t>
  </si>
  <si>
    <t>['check', 'knpa', 'pas', 'ambil', 'hadiahnya', 'pakai', 'pulsa', 'tolong', 'perbaiki', '']</t>
  </si>
  <si>
    <t>['lemot', 'perbaikan', 'aplikasi', 'cari', 'wifi', 'sinyal', 'stabil']</t>
  </si>
  <si>
    <t>['tpi', 'trima', '']</t>
  </si>
  <si>
    <t>['mantap', 'sinyal', 'telkomsel', 'semoga', 'jaya', 'udara']</t>
  </si>
  <si>
    <t>['benerin', 'jariangnya', 'mati', 'lampu', 'jaringan', 'hilang', 'kouta', 'tolong', 'males', 'telkomtot', '']</t>
  </si>
  <si>
    <t>['mencoba', 'semoga', 'puas']</t>
  </si>
  <si>
    <t>['oke', 'deeh', 'tingkatin', '']</t>
  </si>
  <si>
    <t>['min', 'kejelasan', 'komplemenan', 'tolong', 'solusinya']</t>
  </si>
  <si>
    <t>['', 'update', 'logo', 'doang', 'hahaha', 'kacau', 'app', 'mytelkomsel', 'ngasih', 'kemudahan', 'bohong', 'daftar', 'paket', 'hilang', 'contoh', 'paket', 'malam', 'jarang', 'dapet', 'paket', 'promo', 'umur', 'kartu', 'udah', 'bug', 'bertebaran', 'update', 'cacat', 'aplikasi']</t>
  </si>
  <si>
    <t>['harga', 'mulu', 'malesin']</t>
  </si>
  <si>
    <t>['bagus', 'klaw', 'jelek', 'ksh', 'bintang', '']</t>
  </si>
  <si>
    <t>['banggga', 'produk', 'sebagus', 'sepinter']</t>
  </si>
  <si>
    <t>['membantu', 'akses', 'telkomsel']</t>
  </si>
  <si>
    <t>['pulsanya', 'ilang', 'pagi', 'kesedot', 'coba', 'ngerti', 'kuota', 'sedot', 'pulsanya', '']</t>
  </si>
  <si>
    <t>['sngat', 'terbantu', 'senang', 'bnyak', 'promo', 'undianya', '']</t>
  </si>
  <si>
    <t>['', 'upgrade', 'kebuka', 'layar', 'putih', 'doank', '']</t>
  </si>
  <si>
    <t>['aplikasi', 'jelek', 'kepuasa', 'aplikasi', 'pelanggan', 'kecewa', 'paketnya', 'mahal', 'serin', 'ganguan', 'sistem', 'suka', 'beruba', 'bandi', 'aplikasi', 'oprator', 'pelayanannya', 'penguna', 'telkomsel', 'kecewa', 'paket', 'darurat', 'ato', 'paket', 'ceria', 'aplikasi', 'telkomsel', 'terpanpang', 'beli', 'kiamat', 'jawabanya', 'sistem', 'sedan', 'sibuk', '']</t>
  </si>
  <si>
    <t>['diupdate', 'mlh', 'nge', 'blank', '']</t>
  </si>
  <si>
    <t>['harga', 'kuota', 'internet', 'mahal', 'jdi', 'skrg', 'pindah', 'trii', 'udahg', 'gtu', 'lemot', 'anjinj', 'emang', 'telkomsel', 'udah', 'mahal', 'lemot', 'babi']</t>
  </si>
  <si>
    <t>['mudah']</t>
  </si>
  <si>
    <t>['jaringan', 'telkomsel', 'knp', 'bagus']</t>
  </si>
  <si>
    <t>['', 'love', 'you', 'pokonamah', 'sebulanan', 'inetan', 'ngebut', 'kali', 'terimakasih', 'jelek', 'banget']</t>
  </si>
  <si>
    <t>['telkomsel', 'dibuka', 'mahal', 'mengecewakan']</t>
  </si>
  <si>
    <t>['aplikasi', 'diupdate', 'dibuka', 'mentok', 'dilogo', 'doang', 'parah', 'versi', 'payah', 'menjengkelkan', '']</t>
  </si>
  <si>
    <t>['membantu', 'mudah', 'dlm', 'penggunaan', 'pokok', 'sip', 'deh', 'bnyak', 'promo', 'menggejut']</t>
  </si>
  <si>
    <t>['yamaha', 'telkomsel', 'lelet', 'lemot', 'parah', 'hancur', 'putus', 'nyambung', 'hilang', 'muncul', 'sinyal', 'jaringan', 'telkomsel', 'kebanyakan', 'promo', 'gunanya', 'sinyal', 'jaringan', 'telkomsel', 'beres', 'perbaiki', 'sinyal', 'jaringan', 'telkomsel', '']</t>
  </si>
  <si>
    <t>['', 'maaakkk', 'inyong', 'beli', 'paket', 'data', 'app', 'mytelkomselnya', 'error', 'doakan', 'maaakkk', 'spy', 'mytelkomsel', 'cepet', 'waraasss', 'maaakkk', 'gitu', 'nitip', 'bintang', '']</t>
  </si>
  <si>
    <t>['telkomsel', 'kaya', 'kartu', 'skrng', 'mah', 'jelek', 'merah', 'mulu', 'maen', 'game']</t>
  </si>
  <si>
    <t>['susah', 'login', 'berkali', 'tolong', 'donk', 'admin']</t>
  </si>
  <si>
    <t>['', 'masuk']</t>
  </si>
  <si>
    <t>['jaringannya', 'bermasalah', 'applikasi', 'knp', 'bobrok', 'cek', 'pulsa', '']</t>
  </si>
  <si>
    <t>['eror', 'hapus', 'blm', 'sempurna', 'berpenghasilan', 'aplikasi', 'berusahaa', 'terbaik', 'duduk', 'ngangkang', '']</t>
  </si>
  <si>
    <t>['udah', 'update', 'buka', 'gambarnya', 'putih', 'doang', 'klu', 'update', 'cek', 'hanguuuus', '']</t>
  </si>
  <si>
    <t>['jaringanya', 'gini', 'trus', 'mnding', 'harga', 'kuota', 'turunin', 'malu', '']</t>
  </si>
  <si>
    <t>['mohon', 'info', 'dunx', 'telkomsel', 'error', 'yaa', 'kmrn', 'masuk', 'loading', 'mulu', 'tampilan', 'putih', 'bufering', 'mulu', 'yaa']</t>
  </si>
  <si>
    <t>['byk', 'promonya', 'tuker', 'poin', 'telkomsel', 'number', 'one', '']</t>
  </si>
  <si>
    <t>['bagus', 'mudah', 'membantu', '']</t>
  </si>
  <si>
    <t>['keluhan', 'disuruh', 'hubungin', 'kesini', 'kesitu', 'woi', 'gausah', 'berbelit', 'belit', 'pikirin', 'jaringan', 'daerah', 'pedesaan', 'kota', 'doang', 'kenceng', 'sinyalnya', 'pikir', 'kaga', 'kesel', 'kelas', 'daring', 'jaringan', 'ilang', 'tinggal', 'perbaikin', 'jaringan', 'beress', 'gue', 'keluhan', 'via', 'twitter', 'ngga', 'perubahan', '']</t>
  </si>
  <si>
    <t>['mantap', 'murahkan', 'anak', 'sekolah', 'beli', 'kuota']</t>
  </si>
  <si>
    <t>['napa', 'aplikasinya', 'susah', 'masuknya', 'internet', 'lancar', 'buka', 'aplikasi', 'myaxis', 'myim', 'lancar', 'pas', 'buka', 'mytelkomsel', 'mlah', 'gagal', 'mulu', 'jaringan', 'balas', 'ulasan', 'suruh', 'komlainke', 'krna', 'ngelakuin', 'hasulnya', 'nihil', 'sesuai', 'ama', 'ditanyain', '']</t>
  </si>
  <si>
    <t>['aplikasinya', 'kebuka', 'aplikasi', 'coba', 'diperbaiki', 'pusatnya', '']</t>
  </si>
  <si>
    <t>['', 'telkomsel', '']</t>
  </si>
  <si>
    <t>['app', 'jelek', 'buka', 'appnya', 'sekalii']</t>
  </si>
  <si>
    <t>['daily', 'check', 'habis', 'buka', 'telkomselnya', 'warna', 'putih', 'tolong', 'perbaiki', 'telkomsel']</t>
  </si>
  <si>
    <t>['aplikasinya', 'membantu', 'untukbpembelian', 'paket', 'selular', '']</t>
  </si>
  <si>
    <t>['sinyal', 'bagusin', 'dimana', 'dimana', 'jelek', 'mah', 'malu', 'provider', 'harga', 'kouta', 'mahal', 'gmna', 'malu', 'maluin', 'sinyal']</t>
  </si>
  <si>
    <t>['jeleeeeeeeek', 'stlh', 'update', 'log', 'susaaaaaah', 'beneeer', 'yaaa', 'aplikasi', 'dibuka', 'ampuuuun', 'deh', 'telkomsel', 'ancur', 'skr', '']</t>
  </si>
  <si>
    <t>['telkomsel', 'install', '']</t>
  </si>
  <si>
    <t>['cepat', 'downloadnya', 'terimakasih']</t>
  </si>
  <si>
    <t>['log', 'out', 'akun', 'berkali', 'kali', 'masuk', 'kadang', 'errorrrrrrr']</t>
  </si>
  <si>
    <t>['nyesel', 'update', 'app', 'ngga', 'login', 'jaringannya', 'skrg', 'lemot', 'kota', 'pedesaan', 'harga', 'paket', 'internet', 'mahal', 'udah', 'lemot', 'mahal', 'mending', 'tinggalin', 'ganti', 'im', 'paketan', 'murah', 'sinyal', 'internet', 'not', 'bad', 'ups', 'maaf', 'telkomsel', '']</t>
  </si>
  <si>
    <t>['bagus', 'mempercepat', 'proses']</t>
  </si>
  <si>
    <t>['ingsa', 'allah', 'berkah', 'mudah', 'mudahan', 'pmenang']</t>
  </si>
  <si>
    <t>['paket', 'abis', 'wifi', 'masuk', 'applikasinya', 'sesi', 'habis', 'login', 'gagal', 'nyusahin', 'banget', 'tolong', 'diperbaiki', '']</t>
  </si>
  <si>
    <t>['dri', 'kemarin', 'bermasalah', '']</t>
  </si>
  <si>
    <t>['', 'bermanfaat']</t>
  </si>
  <si>
    <t>['semngatt', 'telkom', 'mengecewakan']</t>
  </si>
  <si>
    <t>['dlm', 'kondisi', 'telkomsel', 'membantu']</t>
  </si>
  <si>
    <t>['aplikasi', 'lelet', 'lemot', 'payah', 'telkomsel']</t>
  </si>
  <si>
    <t>['woi', 'telkomsel', 'isi', 'pulsa', 'pulsa', 'hilang', 'kuras', 'ngak', 'ngak', 'kuis', 'koata', 'internet', 'telkom', 'pulsa', 'kuras']</t>
  </si>
  <si>
    <t>['tolonglaa', 'harga', 'naikin', 'kualitas', 'sinyal', 'diperbaikin', 'harga', 'sinyal', 'burik', '']</t>
  </si>
  <si>
    <t>['jaringannya', 'cepat', '']</t>
  </si>
  <si>
    <t>['bayar', 'mahal', 'paket', 'ratusan', 'ribu', 'kecepatan', 'internet', 'lelet', 'paket', 'cepat', 'habisnya']</t>
  </si>
  <si>
    <t>['telkomsel', 'kaya', 'jaringan', 'gangguan', 'bodoh', '']</t>
  </si>
  <si>
    <t>['', 'aplikasi', 'membantu', 'bonus', 'diskon', 'murah', 'berlangganan', 'bulannya', '']</t>
  </si>
  <si>
    <t>['trimakasih', 'apk', 'membantu']</t>
  </si>
  <si>
    <t>['sinyal', 'sampah', 'lag', 'bbrapa', 'lokasi', 'suka', 'lag', 'nmr', 'udah', 'nmr', 'ganti', 'nmr', 'tetangga', 'beda', 'tingkat', 'kelancaran', 'sinyalnya', 'lbh', 'bagus', 'dri', '']</t>
  </si>
  <si>
    <t>['apliksi', 'bagus', 'bagget']</t>
  </si>
  <si>
    <t>['alikasi', 'membantu', 'mempermudahh', 'beli', 'paket', 'kuota']</t>
  </si>
  <si>
    <t>['kenepaa', 'pemakaian', 'udah', 'erorr', 'minnn', 'login', 'warna', 'putih', 'terusssss', '']</t>
  </si>
  <si>
    <t>['telkomsel', 'biaa', 'dibuka', 'aplikasi', 'berat', 'mytelkomsel', 'putih', 'munculnya']</t>
  </si>
  <si>
    <t>['udh', 'kartu', 'mahal', 'kuota', 'mahal', 'kualitas', 'jelek', 'harga', 'kualitas', 'sesuai']</t>
  </si>
  <si>
    <t>['kouta', 'utama', 'kemakan', 'upload', 'video', 'youtube', 'ketengan', 'unlimited', 'youtube', 'notif', 'pakai', 'kouta', 'utama', 'udah', 'tinggal', 'mb', 'kouta', 'gua', 'gb', 'maling', '']</t>
  </si>
  <si>
    <t>['stabil', 'koneksi', 'kodisi', 'signal', 'bagus', 'kuota', 'tolong', 'telkom', 'difix', 'telkom', 'ngebut', 'kaya', 'kaya']</t>
  </si>
  <si>
    <t>['lelet', 'kuota', 'main', 'game', 'merah', 'mulu', 'iklannya', 'doang', 'anti', 'lemot', 'lemot', '']</t>
  </si>
  <si>
    <t>['membantu', 'pabila', 'operator', 'memilih', 'adil']</t>
  </si>
  <si>
    <t>['udah', 'aplikasi', 'telkomsel', 'buka', 'dibuka', 'muncul', 'layar', 'putih', 'mohon', 'perbaiki', 'min']</t>
  </si>
  <si>
    <t>['login', 'ajah', 'susah', 'banget', 'loading', 'ujung', 'ujungnya', 'kesalahan', 'aplikasi', 'terurus', '']</t>
  </si>
  <si>
    <t>['pulsa', 'hilang', 'kuota', 'adaa', 'berlangganan', 'nsp', 'mohon', 'kerja']</t>
  </si>
  <si>
    <t>['', 'log', 'kemarin', 'cok']</t>
  </si>
  <si>
    <t>['kebangetan', 'telkomsel', 'ngeliat', 'pulsa', 'dibiarin', 'dikit', 'ilang', 'gitu', 'paket', 'berlangganan', 'apapun', 'paket', 'cepet', 'abisnya', 'pemakaian', 'udah', 'disesuaikan', 'fak', 'tolonggg', 'serakah', 'yaaa', 'telkomsel', 'advice', 'kesedot', 'pulsa', '']</t>
  </si>
  <si>
    <t>['tolong', 'perbaiki', 'sinyal', 'lemot', 'banget', 'min', 'telkomsel', 'lemot', 'aplikasi', 'parah', 'kuota', 'gb', 'non', 'aktifkan']</t>
  </si>
  <si>
    <t>['tingkatkan', 'kualitas', 'jaringannya', '']</t>
  </si>
  <si>
    <t>['aplikasinya', 'dibuka', 'diuninstal', 'instal', 'masuk']</t>
  </si>
  <si>
    <t>['promonya', '']</t>
  </si>
  <si>
    <t>['mahal', 'jaringan', 'lemot', 'kuota', 'akses', 'admin', 'veronika', 'siapalah', 'gka', 'ngasih', 'chat', 'ber', 'ulang', 'kali', 'ngasih', 'solusi', 'boro', 'bls', 'keluganya', 'kagak', 'kiciwi', 'admin', 'payah']</t>
  </si>
  <si>
    <t>['tekeluar', 'login', 'susah']</t>
  </si>
  <si>
    <t>['paket', 'mahal', 'internet', 'lemot', 'masuk', 'akal', 'main', 'game', 'telat', 'peket', 'tipu', 'tipu', 'malu', 'ngasih', 'solusi', 'sinyal', 'jelek', 'suruh', 'restar', 'sinyalnya', 'jelek', 'sinyal', 'jelek', 'nunggu', 'viral', 'benerin', 'why', 'why', '']</t>
  </si>
  <si>
    <t>['kendala', 'beli', 'kuota', 'kentengan', 'game', 'main', 'sinyal', 'bagus', 'main', 'rank', 'main', 'ajg', 'didiemin']</t>
  </si>
  <si>
    <t>['tolong', 'diperbaiki', 'anjingggg', 'gua', 'beli', 'paket', 'mahal', 'babi', 'tolong', 'pakai', 'otak', 'sikit']</t>
  </si>
  <si>
    <t>['', 'kartu', 'telkomsel']</t>
  </si>
  <si>
    <t>['terkadang', 'susah', 'kendalikan']</t>
  </si>
  <si>
    <t>['mantul', 'aflikasi', 'membntu', 'orng', 'jau', 'dri', 'konter']</t>
  </si>
  <si>
    <t>['heran', 'telkomsel', 'udah', 'paket', 'harga', 'mahal', 'jaringan', 'sesuai', 'tower', 'jelek', 'sinyal', 'kecewa', 'telkomsel', 'terbaik', 'jaringan', 'udah', 'mahal', 'harganya']</t>
  </si>
  <si>
    <t>['tolong', 'benahin', 'sistemnya', 'paket', 'telpon', 'data', 'saldo', 'pulsa', 'rupiah', 'kesedot', 'pemakaian', 'tenggang', 'paket', 'pulsa', 'kali']</t>
  </si>
  <si>
    <t>['penggunq', 'butuh', 'pengalaman', 'depanya']</t>
  </si>
  <si>
    <t>['sinyal', 'ambruk', 'mahalnya', 'doang']</t>
  </si>
  <si>
    <t>['aplikasi', 'tolol', 'dibuka', 'muncul', 'tampilan', 'putih']</t>
  </si>
  <si>
    <t>['beli', 'pulsa', 'bayar', 'pakai', 'ovo', 'masuk', 'masuk', 'butuh', 'urgent', 'repot', '']</t>
  </si>
  <si>
    <t>['bukanya', 'update', 'bagus', 'jelek', 'beli', 'kuota', 'gigamax', 'gb', 'kuota', 'lokal', 'dipakai', 'halah']</t>
  </si>
  <si>
    <t>['mahal', 'buruk', 'sinyalnya', '']</t>
  </si>
  <si>
    <t>['susah', 'banget', 'login', 'persulit', '']</t>
  </si>
  <si>
    <t>['aplikasi', 'terbaik']</t>
  </si>
  <si>
    <t>['aplikasi', 'telkomsel', 'bohongi', 'silakan', 'cek', 'rutin', 'aplikasi', 'pulsa', 'berkurang', 'nominal', 'ribu', 'habis', 'jebak', 'aplikasi', 'telkomsel']</t>
  </si>
  <si>
    <t>['dibuka', 'gabisa', 'sesi', 'giliran', 'verifikasi', 'kesalahan', 'jaringan', 'gabisa', 'masuk', '']</t>
  </si>
  <si>
    <t>['sinyal', 'jelek', 'banget', 'parah', 'harga', 'mahal', 'banget', 'sebanding', 'berbeda', 'kecewa']</t>
  </si>
  <si>
    <t>['masuk', 'aplikasi']</t>
  </si>
  <si>
    <t>['apk', 'babi', 'jaringan', 'bagus', 'nonton', 'tik', 'tok', 'lancar', 'pas', 'buka', 'apk', 'telkomsel', 'lelet', 'daftar', 'bab']</t>
  </si>
  <si>
    <t>['buka', 'aplikasi', 'telkomsel', 'muncul', 'layar', '']</t>
  </si>
  <si>
    <t>['mohon', 'jaringan', 'tingkatkan', 'telkomsel', 'jelek', 'jaringan']</t>
  </si>
  <si>
    <t>['udah', 'paket', 'mahal', 'jaringan', 'jelek', 'isi', 'pulsa', 'tarik', 'paket', 'matiin', 'berlangganan', 'tpi', 'tarik', 'mendingan', 'ganti', 'provider']</t>
  </si>
  <si>
    <t>['telkomsel', 'buka', 'warna', 'putih', '']</t>
  </si>
  <si>
    <t>['aplikasi', 'telkomsel', 'buka', 'kmaren', 'buka']</t>
  </si>
  <si>
    <t>['suka', 'suka', '']</t>
  </si>
  <si>
    <t>['aplikasi', 'update', 'eror', 'meresahkan', '']</t>
  </si>
  <si>
    <t>['pke', 'telkomsel', 'jaringan', 'lemot', 'kemarin', 'belajar', 'daring', 'ngelag', 'suda', 'telkomsel', 'jelek', 'telkomsel', 'jelek', 'telkomsel', 'jelek', 'telkomsel', 'jelek', 'lolot']</t>
  </si>
  <si>
    <t>['perbanyak', 'promo', 'murah', 'min']</t>
  </si>
  <si>
    <t>['klau', 'mundur', 'bos', 'indonesia', 'butuh', 'iklan', 'layanan', 'kuota', 'beli', 'tertipu', 'iklan', 'telkomsel', '']</t>
  </si>
  <si>
    <t>['beli', 'paket', 'beberapakali', 'maaf', 'pulsa', 'mencukupi', 'gangguan', 'pas', 'dicoba', 'beli', 'paket', 'maaf', 'pulsa', 'mencukupi', 'itunya', 'paket', 'berhasil', 'dibeli', 'mah', 'pulsa', 'kesedot', 'pesan', 'membeli', 'non', 'paket', 'silahkan', 'membeli', 'maksudnya', 'gimana', 'padalah', 'kemarin', 'kagak', 'kayak', 'gini', 'beli', 'paket', 'devolover', 'dibaca', 'dibantu']</t>
  </si>
  <si>
    <t>['jaringann', 'kaya', 'asuuuu']</t>
  </si>
  <si>
    <t>['beli', 'paket', 'harian', 'jam', 'wib', 'paket', 'expired', 'jam', 'wib', 'mengontol', 'telkomsel', 'jam', 'udah', 'expired', 'khontol', 'jam', 'khontol']</t>
  </si>
  <si>
    <t>['udah', 'isi', 'pulsa', 'beli', 'paket', 'internet', 'gabisa', 'pulsa', 'dicek', 'koh', 'beli', 'paketnya', 'gimana', '']</t>
  </si>
  <si>
    <t>['pesan', 'telkomsel', 'yth', 'tolong', 'kuota', 'regulernya', 'diperbanyak', 'dripada', 'kuota', 'multimedianya', 'kuota', 'multimedia', 'tiktok', 'berguna', 'mendingan', 'ganti', 'youtube', 'youtube', 'bermanfaat', 'dripada', 'tiktok', 'sekian', 'saran', 'maaf', 'reting', 'kurangi', 'telkomsel', 'pemakai', 'telkomsel', 'tpi', 'pelayanan', 'pelanggan', 'trimakasih']</t>
  </si>
  <si>
    <t>['kecewa', 'banget', 'telkomsel', 'jaringan', 'payah', 'kuota', 'multimedia', 'pakai', 'tolong', 'multimedia', 'ujung', 'pakai', 'multimedia', 'sosmed', 'kecewa', 'banget', 'pelanggan', 'kecewa', 'karna', 'jaringan', 'jelek', 'wilayah', 'kota', 'kuota', 'harga', 'mahal', 'fix', 'paket', 'komplit', 'kecewa', 'telkomsel', 'operator']</t>
  </si>
  <si>
    <t>['telkomsel', 'mahal', 'paketnya', 'masuk', 'susah', 'veri', 'telpon', 'kesalahan', 'truss', 'dijalan', 'jam', 'prah', 'aplikasi', 'update']</t>
  </si>
  <si>
    <t>['jelek', 'banget', 'masuk', 'keterangan', 'gagal', 'aneh', 'jaringan', 'bagus', 'wifi', 'tetep', 'kaya', 'gitu']</t>
  </si>
  <si>
    <t>['gmna', 'beli', 'paket', 'linkaja', 'nggak', 'suruh', 'download', 'update', 'udah', 'tetep', 'nggak', 'lierrrrrr']</t>
  </si>
  <si>
    <t>['', 'bintang', 'udah', 'upgrade', 'kuota', 'mahal']</t>
  </si>
  <si>
    <t>['meresahkan', 'kuota', 'gb', 'ceria', 'beli', 'proses', 'udah', 'nunngu']</t>
  </si>
  <si>
    <t>['jaringan', 'apapun', 'update', 'data', 'cepat']</t>
  </si>
  <si>
    <t>['masuk', 'sms', 'paket', 'darurat', 'aktif', 'aktif', 'paket', 'darurat', 'kali', 'tolong', '']</t>
  </si>
  <si>
    <t>['koneksi', 'buruk', 'jelek', 'koneksinya', 'skrg', 'msh', 'bagus', 'pda', 'telkomsel', 'menang', 'mahal', 'minus', 'bintang', 'ane', 'minus', '']</t>
  </si>
  <si>
    <t>['coba', 'janji', 'bintangnya', 'emg', 'bagus', 'membantu', 'keren', '']</t>
  </si>
  <si>
    <t>['semoga', 'menang', 'orang', 'tua', 'bangga']</t>
  </si>
  <si>
    <t>['telkomsel', 'parah', 'sengaja', 'isi', 'pulsa', 'tujuannya', 'aktif', 'tenggang', 'kagak', 'nambah', 'isi', 'pulsa', 'promo', 'rp', 'nelpon', 'unlimited', 'otomatis', 'isi', 'pulsa', 'rp', 'buka', 'nggak', 'pilihannya', 'ditambah', 'pulsa', 'pakai', 'paket', 'nelpon', 'all', 'operator', 'tetep', 'pulsanya', 'pulsanya', 'kesedot', 'telkomsel', 'licik', 'picik', 'jahat', 'maling', 'korupsi', 'berkah', 'halal', 'duitnya', 'penipu', 'bertaubatlah', 'menyesal']</t>
  </si>
  <si>
    <t>['buka', 'telkomsel', 'jaringan', 'lelet', 'telfon', 'jawabannya', 'suruh', 'nunggu', 'heran', '']</t>
  </si>
  <si>
    <t>['telkomsel', 'udah', 'beda', 'sinyalnya', 'bagus', 'sinyalnya', 'kek', 'babi', 'harga', 'mahal', 'kualitas', 'jaringan', 'buruk']</t>
  </si>
  <si>
    <t>['semoga', 'telkomsel', 'terdepan']</t>
  </si>
  <si>
    <t>['jaringannya', 'buruk', 'unlimited', 'kuota', 'utama', 'udah', 'habis', 'sosmed', 'harga', 'doang', 'mahal']</t>
  </si>
  <si>
    <t>['mohon', 'perbaikin', 'lgi', 'telkomselnya', 'udh', 'coba', 'perbaruh', 'mlh', 'buka', 'jdinya', 'nyesel', 'cpat', 'putih', 'gambar', '']</t>
  </si>
  <si>
    <t>['tolong', 'perbaiki', 'segeraa', 'pengguna', 'telkomsel', 'kecewa']</t>
  </si>
  <si>
    <t>['pakai', 'telkomsel', 'kesini', 'jelek', 'koneksi', 'internet', 'paket', 'mahal', 'pindah', 'operator', '']</t>
  </si>
  <si>
    <t>['paket', 'nelpon', 'beli', 'nelpon', 'pulsa', 'dipotong', 'mantap', 'jiwa', 'karyawannya', 'kelaparan', 'yak']</t>
  </si>
  <si>
    <t>['pengguna', 'telkomsel', 'isi', 'pulsa', 'paket', 'jalan', 'sebentar', 'menitan', 'pulsa', 'terkuras', 'tersisa', 'jujur', 'kecewa']</t>
  </si>
  <si>
    <t>['mantap', 'telkomsel', '']</t>
  </si>
  <si>
    <t>['kacau', 'aplikasi', 'akun', 'pas', 'login', 'ulang', 'nggak', 'masuk', 'udah', 'uninstall', 'download', 'masuk', 'telkomsel', 'pindah', 'makai', 'operator', 'sebelah', 'terima', 'kasih', '']</t>
  </si>
  <si>
    <t>['telkomsel', 'sinyal', 'paket', 'internet', 'telp', 'sesuaikan', 'budget']</t>
  </si>
  <si>
    <t>['nggak', 'mbukak', 'apk', 'kouta', 'sekarat', 'tdi', 'putih', 'jaringan', 'lelet', 'emg', 'apk', 'bermasalah', 'tolonglh', 'telkomsel', 'perbaiki', 'sistem', 'beli', 'kouta']</t>
  </si>
  <si>
    <t>['gimana', 'aplikasi', 'log', 'aneh', 'aplikasi', 'klw', 'aplikasi']</t>
  </si>
  <si>
    <t>['paket', 'murah', 'sayang', 'sinyalnya', 'lemoooooot', 'telkomsel', 'telkomsel']</t>
  </si>
  <si>
    <t>['nihh', 'apl', 'udah', 'jaringannya', 'ngga', 'stabil', 'harganya', 'mahal', 'skarang', 'apl', 'ngga', 'bukaa', 'gini', 'trus', 'pindah', 'jaringan', '']</t>
  </si>
  <si>
    <t>['semoga']</t>
  </si>
  <si>
    <t>['aktivasi', 'akun', 'zoom', 'spam', 'perintah', 'petunjuk', '']</t>
  </si>
  <si>
    <t>['lumayan', 'tolonglah', 'dimurahin', 'paketnya']</t>
  </si>
  <si>
    <t>['kuota', 'internet', 'nyedot', 'pulsa', 'gimana', '']</t>
  </si>
  <si>
    <t>['jaringan', 'inet', 'hidup', 'mati', 'lelet', 'banget', 'mohon', 'perbaiki']</t>
  </si>
  <si>
    <t>['aplikasi', 'bagus', 'adal', 'fungsi', 'peronika', 'berfungsi', 'dgna', 'perna']</t>
  </si>
  <si>
    <t>['susah', 'masuknya']</t>
  </si>
  <si>
    <t>['jaringan', 'susah', 'kebanyakan', 'trus']</t>
  </si>
  <si>
    <t>['moga', 'jaringan', 'tsel', 'lancar', 'begadang', 'diluar', 'amiinn']</t>
  </si>
  <si>
    <t>['saran', 'fokus', 'layanan', 'terkesan', 'ribet', 'aplikasi', 'toko', 'online', 'buatlah', 'aplikasi', 'ramah', 'spek', 'sederhana', 'level', 'sulit', 'costemer', 'kecewa', '']</t>
  </si>
  <si>
    <t>['isu', 'menghilang', 'diinstall', 'ulang', 'hadeh']</t>
  </si>
  <si>
    <t>['lemot', 'parah', 'eror']</t>
  </si>
  <si>
    <t>['aplikasi', 'sampah', 'error', 'mulu', 'jaringan', 'lelet', 'parah', 'hiasan', 'doank', 'kepake', '']</t>
  </si>
  <si>
    <t>['aplikasi', 'membantu', 'tks']</t>
  </si>
  <si>
    <t>['tolong', 'diperbaiki', 'jaringannya', 'beli', 'paket', 'combo', 'sakti', 'harga', 'jaringannya', 'sesuai', 'semoga', 'kedepannya', 'bagus', 'thanks']</t>
  </si>
  <si>
    <t>['parah', 'paketan', 'hilang', 'beli', 'susah', 'pulsa', 'kaya', 'gni', 'jirr', 'parahh']</t>
  </si>
  <si>
    <t>['jaringan', 'kacao', 'pindah', 'murah', 'bagus']</t>
  </si>
  <si>
    <t>['load', 'telkomsel']</t>
  </si>
  <si>
    <t>['kak', 'isi', 'paket', 'dimy', 'telkomsel', 'hilang', 'gimana', 'yaa', '']</t>
  </si>
  <si>
    <t>['min', 'susah', 'bngt', 'login']</t>
  </si>
  <si>
    <t>['hilangkan', 'paket']</t>
  </si>
  <si>
    <t>['gimana', 'kasih', 'program', 'daily', 'check', 'pas', 'klaim', 'hadiah', 'zonkk', '']</t>
  </si>
  <si>
    <t>['mahal', 'doang', 'cepet', 'kgk', 'susah', 'login']</t>
  </si>
  <si>
    <t>['bagus', 'apk', 'trus', 'hadiahnya']</t>
  </si>
  <si>
    <t>['gangguan', '']</t>
  </si>
  <si>
    <t>['mytelkomsel', 'membantu', 'banget', 'kemudahan', 'transaksi', 'mengisi', 'kuota', 'cek', 'pulsa', 'cek', 'kuota', 'dll', 'pokonya', 'mantaapppp', 'mytelkomsel']</t>
  </si>
  <si>
    <t>['beli', 'paket', 'langganan', 'sebulan', 'mah', 'skrng', 'priode', 'konyollll']</t>
  </si>
  <si>
    <t>['smua', 'keluhan', 'brapa', 'kali', 'menukar', 'poin', 'hasil', 'jawabn', 'menang', 'serasa', 'tipu', 'poin', 'hilng', '']</t>
  </si>
  <si>
    <t>['koq', 'login', 'telkomsel']</t>
  </si>
  <si>
    <t>['', 'buka', 'app', 'mutih', 'terusss', 'update', 'terbaru', 'coba', 'min']</t>
  </si>
  <si>
    <t>['sampah', 'masuk', 'aplikasi', 'bermasalah']</t>
  </si>
  <si>
    <t>['parah', 'hancurrrrr', 'update', 'buka', 'sinyal', 'oohhhh', 'sinyal', 'udah', 'andelin', '']</t>
  </si>
  <si>
    <t>['bagus', 'sinyal', 'oke']</t>
  </si>
  <si>
    <t>['bagus', 'murah', 'mudah']</t>
  </si>
  <si>
    <t>['apknya', 'mantap']</t>
  </si>
  <si>
    <t>['jaringan', 'sesuai', 'harga', 'mahal', 'jaringannya', 'sampah', '']</t>
  </si>
  <si>
    <t>['update', 'cuman', 'lancar', 'minggu', 'doang', 'gagal', 'masuk', 'parah', 'banget', 'diupdate', 'aplikasinya', 'berjalan', 'lancar']</t>
  </si>
  <si>
    <t>['dibuka']</t>
  </si>
  <si>
    <t>['jaringan', 'jelek', 'parah', 'aplikasinya', 'tidaj', 'dibuka']</t>
  </si>
  <si>
    <t>['bagus', 'simple', 'membeli', 'paket']</t>
  </si>
  <si>
    <t>['gajelas', 'nihh', 'telkomsel', 'udah', 'paketan', 'mahal', 'mahal', 'sinyal', 'lelet', 'kadang', 'kadang', 'mati', 'gajelas', 'game', 'play', 'rusak', 'gara', 'sinyal', 'gajelas']</t>
  </si>
  <si>
    <t>['loading', 'transaksi', 'beli', 'paket', 'aplikasi', 'taunya', 'masuk', 'paketnya', 'udah', 'masuk', 'aplikasi', 'parah']</t>
  </si>
  <si>
    <t>['jaringan', 'kusaranin', 'pindah', 'operator', 'nggak', 'telkomsel', 'nggak', 'bagus', 'jaringan', 'telkomsel', 'pindah', 'operator', 'yok']</t>
  </si>
  <si>
    <t>['membantu', 'dikala', 'darurat']</t>
  </si>
  <si>
    <t>['pelayanan', 'chat', 'telkomsel', 'buruk', 'aplikasi', 'susah', 'buka', 'heran', 'aplikasi', 'loadingnya', 'ngalah', 'facebook', 'parah', 'banget', 'aplikasi', 'tolong', 'benahi']</t>
  </si>
  <si>
    <t>['ukurannya', 'loadingnya', 'lelet', 'login', 'keburu', 'habis', 'kayanya', 'aplikasi', 'sejenis', 'operator', 'cepat', 'responsif', '']</t>
  </si>
  <si>
    <t>['apk', 'tess', 'bagus', 'kasih', 'bintang']</t>
  </si>
  <si>
    <t>['jaringan', 'terbaik', '']</t>
  </si>
  <si>
    <t>['tolong', 'perbaiki', 'telkomsel', 'biaya', 'paketnya', 'mahal', 'banget', 'jaringannya', 'lemot', 'aplikasi', 'telkomsel', 'dibuka', 'oiii', '']</t>
  </si>
  <si>
    <t>['nga']</t>
  </si>
  <si>
    <t>['membantu', 'ribet']</t>
  </si>
  <si>
    <t>['jelek', 'kali', 'jaringan']</t>
  </si>
  <si>
    <t>['mantapp', 'kasih', 'bonus', 'bloon', 'smua', 'oprator', 'combo', 'sakti', '']</t>
  </si>
  <si>
    <t>['jaringan', 'lelet', 'susah', 'login', 'ahhh']</t>
  </si>
  <si>
    <t>['gimana', 'beli', 'paket', 'data', 'bukak', 'mytelkom', 'gabisa', 'udah', 'bangkrut', 'gimana', 'provider']</t>
  </si>
  <si>
    <t>['aplikasinya', 'kagak', 'memuaskan', 'bukanya', 'jelek', 'buka', 'aplikasi', 'susah']</t>
  </si>
  <si>
    <t>['kemahalan']</t>
  </si>
  <si>
    <t>['beli', 'paket', 'gamemax', 'mobile', 'legend', 'silver', 'kepake', 'sinyal', 'kasih', 'kuota', 'gb', 'kepake', '']</t>
  </si>
  <si>
    <t>['telkomsel', 'memotong', 'pulsa', 'memakai', 'pulsa', 'pulsa', 'habis', 'sepengetahuan', 'rencanya', 'beli', 'paket', 'internet', 'gara', 'pulsa', 'habis', 'dimakan', 'telkomsel', 'gila', 'temen', 'mending', 'nyetok', 'pulsa', 'kall', 'habis', 'disedot', 'telkomsel', '']</t>
  </si>
  <si>
    <t>['jelek', 'jaringannya', 'tower', 'telkomsel', 'tower', 'internet', 'mahal', 'internet']</t>
  </si>
  <si>
    <t>['memuaskan', 'berkat', 'fitur', 'layanan', 'telkomsel', '']</t>
  </si>
  <si>
    <t>['telkomsel', 'mudah', 'pahami']</t>
  </si>
  <si>
    <t>['lrmot', 'kebuka', 'buka', 'ambil', 'paket']</t>
  </si>
  <si>
    <t>['aplikasi', 'jelek', 'paket', 'udah', 'mahal', 'jaringan', 'jelek', 'mendingan', 'akupindah', 'indosat', 'paket', 'udah', 'murah', 'dinyai', 'setabil']</t>
  </si>
  <si>
    <t>['gimna', 'app', 'beli', 'paket', 'eror', 'mulu', 'jaringa', 'mangkin', 'telkomsel', 'kalah', 'kartu', 'kayak', 'indosat', '']</t>
  </si>
  <si>
    <t>['', 'abaikan', 'selaras', 'aplikasi', 'program']</t>
  </si>
  <si>
    <t>['maduk', 'ribet', '']</t>
  </si>
  <si>
    <t>['sangattt', 'membantu']</t>
  </si>
  <si>
    <t>['telkomsel', 'beli', 'pulsa', 'beli', 'kuota', 'gabisa', 'buka', 'apk', 'white', 'screen', 'gabisa', 'beli', 'paket', 'sayang', '']</t>
  </si>
  <si>
    <t>['', 'telkomsel', 'signalnya']</t>
  </si>
  <si>
    <t>['aplikasinya', 'buruk', 'knp', 'login', 'tautan', 'blom', 'susah', 'buka', 'tautanya', 'jaringabya', 'lemot', 'knp', 'sederhana', 'pin', 'emosi']</t>
  </si>
  <si>
    <t>['telkomsel', 'babi', 'udh', 'beli', 'pulsa', 'trs', 'beli', 'paket', 'promo', 'udh', 'beli', 'masuk', 'kuotanya', 'trs', 'promo', 'hilang', 'persatu', 'babi', 'emang', 'pulsa', 'udh', 'kesedot', 'matiin', 'data']</t>
  </si>
  <si>
    <t>['ribet', 'masukny', '']</t>
  </si>
  <si>
    <t>['respon', 'cpt', 'trmksh']</t>
  </si>
  <si>
    <t>['bagus', 'pelayanannya', 'semoga', 'promo', 'internet', 'menarik', 'kedepannya']</t>
  </si>
  <si>
    <t>['jaringan', 'lelet', 'pulsa', 'kepotong', 'habis', 'pikir']</t>
  </si>
  <si>
    <t>['jelek', 'aplikasi', 'buka', 'perbaiki', 'masak', 'abis', 'update', 'masuk']</t>
  </si>
  <si>
    <t>['sya', 'kasi', 'bintang', 'bagus', 'tambahkan']</t>
  </si>
  <si>
    <t>['', 'telkomsel', 'babi', 'login', 'persulit', 'goblokkkk', 'najis', 'telkomsel', 'udah', 'bertahun', 'pelayanan', 'buruk', '']</t>
  </si>
  <si>
    <t>['bukanya', 'bagus', 'memuaskan', 'mengecewakan', 'jaringan', 'jelek', 'paketan', 'mahal', 'kecewa', 'knapa', 'paketan', 'harganya', 'bener', 'bener', 'parah', 'telkomsel', 'pindah']</t>
  </si>
  <si>
    <t>['gimana', 'telkoms', 'udah', 'apdet', 'buka', 'warnaya', 'putih', 'doang', 'bukak', 'tolong', 'solusiya', 'maytelkomselya', 'dibenerin']</t>
  </si>
  <si>
    <t>['selesai', 'kegiatan', 'belajar', '']</t>
  </si>
  <si>
    <t>['', 'masuk', 'knpa', 'gagal', 'trs', 'parah']</t>
  </si>
  <si>
    <t>['maju', 'pantang', 'mundur', 'menjaga', 'kwalitas', 'kwantitas']</t>
  </si>
  <si>
    <t>['masuk', 'selalau', 'nggak', 'udah', 'update']</t>
  </si>
  <si>
    <t>['internet', 'kadang', 'suka', 'loading', 'sisa', 'kuota', 'tolong', 'perbaiki', '']</t>
  </si>
  <si>
    <t>['hilaaanngggg', 'layar', 'apk', 'blankkkk', 'putih', 'semuaa', 'konter', 'buka']</t>
  </si>
  <si>
    <t>['notifikasi', 'via', 'sms', 'bonus', 'kuota', 'gb', 'bayar', 'ribu', 'doang', 'pas', 'download', 'apk', 'muter', 'sinyal', 'jelek', 'promosi', 'doang', 'pelanggan', 'download', 'apk', 'bonus', 'gb', 'sampek', 'zonkkk', 'bozzz', 'promo', 'abal', 'abal', '']</t>
  </si>
  <si>
    <t>['berguna', '']</t>
  </si>
  <si>
    <t>['dibuka', 'kosong', 'warna', 'putih', 'gmn', '']</t>
  </si>
  <si>
    <t>['keringanan', 'bonus']</t>
  </si>
  <si>
    <t>['aplikasi', 'bagus', 'kadang', 'suka', 'blank', 'pelayanan', 'perubahan', 'top', 'pulsa', 'pas', 'kouta', 'habis', 'perpanjang', 'otomatis', 'nyedot', 'pulsa', 'habis', 'jam', 'dipakai', 'internetan', 'pulsa', 'monetery', 'pulsa', 'ambil', 'ivent', 'gini', 'mending', 'kartu', 'sopan', 'ambil', 'milik', 'orang', 'sembarangan', '']</t>
  </si>
  <si>
    <t>['apk', 'lelet', 'pdhl', 'udah', 'login', 'mlh', 'dsruh', 'login', 'dpt', 'sms', 'verifikasi', 'udah', 'diklik', 'muncul', '']</t>
  </si>
  <si>
    <t>['aplikasinya', 'bagus', 'simpel', 'gampang', 'dipahami', 'user', 'yok', 'buruan', 'unduh', '']</t>
  </si>
  <si>
    <t>['jelek', 'sedot', 'pulsa', 'persis', 'indosat', 'jelek', 'telkomsel', 'dibuka', 'kmrn']</t>
  </si>
  <si>
    <t>['aplikasinya', 'bagus', '']</t>
  </si>
  <si>
    <t>['pulsa', 'kesedot', 'minus']</t>
  </si>
  <si>
    <t>['', 'puas', 'pelayanan', 'aplikasi', 'telkomsel']</t>
  </si>
  <si>
    <t>['aplikasi', 'memudahkan']</t>
  </si>
  <si>
    <t>['terimakasih', 'pelayanan', '']</t>
  </si>
  <si>
    <t>['abis', 'update', 'telkomsel', 'ilang', 'trus', 'diinstall', 'hilang', 'deh', 'klaim', 'paket', 'klaim', '']</t>
  </si>
  <si>
    <t>['mahal', 'doang', 'jaringannya']</t>
  </si>
  <si>
    <t>['isi', 'udah', 'berkurang', 'tinggal', 'ribu', 'sekian', 'whaaaaaaaatttt', 'perbaiki', 'donk', 'kepuasan', 'konsumennyaaaa', 'mahal', 'jelassss', 'jangka', 'habiss', 'pulsa', 'ente', 'hajarrrr', 'transparan']</t>
  </si>
  <si>
    <t>['kasih', 'bintang', 'bintang', 'payah']</t>
  </si>
  <si>
    <t>['sesuai', 'harga']</t>
  </si>
  <si>
    <t>['pas', 'buka', 'telkmosel', 'oopps', 'kesalahan', 'susah', 'masuk']</t>
  </si>
  <si>
    <t>['mudah', 'murah', 'mantap']</t>
  </si>
  <si>
    <t>['mantap', 'djiwa', 'trs', 'combo', 'sakti', 'mah']</t>
  </si>
  <si>
    <t>['jaringannya', 'jelek', 'lelet', '']</t>
  </si>
  <si>
    <t>['jaringan', 'burukk', 'masuk', 'susah', 'golongan', 'mahal', 'burik', 'nyesel', 'mending', 'provider', 'sebelah']</t>
  </si>
  <si>
    <t>['alhamdulillah', 'harga', 'paket', 'menguras', 'isi', 'kantong', '']</t>
  </si>
  <si>
    <t>['semangat', 'maju', '']</t>
  </si>
  <si>
    <t>['tolong', 'provider', 'telkomsell', 'diperbaiki', 'jaringanya', 'pelanggan', 'bertahun', 'pakai', 'telkomsell', 'dikecewakan', 'dirugikan', 'pelayanan', 'signal', 'jelek', 'dimana', '']</t>
  </si>
  <si>
    <t>['kecewa', 'uplikasi', 'paket', 'internet', 'extra', 'unlimited', 'pas', 'keesokan', 'harinya', 'langsung', 'ngilang', '']</t>
  </si>
  <si>
    <t>['menikmati', 'promo', 'menarik', 'mytelkomsel']</t>
  </si>
  <si>
    <t>['instal', 'samsung', 'ultra', 'android', '']</t>
  </si>
  <si>
    <t>['nyaman', 'bangettttttt']</t>
  </si>
  <si>
    <t>['telkomsel', 'jaringan', 'kacau', 'didalam', 'ruangan', 'sya', 'tinggal', 'jakarta', 'pusat', '']</t>
  </si>
  <si>
    <t>['kasi', 'aplikasinya', 'tambahi', 'bintangnya']</t>
  </si>
  <si>
    <t>['beli', 'paket', 'mahal', 'jaringan', 'lemot']</t>
  </si>
  <si>
    <t>['mantap', 'kasih', 'kotak', 'hadiah', 'giga', 'kasih', 'pinjam', 'kuota', 'giga', 'mksh', 'telkomsel']</t>
  </si>
  <si>
    <t>['woy', 'loadingnya', 'kesalahan', 'mulu', 'buka', 'lancar', 'cepat']</t>
  </si>
  <si>
    <t>['update', 'susah', 'dibuka']</t>
  </si>
  <si>
    <t>['buka', 'mytelkomsel', 'pakai', 'jaringan', 'provider', 'sebelah', 'halamam', 'muat', 'bermasalah', 'pokoknya', 'sejenis', 'notif', 'but', 'provider', 'buka', 'fine', 'fine', 'jaringan', 'bagus', 'ditambah', 'isi', 'pulsa', 'sisa', 'akses', 'internet', 'sim', 'sya', 'satunya', 'stelah', 'isi', 'pulsa', 'notif', 'mengakses', 'internet', 'tarif', 'hello', 'gunain', 'sim', 'tsel', 'internet', 'pulsa', 'terpotong', 'mengecewakan']</t>
  </si>
  <si>
    <t>['telkomsel', 'pembenahan', 'contoh', 'sinyal', 'harga', 'kuota', '']</t>
  </si>
  <si>
    <t>['aplikasinya', 'ngadat', 'emosi']</t>
  </si>
  <si>
    <t>['mudah', 'keren', 'promo']</t>
  </si>
  <si>
    <t>['telkomsel', 'susah', 'jaringan', 'aplikasi', 'dibuka', 'update', 'ttp', 'buka', '']</t>
  </si>
  <si>
    <t>['beli', 'paket', 'telkomsel', 'hiburan', 'game', 'beli', 'plus', 'diamond', 'mlbb', 'diamond', 'masuk', 'nihh', 'parah', 'abis', 'pulsa', 'dpwt', 'diaomonnya']</t>
  </si>
  <si>
    <t>['beli', 'kuota', 'murah', 'merah', 'menginstal', 'aplikasi', 'keluarga', '']</t>
  </si>
  <si>
    <t>['aman']</t>
  </si>
  <si>
    <t>['', 'masuk', 'kesalahan', 'mulu']</t>
  </si>
  <si>
    <t>['mantap', 'banget', 'telkomsel']</t>
  </si>
  <si>
    <t>['mencoba', 'aplikasi', 'aplikasi', 'baguss']</t>
  </si>
  <si>
    <t>['bagus', 'cepat', 'responsif', 'moment', 'hut', 'lemot', 'bagus', 'lelet', 'letoy', '']</t>
  </si>
  <si>
    <t>['telkomsel', 'sinyal', 'mantap', 'kendala']</t>
  </si>
  <si>
    <t>['telkomsel']</t>
  </si>
  <si>
    <t>['lancar', 'pusing', 'penuh', 'diskon', 'poin', 'melimpah']</t>
  </si>
  <si>
    <t>['tingkat', 'bonus']</t>
  </si>
  <si>
    <t>['paket', 'multimedia', 'youtube', 'berfungsi', 'udah', 'gitu', 'jaringan', 'lelet', 'banget', 'kayak', 'gini']</t>
  </si>
  <si>
    <t>['semoga', 'kulitas', 'layanan', '']</t>
  </si>
  <si>
    <t>['login', 'kode', 'otp', 'simpel', 'mudah', 'ketimbang', 'link', 'ribet', 'kartu', '']</t>
  </si>
  <si>
    <t>['unruk', 'mengakses', 'kadang', 'lambat', 'loadingnya']</t>
  </si>
  <si>
    <t>['aplikasi', 'mudah', 'membeli', 'palet', 'tlkkomsel', 'trimasi', 'kerja', 'samnya']</t>
  </si>
  <si>
    <t>['keren', 'aplikasi']</t>
  </si>
  <si>
    <t>['min', 'apk', 'akses', 'udah', 'tungguin', 'putih', 'gitu', 'layar', 'pas', 'buka']</t>
  </si>
  <si>
    <t>['paket', 'darurat']</t>
  </si>
  <si>
    <t>['efisien', 'membantu']</t>
  </si>
  <si>
    <t>['mantap', 'perbaiki', 'kembangkan']</t>
  </si>
  <si>
    <t>['bobrok', 'bobrok', 'paketan', 'doang', 'mahal', 'jaringan', 'kaga']</t>
  </si>
  <si>
    <t>['paketnya', 'mahal', 'bro']</t>
  </si>
  <si>
    <t>['kebanyakan', 'reload', 'perbaikan', 'system', 'mulu']</t>
  </si>
  <si>
    <t>['gimana', 'udah', 'beli', 'paket', 'unlimited', 'berkurang', 'paket', 'utamannya', 'update', 'kayak', 'gitu', 'udah', 'beli', 'paket', 'internet', 'mahal', 'habisnya', 'sisa', 'paket', 'interent', 'mb', 'gunanya', 'beli', 'paket', 'unlimited', 'berkurang', 'paket', 'utamanya']</t>
  </si>
  <si>
    <t>['developer', 'tolong', 'perbaiki', 'diinstal', 'android', '']</t>
  </si>
  <si>
    <t>['apknya', 'bguss', 'bangettt']</t>
  </si>
  <si>
    <t>['sinyal', 'jelek', 'buruk', 'setabil', 'komplen', 'apps', 'perbaiki', 'kasih', 'suruh', 'beli', 'paket', 'masuk', 'akal', 'kouta', 'buwat', 'main', 'game']</t>
  </si>
  <si>
    <t>['giveaway', 'kpd', 'pelanggan', 'telkomsel', 'mantabp', 'pisan', 'pastinya']</t>
  </si>
  <si>
    <t>['kenapaa', 'suka', 'update', 'mohon', 'tingkatkan', 'sinyalnyaa', 'untung', 'daerah', 'bandung', 'kosambi']</t>
  </si>
  <si>
    <t>['bagus', 'suka', '']</t>
  </si>
  <si>
    <t>['ngak', 'buka', 'apk', 'kesini', 'ngak', 'telkomsel', '']</t>
  </si>
  <si>
    <t>['halo', 'kak', 'poin', 'ditukar', 'degan', 'pulsa', 'reguler']</t>
  </si>
  <si>
    <t>['nyaman', 'aplikasinya', 'mengecewakan', '']</t>
  </si>
  <si>
    <t>['ajah', 'dlu', 'nyoba']</t>
  </si>
  <si>
    <t>['membantu', 'mantap']</t>
  </si>
  <si>
    <t>['trllu', 'pilih', 'sma', 'pelanggan', 'stiap', 'nomer', 'beda', 'penawaran', 'knp', 'adil', 'beli', 'bkn', '']</t>
  </si>
  <si>
    <t>['semoga', 'dpt', 'hadiah']</t>
  </si>
  <si>
    <t>['murah']</t>
  </si>
  <si>
    <t>['aplikasinya', 'bagus', 'membantu', 'terimakasih', 'telkomsel', '']</t>
  </si>
  <si>
    <t>['aplikasi', 'buruk', 'sistem', 'kaleng', 'kaleng', 'pulsa', 'darurat', 'bayar', 'kirim', 'sms', 'klu', 'pulsa', 'darurat', 'blm', 'bayarkan', 'simpati', 'bumn', 'pembodohan']</t>
  </si>
  <si>
    <t>['kebanyakan', 'gangguan', 'bosokkk']</t>
  </si>
  <si>
    <t>['', 'beli', 'paket', 'internet', 'aplikasi', 'sistem', 'perbaikan', 'harga', 'mahal', 'sesuai', 'aplikasinya', 'rindu', 'telkomsel', 'beneran', 'telkomsel', 'bagus', 'banget', 'bedah']</t>
  </si>
  <si>
    <t>['harga', 'murah', 'kasih']</t>
  </si>
  <si>
    <t>['beli', 'paket', 'darurat', 'aktif', 'gimana']</t>
  </si>
  <si>
    <t>['blank', 'putih', 'mulu', 'aplikasi']</t>
  </si>
  <si>
    <t>['sayah', 'terimakasih', 'telkomsel']</t>
  </si>
  <si>
    <t>['lelet', 'bnget', 'skrang', 'sinyalnya', 'penuh', 'ngecewain', 'buka', 'aplikasi', 'tlkmsl', 'kuota', 'bnyak', 'payaaaaaaaaah', '']</t>
  </si>
  <si>
    <t>['', 'telkomsel', 'impian']</t>
  </si>
  <si>
    <t>['wilayah', 'buton', 'utara', 'kampung', 'terjangkau', 'jaringang', 'signal']</t>
  </si>
  <si>
    <t>['bintang', 'pelayanan', 'keamanan', 'mantap', 'tinggal', 'kendala', 'jaringan', 'down', 'telkom', 'bantu', 'wifi', 'indihome', 'msh', 'lag', 'kadang', 'main', 'game', 'jaringan', 'susah', '']</t>
  </si>
  <si>
    <t>['jaringan', 'gangguan', 'mengganggu', 'mati', 'lampu', 'jaringan', 'total', 'kadang', 'mati', 'lampu', 'gangguan', 'banget', 'gangguan', '']</t>
  </si>
  <si>
    <t>['telkomsel', 'terbaik', 'pengguna', 'telkomsel', 'setia', 'karna', 'jaringan', 'bagus']</t>
  </si>
  <si>
    <t>['paket', 'murah', 'aplikasinya', 'hadiah', 'hadiah']</t>
  </si>
  <si>
    <t>['bagus', 'suka', 'eror']</t>
  </si>
  <si>
    <t>['payahhhh', 'telkomsel', 'gua', 'putuskan', 'detik', 'pindah', 'oprator', '']</t>
  </si>
  <si>
    <t>['', 'udah', 'seminggu', 'paket', 'berasa', 'paketan', 'sebenernya', 'salah', '']</t>
  </si>
  <si>
    <t>['koneksi', 'lemot']</t>
  </si>
  <si>
    <t>['semoga', 'murah', 'paketan', '']</t>
  </si>
  <si>
    <t>['harganya', 'kemahalan', 'jaringan', 'kacau', 'kacau', 'perusahaan', 'bumn', 'mending', 'swasta', 'lancar', 'balikpapan']</t>
  </si>
  <si>
    <t>['udah', 'coba', 'bebetapa', 'kali', 'buka', 'telkomsel', 'tetlihat', 'putih', 'boro', 'boro', 'terbuka', 'pulsa', 'batu', 'isi', 'disedot', 'layanan', 'karuan', '']</t>
  </si>
  <si>
    <t>['jaringanny', 'busuk']</t>
  </si>
  <si>
    <t>['mantap', 'sewa', 'mobil', 'bangka', 'ayo', 'aman', 'nyaman', 'ramah', 'bersih']</t>
  </si>
  <si>
    <t>['kenapaa', 'ngakk', 'bisaa', 'log', 'woyy', 'mslahh', 'jaringan', 'trusss']</t>
  </si>
  <si>
    <t>['bermasalah', 'sinyalnya']</t>
  </si>
  <si>
    <t>['buruk']</t>
  </si>
  <si>
    <t>['ampun', 'aplikasi', 'harga', 'top', 'telkomsel', 'mahal', 'uda', 'gtu', 'pajak', 'mahal', 'mintak', 'apun', 'kukira', 'aplikasi', 'bagus', 'rupa', 'ngancurkn', 'dompet']</t>
  </si>
  <si>
    <t>['erorr', 'gabisa', 'masuk', 'sekalinya', 'ndak', 'beli', 'server', 'terputus']</t>
  </si>
  <si>
    <t>['butuh', 'paket', 'belajar']</t>
  </si>
  <si>
    <t>['gmna', 'log', 'susah', 'udh', 'dapet', 'sms', 'tautan', 'verivikasi', 'ttp', 'gabisa', 'urgent', 'beli', 'kuota']</t>
  </si>
  <si>
    <t>['mantap', 'tpi', 'paket', 'beli', 'berubah', 'rubah']</t>
  </si>
  <si>
    <t>['tamabahin', 'lock', 'pulsa', 'kesedot', 'data', 'nyala', 'pas', 'kuota', 'axis', 'net']</t>
  </si>
  <si>
    <t>['harga', 'paket', 'internet', 'mahal', 'mahal', 'pulsa', 'kadang', 'tersedot', 'kuota', 'mengajukan', 'pengembalian', 'pulsa', 'isi', 'data', 'disuruh', 'nunggu', 'jam', 'kerja', 'sampe', 'pengembalian', 'bonus', 'daily', 'check', 'ngeklaim', 'bonus', 'kuota', 'diaktifkan', 'ngurang', 'kuota', 'berbayar', 'bonus', 'kuota', 'diaktifkan', 'kacau', '']</t>
  </si>
  <si>
    <t>['telkomsel', 'ujan', 'parah', 'ilang', 'sinyal', 'kalah', 'tetangga', 'sebelah', 'tolong', 'donk', 'diperbaiki', 'sinyal', 'telkomsel', 'kayak', '']</t>
  </si>
  <si>
    <t>['aplikasi', 'dikit', 'dikit', 'pembaharuan', 'blm', 'diluncurkan', 'memaksakan', '']</t>
  </si>
  <si>
    <t>['', 'update', 'buka', '']</t>
  </si>
  <si>
    <t>['tingakat', 'promonya', 'diskon', 'harganya', 'murah']</t>
  </si>
  <si>
    <t>['bagus', 'tinggal', 'ampas', 'lelet', '']</t>
  </si>
  <si>
    <t>['jaringan', 'super', 'lelet']</t>
  </si>
  <si>
    <t>['udah', 'downliad', 'dibuka']</t>
  </si>
  <si>
    <t>['jelek', 'sinyalnya', 'game', 'lemot', 'bngt']</t>
  </si>
  <si>
    <t>['bagus', 'segi', 'fiturnya', 'slow', 'respon', 'mengaktivkan', 'paket', 'internet', 'kesedot', 'pulsanya', '']</t>
  </si>
  <si>
    <t>['telkomsel', 'nt', 'llll', 'otak', 'mama', 'jam', 'sllu', 'mati', 'jaringan', 'bujang']</t>
  </si>
  <si>
    <t>['aya', 'senang']</t>
  </si>
  <si>
    <t>['paket', 'mahal', 'jaringanya', 'lemot', 'kota', 'yaa']</t>
  </si>
  <si>
    <t>['puas', 'berlangganan', 'telkomse']</t>
  </si>
  <si>
    <t>['update', 'buka', 'app', 'telkomsel', 'cek', 'kuota', 'dll', 'tolong', 'perbaiki', '']</t>
  </si>
  <si>
    <t>['murah', 'murah', 'utamakan', 'kualitas', 'maen', 'game', 'online', 'mulu', 'giliran', 'afk', 'jaringan', 'langsung', '']</t>
  </si>
  <si>
    <t>['tlg', 'perbaiki', 'layanan', 'signal']</t>
  </si>
  <si>
    <t>['tolong', 'operator', 'telkomsel', 'jaringan', 'macet', 'rusak', 'koneksi']</t>
  </si>
  <si>
    <t>['kemudahan', 'sulit', 'mahal', 'batasan', 'peraturan', 'mending', 'beralih', 'hati', 'merah', 'tpi', 'hati']</t>
  </si>
  <si>
    <t>['telkomsel', 'beli', 'paket', 'mlbb', 'main', 'mobile', 'legend', 'kecewa', 'telkomsel', 'mahal', 'merugikan']</t>
  </si>
  <si>
    <t>['nggak', 'bayar', 'nggak', 'chek', 'penggunaanya', 'free', 'jam', 'operator', 'pas', 'telp', 'operator', 'bilangnya', 'pulsanya', 'hadeeuh', 'kumaha', 'oey']</t>
  </si>
  <si>
    <t>['provider', 'pelayanan', 'buruk', 'buka', 'aplikasi', 'suka', 'gangguan', 'sinyal', 'main', 'game', 'wifi', 'auto', 'lemot', 'harga', 'mahal', 'sesuai']</t>
  </si>
  <si>
    <t>['sya', 'kasih', 'bintang', 'dlu', '']</t>
  </si>
  <si>
    <t>['jaringan', 'mantap', '']</t>
  </si>
  <si>
    <t>['aplikasi', 'sngat', 'bagus', 'terima', 'kasih', '']</t>
  </si>
  <si>
    <t>['mahal', 'murah', 'cuman', 'promo', 'doang', 'lainya', 'murah']</t>
  </si>
  <si>
    <t>['signal', 'mengalami', 'lag', 'normal', 'tolong', 'ditingkatkan', '']</t>
  </si>
  <si>
    <t>['pulsa', 'kesedot', 'anjirrr', 'beli', 'pulsa', 'paket', 'data', 'huftt']</t>
  </si>
  <si>
    <t>['telkomsel', 'jaringannya', 'payah', 'buka', 'aplikasi', 'sosmed', 'game', 'bolak', 'mode', 'terbang', 'dapet', 'kuota', 'belajar', 'kemdikbud', 'kuota', 'sosmed', 'game', 'isi', 'kuota', 'kuota', 'kepake', 'gara', 'ketutup', 'kuota', 'kemdikbud', 'aktifnya', 'habis', 'ngapa', 'ngapain', 'yutub', 'firum', 'belajar', 'nonaktifin', 'heran', 'kecewa', 'banget', 'telkomsel']</t>
  </si>
  <si>
    <t>['gua', 'kurangin', 'bintang', 'error', 'muluan', 'males', 'gua', 'gini', 'mnding', 'nich', 'kartu', 'bwt', 'tlpnan', '']</t>
  </si>
  <si>
    <t>['membantu', 'apk']</t>
  </si>
  <si>
    <t>['ter', 'install', 'aplikasi', 'android']</t>
  </si>
  <si>
    <t>['jaringan', 'telkomsel', 'mengecewakan', 'min', 'tolong', 'atasi', 'kenyamanan', 'pengguna', 'telkomsel', '']</t>
  </si>
  <si>
    <t>['tolonglah', 'tingkatkan', 'jaringannya', 'paket', 'unlimitit', 'dipakai', 'jaringannya', 'dibikin', 'lemot', 'anting', 'banget']</t>
  </si>
  <si>
    <t>['tolong', 'murahin', 'harga', 'paket', 'pliss']</t>
  </si>
  <si>
    <t>['sinyalnya', 'parah']</t>
  </si>
  <si>
    <t>['kecewa', 'udah', 'sinyalnya', 'buruk', 'merantau', 'kota', 'sinyalnya', 'jelek', 'masuk', 'aplikasi', 'warna', 'putih', 'mulu', 'pdahal', 'takira', 'hemmm']</t>
  </si>
  <si>
    <t>['telkomsel', 'kesini', 'sinyal', 'bobrok', 'parah', 'harga', 'quota', 'loop', 'murah', 'sadar', 'karna', 'kualitas', 'jaringan', 'bagus', '']</t>
  </si>
  <si>
    <t>['bagus', 'mudah']</t>
  </si>
  <si>
    <t>['sumpahhhh', 'aplikasinya', 'bagus', 'banget', '']</t>
  </si>
  <si>
    <t>['telkomsel', 'parah', 'telkomsel', 'aplikasi', 'membantu', 'pengguna', 'telkomsel', 'mempersulit', '']</t>
  </si>
  <si>
    <t>['aplikasi', 'mudah', 'transaksi', 'hebatnya', 'undian', 'minggu', 'beli', 'pulsa', 'poin', 'tinggal', 'tukar', 'tunggu', 'undian', 'semoga', 'telkomsel', 'sucses', 'berkah', 'maju', 'salam', 'rizki', '']</t>
  </si>
  <si>
    <t>['aplikasi', 'knp', 'buka', 'layar', 'putih', 'doang']</t>
  </si>
  <si>
    <t>['aplikasi', 'bravo', 'murah']</t>
  </si>
  <si>
    <t>['aplikasi', 'membantu', 'pengguna', 'telkomsel']</t>
  </si>
  <si>
    <t>['murah', 'meriah', 'terimakasih', 'mytelkomsel']</t>
  </si>
  <si>
    <t>['aplikasi', 'doakan', 'memenangkan', 'hadiah', 'program', 'telkomsel', 'lupa', 'subscribe', 'channel', 'youtube', 'dhul', 'pribumi', '']</t>
  </si>
  <si>
    <t>['jaringan', 'ancur', 'gimana', 'maju', 'paket', 'mahal', 'kualitas', 'jaringan', 'buruk']</t>
  </si>
  <si>
    <t>['tolong', 'diperbaiki', 'jaringan', 'telkom', 'masak', 'udh', 'sebulan', 'jaringan', 'jelek', 'trus', 'beli', 'paket', 'mahal', 'jaringan', 'error', 'lokasi', 'gunung', 'tujuh', 'kerinvi', 'jambi']</t>
  </si>
  <si>
    <t>['', 'kemarin', 'login', 'telkomsel', 'layar', 'putih', 'ngeblank', '']</t>
  </si>
  <si>
    <t>['mohon', 'penjelasan', 'pulsa', 'perlahan', 'lahan', 'menghilang', 'kuota', 'internet', 'kuota', 'telpon', 'sms', 'mendaftarkan', 'nomor', 'nsp', 'sejenis', 'kecewa', '']</t>
  </si>
  <si>
    <t>['hapus', 'aplikasi', 'berfungsi', 'habisin', 'kuota', '']</t>
  </si>
  <si>
    <t>['', 'perbaharui', 'bener', 'masuk', 'kaya', 'orang', 'bodoh', 'jam', 'sampe', 'jam', 'buka', '']</t>
  </si>
  <si>
    <t>['coba', 'perbaiki', 'jaringannnya']</t>
  </si>
  <si>
    <t>['buka', 'aplikasi', 'berat', 'blank', 'mati', '']</t>
  </si>
  <si>
    <t>['jaringan', 'trus', 'lemot', 'dlm', 'beberpa', 'bln', 'gmn', 'pelayanan', 'telkomsel', 'skrg']</t>
  </si>
  <si>
    <t>['semoga', 'lancar']</t>
  </si>
  <si>
    <t>['paket', 'unlimited', 'youtube', 'merugikan', 'mohon', 'perbaiki', '']</t>
  </si>
  <si>
    <t>['termahal', 'harg', 'kuotanya', 'jaringannya', 'bacrriiiiiiitttt', 'aslinya', 'super', 'jelek', 'leleeeet', 'beralih', 'supah', 'mengecewakan', 'mengecewakan', 'telkomsel', 'jeleeeeeeeeeeeeeek', 'bgtu', 'jaringannya', 'emosi', '']</t>
  </si>
  <si>
    <t>['promo']</t>
  </si>
  <si>
    <t>['putih', 'bersih', 'bayi', 'terlahir', '']</t>
  </si>
  <si>
    <t>['kartu', 'udah', 'ngisi', 'kuota', 'udh', 'masuk', 'muncul', 'notif', 'dasar', 'jaringan', 'delay']</t>
  </si>
  <si>
    <t>['tingkat', 'jaringan']</t>
  </si>
  <si>
    <t>['tolong', 'harga', 'paket', 'murah', 'stabil']</t>
  </si>
  <si>
    <t>['buka', 'aplikasi', 'log', 'melulu', 'beberapakali', 'log', 'tautan', 'sms', 'gagal', 'melulu', 'nyuruh', 'hubungi', 'nyesek', 'pulsa', 'suka', 'kecolongan', 'batas', 'pemakaian', 'tercapai', 'sistem', 'dirobah', 'kuota', 'paket', 'habis', 'konsumsi', 'pulsa', 'gubrisan', 'operator', 'mengabulkan', '']</t>
  </si>
  <si>
    <t>['bangke', 'kuota', 'abis', 'beli', 'paket', 'apk', 'jaringan', 'hotspot', 'jaringan', 'masuk', 'payahhhh', '']</t>
  </si>
  <si>
    <t>['jaringannya', 'susah', 'banget', 'udah', 'beli', 'paketan', 'mahal', 'ribu', 'tolong', 'diperbaiki']</t>
  </si>
  <si>
    <t>['sinyal', 'visual', 'doang', 'bar', 'stabil', 'kaga', 'perbaiki', 'ngambil', 'gaji', 'ngalamin', 'mending', 'ganti', 'provider', 'sebelah', 'udah', 'murah', 'stabil', '']</t>
  </si>
  <si>
    <t>['download', 'buka', 'susah', 'main', 'nyaman', 'cek', 'palet', 'internet', 'pulsa', 'isi', 'pulsa', 'konter', 'cek', 'kendala', '']</t>
  </si>
  <si>
    <t>['point', 'tukar', 'ridem', 'point', 'kuota', 'pilihan', 'gb', 'tukar', 'ridem', 'pulsa', 'ribu', 'rupiah', 'tukar', 'point', 'ridem', 'namanya', 'bayar', 'parah']</t>
  </si>
  <si>
    <t>['tingkat', 'kualitas']</t>
  </si>
  <si>
    <t>['mudah', 'dri', 'aplikasi']</t>
  </si>
  <si>
    <t>['bgs', 'gampang', 'aktifin', 'paketanx']</t>
  </si>
  <si>
    <t>['telkomsel', 'provider', 'sampah', 'pulsa', 'sedot', 'paket', 'habis', 'jaringan', 'ngeleg', 'brengsek', 'tukang', 'tipu', '']</t>
  </si>
  <si>
    <t>['buka', 'apk', 'kebuka', 'buka', 'payah']</t>
  </si>
  <si>
    <t>['jringan', 'mna', 'ktax', 'telkomsel', 'jringan', 'pling', 'luas', 'udah', 'upgrade', 'sma', 'mkin', 'gila', 'main', 'nge', 'lag', 'parah', '']</t>
  </si>
  <si>
    <t>['', 'kasik', 'bintang', 'dlu', 'aqu', 'blum', 'bkak', 'applikasi']</t>
  </si>
  <si>
    <t>['update', 'jelekin', 'jaringan', 'parah', 'telkomsel']</t>
  </si>
  <si>
    <t>['yaah', 'kesana', 'mytelkomsel', 'jelek', 'dimana', 'internet', 'bagus', 'jelek', 'recommended']</t>
  </si>
  <si>
    <t>['aplikasi', 'gabisa', 'rating', 'bagus', 'aneh']</t>
  </si>
  <si>
    <t>['semenjak', 'telkomsel', 'berganti', 'logo', 'untung', 'ngga', 'ambil', 'penawaran', 'promo', 'paket', 'ditawarkan', 'via', 'telephone', 'lemotnya', 'ampun', '']</t>
  </si>
  <si>
    <t>['mahal', 'pilihan', 'paketnya', 'ganti', 'nomor', 'sayang', 'udah']</t>
  </si>
  <si>
    <t>['', 'telkomsel', 'tiada', 'duanya', '']</t>
  </si>
  <si>
    <t>['skali']</t>
  </si>
  <si>
    <t>['sinyal', 'taik', 'buka', 'snap', 'susahnya', 'ampun', 'tolong', 'telkomsel', 'perbaikin', 'sinyal', 'mending', 'nggk', 'usa', 'beli', 'kartu', 'telkomsel', 'nyesel']</t>
  </si>
  <si>
    <t>['hancur', 'sinyal', 'bener', 'min', 'tolong', 'perbaiki', 'sinyal', 'buka', 'spsmed', 'putih', 'layar', '']</t>
  </si>
  <si>
    <t>['kartu', 'perdana', 'harga', 'paketanya', 'mahal', 'jarang', 'promo']</t>
  </si>
  <si>
    <t>['stabil', 'sinyal']</t>
  </si>
  <si>
    <t>['memudah', 'terimakasih']</t>
  </si>
  <si>
    <t>['', 'suka']</t>
  </si>
  <si>
    <t>['jaringan', 'dipakai', 'doang', 'lemot', 'kecewa', 'berat']</t>
  </si>
  <si>
    <t>['telkomsel', 'emang', 'gacoorrr', 'mantaappp', '']</t>
  </si>
  <si>
    <t>['sya', 'tergolong', 'pelanggan', 'setia', 'telkomsel', 'kartu', 'telkomsel', 'flash', 'harga', 'internet', 'mahal', 'kartu', 'telkomsel', 'pelanggan', 'reward', 'setia', 'telkomsel', '']</t>
  </si>
  <si>
    <t>['membantu', 'mengonsumsi', 'daya', 'tolong', 'perbaiki', '']</t>
  </si>
  <si>
    <t>['tolong', 'perbaiki', 'aplikasinx', 'tukar', 'poin', 'barang', 'aplikasi', 'teikomsel', 'seprti', 'vocer', 'gams', 'pas', 'tukar', 'kdaluarsa', 'barangx', 'kdaluarsa', 'sru', 'downlad', 'apliksi', 'shopbak', 'tolong', 'baiki', 'sekedar', 'info', 'sdah', 'bgus', 'aplikasix', 'ksi', 'bintang', '']</t>
  </si>
  <si>
    <t>['membantu', 'banget', 'coba', 'kali', 'sistem', 'dibenerin', 'min', 'paketan', 'off', 'buka', 'apk', 'telkomsel', 'membeli', 'paketan', 'disitu', '']</t>
  </si>
  <si>
    <t>['sinyal', 'skrg', 'lemot', 'udh', 'bagus', 'gmn', '']</t>
  </si>
  <si>
    <t>['semoga', 'quota', 'promo', 'jangka']</t>
  </si>
  <si>
    <t>['aplikasi', 'bagus', 'suka', 'telkomsel', 'ganti', 'jaringan', 'bagus', 'tukar', 'poin', 'mudah', 'tukar', 'poin', 'hadia', 'mobil', 'semangat', 'telkomsel']</t>
  </si>
  <si>
    <t>['benerin', 'jaringan', 'harga', 'doang', 'dinaikin', 'kmprt']</t>
  </si>
  <si>
    <t>['jaringan', 'lelet', 'gimana', 'puas', 'pelanggannya', '']</t>
  </si>
  <si>
    <t>['jaringan', 'burik', 'nyesel', 'make', 'telkomsel']</t>
  </si>
  <si>
    <t>['membantu', 'bagus']</t>
  </si>
  <si>
    <t>['gini', 'apk', 'masuk']</t>
  </si>
  <si>
    <t>['mantabb', 'tingkatkan', 'telkomsel', 'lancar', 'jaringannya', '']</t>
  </si>
  <si>
    <t>['kasih', 'bintamg', 'streaming', 'video', 'payah', 'lambat', 'download', 'main', 'game', 'online']</t>
  </si>
  <si>
    <t>['burukkkkk', 'login', 'susah', 'banget', 'link', 'verifikasi', 'pas', 'habis', 'gagal', 'mulu', 'taeeekkkkk', '']</t>
  </si>
  <si>
    <t>['', 'telkomsel', 'bagus', 'banget', '']</t>
  </si>
  <si>
    <t>['beli', 'paket', 'game', 'pakai', 'maksimal', 'diadakan', 'paket', 'game', '']</t>
  </si>
  <si>
    <t>['jaringan', 'lelet', 'plus', 'sdm', 'riau', 'congkak', 'hidup', 'uang', 'masyarakat', 'belagu', '']</t>
  </si>
  <si>
    <t>['dear', 'depelover', 'telkomsel', 'kecewa', 'paket', 'games', 'max', 'paket', 'games', 'masi', 'internet', 'lokalnya', 'habis', 'pas', 'main', 'game', 'diambil', 'pulsa', 'kuota', 'games', 'max', 'gunanya', 'kuota', 'gamesmax', 'tsb', 'mohon', 'ditiadakan', 'paket', 'games', 'max', 'ketipu', 'mohon', 'real', 'tipu', 'kecewa', 'jaringanya', 'karuan', 'paketanpun', 'acak', 'telkomsel', 'menjengkelkan', 'kabur', 'pelangganya']</t>
  </si>
  <si>
    <t>['masuk', 'hendro']</t>
  </si>
  <si>
    <t>['sinyal', 'full', 'bar', 'bwt', 'data', 'down', 'bwt', 'ngegame', 'signal', 'down', 'udah', 'down', 'baliknya', 'susah', 'musti', 'dimode', 'pesawat', 'gitu', 'bolak', 'app', 'ngelag', 'suka', 'force', 'close', 'even', 'checkin', 'susah', 'dibuka', 'appnya', '']</t>
  </si>
  <si>
    <t>['suruh', 'apdet', 'udah', 'apdet', 'bolak', 'uninstall', 'blank', 'putih', 'doank', 'ngabis', 'kuota', '']</t>
  </si>
  <si>
    <t>['telalu', 'buruk', 'bah', 'sngat', 'buruk']</t>
  </si>
  <si>
    <t>['payah', 'asli', 'sinyal', 'kadang', 'kadang', 'november', 'sampe', 'desember', 'sellau', 'ngeleg', 'kemarin', 'sellau', 'ngeleg', 'beda', 'toko', 'sebelah', 'walaw', 'murah', 'sinyal', 'bagus', 'walaw', 'kadang', 'suka', 'ngeleg', 'pas', 'hujan', 'sinyal', 'menjamin', 'banget', 'toko', 'sebelah', 'dibandingkan', 'tolong', 'perluas', 'jangkauan', 'jaringan', 'konsumen', 'nyaman']</t>
  </si>
  <si>
    <t>['tolong', 'telkomsel', 'perbaiki', 'jaringan', 'daerah', 'simalungun', 'karna', 'jaringan', 'daerah', 'simalungun', 'putus', '']</t>
  </si>
  <si>
    <t>['jaringan', 'telkomsel', 'payah', 'banget', 'udah', 'beli', 'mahal', 'mahal', 'tolong', 'diperbiaki', 'jaringan', 'kek', 'gini', 'jaringan', 'lemah', 'yaudah', 'pindah', 'kartu', 'gua', '']</t>
  </si>
  <si>
    <t>['eror', 'kah', 'telkomsel', 'mass', 'buka', 'wifi', 'bsa']</t>
  </si>
  <si>
    <t>['bang', 'telkomsel', 'gimana', 'sinyalnya', 'buruk', 'gua', 'main', 'afk']</t>
  </si>
  <si>
    <t>['signal', 'jelek', 'hilang', 'terkoneksi', 'jaringan', '']</t>
  </si>
  <si>
    <t>['mantap', 'serba', 'mudah', 'beli', 'paketnya']</t>
  </si>
  <si>
    <t>['perbanyak', 'diskon', 'min']</t>
  </si>
  <si>
    <t>['jaringan', 'emang', 'emosi', 'seandainya', 'kasih', 'rating', 'kasih', '']</t>
  </si>
  <si>
    <t>['buka', 'kesalahan', 'sistem', 'suruh', 'update', 'update', 'buka', 'beli', 'paket', 'internet', 'perbaiki', 'nyaman', 'pengguna', 'pusing', '']</t>
  </si>
  <si>
    <t>['stelah', 'update', 'berat', 'buka', 'aplikasi', 'jelek']</t>
  </si>
  <si>
    <t>['membantu', 'tingkatkan']</t>
  </si>
  <si>
    <t>['telkomsel', 'kenapaa', 'yaaa', 'jaringan', 'uda', 'update', 'buka', 'layanan', 'isi', 'paket', 'dibukaa', 'butuh', 'kuotanya', 'lho', 'yaaa', 'mohon', 'diperbaiki', 'buka', 'ulasan', 'bbrapa', '']</t>
  </si>
  <si>
    <t>['paket', 'kasih', 'murah', 'dikit']</t>
  </si>
  <si>
    <t>['pembelian', 'diamond', 'hilang', '']</t>
  </si>
  <si>
    <t>['jaringan', 'internet', 'kali', 'gangguan', 'masuk', 'magrib', 'sampe', 'jam', 'malam', 'perbaiki', 'udah', 'gangguan', 'tolongla', 'harga', 'paket', 'mahal', 'tanggapi', 'keluahan', '']</t>
  </si>
  <si>
    <t>['min', 'kuota', 'game', 'max', 'mlbb', 'gabisa', 'dipake', 'udh', 'beli', 'ttp', 'kepake', 'kuota', 'utama', 'tolong', 'min']</t>
  </si>
  <si>
    <t>['mudahkan', 'penggunan']</t>
  </si>
  <si>
    <t>['mahal', 'kartu', 'kebih', 'murah', 'pengguna', 'simpati', 'murah', '']</t>
  </si>
  <si>
    <t>['aplikasinya', 'kebuka', 'udah', 'instal', 'ulang', 'tetep']</t>
  </si>
  <si>
    <t>['gangguan', 'sistem', 'udah', 'beli', 'pulsa', 'gabisa', 'isi', 'kuota', 'walahh']</t>
  </si>
  <si>
    <t>['heran', 'telkomsel', 'udah', 'jaringanya', 'lelet', 'isi', 'pulsa', 'slalu', 'kepotong', 'paket', 'mahal', 'mahal', '']</t>
  </si>
  <si>
    <t>['nyesel', 'telkom']</t>
  </si>
  <si>
    <t>['aplikasi', 'jelek', 'udah', 'perbarui', 'buka', 'taik', 'trakhir', 'ambil', 'bonus', 'check', '']</t>
  </si>
  <si>
    <t>['sinyal', 'buruk', 'aplikasi', 'zoom', 'meating', 'meet']</t>
  </si>
  <si>
    <t>['harga', 'paket', 'telkomsel', 'turun', 'pliss', 'terima', 'kasih']</t>
  </si>
  <si>
    <t>['aplikasi', 'membatu', 'mangkanya', 'gua', 'kasih', 'bintang', '']</t>
  </si>
  <si>
    <t>['kuota', 'mahal', 'sinyal', 'jelek', 'tangerang', 'gunung', 'pulsa', 'sedot', 'udh', 'sanggup', 'mending', 'bubar', 'telkomsel', 'iklan', 'sinyal', 'bagus', 'omdo', 'omong', 'doang', '']</t>
  </si>
  <si>
    <t>['bagus', 'beli', 'pulsa', 'paketan', 'data', 'murah', '']</t>
  </si>
  <si>
    <t>['bagus', 'aplikasi']</t>
  </si>
  <si>
    <t>['hallo', 'nomor', 'telkomsel', 'orang', 'pendaftaran', 'data', 'pribadi', '']</t>
  </si>
  <si>
    <t>['memabantu']</t>
  </si>
  <si>
    <t>['jaringan', 'kacau', 'dikasih', 'kuota', 'dikbud', 'dipake', 'online', 'jiah']</t>
  </si>
  <si>
    <t>['tolong', 'knp', 'harga', 'paket', 'mahal', 'salah', 'kartu', 'semenjak', 'pkai', 'kartu', 'thn', 'paket', 'murah', 'paket', 'nelpon', 'kasihan', 'ekonominya', 'rendah', 'bkn', 'pengusaha', 'pakain', 'paket', 'berbulan', 'pakai', 'butuhkan', 'harilah', 'aktifkan', 'paket', 'harga', 'rb', 'tinggal', 'sumut', 'nias', 'barat', 'kota', 'gunung', 'sitoli', 'tlg', 'perhatikan', 'yaaaaa', '']</t>
  </si>
  <si>
    <t>['bagus', '']</t>
  </si>
  <si>
    <t>['jaringan', 'lelet', 'trus', 'siiih', 'bermasalah', 'smpe', 'ganti', 'bru', 'ttp', 'buriiiikkk', 'jaringan', '']</t>
  </si>
  <si>
    <t>['aplikasi', 'operator', 'terburuk', 'sinyal', 'stabil', 'aplikasi', 'berat', 'banget', 'geming', 'emang', 'telkomnyet']</t>
  </si>
  <si>
    <t>['sinyal', 'kek', 'dajjal', 'nge', 'lag', 'banget', 'ckckck', 'turun', 'harga', 'turun', 'kualitas', 'wkwkwk']</t>
  </si>
  <si>
    <t>['udah', 'update', 'apk', 'buka', 'mlh', 'tampilan', 'putih', 'kek', 'tembokk', 'item', 'kek', 'arang', 'hadehhh', 'paketan', 'udah', 'mahal', 'erorrr', 'truss', 'apk', 'hadehhh', 'tlong', 'lahh']</t>
  </si>
  <si>
    <t>['khusus', 'indonesia', 'timur', 'paket', 'internetnya', 'smakin', 'smakin', 'mahal', 'sihhh', '']</t>
  </si>
  <si>
    <t>['anying', 'punyaku', 'login', 'ulang', '']</t>
  </si>
  <si>
    <t>['roaming', 'jaringan', 'layanan', 'sampah', 'pindah', 'jaringan', 'memekai', 'jaringan', 'indosat', 'dll', 'harga', 'terjangkau', 'layanan', 'memuaskan', 'hinga', 'bonus', 'kah', '']</t>
  </si>
  <si>
    <t>['aplikasi', 'dibuka']</t>
  </si>
  <si>
    <t>['layanan', 'terbaik']</t>
  </si>
  <si>
    <t>['sinyal', 'hancur', 'sehancurnya', 'paket', 'edge', '']</t>
  </si>
  <si>
    <t>['telalu', 'embel', 'masuk', 'kayak']</t>
  </si>
  <si>
    <t>['terbaik']</t>
  </si>
  <si>
    <t>['praktis', 'cepat', 'murah']</t>
  </si>
  <si>
    <t>['puas', 'memakai', 'kartu', '']</t>
  </si>
  <si>
    <t>['telkomsel', 'memudahkan', 'pekerjaan', 'kegiatan', 'pembelajaran', 'berbasis', 'online']</t>
  </si>
  <si>
    <t>['bagus', 'aplikasi', 'memudahkan', 'mencari', 'informasi', 'seputar', 'telkomsel', 'terbaik', 'cinta', 'telkomsel', '']</t>
  </si>
  <si>
    <t>['harga', 'kuota', 'naiknya', '']</t>
  </si>
  <si>
    <t>['harga', 'paket', 'mahal', 'jaringan', 'lemot', 'tolong', 'sesuaikan', 'namanya', 'doang', 'paket', 'unlimited', 'ngga', 'bedanya', 'paket', '']</t>
  </si>
  <si>
    <t>['harga', 'bintag', 'kualitas', 'comberan', 'nice', 'network', '']</t>
  </si>
  <si>
    <t>['provider', 'jelek', 'kawasan', 'indonesia', 'timur', 'diperas', 'jasa', 'keuntungan', 'provider', 'layanan', 'busuk', 'signal', 'buruk', 'harga', 'mahal', 'provider', 'masuk', 'kawasan', 'indonesia', 'timur', 'provider', 'jadikan', 'jemuran', 'baju', '']</t>
  </si>
  <si>
    <t>['loading']</t>
  </si>
  <si>
    <t>['jaringan', '']</t>
  </si>
  <si>
    <t>['mudah', 'membantu', 'mantaap']</t>
  </si>
  <si>
    <t>['senang', 'pakai', 'telkomsel', 'info', 'klw', 'mytelkomsel', 'menangkan', 'hadiah', 'degan', 'kumpul', 'point', 'semoga', 'rejeki', 'aamiin']</t>
  </si>
  <si>
    <t>['jaringan', 'internetnya', 'bagus', '']</t>
  </si>
  <si>
    <t>['mohon', 'sinyal', 'perbaiki', 'harap', 'harga', 'paketnya', 'mahal', 'sayang', 'kantong', 'tipis']</t>
  </si>
  <si>
    <t>['', 'aplikasi', 'promo', 'aplikasi', 'bagus']</t>
  </si>
  <si>
    <t>['komentar', 'mengunakan', 'belm', 'admin', 'telkomsel', 'tanggap']</t>
  </si>
  <si>
    <t>['gajelas', 'sinyal', 'ilang']</t>
  </si>
  <si>
    <t>['suka', 'banget', 'telkom', 'kadang', 'app', 'suka', 'leg', 'jaringannya', 'pas', 'dibuka', 'gabisa', 'tingkatkan', 'teruss', 'yacchh']</t>
  </si>
  <si>
    <t>['dibuka', 'telkomsel']</t>
  </si>
  <si>
    <t>['aplikasi', 'dibuka', 'wifi', 'payah']</t>
  </si>
  <si>
    <t>['telkomsel', 'lemot', 'banget', 'kasih', 'bintang', 'jaringan', 'lemot', 'banget']</t>
  </si>
  <si>
    <t>['min', 'tolong', 'perbaiki', 'kirim', 'hadiah', 'paket', 'nelfon', 'kode', 'otp', 'kunjung', 'kirim', 'sms', 'padahah', 'nmr', 'aktif', '']</t>
  </si>
  <si>
    <t>['', 'doang', 'jaringan', 'kek', 'taik', 'yok', 'yok', '']</t>
  </si>
  <si>
    <t>['kasi', 'dlu', 'karna', 'jarang', 'dpat', 'promo', 'pulsa', 'internet']</t>
  </si>
  <si>
    <t>['tolong', 'jaringan', 'diperbaiki', 'log', 'mengalami', 'kendala']</t>
  </si>
  <si>
    <t>['', 'agk', 'lemot', 'buka']</t>
  </si>
  <si>
    <t>['gimana', 'telkomsel', 'beli', 'kuota', 'ribet', 'putiiiihhhhh', 'ajaaaa', 'aplikasi', 'tolong', 'perbaiki', 'gimana', 'pengguna', 'nyaman', 'pemakaiannya', 'jelek', '']</t>
  </si>
  <si>
    <t>['', 'jaring', 'telkomsel', 'udah', 'tolong', 'operator', 'perbaiki', 'jaringannya']</t>
  </si>
  <si>
    <t>['kuota', 'ketengan', 'youtube', 'nggak', 'dipake', 'sinyal', 'ilang', 'pas', 'main', 'game', 'kuota', 'boros', 'pulsa', 'ilang', 'ghoib', 'kartu', 'kartu', 'harga', 'kuotanya', 'beda', '']</t>
  </si>
  <si>
    <t>['tingkatkan', 'promo', 'paket', 'combo']</t>
  </si>
  <si>
    <t>['tarik', 'bintang', 'sinyal', 'sampah', 'harga', 'sultan', 'pastiin', 'coba', 'sinyal', 'provider', 'area', 'telkomsel', 'mengecewakan', 'maaf', 'bintang', 'minus', 'pilih']</t>
  </si>
  <si>
    <t>['eror', 'cek', 'kuota', 'hadehhhhh']</t>
  </si>
  <si>
    <t>['mudahkan', 'beli', 'paket']</t>
  </si>
  <si>
    <t>['oiiii', 'telkomsel', 'jaringan', 'hancur', 'gerangan', 'telkomsel', '']</t>
  </si>
  <si>
    <t>['bintang', 'kurangin', 'ngerasa', 'kecewa', 'kendala', 'berulang', 'ulang', 'jaringan', 'telkomsel', 'harga', 'paket', 'internet', 'kualitas', 'tetangga', 'sebelah', 'harga', 'paket', 'internet', 'murah', '']</t>
  </si>
  <si>
    <t>['update', 'dibuka', 'udah', 'sinyal', 'coba', 'pakek', 'wifi', 'buka']</t>
  </si>
  <si>
    <t>['kesini', 'jelek', 'jaringannya', 'pdhl', 'tarif', 'kuotanya', 'tarif', 'sultan', 'males', 'internetnya', 'pindah', 'haluan', 'sibiru', 'lbh', 'murah', 'lelet', 'diperbaiki', 'donk', 'nyaman', 'pakenya']</t>
  </si>
  <si>
    <t>['telkomsel', 'jaringan', 'perna', 'ngelag', 'udah', 'lag']</t>
  </si>
  <si>
    <t>['beli', 'pulsa', 'belom', 'sempet', 'paketin', 'udah', 'hangus']</t>
  </si>
  <si>
    <t>['pas', 'buka', 'warna', 'putih', 'nggak', 'hitam']</t>
  </si>
  <si>
    <t>['harga', 'paket', 'mahal', 'mahal']</t>
  </si>
  <si>
    <t>['praktis', 'beli', 'kuota', '']</t>
  </si>
  <si>
    <t>['sinyal', 'bagus', 'paketan', 'net', 'gon', 'mahl']</t>
  </si>
  <si>
    <t>['quota', 'aktif', 'tinggal', 'sebentar', 'quotanya', 'ambil', 'quota', 'aktifnya', 'pinter', 'banget', 'quota', 'ambil', 'karna', 'aktif', 'habis', '']</t>
  </si>
  <si>
    <t>['jaringanya', 'sangattt', 'jelek', 'gaaays', 'kuotaa', 'mahalll', 'kuota', 'isi', 'gb', 'gatau', 'suka', 'eror']</t>
  </si>
  <si>
    <t>['alhamdulillah']</t>
  </si>
  <si>
    <t>['pagi', 'signal', 'jelek', 'mulu', 'beli', 'mahal', 'signla', 'jelek', 'tolong', 'perbaiki', '']</t>
  </si>
  <si>
    <t>['muhon', 'jaringan', 'kadang', 'suka', 'laq', 'terima', 'kasih']</t>
  </si>
  <si>
    <t>['koneksi', 'cepat', 'kualitas', 'gambar', 'good', '']</t>
  </si>
  <si>
    <t>['hadirkan', 'paket', 'internet', 'sakti', 'kelas', 'ekonomi', '']</t>
  </si>
  <si>
    <t>['jaringan', 'telkomsel', 'surut', 'uda', 'setahun', 'gini', 'trus', 'cuman', 'tampilannya', 'doank', 'dikit', 'hilang', 'pas', 'ganti', 'ama', 'jalan', 'internetnya', 'sring', 'beli', 'data', 'ampe', 'minggu', 'bru', 'habis', 'uda', 'cuman', 'doank', 'ama', 'minggi', 'uda', 'habis', 'pembayaran', 'kouta', 'mahal', 'penawaran', 'kuota', 'tpi', 'tetal', 'mahal', '']</t>
  </si>
  <si>
    <t>['harga', 'paket', 'mahal', 'jaringan', 'lemot', 'kayak', 'siput', 'pribadi', 'kecewa', 'berlangganan']</t>
  </si>
  <si>
    <t>['paket', 'unlimited', '']</t>
  </si>
  <si>
    <t>['tolong', 'blm', 'tanggal', 'jatuh', 'tempo', 'mmbrikan', 'notifikasi']</t>
  </si>
  <si>
    <t>['bagus', 'jaringannya', 'lemot']</t>
  </si>
  <si>
    <t>['aplikasi', 'susah', 'buka']</t>
  </si>
  <si>
    <t>['tolong', 'perbaiki', 'jaringannya', 'karna', 'jaringan', 'internet', 'telkomsel']</t>
  </si>
  <si>
    <t>['moga', 'pemenangnya']</t>
  </si>
  <si>
    <t>['rate', 'bintang', 'karna', 'kartu', 'halo', 'akses', 'poin', '']</t>
  </si>
  <si>
    <t>['lelelt', 'jelek', 'beralih', 'ajalaah', '']</t>
  </si>
  <si>
    <t>['mahal', 'harga', 'paket', 'internetny', 'skrg', 'sinyal', 'susah', '']</t>
  </si>
  <si>
    <t>['buruk', 'lemot', 'ribet', 'bagus', 'im', 'cepat', 'promo', '']</t>
  </si>
  <si>
    <t>['kesini', 'gara', 'enek', 'jaringan', 'telkomsel', 'enak', 'mah', 'mending', 'smartfren']</t>
  </si>
  <si>
    <t>['aplikasinya', 'dibuka', 'muncul', 'blank', 'putih', 'buka', 'appnya', 'mohon', 'diperbaiki']</t>
  </si>
  <si>
    <t>['aplikasinya', 'bagus', 'membantu']</t>
  </si>
  <si>
    <t>['aplikasi', '']</t>
  </si>
  <si>
    <t>['voucher', 'game', 'susah', 'dapatnya', 'dihubungi', 'sibuk', '']</t>
  </si>
  <si>
    <t>['langsung', 'buka', 'pke', 'nomor', 'kemaren', 'kemaren', 'buka']</t>
  </si>
  <si>
    <t>['terimakasih', 'telkomsel', 'berbenah', 'dlm', 'sistem', 'layanan', 'network', '']</t>
  </si>
  <si>
    <t>['aplikasi', 'jelek', 'buka']</t>
  </si>
  <si>
    <t>['aplikasi', 'berguna', 'pengguna', 'telkomsel']</t>
  </si>
  <si>
    <t>['signal', 'stabil']</t>
  </si>
  <si>
    <t>['mntap', 'gan', 'jaringan', 'jelek', 'banget']</t>
  </si>
  <si>
    <t>['lumayan', 'kadang', 'suka', 'lemot', 'telkomsel']</t>
  </si>
  <si>
    <t>['tolonglah', 'jaringanya', 'paket', 'mahal', 'sinyal', 'kek', '']</t>
  </si>
  <si>
    <t>['pelayanan', 'mantap', 'responsif', '']</t>
  </si>
  <si>
    <t>['tolong', 'daerah', 'sinyalnya', 'stabil', 'suka', 'tolong', 'stabilkan', 'lancar', 'internetan']</t>
  </si>
  <si>
    <t>['diperbarui', 'susah', 'masuk', 'white', 'scren', 'butuh', 'apk', 'telkomsel', 'tolong', 'perbaiki', 'dipakai', '']</t>
  </si>
  <si>
    <t>['udah', 'bagus', 'aman', 'terper', 'caya']</t>
  </si>
  <si>
    <t>['aplikasi', 'jelek', 'mahal', 'sinyal', 'buruk', 'developernya']</t>
  </si>
  <si>
    <t>['telkomsel', 'anehh', 'udah', 'paketin', 'kuota', 'ribu', 'pakek', 'udah', 'kali', 'ribu', 'paketin', 'tetp', 'giman', 'pelayanannya', 'baguss', 'bsk', '']</t>
  </si>
  <si>
    <t>['tolong', 'update', 'telkomsel', 'bos', 'update', 'android', 'system', 'aplikasi', 'telkomsel', 'hilang', 'coba', 'restart', 'install', 'ulang', 'aplikasi', 'mytelkomsel', 'error', 'gagal', 'install', 'ulang']</t>
  </si>
  <si>
    <t>['sinyal', 'ilang', 'harga', 'doang', 'mahal', 'pulsa', 'suka', 'berkurang', 'padahl', 'ngisi', 'turun', 'rating', 'mah', 'gada', 'perubahan', '']</t>
  </si>
  <si>
    <t>['harga', 'mangkin', 'sinyal', 'mangkin', 'burik', 'dmna', 'harga', 'kualitas', 'mangkin', '']</t>
  </si>
  <si>
    <t>['telkomsel', 'jelek', 'jaringannya', 'trus', 'pembaharuan', 'habis', 'perbaharui', 'perubahan', '']</t>
  </si>
  <si>
    <t>['hemat', 'mudah', '']</t>
  </si>
  <si>
    <t>['berkah', 'telkomsel']</t>
  </si>
  <si>
    <t>['semuga', 'kartu', 'telkomsel', 'wilayah', 'madura', 'agenda', 'bersaing', 'kartu', 'kayak', '']</t>
  </si>
  <si>
    <t>['beli', 'paket', 'internet', 'masuk', 'udah', 'bayar', 'cek', 'pulsa', 'utuh', 'error', 'ulangi', 'sampe', 'masuk', 'mantap', 'telkomsel', 'ganti', 'rugi', 'pulaj']</t>
  </si>
  <si>
    <t>['perkotaan', 'sinyal', 'susah', 'telkom', 'main', 'game', 'lag']</t>
  </si>
  <si>
    <t>['teknologi', 'canggih', 'telkomsel', 'susah', 'jaringannya', 'mendung', 'gerimis', 'matilampu', 'wassalam', 'ilang', 'jaringan', 'sinyal', 'sinyal']</t>
  </si>
  <si>
    <t>['tolong', 'diperbaiki', 'sinyalnya', 'daerah', 'sya']</t>
  </si>
  <si>
    <t>['tolong', 'developer', 'ntelkomsel', 'perbaiki', 'kualitas', 'sinyal', 'sinyal', 'rusak', 'harga', 'paket', 'mahal', 'hidup', 'pas', 'pas', '']</t>
  </si>
  <si>
    <t>['aplikasi', 'bagus', '']</t>
  </si>
  <si>
    <t>['sinyal', 'telkomsel', 'smakin', 'trpuruk', 'pedesaan', 'menanggulanginya', 'konsumen', 'ttp', 'bertahan', 'tolong', 'perbaiki', 'sinyal', 'internetnya', 'perhatikan', 'donk', 'keluhan', 'pelanggan', 'bisanya', 'naikin', 'harga', 'kuota', 'udh', 'mahal', 'tpi', 'sinyal', 'bagus', 'udah', 'lbh', 'thn', 'pke', 'telkomsel', 'brtahan', 'tpi', 'sll', 'kecewakn', 'jaringan', 'internet', 'jls', 'penggemar', 'game', 'sll', 'apdute', 'emosi', 'bngt', 'sinyal', '']</t>
  </si>
  <si>
    <t>['telkomsel', 'enak', 'jidat', 'nge', 'hapus', 'pilihan', 'paket', 'combo', 'sakti', 'bayar', 'memenuhi', 'kebutuhan', 'kuota', 'enak', 'menghapus', 'pilihan', 'paket', 'combo', 'sakti', 'udah', 'harga', 'paket', 'mahal', 'pelayanan', 'ntah', '']</t>
  </si>
  <si>
    <t>['parah', 'parah', 'parah', 'jaringan', 'lambat', 'masuk', 'aplikasi', 'telkomsel', 'kaya', 'gni', '']</t>
  </si>
  <si>
    <t>['paket', 'promo', '']</t>
  </si>
  <si>
    <t>['knapa', 'eror', 'jaringanya', 'buka', 'aplikasinya', 'cuman', 'layar', 'putih', 'skali', 'login']</t>
  </si>
  <si>
    <t>['kokk', 'jaringan', 'telkomsel', 'parah', 'yaa', 'ngegame', 'parah', 'lag', 'nyaa', 'paket', 'doang', 'mahal', 'taikk', 'lahh']</t>
  </si>
  <si>
    <t>['telkomsel', 'anjg', 'jaringan', 'jelek', 'harga', 'paket', 'mahal', 'smua', 'sesuai', 'kualitas', 'ajg']</t>
  </si>
  <si>
    <t>['membatu', 'sinyal', 'sumtra', 'jelek']</t>
  </si>
  <si>
    <t>['knapa', 'masuk', 'bilangnya', 'kesalahan', 'gitu']</t>
  </si>
  <si>
    <t>['telkomsel', 'sinyal', 'kuat']</t>
  </si>
  <si>
    <t>['gimana', 'buka', 'udah', 'updete', 'masuk', 'udah', 'tetep', 'kayak', 'gini', 'cek', 'paket', 'data', 'beli', 'paket', 'susahnya', 'ampun']</t>
  </si>
  <si>
    <t>['tolong', 'tingkatkan', 'sinyal', 'baguss', 'paket', 'mahal', '']</t>
  </si>
  <si>
    <t>['aduh', 'min', 'diupdate', 'versi', 'muncul', 'layar', 'putih', 'doang', 'gimana', 'ngecek', 'pusla', 'kuota', 'tolong', 'diperbaiki', 'sistemnya', 'pindah', 'kelain', 'hati']</t>
  </si>
  <si>
    <t>['telkomsel', 'paketin', 'orbit', 'make', 'pulsa', 'gabisa', 'make', 'telkomsel', 'masuk', 'masuk']</t>
  </si>
  <si>
    <t>['ribet', 'masunya', 'dak']</t>
  </si>
  <si>
    <t>['aplikasi', 'lemot', 'jaringan', 'lemot', 'harga', 'selangit']</t>
  </si>
  <si>
    <t>['promo', 'internet', 'sakti', 'murah', 'aktif', 'kuota', 'contoh', 'gb', 'rb', 'asli', 'telkomsel', '']</t>
  </si>
  <si>
    <t>['paket', 'internet', 'gratis', 'minggu']</t>
  </si>
  <si>
    <t>['aplikasi', 'orang', 'paket', 'abis', 'paketin', 'tethering', 'temen', 'ngga', 'dibukak', 'nyalain', 'data', 'pulsanya', 'auto', 'ilang', 'kocak', '']</t>
  </si>
  <si>
    <t>['masuk', 'aplikasinya', 'susahnya', 'ampun', '']</t>
  </si>
  <si>
    <t>['aplikasi']</t>
  </si>
  <si>
    <t>['banget', 'konfirmasi', 'paket', 'beli', 'paket', 'jam', 'siang', 'sampe', 'malem', 'kuota', 'masuk', 'sinyal', 'bagus', 'kadang', 'jelek', 'kon', '']</t>
  </si>
  <si>
    <t>['update', 'tetep', 'gabisa', 'masuk', 'apk', 'gimana', 'minn']</t>
  </si>
  <si>
    <t>['karna', 'diakon']</t>
  </si>
  <si>
    <t>['lma', 'smkin', 'buruk', 'sinyal', 'simpati', 'apalgi', 'down', 'skali', 'hrga', 'kuota', 'mahal', 'kualitas', 'tingkatkan', 'down', 'kmungkinan', 'sbgai', 'pengguna', 'simpati', 'mencari', 'solusi', 'trbaik', 'pindah', 'kelain', 'hati', 'sbb', 'zaman', 'jaringan', 'internet', 'prioritas', 'utama']</t>
  </si>
  <si>
    <t>['terima', 'kasih', 'membantu']</t>
  </si>
  <si>
    <t>['perbaiki', 'jaringan', 'paket', 'doang', 'mahalin', 'ngeluh', 'tutup', 'komentar', 'provider', 'bodoh']</t>
  </si>
  <si>
    <t>['bintang', 'tolong', 'sinyal', 'perbaiki', 'daerah', 'depok', 'sawangan', 'pasir', 'putih', 'user', 'telkomsel', 'sinyal', 'jelek', 'komplen', 'sinyal', 'jelek', 'perbaiki', 'tolong', 'daerah', 'tolong', 'admin', 'pelanggan', 'kecewa']</t>
  </si>
  <si>
    <t>['login', 'susah', 'tolong', 'diperbaiki']</t>
  </si>
  <si>
    <t>['puas', 'mudah', '']</t>
  </si>
  <si>
    <t>['posisi', 'dikota', 'samping', 'kantor', 'kantor', 'telkomsel', 'beserta', 'tower', 'sinyalnya', 'sulit', 'sinyal', '']</t>
  </si>
  <si>
    <t>['', 'telkomsel', 'membeli', 'paket', 'darurat', 'sepengetahuan', 'kuota', 'utama', 'tersisa', '']</t>
  </si>
  <si>
    <t>['terimakasih', 'berguna', 'banget']</t>
  </si>
  <si>
    <t>['aplikasi', 'membantu', 'cek', 'pulsa', 'kuota', 'aplikasi', 'memuaskan', '']</t>
  </si>
  <si>
    <t>['telkomsel', 'sinyal', 'turun', 'udah', 'udah', 'peke', 'data', 'telkom', 'maaih', 'pesan', 'mengunakan', 'non', 'paket']</t>
  </si>
  <si>
    <t>['aplikasi', 'login', 'kirim', 'magic', 'link', 'login', 'metode', 'gimana']</t>
  </si>
  <si>
    <t>['', 'kartu', 'membayar', 'beli', 'paket', 'data', 'pakai', 'shopee', 'tersedia', 'pulsa', 'metode', 'pembayaran']</t>
  </si>
  <si>
    <t>['memudahkan', 'pengguna', 'semoga', 'bonus', 'custemer', 'sukses', 'telkomsel', 'jaya', 'bumn']</t>
  </si>
  <si>
    <t>['min', 'tambahin', 'fitur', 'murah', 'ding', 'min', 'kaya', 'rb']</t>
  </si>
  <si>
    <t>['benci', 'telkomsel', 'indihome', 'harga', 'mahal', 'jaringannya', 'lambat', 'wifi', 'lemot', '']</t>
  </si>
  <si>
    <t>['tolong', 'lbih', 'fokuskan', 'kuota', 'utama', 'sja']</t>
  </si>
  <si>
    <t>['apknya', 'bagus', 'daftarnya', 'ribet', 'jaringannya', 'bagus']</t>
  </si>
  <si>
    <t>['kasi', 'bintang', 'aplikasinya', 'lemot', 'kebuka', 'sinyal', 'stabil']</t>
  </si>
  <si>
    <t>['telkomsel', 'sinyal', 'tolong', 'perbaiki']</t>
  </si>
  <si>
    <t>['mohon', 'diperbaiki', 'jaringan', 'telkomsel', 'sulit', 'mengakses', 'jaringannya', 'udah', 'lelet', 'kek']</t>
  </si>
  <si>
    <t>['beli', 'paket', 'internet']</t>
  </si>
  <si>
    <t>['dasar', 'telkomsel', 'motong', 'pulsa', 'bugnya', 'hati', 'telkomsel', 'nyedot', 'pulsa']</t>
  </si>
  <si>
    <t>['jaringan', 'pagi', 'down']</t>
  </si>
  <si>
    <t>['pembelian', 'kouta', 'data', 'internet', 'gangguan', 'jaringan', 'gagal', 'payaaahhh', '']</t>
  </si>
  <si>
    <t>['sinyal', 'stabil', 'kartu', 'sultan']</t>
  </si>
  <si>
    <t>['jaringan', 'bagus', 'udah', 'sinyal', 'parah']</t>
  </si>
  <si>
    <t>['pulsa', 'disedot', 'mulu', 'telkomsel', 'msnding', 'bubar', 'iya', 'bangkrut', 'pulsa', 'sedot', 'mulu', 'coba', 'tambahin', 'kontrol', 'pulsa', 'kayak', 'bagus', 'telkomsel', 'berguna']</t>
  </si>
  <si>
    <t>['mempermudah', 'pengguna', 'telkom', 'mantap']</t>
  </si>
  <si>
    <t>['tolong', 'banyakin', 'promonya', 'heheheye']</t>
  </si>
  <si>
    <t>['kecewa', 'perhitungan', 'pemotongan', 'pulsa', '']</t>
  </si>
  <si>
    <t>['tolong', 'perbaiki', 'kecepatan', 'jaringan', 'telkomsel', 'jaringan', 'ngedrop', 'chatan', 'sosial', 'media', 'kecepatan', 'jaringan', 'pakai', 'jaringan', 'mb', 'dtk', 'jaringan', 'telkomsel', 'kb', 'dtk']</t>
  </si>
  <si>
    <t>['semoga', 'undian']</t>
  </si>
  <si>
    <t>['bisaaaa']</t>
  </si>
  <si>
    <t>['emang', 'paket', 'internet', 'sebulan', 'ketengan', 'unlimited', 'sebulan', 'gitu']</t>
  </si>
  <si>
    <t>['yahhh', 'proses', 'penggunaan']</t>
  </si>
  <si>
    <t>['', 'pemakai', 'telkomsel', 'setehun', 'belakngan', 'pakek', 'data', 'unlimited', 'jringannya', 'nauzubilla', 'giliran', 'kuota', 'utama', 'lncar', 'kyk', 'jln', 'tol', 'pas', 'tinggl', 'data', 'unlimitednya', 'jaringannya', 'kayk', 'siput', 'kb', 'doank', 'jringnnya', 'bijimana', 'beli', 'paket', 'combo', 'rbu', 'rugi', 'unlimited', 'kgk', 'bsa', 'dipakai', 'udah', 'lpor', 'berkali', 'kgk', 'solusi', '']</t>
  </si>
  <si>
    <t>['telkomsel', 'tolong', 'perbaiki', 'aplikasinya', 'beli', 'data', 'sulit', 'error', 'jaringan', 'tarip', 'mahal', 'pelayanan', 'menurun', 'tolong', 'koreksi']</t>
  </si>
  <si>
    <t>['telkomsel', 'eror', 'mulu', 'log', 'tolong', 'jaringan', 'perbaiki']</t>
  </si>
  <si>
    <t>['white', 'screen', 'buka', 'app', 'parah']</t>
  </si>
  <si>
    <t>['', 'update', 'masuk', 'anjay', 'aneh', 'kabeh', 'veronika', 'system', 'perbaikan', 'pas', 'system', 'udah', 'pulsa', 'udah', 'habis', 'kepotong', 'matikan', 'data']</t>
  </si>
  <si>
    <t>['telkomsel', 'skrg', 'mati', 'listrik', 'jaringannya', 'ikutan', 'ilang', 'mati', 'listriknya', 'bentar', 'jaringan', 'tselnya', 'ilang', 'sampe', 'menitan', 'mengganggu', 'aktivitas', 'push', 'ranked', 'afk', 'sampe', 'kredit', 'tolong', 'balikin', 'sistem', 'jaringan', 'tsel', 'kek', 'hujan', 'mati', 'listrik', 'jaringan', 'oke', 'harga', 'doang', 'mahal', 'jaringan', 'kualitas', 'im', '']</t>
  </si>
  <si>
    <t>['terimakasih', 'telkomsel', 'paket', 'geratis']</t>
  </si>
  <si>
    <t>['jaringan', 'signal', 'sekedar', 'cek', 'pulsa', 'login', 'apknya', 'isi', 'pulsa', 'konter', 'shopee', 'ntr', 'mati', 'kartunya', 'salah', 'telkomselnya', 'capek', 'banget', 'ganti', 'ganti', 'kartu', '']</t>
  </si>
  <si>
    <t>['kesini', 'aneh', 'solusi', 'kebanyakan', 'bertele', 'tele', 'kalah', 'provider', 'swasta']</t>
  </si>
  <si>
    <t>['terimakasih', 'melayani', 'jaringan', 'semoga', 'sukses']</t>
  </si>
  <si>
    <t>['dibuka', 'app', 'layarnya', 'putih', 'ttus', 'masuk']</t>
  </si>
  <si>
    <t>['bagus', 'sinyalnya', 'paketan', 'belajar', 'mikir', 'mikir', 'beli', 'kuota', 'tsel', '']</t>
  </si>
  <si>
    <t>['telkomsel', 'poncel']</t>
  </si>
  <si>
    <t>['sistem', 'kunci', 'pulsa']</t>
  </si>
  <si>
    <t>['okey', 'membatu']</t>
  </si>
  <si>
    <t>['temen', 'jaringan', 'telkomsel', 'mending', 'pikir', 'telkomsel', 'kenyamanan', 'data', 'internet', 'seringkali', 'hilang', 'sinyal', 'berulang', 'ulang']</t>
  </si>
  <si>
    <t>['beli', 'pulsa', 'beliin', 'kuota', 'masuk', 'kuota', 'emang', 'kartus', 'telkomsel', 'pikir', 'make', 'kartu', '']</t>
  </si>
  <si>
    <t>['tolong', 'jaringan', 'telkomsel', 'jelek', 'down', 'turun', 'stabil', 'pengguna', 'kecewa', 'buka', 'email', 'youtube', 'koneksi', 'internet', 'tolong', 'perbaiki']</t>
  </si>
  <si>
    <t>['penawarannya', 'paket', 'harganya', 'ribu', 'pas', 'udh', 'isi', 'pulsa', 'harganya', 'tolol', 'bner']</t>
  </si>
  <si>
    <t>['kuat', 'daerah', 'jaringan']</t>
  </si>
  <si>
    <t>['memuat', 'halaman', 'mengecheck', 'pulsa']</t>
  </si>
  <si>
    <t>['mudahnya', 'transaksi', 'telkomsel']</t>
  </si>
  <si>
    <t>['buka', 'telkomsel', 'aneh']</t>
  </si>
  <si>
    <t>['udah', 'kasih', 'bintang', 'semoga', 'paket', 'data', 'permurahkan', '']</t>
  </si>
  <si>
    <t>['semoga', 'promo', 'paker', 'data']</t>
  </si>
  <si>
    <t>['tolong', 'perbaiki', 'akir', 'mengalami', 'gangguan', 'turunkan', 'harganya', 'brsaing', 'propaider', '']</t>
  </si>
  <si>
    <t>['telkomsel', 'keren', 'jaringannya', 'gercep', 'terimakasih', 'semoga', 'kartu', 'promo', 'promo', 'menarik', 'murah', '']</t>
  </si>
  <si>
    <t>['', 'telkomsel', 'mohon', 'tingkatkan', '']</t>
  </si>
  <si>
    <t>['pembayaran', 'appun', 'mudah', 'cepat']</t>
  </si>
  <si>
    <t>['jaringannya', 'jelek', 'telkomsel', 'buka', 'apps', 'eror', 'jaringannya', 'kuota', 'nonton', 'banget', 'loading', 'pakai', 'main', 'game', 'hilang', 'jaringannya', 'jariannya', 'hilang', 'jga', 'jaringannya', 'gimana', 'telkomsel', 'jaringannya', 'jelek', 'banget', 'kecewa', 'pakai', 'nonton', 'susahnya', 'ampun', '']</t>
  </si>
  <si>
    <t>['pulsa', 'berkurang', 'pakai', 'paket', 'nonpaket', '']</t>
  </si>
  <si>
    <t>['sms', '']</t>
  </si>
  <si>
    <t>['mantap', 'jaringan']</t>
  </si>
  <si>
    <t>['buruk', 'chat', 'veronika', 'membantu', 'erina', 'dibilang', 'data', 'sesuai', 'data', 'data', 'tolong', 'diperbaiki', 'kualitas', 'csnya', '']</t>
  </si>
  <si>
    <t>['tolong', 'telkomsel', 'perbaiki', 'jaringan', 'pakai', 'lemot', 'lelet', 'askes', 'internet']</t>
  </si>
  <si>
    <t>['mahal', 'doang', 'kualitas', 'ancur', 'ganti', 'sinyal', 'bagus', 'nyesel', 'beli', 'mahal', 'paket', 'gratisan']</t>
  </si>
  <si>
    <t>['tolong', 'perbaiki', 'apk']</t>
  </si>
  <si>
    <t>['tolong', 'mohon', 'perbaiki', 'kualitas', 'sinyal', 'pedesaan', 'aplikasi', 'oke', 'oke']</t>
  </si>
  <si>
    <t>['jrngn', 'internet', 'parah', 'mahal', 'mohon', 'perhatikan']</t>
  </si>
  <si>
    <t>['cocok']</t>
  </si>
  <si>
    <t>['cek', 'nomor', 'bayar', 'udah', 'make', 'isi', 'pulsa', 'poin', 'loak', 'kepentingan', 'kerja', 'males', 'make', 'telkomsel', 'baca']</t>
  </si>
  <si>
    <t>['mudah', 'brp', 'sisa', 'kuota', 'pulsa', 'terpakai']</t>
  </si>
  <si>
    <t>['telkomsel', 'gangguan', 'bayar', 'mahal', 'koneksi', 'buruk']</t>
  </si>
  <si>
    <t>['telkomsel', 'buka', 'udah', 'uninstal', 'instal', 'tetep', 'daftar', 'paketan']</t>
  </si>
  <si>
    <t>['tolong', 'perbaiki', 'sinyalnya', 'belakangin', 'sinyal', 'telkomsel', 'hilang', 'sungguh', 'meresahkan', 'pekerjaan', 'terganggu', 'mohon', 'benahin', 'terimakasih']</t>
  </si>
  <si>
    <t>['jaringan', 'tolong', 'diperpagus', 'mahal', 'doang', 'kualitas', 'bagus', '']</t>
  </si>
  <si>
    <t>['kecewa', 'provider', 'sllu', 'banggakan', 'karna', 'jaringannya', 'kencang', 'lelet', 'pakai', 'main', 'game', 'ping', 'suka', 'turun', 'gajelas', 'nyaman', 'main', 'game', 'mohon', 'bantuan', 'minggu', 'isi', 'pulsa', 'daftar', 'paket', 'kuota', 'pelayanan', 'sesuai', 'uang', 'keluarkan', '']</t>
  </si>
  <si>
    <t>['susah', 'beli', 'kuota', 'pulsa', 'beli', 'vocher', 'telkomsel', 'gangguan', 'mulu', 'telkomsel', 'berhenti', 'telkomsel', 'beralih']</t>
  </si>
  <si>
    <t>['cmn', 'terkendala', 'sinyal']</t>
  </si>
  <si>
    <t>['internet', 'tolol', 'lemot', 'bener']</t>
  </si>
  <si>
    <t>['sya', 'pelanggan', 'telkomsel', 'kualitas', 'bagus', 'buka', 'telkomsel', 'jaringan', 'paaaaraahhh', 'selamat', 'tinggal', 'telkomsel', '']</t>
  </si>
  <si>
    <t>['telkomsel', 'sampe', 'emang', 'top']</t>
  </si>
  <si>
    <t>['cepat', 'prosesnya', 'suka', 'banget']</t>
  </si>
  <si>
    <t>['', 'kaya', 'telkomsel', 'sllu', 'bgus', 'tpi', 'jaringan', 'telkomsel', 'eror', 'payah', 'mengecewakan', '']</t>
  </si>
  <si>
    <t>['kasih', 'bintang', 'dlu', 'gua', 'udh', 'pelanggan', 'setia', 'knp', 'paket', 'gb', 'rb', 'udh', 'beli', '']</t>
  </si>
  <si>
    <t>['mudah', 'nyaman']</t>
  </si>
  <si>
    <t>['smoga', 'harga', 'kuota', 'bersahabat', 'rakyat', 'aamiin']</t>
  </si>
  <si>
    <t>['bener', 'bener', 'udh', 'langganan', 'diksh', 'diskon', '']</t>
  </si>
  <si>
    <t>['jaringan', 'stabil', 'babi', 'mmng', 'telkom']</t>
  </si>
  <si>
    <t>['telkomsel', 'merosot', 'kualitasnya', 'mending', 'pindah', 'sebah', '']</t>
  </si>
  <si>
    <t>['layanan', 'bagus', 'toplah', 'pokoknya', '']</t>
  </si>
  <si>
    <t>['gua', 'ngapa', 'telkomsel', 'jelek', 'jaringan', 'gua', 'habis', 'pikir', 'udah', 'harganya', 'mahal', 'sinyalnya', 'kek', 'bangke', 'mohon', 'perbaiki', 'enakkan', 'telkomsel', 'telkomsel', 'unlimited', 'nyari', 'kartu', 'udah', 'susah', 'tolong', '']</t>
  </si>
  <si>
    <t>['pakai', 'langsung', 'nyaman', 'blm', 'keluhan', 'terima', 'kasih']</t>
  </si>
  <si>
    <t>['aplikasi', 'banget', 'crash', 'lemot', 'alias', 'ngeselin']</t>
  </si>
  <si>
    <t>['aplikasi', 'ngisi', 'kuota', 'gagal', 'pulsanya', 'pulsa', 'mencukupi']</t>
  </si>
  <si>
    <t>['aplikasi', 'dibuka', 'uninstal', 'instal', 'kali', '']</t>
  </si>
  <si>
    <t>['pelayanan', 'memuaskan']</t>
  </si>
  <si>
    <t>['praktis', 'menarik', '']</t>
  </si>
  <si>
    <t>['pelayanan', 'respon', 'slalu', 'menghindar', '']</t>
  </si>
  <si>
    <t>['tolong', 'telkomsel', 'menang', 'hadiah', 'tukar', 'poin']</t>
  </si>
  <si>
    <t>['kecewa', 'jaringan', 'telkomsel', 'sangad', 'lelet', 'lola', 'akibatnya', 'kehilangan', 'chip', 'higs', 'domino', 'chip', 'kecewa', 'telkomsel', '']</t>
  </si>
  <si>
    <t>['jaringannya', 'ngerjain', 'stabil', 'emosi', 'pas', 'main', 'game', 'andai', 'kasih', 'bintang', '']</t>
  </si>
  <si>
    <t>['bagus', 'mmpermuda']</t>
  </si>
  <si>
    <t>['sinyal', 'telkomsel', 'beres', 'udah', 'paket', 'mhal', 'jaringan', 'kayak', 'bayar', 'boss', 'tolong', 'perbaiki']</t>
  </si>
  <si>
    <t>['jelek', 'internetan', 'kmaren', 'isi', 'mahalan', '']</t>
  </si>
  <si>
    <t>['paketny', 'mahal', 'pdahal', 'nomornya', 'udh']</t>
  </si>
  <si>
    <t>['hang', 'dibuka', 'update', '']</t>
  </si>
  <si>
    <t>['', 'ditingkatkan']</t>
  </si>
  <si>
    <t>['bgsss', 'karna', 'dpt', 'promo', 'semoga', 'promo', 'trsssss', '']</t>
  </si>
  <si>
    <t>['telkom', 'skrng', 'buruk', 'bnget', 'sibyalnya', 'pdhal', 'sinyal', 'stabil', 'muter', 'doank']</t>
  </si>
  <si>
    <t>['tes', 'dicoba', 'mudah', 'mudahan', 'bagus']</t>
  </si>
  <si>
    <t>['paket', 'bulannya', 'kal', 'ggatau', 'terjangkau']</t>
  </si>
  <si>
    <t>['data', 'dinyalain', 'tetep', 'pulsa', 'kesedot']</t>
  </si>
  <si>
    <t>['lancar', 'cepat']</t>
  </si>
  <si>
    <t>['kuota', 'nelpon', 'dikurangin', 'aktifnya', 'aktif', 'udah', 'habis', 'terpakai', 'tolong', 'diperbaiki', 'bos', '']</t>
  </si>
  <si>
    <t>['bagus', 'murah', '']</t>
  </si>
  <si>
    <t>['pengambilan', 'pulsa', 'banget', 'kuota', 'pulsa', 'gimana', 'beli', 'paket', 'sistem', 'sibuk', 'trus', 'pulsa', 'sia', '']</t>
  </si>
  <si>
    <t>['mahal', 'lalod', 'jaringan', 'morowali']</t>
  </si>
  <si>
    <t>['lumayan', 'udah', 'tetep', 'mati', 'lampu', 'sinyal', 'ikutan', 'mati', '']</t>
  </si>
  <si>
    <t>['puas', 'kasi', 'promo', 'sim', 'card', '']</t>
  </si>
  <si>
    <t>['top', 'pokonya', 'telkomsel']</t>
  </si>
  <si>
    <t>['tingkatkan', 'promo', 'paket', 'termurah', 'the', 'best', 'tsl']</t>
  </si>
  <si>
    <t>['kuota', 'abis', 'pulsa', 'beli', 'paket', 'harganya', 'ribu', 'pemberitahuan', 'pulsa', 'mencukupi', 'gagal', 'pembayaran', 'terpaksa', 'beli', 'pulsa', 'ribu', 'beli', 'paket', 'ikhlas', 'karna', 'sistem', 'makan', 'duit', 'org', 'ikhlas', 'brengsek', 'mending', 'jaringannya', 'kesini', 'lemot']</t>
  </si>
  <si>
    <t>['udah', 'fix', 'pindah', 'operator', 'andelin', 'jaringan', '']</t>
  </si>
  <si>
    <t>['paket', 'data', 'pulsa', 'terpotong', 'habis', 'terhitung', 'kejadian', 'alami', 'pengguna', 'mengalami', 'hancur', 'telkomsel', 'bumn', '']</t>
  </si>
  <si>
    <t>['telkomsel', 'babi', 'gua', 'kuota', 'pulsa', 'gua', 'sedot', 'anjingg', 'anjingg', 'babii']</t>
  </si>
  <si>
    <t>['knapa', 'apk', 'muncul', 'layar', 'putih', 'hapus', 'download', 'kmbali', 'hsilnya', 'mohon', 'bantu']</t>
  </si>
  <si>
    <t>['membatu', 'mudah', 'membeli', 'paket', 'ssuai']</t>
  </si>
  <si>
    <t>['telkom', 'babi', 'login', 'ribet', 'sms', 'verivikasinya', 'dateng', 'klok', 'klik', 'udah', 'kadaluarsa', 'linknya', 'emang', 'babi', 'mending', 'telkomsel', 'deh', 'pke']</t>
  </si>
  <si>
    <t>['kenceng', 'lemot']</t>
  </si>
  <si>
    <t>['', 'telkomsel', 'mantaff', '']</t>
  </si>
  <si>
    <t>['keren', 'membantu', 'mudah']</t>
  </si>
  <si>
    <t>['suka', 'ngambilin', 'pulsa', 'orang', 'laaah', 'masak', 'nomor', 'diaktipin', 'paket', 'internetnya', 'setingan', 'internet', 'sim', 'konek', 'internet', 'notip', 'sms', 'internet', 'kepake', 'kb', 'biaya', 'kebayang', 'notipnya', 'smp', 'brapa', 'pulsa', 'kekikis', 'coba', 'dlm', 'nomor', 'telkomsel', 'biji', 'cmn', 'isi', 'paket', 'internet', 'cuman', 'sim', 'nomor', 'sim', 'kekonek', 'internet', 'kepake', 'kb', 'hrs', 'beli', 'paket', 'sim', '']</t>
  </si>
  <si>
    <t>['mantap', 'pertahankan', 'kwalitas', 'jaringan']</t>
  </si>
  <si>
    <t>['gampang', 'warnanya', 'terang']</t>
  </si>
  <si>
    <t>['upgrade', 'aplikasi', 'white', 'screen']</t>
  </si>
  <si>
    <t>['apk', '']</t>
  </si>
  <si>
    <t>['mantap', 'respon', 'cepat']</t>
  </si>
  <si>
    <t>['aplikasi', 'mantap']</t>
  </si>
  <si>
    <t>['kasih', 'hadiah', 'pulsa', 'samsung', 'tambahkan', '']</t>
  </si>
  <si>
    <t>['aplikasi', 'bagus', 'mempermudah', 'pengguna', 'informasi', 'sertas', 'kejelasan', 'bahasa', 'mudah', 'dimengerti', '']</t>
  </si>
  <si>
    <t>['banyakin', 'promo', 'min', 'udah', 'telkomsel']</t>
  </si>
  <si>
    <t>['lumayan', 'gunanya']</t>
  </si>
  <si>
    <t>['jaringannya', 'lemot', 'bogor', 'aplikasinya', 'dibuka', '']</t>
  </si>
  <si>
    <t>['beli', 'pulsa', 'kuota', 'mudah']</t>
  </si>
  <si>
    <t>['telkomsel', 'gini', 'paket', 'data', 'pulsa', 'terpakai', 'kayak', 'gitu', 'pulsa', 'habis']</t>
  </si>
  <si>
    <t>['dibuka', 'aplikasinya', '']</t>
  </si>
  <si>
    <t>['provider', 'penipu', 'beli', 'aktif', 'bertambah', 'aktifnya', 'pulsa', 'potong', 'sekelas', 'bumn', 'kerjanya', 'memalukan']</t>
  </si>
  <si>
    <t>['sngat', 'memuaskan']</t>
  </si>
  <si>
    <t>['operator', 'menjual', 'pulsanya', 'maksa', 'ambil', 'pulsa', 'sepengetahuan', 'costumer', 'sistem', 'jaringan']</t>
  </si>
  <si>
    <t>['ganti', 'pdhl', 'knp', 'skrng', 'aplikasi', 'terinstal', 'knp', 'buka', '']</t>
  </si>
  <si>
    <t>['tetaplah', 'jaya', 'telkomsel', 'pokoknya', 'debes', '']</t>
  </si>
  <si>
    <t>['install', 'android', '']</t>
  </si>
  <si>
    <t>['tuuuuuuhhhhhh']</t>
  </si>
  <si>
    <t>['', 'beli', 'paket', 'combo', 'sakti', 'belinya', 'tanggal', 'november', 'tanggal', 'desember', 'gajian', 'paket', 'sda']</t>
  </si>
  <si>
    <t>['bagus', 'memenang', 'undian', '']</t>
  </si>
  <si>
    <t>['pro']</t>
  </si>
  <si>
    <t>['promo', 'combo', 'sakti', 'gb', 'hbs', 'isi', 'pulsa', 'hilang', 'mancin', 'isi', 'pulsa', 'doank', 'gimana', 'hahahhaa']</t>
  </si>
  <si>
    <t>['bagus', 'beli', 'paket', 'data', 'jalan', 'lihat', 'pemandangan', 'lihat', 'mobil', 'kijang']</t>
  </si>
  <si>
    <t>['tolong', 'perbaiki', 'sinyal', 'pengguna', 'telkomsel', 'setia', 'banget', 'sinyal', 'jelek', 'kuoata', 'kasih', 'bintang', 'sinyal', 'jelek', 'kasih', 'bintang']</t>
  </si>
  <si>
    <t>['min', 'update', 'pas', 'update', 'jaringan', 'kog', 'ilang', 'perbaiki', 'setia', 'pengguna', 'telkomsel', 'terima', 'kasih']</t>
  </si>
  <si>
    <t>['promo', 'merata', '']</t>
  </si>
  <si>
    <t>['paketan', 'mahal', 'jaringan', 'sinyal', 'simpati', 'ditengah', 'kota', 'dipinggir', 'kota', 'susah', 'jelek', 'terima', 'kasih']</t>
  </si>
  <si>
    <t>['pembelian', 'paketnya', 'harganya']</t>
  </si>
  <si>
    <t>['dikit', 'dikit', 'sistem', 'bermasalah', 'dikit', 'dikit', 'error', 'niat', 'aplikasi', 'tri', 'unggul', 'aspek', 'telkomsel', 'menang', 'jangkauan', 'doang']</t>
  </si>
  <si>
    <t>['mudah', 'membantu', 'proses', 'pelayanan', 'terima', 'kasi', '']</t>
  </si>
  <si>
    <t>['mantap', 'telkomsel']</t>
  </si>
  <si>
    <t>['paket', 'rb', 'seminggu', 'koq']</t>
  </si>
  <si>
    <t>['gabisa', 'beli', 'paket', 'apknya', 'min', 'jaringannya']</t>
  </si>
  <si>
    <t>['mahal', 'doank', 'jaringan', 'internet', 'andelin', 'telkomsel', 'parah', 'main', 'game', 'online', 'hancur', 'udah', 'emosi']</t>
  </si>
  <si>
    <t>['telkom', 'tolong', 'kembalikan', 'pulsa', 'isi', 'ulang', 'potong', 'alasan', 'pengembalian', 'pulsa', 'ngutang', 'pulsa']</t>
  </si>
  <si>
    <t>['memuaskan', 'penggunannya']</t>
  </si>
  <si>
    <t>['kartunya', 'bagus', 'banget']</t>
  </si>
  <si>
    <t>['info', 'admin', 'capek', 'cek', 'pas', 'ambil', 'hadiah', 'poin', 'tipu', 'orang', '']</t>
  </si>
  <si>
    <t>['insyaallah', 'rejeki', 'telkomsel']</t>
  </si>
  <si>
    <t>['jaringan', 'tolong', 'diperbaiki', 'dlu', 'deh', 'update', 'update', 'dlu', 'tsel', 'wlpun', 'hujan', 'smpi', 'jaringan', 'menghilang', 'skrg', 'hujan', 'jaringan', 'hilang', 'hilang', '']</t>
  </si>
  <si>
    <t>['ekspetasi', 'paket', 'jaringan', 'sukaa']</t>
  </si>
  <si>
    <t>['kuotanya', 'mehong', '']</t>
  </si>
  <si>
    <t>['amplikasi', 'telkomsel', 'buka', 'knp', 'paket', 'internet', 'rb', 'gb', 'skrng']</t>
  </si>
  <si>
    <t>['memuaskan', 'suka', 'telkomsel', 'paket', 'murah', 'terjangkau', 'pokoknya', 'the', 'best', '']</t>
  </si>
  <si>
    <t>['mempermudah', 'transaksi']</t>
  </si>
  <si>
    <t>['telkomsel', 'mantao']</t>
  </si>
  <si>
    <t>['terimakasih', 'telkomsel', 'senang', 'aplikasi', 'mudah', 'transaksi', 'mytelkomsel']</t>
  </si>
  <si>
    <t>['kocak', 'daftar', 'lgi', 'trus']</t>
  </si>
  <si>
    <t>['lengkap', 'promo', 'menarik']</t>
  </si>
  <si>
    <t>['membantu', 'informasi', 'pulsa', 'paket', 'data', 'promo']</t>
  </si>
  <si>
    <t>['terima', 'kasih', 'telkomsel', 'membantu']</t>
  </si>
  <si>
    <t>['mantap', 'transaksi', '']</t>
  </si>
  <si>
    <t>['harga', 'paket', 'data', 'beda', 'telkom', 'mahal', 'paket', '']</t>
  </si>
  <si>
    <t>['ngak', 'paket', 'murah']</t>
  </si>
  <si>
    <t>['memuaskan', 'boros', 'pulsa', 'buka', 'wifi', 'liat', 'tarif', 'internet', 'udah', 'kna', 'pulsa', 'trus', '']</t>
  </si>
  <si>
    <t>['jaringan', 'perubahan', 'buruk', 'lambat', 'tolong', 'perbaiki', 'jaringan', 'secepatnya', 'pakai', 'bermain', 'game', 'buruk', 'jaringan', 'sinyal', 'merah', 'truss', 'tolong', 'perbaiki', 'komplen', '']</t>
  </si>
  <si>
    <t>['jempolan']</t>
  </si>
  <si>
    <t>['update', 'aplikasi', 'nggak', 'dibika', 'yaa']</t>
  </si>
  <si>
    <t>['sinyalnya', 'buruk']</t>
  </si>
  <si>
    <t>['paket', 'internet', 'mahal', '']</t>
  </si>
  <si>
    <t>['sayangnya', 'kartu', 'halo', 'pindah', 'nomer']</t>
  </si>
  <si>
    <t>['makasih', 'mytelkomsel', 'belanja', 'shopee', 'mytelkomsel', 'isi', 'pulsa', 'paket', 'data', 'makasih']</t>
  </si>
  <si>
    <t>['woe', 'apl', 'bukaa', 'gue', 'beli', 'pulsa', '']</t>
  </si>
  <si>
    <t>['baguss', 'suka', 'aplikasix', '']</t>
  </si>
  <si>
    <t>['promo', 'membantu']</t>
  </si>
  <si>
    <t>['paketnya', 'mahal', 'berubah', 'paket', 'lengkap', 'internet', 'telepon', 'mahal']</t>
  </si>
  <si>
    <t>['paket', 'combo', 'sakti', 'nomor', 'udah', 'ngga', 'parah']</t>
  </si>
  <si>
    <t>['', 'kecewa', 'telkomsel', 'pinjam', 'pulsa', 'trus', 'isi', 'pulsa', 'emang', 'pulsa', 'amb', 'pas', 'isi', 'lag', 'ngk', 'kurangi', 'kurangi', 'gimana', 'dosa']</t>
  </si>
  <si>
    <t>['memuaskan', 'mohon', 'paket', 'bulanan', 'murah', 'unlimited', 'sepuas', 'terkomsel', 'terdepan', 'mumuaskan', 'pelanggan', 'sukses', 'telkomsel', 'terimakasih']</t>
  </si>
  <si>
    <t>['hatiku', 'senang', '']</t>
  </si>
  <si>
    <t>['beli', 'kuota', 'internet', 'mudah', 'cepat', 'hrs', 'rumah', 'top', 'mytelkomsel', 'mytelkomsel', '']</t>
  </si>
  <si>
    <t>['maaf', 'yaa', 'knpa', 'stiap', 'isi', 'paket', 'internet', 'option', 'paketan', 'internet', 'cuman', 'internet', 'malam', 'giga', 'max', 'music', 'aneh', 'upgrade', 'apk', 'sedih', 'kecewa', 'duh', 'gimnaa', 'zoom', 'isi', 'paket', '']</t>
  </si>
  <si>
    <t>['bagus', 'bangat', 'skali', 'skali', 'kasih', 'kouta', 'gratis']</t>
  </si>
  <si>
    <t>['mudahkan', 'beli', 'cek', 'pulsa', 'dll', 'membantu', '']</t>
  </si>
  <si>
    <t>['knv', 'aplikasi', 'telkomsel', 'susah', 'buka', 'gangguan', 'atw', 'gmna']</t>
  </si>
  <si>
    <t>['membantu', 'memuaskan', '']</t>
  </si>
  <si>
    <t>['aplikasih', 'tolong', 'diginian', 'thn', 'pengguna', 'aplikasi', '']</t>
  </si>
  <si>
    <t>['telkomsel', 'keseringan', 'nyedot', 'pulsa', 'pulsa', 'hilang', 'meresahkan']</t>
  </si>
  <si>
    <t>['kasih', 'bintang', 'maaf', 'sinyalnya', 'suka', 'jelek', 'daerah', 'cpi', 'soreang']</t>
  </si>
  <si>
    <t>['tolong', 'kuota', 'nol', 'nyedot', 'pulsa']</t>
  </si>
  <si>
    <t>['', 'aliran', 'listrik', 'mati', 'sinyal', 'telkomsel', '']</t>
  </si>
  <si>
    <t>['maaf', 'telkomsel', 'kelar', 'kpn', 'bln', 'sinyal', 'hilang', 'koq', 'parah', '']</t>
  </si>
  <si>
    <t>['', 'telkomsel', 'membantu']</t>
  </si>
  <si>
    <t>['semangat', 'cek', 'telkomsel', 'semoga', 'brilio']</t>
  </si>
  <si>
    <t>['', 'telkomsel', 'pengguna', 'telkomsel', 'sulit', 'diperbaharui', 'diversi', '']</t>
  </si>
  <si>
    <t>['simpati', 'low', 'signal']</t>
  </si>
  <si>
    <t>['kasih', 'bintang', 'karna', 'mudah', 'penggunaan', 'sembari', 'berharap', 'jaringan', 'telkomsel', 'erah', 'lancar', 'karna', 'bnyak', 'pngguna', 'tsel', 'plosok', 'sulitan', 'dngan', 'jaringan', 'trim', 'tsel', 'berjaya', 'slalu', '']</t>
  </si>
  <si>
    <t>['jaringan', 'kek', 'taikkkk', '']</t>
  </si>
  <si>
    <t>['promo', 'yach']</t>
  </si>
  <si>
    <t>['bagus', 'sayang', 'undian']</t>
  </si>
  <si>
    <t>['harga', 'kuota', 'masuk', 'akal', '']</t>
  </si>
  <si>
    <t>['payah', 'kuota', 'multimedia', 'lemot', 'pelanggan', 'mersa', 'kecewa', '']</t>
  </si>
  <si>
    <t>['terimakasih', 'telkomsel', 'hemat', 'pemakaian', 'data', 'mudah', 'murah']</t>
  </si>
  <si>
    <t>['puasa', 'mytelkomsel', 'mempermudah', 'sya', '']</t>
  </si>
  <si>
    <t>['hebat', 'paket', 'malamnya', 'dihilangin', 'besok', 'dihilangin']</t>
  </si>
  <si>
    <t>['bagus', 'app', 'suka', 'kadang', 'paket', 'hilang', 'update']</t>
  </si>
  <si>
    <t>['pakai', 'smartphone', 'xiaomi', 'redmi', 'prime', 'skrg', 'upgrade', 'pakai', 'xiaomi', 'redmi', 'ram', 'rom', 'gb', 'gb', 'mei', 'detik', 'aplikasi', 'berjalan', 'ringan', 'mulus', 'kendala', 'daily', 'check', 'karna', 'pakai', 'kartu', 'tsel', 'beralih', 'kartu', 'loading', 'inisiatif', 'tutup', 'aplikasi', 'buka', 'langsung', 'joss', 'berhasil', 'lancar', 'mmg', 'app', 'cocok', 'dianjurkan', 'smartphone', 'powerful', 'kaleng', 'kaleng', '']</t>
  </si>
  <si>
    <t>['mahal', 'mahal', 'harganya']</t>
  </si>
  <si>
    <t>['sya', 'terbantu']</t>
  </si>
  <si>
    <t>['pelayanannya', 'memuaskan']</t>
  </si>
  <si>
    <t>['kartu', 'terkomsel', 'sinyalnya', 'jelek', 'banget', 'ganti', 'indosat', 'semenjak', 'tower', 'telkomsel', 'rumah', 'kartu', 'indosat', 'jelek', 'sinyalnya', 'sekalinya', 'beli', 'kuota', 'telkomsel', 'mahal', 'banget', 'cepet', 'abis', 'indosat', 'beli', 'telkomsel', 'beli', 'nyanpe', 'seminggu', 'abis', 'mahal', 'banget', 'meras', 'turunin', 'harga', 'paket', 'dasar', 'telkomsel', 'payah', 'mahal', 'doang']</t>
  </si>
  <si>
    <t>['lambat', 'banget', 'buka', 'aplikasinya', 'kasih', 'bintang', 'udah', 'cepet', 'kasih', '']</t>
  </si>
  <si>
    <t>['', 'banyakin', 'discon', '']</t>
  </si>
  <si>
    <t>['tingkatkan', 'promosiny']</t>
  </si>
  <si>
    <t>['nomer', 'telkomsel', 'ditawarin', 'halo', 'pascabayar', 'ambilah', 'alasannya', 'prabayar', 'paket', 'habis', 'pulsa', 'auto', 'nol', 'kesedot', 'internet', 'nyala', 'provider', 'pinter', 'paket', 'habis', 'internet', 'mati', 'pulsa', 'diambil', 'pascabayar', 'bayar', 'make', 'internet', 'hidup', 'dipake', 'kecuali', 'jadiin', 'hape', 'setrika', 'yaudah', 'nikmatin', 'nyari', 'mahal', 'pilih', 'telkomsel', 'pilih', 'kualitas', 'murah', '']</t>
  </si>
  <si>
    <t>['sip', 'mantap', 'guys']</t>
  </si>
  <si>
    <t>['aplikasi', 'susah', 'skli', 'buka', 'kemari', 'aplikasi', 'parah', 'telkomsel']</t>
  </si>
  <si>
    <t>['sinyal', 'bagus', 'bandingkan', 'harga', 'mahal', 'kualitas']</t>
  </si>
  <si>
    <t>['terima', 'kasih', 'telkomsel']</t>
  </si>
  <si>
    <t>['murah', 'mahal', '']</t>
  </si>
  <si>
    <t>['bintang', 'bicara']</t>
  </si>
  <si>
    <t>['membantu', 'semoga', 'berkembang', 'terbaik', 'nasabah', 'pelit', '']</t>
  </si>
  <si>
    <t>['paketnya', 'mahal', 'tolong', 'kembalikan', 'combo', 'unlimited', 'butuh', 'paket', 'internet', 'harga', 'mahal', '']</t>
  </si>
  <si>
    <t>['', 'support', 'android', 'install']</t>
  </si>
  <si>
    <t>['alhamdulillah', 'emang', 'telkomsel', 'murah', 'paket', 'data']</t>
  </si>
  <si>
    <t>['memudahkan', 'dlm', 'penggunaan', '']</t>
  </si>
  <si>
    <t>['hadiah', 'pengguna']</t>
  </si>
  <si>
    <t>['loging']</t>
  </si>
  <si>
    <t>['terbantu', 'mudah', 'terjangkau']</t>
  </si>
  <si>
    <t>['aplikasinya', 'bagus', 'bangett', 'wajib', 'downlod']</t>
  </si>
  <si>
    <t>['berfungsi', 'banget']</t>
  </si>
  <si>
    <t>['telkomsel', 'mantap']</t>
  </si>
  <si>
    <t>['semoga', 'beruntung']</t>
  </si>
  <si>
    <t>['semoga', 'aflikasi', 'membantu']</t>
  </si>
  <si>
    <t>['lemot', 'sinyal', '']</t>
  </si>
  <si>
    <t>['pelayanan', 'mudah', 'sya', 'pemenang', 'dri', 'undian', 'hadiah', 'telkomsel', 'terimakasih', 'telkomsel', 'terbaik']</t>
  </si>
  <si>
    <t>['mempermudah', 'info']</t>
  </si>
  <si>
    <t>['mohon', 'telkom', 'alesan', 'apk', 'buka', 'aktifin', 'paket', 'kali', 'sekrang', 'update', 'parah', 'memperbagus', 'nambah', 'hadeeeh', 'udah', 'gajelas', 'telkom', '']</t>
  </si>
  <si>
    <t>['menang', 'undian', 'menang', 'unit', 'motor', 'kasih', 'banga']</t>
  </si>
  <si>
    <t>['bagus', 'murah', 'harga', 'dimurahkn', '']</t>
  </si>
  <si>
    <t>['suka', 'membantu']</t>
  </si>
  <si>
    <t>['sinyal', 'parah']</t>
  </si>
  <si>
    <t>['alhamdulillah', 'apk', 'membantu']</t>
  </si>
  <si>
    <t>['gua', 'turunin', 'bintang', 'bintang', 'beli', 'paket', 'malem', 'sebulan', 'versi', 'gabisa', 'udh', 'gitu', 'kaitkan', 'email', 'susahnya', 'ampun', 'ampas', 'bener', 'mahal', 'doang', 'gua', 'turunin', 'bintang', 'udh', 'nerima', 'sms', 'paket', 'berhasil', 'beli', 'bayar', 'tbtb', 'liat', 'apk', 'tsel', 'blm', 'masuk', 'paketan', 'pulsa', 'kesedot', 'alhasil', 'gua', 'beli', 'pulsa', 'dasar', 'sampah', 'kartu', 'mahal', 'sinyal', 'sampah', 'kartu', 'mahal', 'sinyal', 'kampung', 'kartu', 'mahal', 'sinyal', 'payah']</t>
  </si>
  <si>
    <t>['knp', 'telkomsel', 'pembaruan', 'customer', 'trus', 'paket', 'data', 'harga', 'paket', 'darurat', 'knp', 'diapus', 'pdhl', 'membantu', 'bnget', 'pas', 'tgl', 'tua', 'pas', 'paket', 'data', 'abis', 'mendadak', 'plislah', 'beritau', 'ato', 'balikin', 'kek', 'udh', 'pengguna', 'kali', 'kecewa']</t>
  </si>
  <si>
    <t>['link', 'login', 'eror', 'teros', 'males', 'deh', '']</t>
  </si>
  <si>
    <t>['update', 'bjir']</t>
  </si>
  <si>
    <t>['ndk', 'bsa', 'bukak', 'aplikasi', 'tolong', 'perbaiki', 'sya', 'pengguna', 'setia', 'telkomsel']</t>
  </si>
  <si>
    <t>['mencakup', 'aplikasi', 'mudah', 'menggunakannya']</t>
  </si>
  <si>
    <t>['parah', 'ancur', 'eror']</t>
  </si>
  <si>
    <t>['', 'telkomsel', 'mengecewakanku', 'maju', 'kemajuan', 'tekhnologi', 'modern']</t>
  </si>
  <si>
    <t>['beli', 'paket', 'sistem', 'gangguan', 'mulu', 'jaringan', 'kocak', 'mati']</t>
  </si>
  <si>
    <t>['', 'kaget', 'isi', 'pulsa', 'rb', 'ditambah', 'sisa', 'pulsa', 'tottal', 'pulsa', 'ketipu', 'aplikasi', 'telkomsel', 'membeli', 'paket', 'seharga', 'pulsa', 'mencukupi', 'ingatkan', 'hati', 'hati', 'jujur', 'hancur', '']</t>
  </si>
  <si>
    <t>['mudah', 'mengakses', 'data', 'kartu', 'telkomsel', '']</t>
  </si>
  <si>
    <t>['lemot', 'jaringan', '']</t>
  </si>
  <si>
    <t>['aplikasi', 'membantu']</t>
  </si>
  <si>
    <t>['kenapah', 'sayah', 'bis', 'masuk', 'membeli', 'paket', '']</t>
  </si>
  <si>
    <t>['maaf', 'boss', 'signal', 'simpati', 'kemana', 'woi', 'daerah', 'sleman', 'gag', 'signal', 'simoeti', 'gag', 'mutu', 'simpati', 'udah', 'pelanggan', 'kesini', 'busuk', 'simpati']</t>
  </si>
  <si>
    <t>['paket', 'combo', 'sakti', 'mahal']</t>
  </si>
  <si>
    <t>['mahal', 'banget', 'gokil']</t>
  </si>
  <si>
    <t>['kartu', 'sakti', 'paket', 'murah', 'beli', 'langsung', 'berubah', 'telkomsel', 'nipu', 'langsung', 'kenpa', 'beli', 'paket', 'ubah', 'udah', 'mahal', 'mahal', 'beli', 'kartu', 'sakti', 'paket', 'murah', 'udah', 'beli', 'langsung', 'berubah', 'ngak', 'ngotak', 'kali', 'beli', 'akui', 'telkosel', 'terbaik', 'sinyal', 'layanan', 'mahal', 'gini', 'auto', 'ganti', 'kartu', 'mohon', 'perbaiki', 'telkomsel', 'mohon', 'tanggapanya', '']</t>
  </si>
  <si>
    <t>['susah', 'kali', 'masuknya', '']</t>
  </si>
  <si>
    <t>['woy', 'baikin', 'sinyal', 'napa', 'nambah', 'ngeleg', 'bagus', '']</t>
  </si>
  <si>
    <t>['mantap', 'sinyal', 'bagus']</t>
  </si>
  <si>
    <t>['beli', 'paket', 'udah', 'kaga', 'selesai', 'selesai']</t>
  </si>
  <si>
    <t>['telkomsel', 'butuh', 'ulasan', 'lelet', 'super', 'kesal', 'udah', 'ketebak', 'ending', 'gpain', 'perjlas', 'lgi', 'telkomsel', 'jaringan', 'lelet', 'harapkan', 'sehari', 'sya', 'restand', 'hape', 'jaringan', 'normal', '']</t>
  </si>
  <si>
    <t>['jaringan', 'kaya', 'burik', 'mahal', 'doang', 'main', 'game', 'lag', 'malu', 'jaringn', 'sebelah', 'bebas', 'ganti', 'kartu', 'udh', 'ganti', '']</t>
  </si>
  <si>
    <t>['coba', 'bnerin', 'maen', 'lag', 'trus', 'stabil', 'skali', 'ping', 'parah', 'smpek', 'gerak']</t>
  </si>
  <si>
    <t>['tunggu', 'hadiah']</t>
  </si>
  <si>
    <t>['jaringan', 'stabil', 'nyamam', 'pelanggan', 'setia', 'telkomsel', 'semoga', 'telkomsel', 'terbaik', 'pelanggannya']</t>
  </si>
  <si>
    <t>['terima', 'kasih', 'layanan', 'semoga', 'kedepannya', 'terbaik', 'semangat', 'telkomsel']</t>
  </si>
  <si>
    <t>['puas', 'pengapian', 'nomor', 'penjelasan', 'sesuai', 'penjelasan', 'bagus']</t>
  </si>
  <si>
    <t>['bagus', 'sinyal', 'pengoperasian', 'aplikasinya']</t>
  </si>
  <si>
    <t>['pulsa', 'kesedot', 'kuota', 'multimedianya', 'gb', '']</t>
  </si>
  <si>
    <t>['suka', 'mytelkomsel']</t>
  </si>
  <si>
    <t>['anjeeeng', 'telkomsel', 'sinyal', 'ngeleg', 'main', 'mobile', 'legend', 'kota', 'palembang', 'sinyal', 'ngentod', 'paket', 'udah', 'mahal', 'beli', 'baabi']</t>
  </si>
  <si>
    <t>['jaringan', 'cacad']</t>
  </si>
  <si>
    <t>['kuota', 'ketengan', 'hilangkan', 'paket', 'zoom', 'pendidikan', 'nonton', 'film']</t>
  </si>
  <si>
    <t>['jaringan', 'tail', 'tlong', 'tower']</t>
  </si>
  <si>
    <t>['sulit', 'login', 'pengguna', 'mifi', 'terkoneksi', 'wifi', 'terkadang', 'voucer', 'isi', 'ulang', 'voucer', 'fisik', 'kadang', 'system', 'sibuk', 'coba', 'terkadang', 'sinyal', 'upload', 'lbih', 'rendah', 'sinyal', 'download', 'mengakibatkan', 'gagal', 'terkoneksi', 'web', 'contoh', 'chrome', 'mobile', 'hujan', 'sinyal', 'bar', 'turun', 'tolong', 'perbaiki', 'pengguna', 'setia', 'telkomsel', 'lbh', 'thn']</t>
  </si>
  <si>
    <t>['aplikasi', 'buka', 'payaaah']</t>
  </si>
  <si>
    <t>['tolong', 'perbaiki', 'telkomsel', 'pulsa', 'kesedot', 'pakai', 'paket', 'telpon']</t>
  </si>
  <si>
    <t>['sinyal', 'wilayah', 'semampir', 'surabaya', 'lemot']</t>
  </si>
  <si>
    <t>['sinyal', 'kek', 'kintil', 'harga', 'paketan', 'selangit', 'sinyal', 'busuk', 'ngakunya', 'provider', 'bagus']</t>
  </si>
  <si>
    <t>['parah', 'jaringan', 'jelek', 'banget']</t>
  </si>
  <si>
    <t>['apk', 'rusak', '']</t>
  </si>
  <si>
    <t>['tolong', 'jaringan', 'telkomsel', 'buruk', 'beralih', 'telkomsel', 'perbaiki', 'jaringan', '']</t>
  </si>
  <si>
    <t>['', 'pulsa', 'dipotong', 'muluk', 'sial', 'pindah', 'kartu']</t>
  </si>
  <si>
    <t>['dear', 'telkomsel', 'clickbaitnya', 'tolong', 'dikurangin', 'ngasi', 'info', 'jan', 'stengah', 'org', 'merugi', 'salah', 'info', 'paket', 'dibeli', 'gitu', 'mainnya', '']</t>
  </si>
  <si>
    <t>['paketane', 'larang']</t>
  </si>
  <si>
    <t>['telkomsel', 'mohon', 'perbaiki', 'layanan', 'kuota', 'youtube', 'unlimited', 'kuota', 'utama', 'telkomsel', 'kesedot', '']</t>
  </si>
  <si>
    <t>['mengalami', 'apapun', 'jaringan', 'kadang', 'bagus', '']</t>
  </si>
  <si>
    <t>['paket', 'mahal', 'user', 'paket', 'murah', 'user', 'etis']</t>
  </si>
  <si>
    <t>['jaringannya', 'jelek', 'banget', '']</t>
  </si>
  <si>
    <t>['paket', 'internet', 'mahal']</t>
  </si>
  <si>
    <t>['aplikasi', 'berbobot', 'login', 'bye']</t>
  </si>
  <si>
    <t>['semoga', 'menang', 'undian', 'amin']</t>
  </si>
  <si>
    <t>['praktis', 'menghemat']</t>
  </si>
  <si>
    <t>['perbaikan', 'jaringan', 'kalah', '']</t>
  </si>
  <si>
    <t>['']</t>
  </si>
  <si>
    <t>['', 'telkomsel', 'mantap', 'bagus', '']</t>
  </si>
  <si>
    <t>['pilihan', 'pelayanan', 'memuaskan']</t>
  </si>
  <si>
    <t>['paket', 'mahal', 'imbangi', 'kecepatan', 'internet', '']</t>
  </si>
  <si>
    <t>['layanan', 'jaringan', 'telkomsel', 'menurun', 'didaerah', 'titik', 'internetan', 'leletnya', 'ampuuuuunn', '']</t>
  </si>
  <si>
    <t>['woiii', 'telkomsel', 'tlong', 'perbaiki', 'jaringan', 'ngapa', 'lelet', 'propider', 'indonesia', 'kasih', 'terbaik', 'mundur', 'deh', 'mengecewakan', 'pelanggan', 'jringan', 'kek', 'gini', 'pdhal', 'lelet', 'ksih', 'bintang', 'gue', 'ksih', 'bntang', 'skali', '']</t>
  </si>
  <si>
    <t>['tolong', 'admin', 'telkomsel', 'saldo', 'pulsa', 'dri', 'pembelian', 'paket', 'sisa', 'saldo', 'terkuras', '']</t>
  </si>
  <si>
    <t>['jaringan', 'telkomsel', 'kesini', 'parah', 'mikirin', 'pengguna', 'cuan', 'lancar', 'sanggup', 'bebenah', 'jaringannya', 'mending', 'tutup', 'bos', 'jaringan', 'telkomsel', 'orang', 'kecewa', 'jaringan', 'jelek', '']</t>
  </si>
  <si>
    <t>['terbantu', 'telkomsel', 'terima', 'kasih', 'telkomsel']</t>
  </si>
  <si>
    <t>['tolong', 'agen', 'telkomsel', 'direndahkan', 'harga', 'paketnya', 'harganya', '']</t>
  </si>
  <si>
    <t>['susah', 'dibukanya']</t>
  </si>
  <si>
    <t>['maling', 'tolol', 'paket', 'darurat', 'udah', 'lunas', 'agustus', 'samp', 'motong', 'pulsa', 'tagihan', 'pulsa', 'darurat', 'dasar', 'maling', 'tolol', '']</t>
  </si>
  <si>
    <t>['jaringan', 'internet', 'lemot', 'turuni', 'bintang']</t>
  </si>
  <si>
    <t>['telkomsel', 'tolong', 'baca', 'pahami', 'perbaiki', 'keluhan', 'keluhan', 'pelanggan', 'setia', '']</t>
  </si>
  <si>
    <t>['kesini', 'jaringannya', 'kecewa', 'aahh']</t>
  </si>
  <si>
    <t>['aplikasi', 'payah', 'lemot', 'masuk', 'belanja', 'system', 'error', 'sekelas', 'telkomsel', 'pelayanan', 'mengecewakan', '']</t>
  </si>
  <si>
    <t>['sinyal', 'telkomsel', 'lemot', 'tolong', 'perbaiki', '']</t>
  </si>
  <si>
    <t>['pulsaku', 'gratis', 'data', 'gb', 'habiskan', 'pulsamu', 'telkomsel', 'sedot', 'pulsa', 'sedot', 'data', 'gratis', 'telkomsel', 'ketipu', 'berulang', 'kali', 'oke', '']</t>
  </si>
  <si>
    <t>['pembayaran', 'lengkap', 'pakai', 'linkaja', 'pulsa', 'pakai', 'dana', 'ovo', 'gopay', 'top', 'pulsa', 'disediakan', 'alat', 'bayar', 'linkaja', 'pakai', 'dana', '']</t>
  </si>
  <si>
    <t>['mytelkomsel', 'update', 'bersihkan', 'trus', 'buka', 'aplikasi', 'buka', 'ngeblank', 'gambar', 'mohon', 'bantuan', 'donk', '']</t>
  </si>
  <si>
    <t>['telkomsel', 'dimana', 'sinyal', 'sllu', '']</t>
  </si>
  <si>
    <t>['pindah', 'murah', 'rada', 'lemot', 'gapapa', 'tpi', 'jarang', 'gangguan']</t>
  </si>
  <si>
    <t>['login', 'aplikasi', 'telkomsel', 'suara', 'brisik', '']</t>
  </si>
  <si>
    <t>['tolong', 'jaringan', 'bagusin', 'hilang', 'hilang', 'timbul', 'telkomsel', 'pengen', 'pindah', 'operator', 'tolong', 'jaringan']</t>
  </si>
  <si>
    <t>['kekuatan', 'sinyal', 'daerah', 'tingkatkan', 'kekuatan', 'sinyal', 'ibukota']</t>
  </si>
  <si>
    <t>['paket', 'mahal', 'jaringan', 'game', 'macem']</t>
  </si>
  <si>
    <t>['tingkatkan', 'pelayanan', 'terbaik']</t>
  </si>
  <si>
    <t>['', 'kelurahan', 'semper', 'barat', 'jakarta', 'utara', 'sinyalnya', 'lemah', 'malam', 'tolong', 'tingkatkan', 'perbaiki', 'sinyalnya', 'sinyalnya', 'loyo', 'kuning', 'kuat', 'sinyalnya', 'terbesar', 'loyo']</t>
  </si>
  <si>
    <t>['parah', 'signal', 'telkomsel']</t>
  </si>
  <si>
    <t>['sinyal', 'telkomsel', 'kesini', 'burik', 'mabar', 'merah', 'minus', 'penilainku', 'telkomsel']</t>
  </si>
  <si>
    <t>['aduh', 'jelek', 'gini', 'notip', 'kuata', 'abis', 'pulsanya', 'ikutan', 'ilang', 'riwatnya', 'pulsa', 'kepake', 'knpa', 'ilang', 'sendri', 'ahh']</t>
  </si>
  <si>
    <t>['bahasa', '']</t>
  </si>
  <si>
    <t>['gaada', 'gambar', 'halaman', 'utama', 'gabisa', 'reload', 'suram', 'main', 'game', 'ganshin', 'impac', 'delay', 'tsel', '']</t>
  </si>
  <si>
    <t>['aplikasi', 'keren', 'membantu']</t>
  </si>
  <si>
    <t>['', 'mudah', 'membantu']</t>
  </si>
  <si>
    <t>['pengguna', 'simpati', 'sinyal', 'kampung', 'sulittttttttt', 'kalah', 'provider', 'harga', 'paketan', 'mahal', 'sesuai', 'sinyal', 'android', 'serasa', 'jadul', '']</t>
  </si>
  <si>
    <t>['jrngan', 'tolong', 'perkuat']</t>
  </si>
  <si>
    <t>['kasi', 'bintang', 'masi', 'mencoba', 'aplikasi']</t>
  </si>
  <si>
    <t>['stabil', 'parah', 'banget', 'telkomsel', 'hello', 'telkomsel', 'pindah', 'operator', 'paket', 'mahal', 'jaringan', 'lemot', 'parah', '']</t>
  </si>
  <si>
    <t>['sok', 'paket', 'game', 'dipake', 'ngelag', 'lolot']</t>
  </si>
  <si>
    <t>['min', 'tolong', 'koneksi', 'internetnya', 'perbaiki', 'daerah', 'ciwidey', 'bandung', 'koneksi', 'internetnya', 'eror', 'stabil', 'sinyal', 'full', 'main', 'game', 'ngeleg', 'kayak', 'gini', 'setia', 'telkomsel', 'berpaling', 'buktikan', 'slogan', 'terima', 'kasih']</t>
  </si>
  <si>
    <t>['mangtapss', 'semangat', 'semoga', 'kru', 'team', 'telkomsel', 'diberkati']</t>
  </si>
  <si>
    <t>['tolong', 'harga', 'paket', 'internet', 'murah', 'jaman', 'susah']</t>
  </si>
  <si>
    <t>['suka', 'suka', 'suka']</t>
  </si>
  <si>
    <t>['telkomsel', 'suka', 'prank', 'masuk', 'aplikasih', 'loading', 'jam', 'eror', '']</t>
  </si>
  <si>
    <t>['pengguna', 'setia', 'simpati', 'kali', 'simpati', 'internetnya', 'lemah', 'tolong', 'perbaiki', '']</t>
  </si>
  <si>
    <t>['aplikasinya', 'sngat', 'bgus']</t>
  </si>
  <si>
    <t>['', 'telkomsel', 'stlh', 'mnta', 'update', 'dibk', 'udh', 'uninstal', 'trs', 'download', 'lgi', 'ttp', 'aza', 'dibuka', '']</t>
  </si>
  <si>
    <t>['bagus', 'danterjangkau']</t>
  </si>
  <si>
    <t>['gamers', 'kartu', 'rekomendasi', 'game', 'musuh', 'jaringan', 'merah', 'teruss', 'tol', '']</t>
  </si>
  <si>
    <t>['jaringannya', 'buruk', 'daerah', '']</t>
  </si>
  <si>
    <t>['lengkap', 'beda', 'telkomsel', '']</t>
  </si>
  <si>
    <t>['bagus', 'bagus']</t>
  </si>
  <si>
    <t>['oke', 'banget', 'layanan', 'lihat', 'kouta', 'bagus']</t>
  </si>
  <si>
    <t>['jangkauan', 'sinyal', 'lumayan', 'bagus', 'tingkatkan', 'area', 'plosok']</t>
  </si>
  <si>
    <t>['mantep', 'apk']</t>
  </si>
  <si>
    <t>['kang']</t>
  </si>
  <si>
    <t>['aplikasi', 'sampah', 'gangguan', 'beda', '']</t>
  </si>
  <si>
    <t>['paket', 'unlimitenya', 'lemot']</t>
  </si>
  <si>
    <t>['baikk', 'sekalii']</t>
  </si>
  <si>
    <t>['tailasoooooo', 'ngelag', 'ajg', 'mahal', 'doank', 'taiiii']</t>
  </si>
  <si>
    <t>['top', 'markotop', 'mudah']</t>
  </si>
  <si>
    <t>['gimana', 'internet', 'salah', 'mahal', 'wifi', 'jaringan', 'diperhatikan', 'tolong', 'min', 'pusat', 'wilayah', 'palembang', 'sebrang', 'ulu', 'bagusin', 'lgi', 'sinyal', 'gimana', 'maju', 'internet', 'mahal', 'jaringan', 'nygk', 'diperhatikan', 'konsumen', 'kecewa', 'tolong', 'dibantu', 'bagusin', 'jaringannya', 'jng', 'cuan', 'ngalir', 'jaringan', 'lelet']</t>
  </si>
  <si>
    <t>['telkomsel', 'sinyal', 'burik']</t>
  </si>
  <si>
    <t>['jaringannya', 'lemot', '']</t>
  </si>
  <si>
    <t>['pas', 'bayar', 'nggak']</t>
  </si>
  <si>
    <t>['mudah', 'beli', 'kuota', 'hemat']</t>
  </si>
  <si>
    <t>['beli', 'game', 'max', 'gb', 'kuota', 'utama', 'abis', 'sisa', 'gb', 'gabisa', 'dipakai', 'game', 'coba', 'beli', 'mahal', 'gb', 'doang', 'bad', '']</t>
  </si>
  <si>
    <t>['murah', 'nampol', 'ndasmu', 'perbaiki', 'system', 'knp', 'kalah', 'ama', 'kuning', '']</t>
  </si>
  <si>
    <t>['mantap', 'murah', 'murah']</t>
  </si>
  <si>
    <t>['paket', 'data', 'mahal', 'jaringan', 'stabil', 'daftar', 'apk', 'vidio', 'berpungsi', 'kalah', '']</t>
  </si>
  <si>
    <t>['telkomsel', 'mahal', 'doang', 'tpi', 'kualits', 'jaringan', 'jelek', '']</t>
  </si>
  <si>
    <t>['sudh', 'koneksi', 'buruk', 'parah']</t>
  </si>
  <si>
    <t>['aplikasi', 'melaku', 'tukar', 'poin', 'gagal', 'pembayaran', 'blum', 'berhasil', 'udh', 'sya', 'coba', 'berulng', 'kli', 'sya', 'penguna', 'telkomsel', 'mersa', 'cewa', 'apk', 'tolong', 'perbaiki', 'lgi']</t>
  </si>
  <si>
    <t>['okeeeeeeeh', 'banget', '']</t>
  </si>
  <si>
    <t>['kesini', 'jelek', 'kualitas', 'sinyalnya', 'ojol', 'buka', 'aplikasi', 'shopeedriver', 'loading', 'dicoba', 'provider', 'lancar', 'jaya']</t>
  </si>
  <si>
    <t>['tolong', 'perbaiki']</t>
  </si>
  <si>
    <t>['lag', 'mulu', 'blok', 'main', '']</t>
  </si>
  <si>
    <t>['jaya', 'trus', 'telcomsel', 'tolong', 'ditingkatkan', 'kualitas', 'signal', 'area', 'krna', 'pengguna', 'telcomsel', 'diarea', 'oke']</t>
  </si>
  <si>
    <t>['tolong', 'pisah', 'paket', 'data', 'pulsa', 'kartu', '']</t>
  </si>
  <si>
    <t>['membeli', 'data', 'internet']</t>
  </si>
  <si>
    <t>['coba', 'internet']</t>
  </si>
  <si>
    <t>['perbarui', 'aplikasi', 'buka', 'gimana']</t>
  </si>
  <si>
    <t>['membantu', '']</t>
  </si>
  <si>
    <t>['signal', 'hujan', 'mendung', 'jelek', 'banget', 'kayak', 'telkomsel', 'kehilangan', 'signal', 'parah', 'banget']</t>
  </si>
  <si>
    <t>['aplikasinya', 'buka', 'kemarin', '']</t>
  </si>
  <si>
    <t>['memuaskan', 'pengguna', 'telkomsel', 'ayo', 'instal', '']</t>
  </si>
  <si>
    <t>['kuota', 'paket', 'mahal', 'sinyal', 'klu', 'bangkrut', 'donk']</t>
  </si>
  <si>
    <t>['nambah', 'jelek', 'jaringanya', 'jaringan', 'dibenarin', 'bwt', 'ngegame', 'lag']</t>
  </si>
  <si>
    <t>['membantu', 'makasih', 'telkomsel', '']</t>
  </si>
  <si>
    <t>['lemottttttt', 'udah', 'mahal']</t>
  </si>
  <si>
    <t>['trimakasih', 'sgala', 'kmudahan', 'transaksi', 'aplikasi']</t>
  </si>
  <si>
    <t>['poin', 'tukar', 'pulsa', 'data', 'poin']</t>
  </si>
  <si>
    <t>['sinyal', 'telkomsel', 'karuan', 'kuota', 'sinyal', 'bagus', 'koneksi', 'internet', 'tlfn']</t>
  </si>
  <si>
    <t>['jaringannya', 'berek', 'sayang']</t>
  </si>
  <si>
    <t>['poin', 'telkomsel', 'mohon']</t>
  </si>
  <si>
    <t>['paket', 'doang', 'mahal', 'sinyal', 'berek']</t>
  </si>
  <si>
    <t>['lumayan', 'enak', 'lelet', 'blom', 'kasi', 'bintang', '']</t>
  </si>
  <si>
    <t>['layar', 'putih', 'trs', 'knpa']</t>
  </si>
  <si>
    <t>['telkomsel', 'dibanggakan', 'ntah', 'sekrang', 'membagongkan', 'sinyal', 'best', 'beast', 'tolonglah', 'diperbaiki', 'dengarlah', 'keluhan', 'pengguna', '']</t>
  </si>
  <si>
    <t>['oke', 'bagus']</t>
  </si>
  <si>
    <t>['lemot', 'beda', 'myim', 'myxl', 'konsumen', 'bykan', 'telkomsel', 'kualiatas', 'tolong', 'perbaiki', '']</t>
  </si>
  <si>
    <t>['mohon', 'paket', 'telpon', 'murah', '']</t>
  </si>
  <si>
    <t>['aplikasi', 'ngawur', 'beli', 'kuota', 'giliran', 'maling', 'pulsa', 'cepet', '']</t>
  </si>
  <si>
    <t>['lowding']</t>
  </si>
  <si>
    <t>['knpa', 'jaringannya', 'hilang', 'hilang', 'mulu']</t>
  </si>
  <si>
    <t>['promonya', 'mahal', 'pelit', 'pelit', 'woyy']</t>
  </si>
  <si>
    <t>['', 'telkomsel', 'indonesia', 'aktifin', 'paket', 'omg', 'bulana', 'tanggal', 'off', 'tnggal', 'mksdnya', '']</t>
  </si>
  <si>
    <t>['macet', 'sinyalnya', 'mohon', 'diperbaiki', 'karna', 'pelanggan', 'setia', 'telkomsel', 'terimakasih']</t>
  </si>
  <si>
    <t>['bagus', 'bsa', 'hemat']</t>
  </si>
  <si>
    <t>['dapet', 'kuota', 'gratis', 'daftar', 'pokoknya', 'keren', 'banget', '']</t>
  </si>
  <si>
    <t>['pakai', 'kartu', 'telkomsel', 'jaringannya', 'okeee', 'cus', '']</t>
  </si>
  <si>
    <t>['membantu', 'memudahkan']</t>
  </si>
  <si>
    <t>['gimana', 'jaringanya', 'pas', 'main', 'sinyal', 'merah', 'kuota', 'mohonn', 'dipertimbangkan', 'ganti', 'kartu']</t>
  </si>
  <si>
    <t>['mudah', 'cepat']</t>
  </si>
  <si>
    <t>['knp', 'telkomsel', 'lemot', 'wilayah', 'sya', 'pdahal', 'pelanggan', 'setia', 'telkomsel', 'aplikasi', 'jga', 'loading', 'lelet']</t>
  </si>
  <si>
    <t>['jarang', 'promo', 'nomorku']</t>
  </si>
  <si>
    <t>['mantap', 'aplikasinya', 'suka', 'sukaaaaaaaaaaaaasaaaaaaa']</t>
  </si>
  <si>
    <t>['sumpah', 'telkomsel', 'jelek', 'signal', 'kalah', 'provider', 'sebelah']</t>
  </si>
  <si>
    <t>['telkomsel', 'jual', 'kuota', 'mahal', 'ngapa', 'ngga', 'setara', 'jari', 'ngaya', 'lemot', 'harga', 'kuota', 'mahal']</t>
  </si>
  <si>
    <t>['cuaca', 'sinyal', 'normal', 'telkomsel', 'joss', '']</t>
  </si>
  <si>
    <t>['hafiah', '']</t>
  </si>
  <si>
    <t>['pulsa', 'gua', 'ngurang', 'anjj', 'padaha', 'data', 'nyala', '']</t>
  </si>
  <si>
    <t>['tolong', 'telkomsel', 'masuk', 'aplikasinya', 'banget', 'udah', 'nunggu', 'bukanya', 'masuk', 'masalh', 'kepental', 'pengguna', 'tolong', 'perbaiki', 'aplikasinya']</t>
  </si>
  <si>
    <t>['jugak', 'putih', 'layar', 'telkomsel', 'instal']</t>
  </si>
  <si>
    <t>['pelanggan', 'setia', 'telkomsel', 'knp', 'paket', 'unlimited', 'hpus', 'wehh', '']</t>
  </si>
  <si>
    <t>['fitur', 'bgus', 'hnya', 'penyegaran', 'sdkit', 'metode', 'pembayaranx', 'mhon', 'bantuannya', 'min', 'knp', 'apps', 'sya', 'metode', 'pembyaranx', 'lngkap', 'metode', 'kartu', 'debit', '']</t>
  </si>
  <si>
    <t>['applikasinya', 'error', 'login', 'sinyal', 'lag', 'teruz', 'transaksi', 'susah', 'iklan', 'doank', 'banyakin', 'login', 'ulang', 'susah', 'suka', 'kluar', 'kirim', 'link', 'konfirmasi', 'login', 'ulang', 'susah', 'masuk', '']</t>
  </si>
  <si>
    <t>['dibuka', 'update', 'kaya', 'gini', 'beli', 'paket', 'susah', '']</t>
  </si>
  <si>
    <t>['telkomsel', 'masuk', 'blank', 'warna', 'putih', '']</t>
  </si>
  <si>
    <t>['semoga', 'sinyalnya', 'bagus', 'kuota', 'sampe', 'mahal', '']</t>
  </si>
  <si>
    <t>['kecewa', 'jaringan', 'telkomsel', 'jelek', 'parah', 'skrg', 'kartu', 'sultan', 'paketan', 'mahal', 'sinyal', 'beress', 'taii', 'lahh']</t>
  </si>
  <si>
    <t>['kuota', 'gb', 'lemot', 'ehh', 'busett', 'sya', 'udah', 'langganan', 'setia', 'bertahun', 'tpi', 'gini', 'ngerasa', 'laku', 'gth', 'bisnis', 'rill', 'netral', '']</t>
  </si>
  <si>
    <t>['ikon', 'notifnya', 'bentuk', 'kotak', 'jelek', 'liat', 'merusak', 'pemandangan', 'katauan', 'icon', 'notif', 'app', 'bug', 'uda', 'perbaiki', 'gua', 'kasih', 'bintang', 'karenu', 'males', 'gua', 'ubah', 'bintangnya', 'uda', 'perbaikin', 'gua', 'promo', 'murah', 'salah', 'app', 'ngebug', 'diperbaikin', 'ngeluh', 'pdahal', 'uda', 'bagus', 'gua', 'kasih', 'bintang', '']</t>
  </si>
  <si>
    <t>['lambat', 'aplikasi']</t>
  </si>
  <si>
    <t>['mendukung']</t>
  </si>
  <si>
    <t>['ditunggu', 'promo', 'kejutanya']</t>
  </si>
  <si>
    <t>['harga', 'paket', 'sesuai', 'pelayanan', 'gangguan', 'bayar', 'mahal', 'gratisan', 'mengecewakan']</t>
  </si>
  <si>
    <t>['daftar', 'promo', 'informasi', 'kouta', 'emang', 'tiadakan', '']</t>
  </si>
  <si>
    <t>['parah', 'aplikasinya', 'ngga', 'terbuka', 'aplikasi', 'sekelas', 'telkomsel', 'kalah']</t>
  </si>
  <si>
    <t>['paketnya', 'perlengkap']</t>
  </si>
  <si>
    <t>['baguuus', 'bangett', 'aga', 'loding', 'wilayah']</t>
  </si>
  <si>
    <t>['oprator', 'gangguan', 'beritahu', 'gini', 'kaya', 'bener', 'bagus', 'bagus', 'kecewa']</t>
  </si>
  <si>
    <t>['tukar', 'poin', 'poin', 'sya', 'lumayan', 'gagal']</t>
  </si>
  <si>
    <t>['mudah', 'cek', 'pulsa', 'paket', 'dll', '']</t>
  </si>
  <si>
    <t>['aplikasinya', 'rusak', 'gabisa', 'login', 'ngeaktifin', 'kuota']</t>
  </si>
  <si>
    <t>['wow', 'program', 'program', 'menarik', 'kupon', 'undian', 'real', 'ngak', 'trs', 'transparan']</t>
  </si>
  <si>
    <t>['kualitas', 'simpati', 'menurun']</t>
  </si>
  <si>
    <t>['apk', 'dibuka', 'error', 'gini', 'tolong', 'perbarui', 'bagus', 'jelek', 'parah', 'apk', 'dibuka', 'udah', 'unstal', 'abis', 'instal', 'ajj', 'kaya', 'gini']</t>
  </si>
  <si>
    <t>['tukar', 'cek', 'hrs', 'pakai', 'poin', 'cari', 'poin', 'huh', 'bintangnya', 'turuni', 'separo']</t>
  </si>
  <si>
    <t>['telkomsel', 'kesini', 'parah', 'lag', 'telkomsel', 'bangkrut', '']</t>
  </si>
  <si>
    <t>['aplikasinya', 'jelek', 'banget', 'sumpah', 'makan', 'gaji', 'buta', 'ngelamar', 'telkomsel', 'kaya', 'gini', 'aplikasinya']</t>
  </si>
  <si>
    <t>['kasih', 'bintang', 'hadiahnya', 'lahh']</t>
  </si>
  <si>
    <t>['kouta', 'gratis', '']</t>
  </si>
  <si>
    <t>['signal', 'ilang', 'ilangan', 'trus', 'pengguna', 'setia', 'merugikan', 'kecewa', 'maen', 'game', 'kagak']</t>
  </si>
  <si>
    <t>['tahap', 'percobaan', 'optimal', 'bintangnya', '']</t>
  </si>
  <si>
    <t>['aplikasi', 'ngk', 'beres', 'merugikan', 'pelanggan']</t>
  </si>
  <si>
    <t>['isi', 'internet', 'mudah']</t>
  </si>
  <si>
    <t>['puas', 'telkomsel']</t>
  </si>
  <si>
    <t>['sinyal', 'telkomsel', 'lemot', 'sebagus', 'kadang', 'sinyalnya', 'ilang', 'liat', 'youtube', 'loading']</t>
  </si>
  <si>
    <t>['paket', 'combo', 'unlimited', 'skrg', 'paket', 'unlimitednya', 'uda', 'putar', 'youtube', 'hrg', 'mkn', 'parahhh', 'pdhl', 'ytube', 'prioritas', 'menang', 'bnyk', '']</t>
  </si>
  <si>
    <t>['dear', 'telkomsel', 'pulsa', 'berkurang', 'dipake', 'harga', 'paket', 'data', 'peningkatan', 'jaringan', 'mohon', 'perbaikannya', 'min']</t>
  </si>
  <si>
    <t>['banyakin', 'promo']</t>
  </si>
  <si>
    <t>['slalu', 'puas', 'paket', 'combo', 'sakti']</t>
  </si>
  <si>
    <t>['paket', 'kuota', 'murah', 'mahal']</t>
  </si>
  <si>
    <t>['paket', 'combo', 'sakitnya', 'hilang', 'kasih', 'bintang', 'dulunya']</t>
  </si>
  <si>
    <t>['mohon', 'permurah', 'paket', 'lagii']</t>
  </si>
  <si>
    <t>['paket', 'data', 'pulsa', 'ilang', '']</t>
  </si>
  <si>
    <t>['jaringanya', 'perbaiki']</t>
  </si>
  <si>
    <t>['download', 'mudah', 'han', 'maksimal', 'hasilnya']</t>
  </si>
  <si>
    <t>['jaringan', 'lelet', 'banget']</t>
  </si>
  <si>
    <t>['oke', 'membantu']</t>
  </si>
  <si>
    <t>['sorry', 'ulasan', 'membagongkan', 'ane', 'tempo', 'apk', 'sampe', 'reportsih', 'tetep', 'semangat', 'telkomsel', 'lupa', 'turunin', 'harga', 'paketnya', '']</t>
  </si>
  <si>
    <t>['apk']</t>
  </si>
  <si>
    <t>['sinyal', 'ilang', 'mksh', '']</t>
  </si>
  <si>
    <t>['masuk', 'ribet', 'cepat', 'mudah']</t>
  </si>
  <si>
    <t>['bonus', 'mantap']</t>
  </si>
  <si>
    <t>['diperbarui', 'rasional']</t>
  </si>
  <si>
    <t>['bagus', 'kujalani']</t>
  </si>
  <si>
    <t>['aplikasinya', 'bagus', 'snagat', 'bermanfaat', 'mudah', 'dipakenya', 'simpel', 'sampe', 'jaringan', 'telkomsel', 'kaya', 'gini', 'yutup', 'ngeluh', 'jaringan', 'pesbuk', 'ngeluh', 'jaringan', 'tolong', 'udah', 'komplen', 'terkait', 'jaringan', 'telkomsel', 'diperbaiki', 'pelanggan', 'pindah', 'provider', 'sebelah', 'terima', 'kasih', '']</t>
  </si>
  <si>
    <t>['tolong', 'telkomsel', 'kunci', 'pulsa', 'pulsa', 'habis', 'paket', 'internet', 'pulsa', 'ditarik', 'banget', '']</t>
  </si>
  <si>
    <t>['semoga', 'dpt', 'undian', 'menukar', 'poin']</t>
  </si>
  <si>
    <t>['kecewa', 'pelayanan', 'telkomsel', 'paket', 'kuota', 'beli', 'paket', 'games', 'silver', 'gold', 'dipakai', 'main', 'game', 'paket', 'internet', 'kombo', 'unlimited', 'kuota', 'ketengan', 'unlimited', 'facebok', 'yutube', 'pakai', 'tertipu', 'kecewa', 'konsumen', 'rugikan', '']</t>
  </si>
  <si>
    <t>['suka', 'apk', '']</t>
  </si>
  <si>
    <t>['login', 'tulisan', 'sllu', 'sesi', 'login', 'berkali', 'ttp', 'masuk', 'smnjak', 'ganti', 'logo', 'mlh', 'enak', 'sma', 'skli', 'dipakek', '']</t>
  </si>
  <si>
    <t>['mahal', '']</t>
  </si>
  <si>
    <t>['paketnya', 'mahal', 'mohon', 'diringankan', 'harganya', 'berhubung', 'paket', 'kuota']</t>
  </si>
  <si>
    <t>['bergunaaaa', 'sekaliiii', 'aplikasi', '']</t>
  </si>
  <si>
    <t>['telkomsel', 'udh', 'minggu', 'jaringannya', 'drop', 'kirim', 'pesan', 'susah', 'hadehh', 'pesan', 'tolong', 'perbaiki', 'salam', 'jawa', 'timur']</t>
  </si>
  <si>
    <t>['bagus', 'sie']</t>
  </si>
  <si>
    <t>['memudahkan', 'pembelian']</t>
  </si>
  <si>
    <t>['gara', 'kartu', 'sinyalnya', 'jelek']</t>
  </si>
  <si>
    <t>['menang', 'mahal', 'doang', 'dijakarta', 'kaga', 'kuat', 'sinyal']</t>
  </si>
  <si>
    <t>['aplikasi', 'bagus', 'semoga', 'telkomsel', 'jaya']</t>
  </si>
  <si>
    <t>['apk', 'telkom', 'jls', 'suka', 'force', 'close', 'berhenti', 'intinya', 'telkom', 'ampas']</t>
  </si>
  <si>
    <t>['', 'buka', 'muncul', 'blank', 'putih', 'tolong', 'perbaiki', '']</t>
  </si>
  <si>
    <t>['jaringan', 'telkomsel', 'sulit', 'sinyal', 'internet', 'full', '']</t>
  </si>
  <si>
    <t>['promo', 'kencengin', 'sinyal', 'diurus', 'dikomplain', 'tanggepan', 'perubahan', 'tinggal', 'dihutan', 'gerak', 'perbaiki', 'sinyal', 'bayar', 'mahal', 'mahal', 'liat', 'buffering', '']</t>
  </si>
  <si>
    <t>['bermanfaat']</t>
  </si>
  <si>
    <t>['sinyal', 'stabil']</t>
  </si>
  <si>
    <t>['jaringan', 'turu', 'vangke']</t>
  </si>
  <si>
    <t>['sigitu', 'kuatkah', 'jaringanya', 'oke', 'app', '']</t>
  </si>
  <si>
    <t>['paket', 'gamemax', 'tolong', 'tambahkan', 'game', 'call', 'duty', 'mobile', 'daftar', 'game', 'dimainkan', 'paket', 'gamenya']</t>
  </si>
  <si>
    <t>['', 'telkomsel', 'terbaik']</t>
  </si>
  <si>
    <t>['aplikasi', 'telkomsel', 'harga', 'murah']</t>
  </si>
  <si>
    <t>['', 'ando', 'jadul', 'dptnya', 'mytelkomsel', 'lite', 'bnyk', 'paket', 'hilangkan', 'jual', 'jasa', 'koneksi', 'jualan', 'handheld', 'kompatible', 'ando', '']</t>
  </si>
  <si>
    <t>['slalu', 'trbaik', 'tuk', 'playananya']</t>
  </si>
  <si>
    <t>['pelayanan', 'tehnik']</t>
  </si>
  <si>
    <t>['app', 'telkomsel', 'memamang', 'mantap']</t>
  </si>
  <si>
    <t>['bagus', 'telkomsel']</t>
  </si>
  <si>
    <t>['harganya', 'pindah', 'kartu', '']</t>
  </si>
  <si>
    <t>['voucher', 'telkomsel', 'ngak', 'unlimited', 'bonus', '']</t>
  </si>
  <si>
    <t>['beli', 'paketan', 'internet', 'telkomsel', 'sinyalnya', 'ampun', 'buruk', 'banget', 'rumah', 'pedesaan', 'sprti', 'ganti', 'operator', 'kasihan', 'kerabat', 'menghubungi', '']</t>
  </si>
  <si>
    <t>['error', 'dibuka', 'layar', 'hitam', 'tolong', 'diperbaiki', 'lancar']</t>
  </si>
  <si>
    <t>['mencoba', 'sya', 'kasih', 'bintang', '']</t>
  </si>
  <si>
    <t>['bermanfaat', 'bangeett', '']</t>
  </si>
  <si>
    <t>['fitur', 'bayar', 'paket', 'link', 'dihapus', 'bagus', 'langsung', 'bayar', 'buka', 'link', 'habis', 'paket', 'pulsa', 'utama', 'langsung', 'disedot', '']</t>
  </si>
  <si>
    <t>['beli', 'pulsa', 'data', 'mytelkomsel', 'data', 'coba', 'pulsa', '']</t>
  </si>
  <si>
    <t>['kasih', 'bintang', 'kedepan', 'bagus', 'gangguan', 'sinyal', 'apalah', 'mengganggu', 'kenyamanan', 'konsumen', 'thanks', 'telkomsel', 'semoga', 'sukses', '']</t>
  </si>
  <si>
    <t>['', 'kota', 'padang', 'sinyal', 'telkomsel', 'buruk', 'lgi', 'game', 'online', 'kena', 'jaringan', 'browsing', 'terputus', 'mslhnya', 'sinyal', 'tertulis', 'lelet', 'mntak', 'ampun', '']</t>
  </si>
  <si>
    <t>['kasih', 'bintang']</t>
  </si>
  <si>
    <t>['', 'naikin', 'harga', 'kouta', 'karna', 'gua', 'beli', 'udah', 'saran', 'gua', 'nggak', 'naikin', 'harga', 'gua', 'pengguan', 'telkom', 'setia', '']</t>
  </si>
  <si>
    <t>['apk', 'bermasalah']</t>
  </si>
  <si>
    <t>['mahal', 'gb', 'murah', 'beda', 'gitu']</t>
  </si>
  <si>
    <t>['telkomsel', 'harga', 'paket', 'mahal', 'sinyal', 'sampah', 'suka', 'hilang', 'cuaca', 'bagus', 'mendung', 'ruangan', 'merekomen', 'menngukan', 'layanan', 'telkomsel', '']</t>
  </si>
  <si>
    <t>['telkomsel', 'babi', 'sinyal', 'butut', 'paket', 'mahal', 'kuota', 'dikit']</t>
  </si>
  <si>
    <t>['gila', 'kartu', 'telkomsel', 'kesini', 'mahal', 'paket', 'internetan', 'mending', 'pindah', 'indosat', 'gini', 'thn', 'gue', 'telkom', 'ajig']</t>
  </si>
  <si>
    <t>['buka', 'aplikasi', 'buka', 'tampilan', 'menu', 'lainny', 'mohon', 'perbaiki']</t>
  </si>
  <si>
    <t>['beli', 'combo', 'sakti', 'aplikasi', 'telkomsel', 'cek', 'koneksi', 'sinyal', 'bagus', 'yidak', '']</t>
  </si>
  <si>
    <t>['kasih', 'promo']</t>
  </si>
  <si>
    <t>['memudah', 'bagus']</t>
  </si>
  <si>
    <t>['mantap', 'bosqu', '']</t>
  </si>
  <si>
    <t>['telkomsel', 'mudah', 'praktis', 'trimakasih', 'telkomsel']</t>
  </si>
  <si>
    <t>['membutuhkan', 'saldo']</t>
  </si>
  <si>
    <t>['mantab', 'lanjutkan']</t>
  </si>
  <si>
    <t>['mempermudah', 'dlam', 'pembelian', 'kuota', 'pengecekan', 'pulsa']</t>
  </si>
  <si>
    <t>['telkomm', 'pingin', 'gua', 'santet', 'bosok', 'kali', 'jaringannya']</t>
  </si>
  <si>
    <t>['error', 'aplikasinya']</t>
  </si>
  <si>
    <t>['woy', 'ajg', 'jaringan', 'ngele', 'knapa', 'jaringan', 'telkomsel', 'ilang', 'mulu', 'niat', 'kga', 'harga', 'paket', 'doang', 'mahalin', 'jaringan', 'down', 'perbaiki', 'secepatnya', 'udah', 'banget', 'kaya', 'gini', '']</t>
  </si>
  <si>
    <t>['pengiriman', 'cepat', 'promonya']</t>
  </si>
  <si>
    <t>['bagus', 'semoga', 'mantap']</t>
  </si>
  <si>
    <t>['app', 'ampas', 'login', 'musti', 'hapus', 'cach', 'sma', 'hapus', 'data', 'dlu', 'hapus', 'bsa', 'masukk', 'telorr']</t>
  </si>
  <si>
    <t>['suka', 'telkomsel', 'jalan', 'tolong', 'perbaiki', 'min']</t>
  </si>
  <si>
    <t>['tolong', '']</t>
  </si>
  <si>
    <t>['aplikasi', 'tukang', 'makan', 'pulsa', 'habis', 'pulsa', 'gara', 'gara', 'aplikasi', 'membeli', 'paket', 'internet', 'nyesel', 'download', 'aplikasi', '']</t>
  </si>
  <si>
    <t>['parah', 'banget', 'hujan', 'maen', 'game', 'genshin', 'impact', 'delay', 'banget', 'ping']</t>
  </si>
  <si>
    <t>['hai', 'telkomsel', 'terima', 'kasih', 'memberilan', 'jaringan', 'internet', 'bagus', 'pengguna', 'telkomsel', 'nyaman', '']</t>
  </si>
  <si>
    <t>['sinyal', 'telkomsel', 'lelet', 'yaa', 'lag', 'kuotanya', 'mahal', 'jaringannya', 'lag', 'parahh', 'terpaksa', 'ganti', 'kartu', '']</t>
  </si>
  <si>
    <t>['paket', 'promonya', 'top']</t>
  </si>
  <si>
    <t>['insya', 'allah', 'berkah']</t>
  </si>
  <si>
    <t>['kuota', 'sisa', 'gb', 'perpanjang', 'aktif', 'paketan', 'tolak', 'trs', 'beli', '']</t>
  </si>
  <si>
    <t>['', 'telkomsel', 'merampas', 'uang', 'rakyat', 'pulsa', 'transfer', 'pulsa', 'teman', 'disuruh', 'tekan', 'nomor', 'langit', 'musik', 'terpotong', 'pulsa', 'perintah', 'layanan', 'telkomsel', 'nyambung', 'mencuri', 'diam', 'diam', 'langit', 'musik', '']</t>
  </si>
  <si>
    <t>['bagus', 'undiannya', '']</t>
  </si>
  <si>
    <t>['beli', 'paket']</t>
  </si>
  <si>
    <t>['puas', 'telkomsel', 'senang', 'telkomsel', 'mengganti', 'kartu', 'kecuali', 'telkomsel', 'terima', 'kasih', 'telkomsel', '']</t>
  </si>
  <si>
    <t>['jaringan', 'sadieezzzz']</t>
  </si>
  <si>
    <t>['udah', 'paket', 'mahal', 'beli', 'paketnya', 'persulit', 'udah', 'isi', 'pulsa', 'admin', 'pulsa', 'mencukupi', '']</t>
  </si>
  <si>
    <t>['joss', 'pokonya']</t>
  </si>
  <si>
    <t>['download', 'aplikasi', 'mytelkomsel', 'buka', 'coba', 'isi', 'pls', 'aplikasi', 'isi', 'pulsa', 'bermasalah', 'telkomsel']</t>
  </si>
  <si>
    <t>['telkomsel', 'meledakk', '']</t>
  </si>
  <si>
    <t>['bismillaah', 'sukses', 'telkomsel']</t>
  </si>
  <si>
    <t>['memuaskan', 'memenuhi', 'kebutuhan', 'telekomunikasi', '']</t>
  </si>
  <si>
    <t>['sinyal', 'telkomsel', 'parah', 'bet', 'trs', 'mahal', 'buruk', 'telkomsel', '']</t>
  </si>
  <si>
    <t>['', 'payah', 'nyesel', 'gue', 'pke', 'kartu', 'udah', 'lumayan', 'jaringan', 'ampas', 'kecewa', 'parahh', '']</t>
  </si>
  <si>
    <t>['apk', 'membantu', 'terima', 'kasih']</t>
  </si>
  <si>
    <t>['membantu', 'pulsa', 'seratus', 'langsung', 'kebeli', 'tolong', 'perbaiki']</t>
  </si>
  <si>
    <t>['harganya', 'mahal', 'sinyalnya', 'murah', 'ayo', 'min']</t>
  </si>
  <si>
    <t>['nggak', 'bukak', 'jaringan', 'normal', 'tolong', '']</t>
  </si>
  <si>
    <t>['sayangkan', 'koneksi', 'internet', 'main', 'game', 'online', 'stabil', 'youtube', 'facebook', 'lancar', 'operator', 'main', 'game', 'online', 'lancar', 'stabil', 'telkomsel', 'mahal', 'doang', '']</t>
  </si>
  <si>
    <t>['tingkat', 'kwalitas', 'jaringan', 'jelek', '']</t>
  </si>
  <si>
    <t>['wkwkw', 'ngakak', 'telkom', 'lolo', 'jaringan']</t>
  </si>
  <si>
    <t>['pakai', 'telkomsel', 'aplikasi', 'delet', 'dicoba', 'instal', 'kali', 'sucses', 'instal', 'thaks', 'penjelasan']</t>
  </si>
  <si>
    <t>['mudah', 'penggunaanya']</t>
  </si>
  <si>
    <t>['suka', 'banget', 'dengn', 'apliksi', '']</t>
  </si>
  <si>
    <t>['simpel', 'praktiz']</t>
  </si>
  <si>
    <t>['tolong', 'adain', 'fitur', 'kunci', 'pulsa', 'potong', 'pulsa', 'internet', 'hapis', '']</t>
  </si>
  <si>
    <t>['relogin', 'pakai', 'sms', 'link', 'valid', 'pakak', 'metode', 'very', 'bad', '']</t>
  </si>
  <si>
    <t>['bagus', 'ituh', 'oke']</t>
  </si>
  <si>
    <t>['update', 'bukanya', 'aplikasi', 'merespon', 'astaga', 'wtf', 'telkom', '']</t>
  </si>
  <si>
    <t>['suara', 'notifikasi', 'mengganggu', 'uda', 'matiin', 'tetep', 'nyala', 'pengaturan']</t>
  </si>
  <si>
    <t>['koutanya', 'doang', 'mahal', 'jaringan', 'jelek']</t>
  </si>
  <si>
    <t>['telkomsel', 'kali', 'ngisi', 'pulsa', 'masuk', 'beli', 'pulsa', 'masuk', 'anak', 'telkomsel', 'udah', 'nge', 'lag']</t>
  </si>
  <si>
    <t>['usaha', 'doa']</t>
  </si>
  <si>
    <t>['harga', 'paket', 'mahal', 'koneksi', 'menyebalkan', 'daerah', 'perkotaan', 'asik', 'main', 'game', 'menghubungkan', 'sinyal', 'sunggu', 'menyebalkan', '']</t>
  </si>
  <si>
    <t>['rating', 'turunin', 'dlu', 'stuck', 'aplikasi', 'buka', 'abis', 'update', '']</t>
  </si>
  <si>
    <t>['bagus', 'tingkat', 'lgi', 'kualitas', 'jaringan', '']</t>
  </si>
  <si>
    <t>['pembelian', 'paket', 'internet']</t>
  </si>
  <si>
    <t>['', 'harap', 'pelayanan', 'memuaskan']</t>
  </si>
  <si>
    <t>['udh', 'error', 'buka', 'uninstall', 'males', '']</t>
  </si>
  <si>
    <t>['mempermudah', 'terimakasih', 'telkom']</t>
  </si>
  <si>
    <t>['pulsanya', 'kesedot', 'pilihan', 'unreg', 'layanan', 'pdhal', 'emang', 'langganan', 'layanan', 'auto', 'kesedot', 'pulsaku']</t>
  </si>
  <si>
    <t>['jaringan', 'jelek', 'telkomsel', 'sampah']</t>
  </si>
  <si>
    <t>['apk', 'jelek', 'download', 'nyesel']</t>
  </si>
  <si>
    <t>['bahagia', 'juara', 'tenis', 'kelompok', 'usia', '']</t>
  </si>
  <si>
    <t>['terimakasih', 'sinyal', 'harga', 'murah']</t>
  </si>
  <si>
    <t>['aplikasi', 'berat', 'buka', '']</t>
  </si>
  <si>
    <t>['signal', 'buruk', 'harga', 'paket', 'mahal', 'dri']</t>
  </si>
  <si>
    <t>['layanan', 'telkomsel', 'cepat', 'transaksi', 'sinyalnya', 'bagus', 'terima', 'kasih', 'telkomsel', 'jaya', 'salam', 'sukses', '']</t>
  </si>
  <si>
    <t>['kartu', 'mahal', 'sinyal', 'murahan', 'simpati', 'simpatik', 'lemot', 'berdaya', '']</t>
  </si>
  <si>
    <t>['cocok', 'mudah', 'praktis']</t>
  </si>
  <si>
    <t>['tolong', 'diperbaiki', 'layanannya', 'nggak', 'beli', 'kuota', 'internet', 'via', 'app', 'keterangan', 'gangguan', 'sistem', 'doang', 'temen', 'keluarga', 'komplain', 'via', 'twitter', 'nggak', 'solusi', 'suruh', 'instal', 'ulang', 'app', 'tetep', 'nggak', '']</t>
  </si>
  <si>
    <t>['saran', 'telkom', 'mendingan', 'beralih', 'telkom', 'gangguan', 'koneksinya', '']</t>
  </si>
  <si>
    <t>['perbanyak', 'promo', 'yak']</t>
  </si>
  <si>
    <t>['update', 'susah', 'buka', 'lol', '']</t>
  </si>
  <si>
    <t>['telkomsel', 'buka', 'upgrade', 'upgrade', 'dibuka', 'tolong', 'diperbaiki', 'aplikasinya', '']</t>
  </si>
  <si>
    <t>['unlimited', 'memuaskan', 'udah', 'habis', 'kuota', 'tgl', 'blm', 'habis']</t>
  </si>
  <si>
    <t>['bagus', 'menarik']</t>
  </si>
  <si>
    <t>['aplikasinyaaaaa', 'bagusss', 'bangetz']</t>
  </si>
  <si>
    <t>['meredeem', 'poin', 'daily', 'check', 'reward', 'klaim', 'pembodohan', 'kah', '']</t>
  </si>
  <si>
    <t>['telkomsel', 'pembelian', 'paketnya', 'aplikasi']</t>
  </si>
  <si>
    <t>['parah', 'telkomsel', 'nge', 'game', 'sinyal', 'bagus', 'kenceng', 'buktinya', 'pas', 'main', 'game', 'sinyal', 'suka', 'ilang', 'kecewaa', 'parah', '']</t>
  </si>
  <si>
    <t>['kartu', 'sultan', 'kuota', 'mahal', 'sinyal', 'jelek', 'tolong', 'operator', 'telkomsel', 'diperbaiki', 'sinyal', 'lancar']</t>
  </si>
  <si>
    <t>['bagus', 'apk', 'membantu', 'dlm', 'pengecekan', 'pulsa', 'poin', 'bonus', 'tsel', '']</t>
  </si>
  <si>
    <t>['pengguna', 'app', 'tolong', 'perbaiki']</t>
  </si>
  <si>
    <t>['telkomsel', 'update', 'buka', 'pliss', 'bantuannya']</t>
  </si>
  <si>
    <t>['', 'gua', 'jujur', 'sinyal', 'telkom', 'lemot', 'mahal', 'bagus', 'tolong', 'telkom', 'kualitas', 'sinyal', 'kek', 'gini', 'kecilin', 'harga', 'maruk', 'sumpah', 'sinyal', 'telkom', 'buruk', 'banget']</t>
  </si>
  <si>
    <t>['tolong', 'perbaiki', 'beli', 'paket', 'udh', 'pembayaran', 'berhasil', 'tunggu', 'proses', 'masuk', 'paketnya', 'pulsa', 'kepotong', 'parah']</t>
  </si>
  <si>
    <t>['bagus', 'sayang', 'jaringan', 'telkomsel', 'turun', 'malam']</t>
  </si>
  <si>
    <t>['perusahaan', 'negeri', 'layak', 'disupport', 'ditunjang', 'rating']</t>
  </si>
  <si>
    <t>['aplikasi', 'bangu', 'membantu']</t>
  </si>
  <si>
    <t>['telkomsel', 'skrg', 'sinyal', 'internet', 'jelek', 'mikirin', 'harga', 'mahal', 'kualitasnya', 'jelek']</t>
  </si>
  <si>
    <t>['telkomsel', 'knpa', 'susah', 'dibuka', 'aplikasinya', '']</t>
  </si>
  <si>
    <t>['telkomsel', 'tolong', 'perbaiki', 'jaringan', 'kalsel', 'sinyalnya', 'kemaren', 'ilang', 'ilang', 'mati', 'lampu', 'cuaca', 'jga', 'bagus', 'sinyalnya', 'keganggu', 'udh', 'gitu', 'harga', 'mahal', 'tpi', 'sinyal', 'jelek']</t>
  </si>
  <si>
    <t>['bintang', 'menilay']</t>
  </si>
  <si>
    <t>['mantabbb', 'lumayan', 'promo']</t>
  </si>
  <si>
    <t>['pulsa', 'hilang', 'goib', 'paket', 'internet']</t>
  </si>
  <si>
    <t>['trunin', 'harga', 'pket', 'sya', 'pnya', 'tmn', 'sya', 'murah']</t>
  </si>
  <si>
    <t>['burut', 'sinyalnya', '']</t>
  </si>
  <si>
    <t>['mending', 'kartu', 'kartu', 'singal', 'putus', 'kuota', 'mahal', 'saran', 'telkomsel', 'singal', 'udah', 'ngak', 'bagus']</t>
  </si>
  <si>
    <t>['keluhan', 'kartu', 'hallo', 'semoga', 'telkomsel', 'fitur', 'kartu', 'dimana', 'terjebak', 'migrasi', 'kartu', 'hallo', 'dirugikan', 'dimana', 'telkomsel', 'informasi', 'kartu', 'hallo', 'dikembalikan', 'kartu', 'kesal', 'kecewa', 'telkomsel']</t>
  </si>
  <si>
    <t>['asik', '']</t>
  </si>
  <si>
    <t>['pilih', 'paket', 'sesuka', 'good', 'mytelkomsel']</t>
  </si>
  <si>
    <t>['terimakasih', 'mytelkomsel', 'aplikasi', 'membantu', 'membingungkan', 'kuota', 'internet', 'gb', '']</t>
  </si>
  <si>
    <t>['knpa', 'update', 'masuk', 'mohon', 'perbaiki', 'min']</t>
  </si>
  <si>
    <t>['paket', 'promo', 'gb', 'rb', 'pulsa']</t>
  </si>
  <si>
    <t>['mahal', 'sinyal', 'jelek', 'parah']</t>
  </si>
  <si>
    <t>['terimakasih', 'telkomsel', 'pelayanan', 'memuaskan', 'aki', 'cinta', 'telkomsel']</t>
  </si>
  <si>
    <t>['sinyal', 'suka', 'ilang']</t>
  </si>
  <si>
    <t>['kuota', 'multi', 'media', 'periode', 'dipakai', 'gb', 'sinyal', 'cuman', 'kb', 'solusi', 'telkomsel', 'payah', '']</t>
  </si>
  <si>
    <t>['akses', 'aplikasi', 'mudah']</t>
  </si>
  <si>
    <t>['mngecewakan', 'kuota', 'rp', 'ilang', 'rugi', 'sumpah']</t>
  </si>
  <si>
    <t>['mytelkomsel', 'gampang', '']</t>
  </si>
  <si>
    <t>['bertumbuh', 'kualitas', 'kuantitas', '']</t>
  </si>
  <si>
    <t>['mantap', 'terbaik']</t>
  </si>
  <si>
    <t>['kerennnnnn', 'enak', 'promonya']</t>
  </si>
  <si>
    <t>['aplikasi', 'uninstal', 'metika', 'dinisntal', 'ulang']</t>
  </si>
  <si>
    <t>['', 'telkomsel', 'deh', 'makasih', 'telkomsel']</t>
  </si>
  <si>
    <t>['fitur', 'penguncian', 'penggunaan', 'pulsa', 'internet', 'aplikasi', 'axis', 'net']</t>
  </si>
  <si>
    <t>['kak', 'masuk', 'telkomsel', 'putih', 'layar']</t>
  </si>
  <si>
    <t>['knapa', 'pas', 'buka', 'lancar', 'terima', 'notifikasi', 'sms', 'klik', 'lemot', 'bngt', 'trus', 'close', 'app', '']</t>
  </si>
  <si>
    <t>['lancar', 'lelet', 'maaf', 'ngabaikan', 'alfikasi', 'hadiah', 'istimewah', 'hahaha']</t>
  </si>
  <si>
    <t>['terima', 'kasih', 'menemani', 'bertahun', 'kadang', 'trouble', 'ttp', 'bagus', 'deh', '']</t>
  </si>
  <si>
    <t>['membantu', 'mkasih']</t>
  </si>
  <si>
    <t>['aplikasi', 'bangke', 'diisi', 'pulsa', 'ilang', 'paket', 'kuota', 'gagal', 'teruss', 'pulsa', 'hilang', '']</t>
  </si>
  <si>
    <t>['kuota', 'unlimited', 'gamemaxs', 'dipakai', 'main', 'pubg', 'login', 'tinggal', 'kuota', 'unlimited']</t>
  </si>
  <si>
    <t>['sinyalnya', 'buruk', 'bermain', 'game', 'menyenangkan']</t>
  </si>
  <si>
    <t>['', 'bayar', 'mahal', 'error', 'sinyal', 'ilang']</t>
  </si>
  <si>
    <t>['aplikasi', 'bagu', 'keren', '']</t>
  </si>
  <si>
    <t>['gua', 'main', 'war', 'telkomsel', 'sinyal', 'merah', 'hijau', 'udah', 'mahal', 'ngeleg', 'gua', 'mukulin', 'tembok', 'retak']</t>
  </si>
  <si>
    <t>['aplikasi', 'bagus', 'bertransaksi', 'cepat', 'aman', 'maju']</t>
  </si>
  <si>
    <t>['gimana', 'make', 'paket', 'pulsa', 'kak', 'rb', 'paket', 'pulsa', 'ngk', 'gimana', 'makex']</t>
  </si>
  <si>
    <t>['telkomsel', 'bad', 'banget', 'pemakaian', 'kuotanya', 'pilih', 'kuota', 'combo', 'sakti', 'paketn', 'gb', 'gb', 'sosmed', 'plus', 'pkt', 'nelpon', 'sms', 'prnh', 'pke', 'cpt', 'hbsnya', 'mnggu', 'terkhir', 'kuota', 'sosmed', 'kuota', 'sosmed', 'kepake', 'pembelian', 'kuota', 'utama', 'ttp', 'akses', 'google', 'smpe', 'engga', 'udh', 'brs', 'pke', 'jringan', 'lemotnya', 'ampun', 'akses', 'commerce', 'googling', 'akses', 'map', 'lemot', 'trus', 'dksi', 'bonus', 'rb', 'pmblian', 'pulsa', 'sia', '']</t>
  </si>
  <si>
    <t>['kuotanya', 'mahal', 'jaringan', 'lemot']</t>
  </si>
  <si>
    <t>['puassss', 'bnget', 'dngan', 'playanan', 'telkomsel', 'smoga', 'mkin', 'bnyak', 'promonya', '']</t>
  </si>
  <si>
    <t>['tolong', 'aplikasi', 'diperbaiki', 'beli', 'paket', 'nunggu', 'mnt']</t>
  </si>
  <si>
    <t>['provider', 'ternama', 'tpi', 'koq', 'login', 'susah', 'banget', 'diupdate', 'parah', 'tolong', 'diperbaiki', 'sistemnya', '']</t>
  </si>
  <si>
    <t>['bagus', 'pelayanannya']</t>
  </si>
  <si>
    <t>['skli', 'skli', 'kasih', 'pulsa', 'kouta', 'bonus', 'donk', '']</t>
  </si>
  <si>
    <t>['kali', 'beli', 'beli', 'harganya', 'nanggung', 'banget', 'beli', 'potongan', 'harga', 'murah', 'thanks', 'telkomsel', '']</t>
  </si>
  <si>
    <t>['sinyal', 'parah', 'drop', 'tuk', 'maen', 'game', 'online', 'cocok', '']</t>
  </si>
  <si>
    <t>['mendingan', 'beralih', 'kartu', 'telkomsel']</t>
  </si>
  <si>
    <t>['bintang', 'menilai']</t>
  </si>
  <si>
    <t>['maaf', 'udh', 'koneksi', 'jaringan', 'jelek', 'buka', 'instagram', 'facebook', 'mohon', 'tindak', 'lanjuti', 'paket', 'data', 'aktif', 'tinggal', 'bentar', '']</t>
  </si>
  <si>
    <t>['membantu', 'mudah', 'bertransaksi']</t>
  </si>
  <si>
    <t>['sinyal', 'tempatku', '']</t>
  </si>
  <si>
    <t>['jaringan', 'oke', 'walauoun', 'dipelosok', '']</t>
  </si>
  <si>
    <t>['', 'thn', 'pakai', 'telkomsel', 'alhamdulillah', 'puas', 'kedaerah', 'gunung', 'signal', 'joss']</t>
  </si>
  <si>
    <t>['apk', 'jaringan', 'telkomsel', 'lemah', 'pelalawan', 'riau', 'main', 'game', 'lag', 'jaringan', 'merah', 'kuning', 'hijau', 'ata', 'detik', 'emosi', 'bagus', 'indosat', '']</t>
  </si>
  <si>
    <t>['bagus', 'mempermudah', '']</t>
  </si>
  <si>
    <t>['kecewe', 'harga', 'paket', 'internet', 'mahal', 'kuota', 'internet', 'hilang', 'kuota', 'internet', 'skrng', 'gmna', 'mengecewakan', 'pakai', 'telkomsel']</t>
  </si>
  <si>
    <t>['setia', 'aplikasi', 'telkomsel', 'diperbarui', 'zonk', 'kecewa', 'berat', 'layar', 'putih', 'kayak', 'kertas', 'foto', 'copy', '']</t>
  </si>
  <si>
    <t>['mudah', 'dipahami', 'membantu', 'penggunanya']</t>
  </si>
  <si>
    <t>['paket', 'nomor', 'beda', 'beda', 'pelanggan', 'paketnya', 'mahal', 'nomer', 'kakak', 'tolong', 'ratakan']</t>
  </si>
  <si>
    <t>['tolong', 'tingkatkan', 'jringan', 'tsel', 'kesini', 'jaringan', 'ancur', '']</t>
  </si>
  <si>
    <t>['', 'pengoprasian', 'layanannya', 'membantu', 'area', 'makasih', 'telkomsel', '']</t>
  </si>
  <si>
    <t>['poin', 'isi', 'pulsa', 'customer', 'servis']</t>
  </si>
  <si>
    <t>['telkomsel', 'terhormat', 'tolong', 'perbaiki', 'pinjam', 'pulsa', 'darurat', 'notifikasi', 'sampe', 'kali', 'isi', 'pulsa', 'potong', 'bayar', 'hutang', 'udah', 'kali', 'sampe', 'kali', 'ngambil', 'pinjam', 'pulsa', 'darurat', 'coba', 'pinjam', 'langsung', 'maen', 'potong', 'pengguna', 'telkomsel', 'terimasih']</t>
  </si>
  <si>
    <t>['harga', 'selangit', 'kualitas', 'jaringan', 'baiki', 'kualitas', 'jaringan', 'sesuaikan', 'harga', '']</t>
  </si>
  <si>
    <t>['kualitas', 'sinyal', 'tingkatkan', 'harga', 'mahal', 'sinyal', 'ancur']</t>
  </si>
  <si>
    <t>['apk', 'bgs']</t>
  </si>
  <si>
    <t>['', 'telkomsel', 'kren']</t>
  </si>
  <si>
    <t>['membantu', 'aplikasi', 'suka', 'nutup']</t>
  </si>
  <si>
    <t>['nukar', 'pon', 'redan', 'sapai', 'poin', 'hangus', 'kecewa', '']</t>
  </si>
  <si>
    <t>['sayank', 'senang', 'megunakan', 'aplikasi']</t>
  </si>
  <si>
    <t>['jaringan', 'lancar', 'badai']</t>
  </si>
  <si>
    <t>['aplikasih', 'mantap']</t>
  </si>
  <si>
    <t>['menyesal', 'beli', 'kouta', 'udh', 'mahal', 'jaringan', 'burukkkkk', 'gua', 'beli']</t>
  </si>
  <si>
    <t>['', 'cuman', 'tolong', 'internetnya']</t>
  </si>
  <si>
    <t>['tsel', 'kali', 'kecewa', 'titik', '']</t>
  </si>
  <si>
    <t>['aplikasi', 'telkomsel', 'bagus', 'karna', 'pembelian', 'pulsa', 'murah', 'cepat', 'pokoknya', 'mantaaaappppppp', '']</t>
  </si>
  <si>
    <t>['mudah', 'hoax']</t>
  </si>
  <si>
    <t>['parah', 'telkomsel', 'kek', 'tay', 'mahal', 'harga', 'pulsa', 'kuota', 'jaringan', 'jelek', 'telkomsel', 'mah', 'bagus', 'banget', 'kayak', 'gini', 'coba', 'kunjungi', 'pas', 'ber', 'main', 'game', 'online', 'endingnya', 'turun', 'ms', 'ms', 'gitu', 'sampe', 'kiamat', 'jaringannya', 'mending', 'harganya', 'diturunin', 'jaringan', 'sebelah', 'lancar', 'jaya', 'main', 'game', 'online', 'harganya', 'murah', 'kayak', 'telkomsel', 'merugikan', 'masyarakat', '']</t>
  </si>
  <si>
    <t>['', 'telkomsel', 'jaya']</t>
  </si>
  <si>
    <t>['', 'beli', 'paket', 'katany', 'gangguan', 'sistem', 'update', '']</t>
  </si>
  <si>
    <t>['telkomsel', 'berkualitas', 'sinyal', 'buruk', '']</t>
  </si>
  <si>
    <t>['mohon', 'update', 'android', '']</t>
  </si>
  <si>
    <t>['ditingkatkan', 'kekuatan', 'sinyalnya', 'pelanggan', 'setia', 'pemakaian', 'kali']</t>
  </si>
  <si>
    <t>['suka', 'bangaaaatttt']</t>
  </si>
  <si>
    <t>['mantab', 'memudahkan', 'banget']</t>
  </si>
  <si>
    <t>['mudah', 'mudahan', 'promo', 'murah']</t>
  </si>
  <si>
    <t>['mengadu', 'admin', 'nggak', 'aplikasi', 'pembelian', 'paket', 'combo', 'aplikasi', 'dinotifikasi', 'beli', 'pulsa', 'aplikasi', 'pakai', 'besok', 'dalihnya', 'delay']</t>
  </si>
  <si>
    <t>['mengisi', 'pulsa', 'data', 'mudah']</t>
  </si>
  <si>
    <t>['tukar', 'poinnya', 'ktanya', 'mohon', 'maaf', 'sistem', 'sibuk']</t>
  </si>
  <si>
    <t>['udah', 'sinyal', 'jelek', 'sok', 'jual', 'mahal', 'tolol', 'emang', 'produk', 'telkomsel', 'udah', 'pulsa', 'kesedot', 'kuota', 'ngak', 'perbaiki', 'secepatnya', 'doain', 'pabrik', 'telkomsel', 'bangkrut', 'aamiin', '']</t>
  </si>
  <si>
    <t>['aplikasi', 'menipu', 'bermanfaat', 'pelanggannya', '']</t>
  </si>
  <si>
    <t>['baguuus', 'bnget', 'tlokmselnya']</t>
  </si>
  <si>
    <t>['sinyal', 'susah', 'area', 'mesuji']</t>
  </si>
  <si>
    <t>['sinyalnya', 'jelek', 'parah', 'harganya', 'mahal', 'listrik', 'mati', 'sinyal', 'ikutan', 'hilang', 'gabisa', 'tolonglah', 'perbaiki', 'mahal', 'kog', 'kalah', 'murahan', '']</t>
  </si>
  <si>
    <t>['harga', 'mahal', 'kwalitas', 'sinyal', 'sesui', 'udah', 'kartu', 'tsel', 'jaringan', 'lemot', 'ngegame', 'gbis', 'waktunnya', 'beralih', 'kartu', 'tetangga']</t>
  </si>
  <si>
    <t>['pengguna', 'telkomsel', 'sinyal', 'telkomsel', 'stabil', 'sinyal', 'lancar']</t>
  </si>
  <si>
    <t>['apknya', 'bagus', 'banget']</t>
  </si>
  <si>
    <t>['telkomsel', 'mahal', 'kualitas', 'jaringan', 'cepat', 'cepat', 'pusing', 'lelet', 'parah', 'dikit', 'gangguan', 'pembenahan', 'mahal', 'salut', 'nda', 'jaringan', 'telkomsel']</t>
  </si>
  <si>
    <t>['sinyal', 'bagus', 'sayang', 'harga', 'mahal']</t>
  </si>
  <si>
    <t>['yes', '']</t>
  </si>
  <si>
    <t>['', 'bagus', 'aplikasinya']</t>
  </si>
  <si>
    <t>['aplikasi', 'recomended', 'semoga', 'sukses', 'san', 'maju']</t>
  </si>
  <si>
    <t>['bintang', 'panglima', 'lulus', 'tes', 'uji']</t>
  </si>
  <si>
    <t>['harga', 'kouta', 'internet', 'gratis', 'harga', 'mahal', 'bayar', 'karyawan']</t>
  </si>
  <si>
    <t>['puas', 'kartu', 'telkomsel', 'jaringan', 'signalnya', 'ckp', 'bagus', 'lancar']</t>
  </si>
  <si>
    <t>['memuaskan', 'membantu']</t>
  </si>
  <si>
    <t>['jaringan']</t>
  </si>
  <si>
    <t>['nanya', 'gimana', 'beli', 'pulsa']</t>
  </si>
  <si>
    <t>['pengguna', 'jaringan', 'telkomsel', 'kecewa', 'kualitas', 'jaringan', 'telkomsel', 'buruk', 'akses', 'internet', 'belajar', 'bermain', 'games', 'online', 'streaming', 'slalu', 'terkendala', 'jaringannya', 'tolong', 'perbaiki', 'kualitas', 'jaringan', 'daerah', 'wilayah', 'pali', 'sumsel']</t>
  </si>
  <si>
    <t>['harga', 'paketnya', 'murah', 'kah', 'aplikasinya', 'bagus']</t>
  </si>
  <si>
    <t>['pemula', '']</t>
  </si>
  <si>
    <t>['gatau', 'telkomsel', 'mahalll']</t>
  </si>
  <si>
    <t>['bagus', 'top', 'dpt', 'bintang', '']</t>
  </si>
  <si>
    <t>['update', 'mahal', 'paket']</t>
  </si>
  <si>
    <t>['lemot', 'mahal']</t>
  </si>
  <si>
    <t>['blm', 'pendapat', 'coba']</t>
  </si>
  <si>
    <t>['bwli', 'paket', 'paket', 'masuk', 'pulsa', 'kepotong', 'perak', 'nanya', 'stlh', 'nanya', 'paket', 'hilang', 'tampilannnya', 'sel', 'giman', 'ampe', 'skrg', 'blm', 'masuk']</t>
  </si>
  <si>
    <t>['pakai', 'aplikasi', 'maytekomsel', 'senang', 'mudah']</t>
  </si>
  <si>
    <t>['apk', 'rusak', 'liat', 'menit', 'menit', 'melawak', 'ato', 'gmn', '']</t>
  </si>
  <si>
    <t>['signal', 'lemot', 'sesuai', 'sma', 'harga', 'saran', 'mnding', 'suka', 'nyimpen', 'pulsa', 'kdng', 'pulsa', 'suka', 'abis']</t>
  </si>
  <si>
    <t>['sinyal', 'mahal', 'monopoli', 'tolong', 'dipertimbangkan', 'harga', 'kuotanya', 'trlalu', 'cuek', 'thx']</t>
  </si>
  <si>
    <t>['', 'desa', 'bolongsong', 'baureno', 'siyal', 'buruk', 'maaf', 'info', 'perbaiki', '']</t>
  </si>
  <si>
    <t>['beli', 'kartu', 'kaya', 'istri', 'model', 'tipe', 'paket', 'beda', 'jauuh']</t>
  </si>
  <si>
    <t>['puas', 'pelayanan', 'telkomsel', 'saran', 'perbanyak', 'daily', 'cek', '']</t>
  </si>
  <si>
    <t>['', 'telkomsel', 'bagus', '']</t>
  </si>
  <si>
    <t>['mantap', 'aplikasi']</t>
  </si>
  <si>
    <t>['teruslah', 'terbaik']</t>
  </si>
  <si>
    <t>['bagus', 'membantu', 'aplikasi', 'telkomsel']</t>
  </si>
  <si>
    <t>['isi', 'pulsa', 'potong', 'pulsanya', 'paket', 'telkomsel', 'ngak', '']</t>
  </si>
  <si>
    <t>['parah', 'banget', 'diupdate', 'dibuka', 'aplikasi', 'telkomselnya', 'pas', 'mengklaim', 'hadiah', 'dayly', 'check', 'lgi', 'tolong', 'admin']</t>
  </si>
  <si>
    <t>['semoga', 'murah', 'jaringanya']</t>
  </si>
  <si>
    <t>['jelek', 'aplikasi', 'telkomsel', 'peras', 'mahal', 'beli']</t>
  </si>
  <si>
    <t>['wow', 'memakai', 'akses', 'internet', 'non', 'kuota', 'kuota', 'selamat', 'selamat', 'selamat', 'berhasil', 'makan', 'uang', 'hak', 'orang', '']</t>
  </si>
  <si>
    <t>['chek', 'ber', 'hmpir', 'selesai', 'eehh', 'giliran', 'tinggal', 'dapt', 'quota', 'mlh', 'ubah', 'chek', 'php', 'doang', 'ama', 'telkomsel', 'drpd', 'ngeselin', 'kuhapus', 'lngsng', 'apk', 'telkomselnya', 'berkah', 'phpein', 'rejeki', 'orang', '']</t>
  </si>
  <si>
    <t>['membantuu', 'sekalii', 'aplikasi', 'cek', 'promoo']</t>
  </si>
  <si>
    <t>['bagus', 'cuman', 'sayang', 'signal', 'simpati', 'jaringan', 'susah', 'signal']</t>
  </si>
  <si>
    <t>['buruk', 'kesal', 'isi', 'pulsa', 'aplikasi', 'mobile', 'banking', 'sesuai', 'nominal', 'harga', 'isi', 'pulsa', 'ribu', 'masuk', 'nomor', 'ribu', 'sesuai', 'isi', 'ribu', 'tipu', 'aplikasi', 'mytelkomsel', 'komen', 'uda', 'tahan', 'aplikasi', 'tipu', 'isi', 'pulsa', 'ribu', 'cocok', 'masuknya', 'paket', 'tlefon', 'setalah', 'mala', 'pulsa', 'habis']</t>
  </si>
  <si>
    <t>['instal', 'download', 'instal', 'gagal', 'memory', 'penuh', 'ram', 'penuh', 'hapus', 'cache', 'hapus', 'pembaruan', 'google', 'play', 'store', 'dll', 'gagal', 'instal', 'beli', 'paket', 'aplikasinya', 'instal', '']</t>
  </si>
  <si>
    <t>['min', 'minggu', 'kemarin', 'lemot', 'everybody', 'nge', 'game', 'pingnya', 'turun', 'pengaruh', 'yaa', 'terkena', 'hujan', 'tolong', 'perbaiki', 'terimakasih', '']</t>
  </si>
  <si>
    <t>['kasih', 'paketan', 'promo', 'murah', 'unlimited', 'admin']</t>
  </si>
  <si>
    <t>['aplikasi', 'menguntungkan', 'tolong', 'pembelian', 'kuota', 'mahal', 'permurah', 'harganya', 'makasih', '']</t>
  </si>
  <si>
    <t>['keseringan', 'date', 'plus', 'loading', '']</t>
  </si>
  <si>
    <t>['internet', 'lelet', 'kalah', 'operator', 'murahan', 'tree', 'jaringan', 'internetnya', 'bagus', '']</t>
  </si>
  <si>
    <t>['tdinya', 'udh', 'ksh', 'bintang', 'turun', 'deh', 'skrg', 'bintang', 'udh', 'bbrpa', 'thn', 'pke', 'telkomsel', 'lma', 'jdi', 'bagus', 'bli', 'pket', 'combo', 'sakit', 'unlimited', 'dri', 'harga', 'dlu', 'msh', 'rb', 'smpe', 'skrg', 'harganya', 'rb', 'jdi', 'nanggung', 'bli', 'pulsanya', 'jdi', 'males', 'telkomsel', 'perbaiki', 'harganya', '']</t>
  </si>
  <si>
    <t>['najis', 'banget', 'kartu', 'telkomsel', 'kesini', 'kacrut', 'udah', 'gitu', 'paket', 'mahal', '']</t>
  </si>
  <si>
    <t>['payah', 'kali', 'dibuka', 'berulang', 'ulang', 'nggak', 'dibuka']</t>
  </si>
  <si>
    <t>['kasi', 'sinyal', 'telkomsel', 'jelek', 'diarea', 'jawa', 'timur']</t>
  </si>
  <si>
    <t>['bintang', 'kualitas', 'aplikasi']</t>
  </si>
  <si>
    <t>['harga', 'kouta', 'doang', 'mahal', 'sinyal', 'jelek', 'tinggal', 'jakarta', 'pedalaman', '']</t>
  </si>
  <si>
    <t>['lemot', 'ampun', 'aplikasi', 'isi', 'paket', 'esmosi', 'jadimya']</t>
  </si>
  <si>
    <t>['mudah', 'ribet', 'sukses', 'telkomsel', '']</t>
  </si>
  <si>
    <t>['combo', 'sakti', 'terbatas', 'mna']</t>
  </si>
  <si>
    <t>['suka', 'nomer', 'akunnya']</t>
  </si>
  <si>
    <t>['beli', 'paketan']</t>
  </si>
  <si>
    <t>['kasih', 'star', 'tolong', 'perbaiki', 'beli', 'paket', 'susahnya', 'ampun', 'udah', 'berhasil', 'beli', 'paket', 'pulsa', 'erep', '']</t>
  </si>
  <si>
    <t>['connect', 'mytelkomsel', 'keterangan', 'update', 'link', 'link', 'versi', 'terbaru', 'mohon', 'ditindak', 'lanjuti']</t>
  </si>
  <si>
    <t>['mahal', 'ueee']</t>
  </si>
  <si>
    <t>['telkomsel', 'gangguan', 'kuota', 'all', 'gb', 'kuota', 'lokalnya', 'gb', 'kuota', 'lokal', 'area', 'registrasi', 'semalam', 'iya', 'mohon', 'penjelasannya']</t>
  </si>
  <si>
    <t>['layanan', 'maksimal', 'murah']</t>
  </si>
  <si>
    <t>['bgus', 'aplikasi', '']</t>
  </si>
  <si>
    <t>['telkomsel', 'sinyal', 'udah', 'bagu', 'pliss', 'aktippin', 'kuota', 'darurat']</t>
  </si>
  <si>
    <t>['aplikasi', 'membantu', '']</t>
  </si>
  <si>
    <t>['cepat', 'prosesnya']</t>
  </si>
  <si>
    <t>['dibuka', 'sms', 'link', 'melulu']</t>
  </si>
  <si>
    <t>['bonus']</t>
  </si>
  <si>
    <t>['bermanfaat', 'beli', 'kuota', 'rumah', 'darurat', 'promo']</t>
  </si>
  <si>
    <t>['papua', 'jaringan', 'telkomsel', 'papua', 'pedalaman', 'jelek', 'sinyal', 'hilang', 'online', 'pakai', 'wifi', '']</t>
  </si>
  <si>
    <t>['tlg', 'mudahkan', 'murahkan', 'paketnya']</t>
  </si>
  <si>
    <t>['kasih', 'aza']</t>
  </si>
  <si>
    <t>['ambil', 'bonus', 'check', 'berhasil', 'maaf', '']</t>
  </si>
  <si>
    <t>['enak', 'tingal', 'pilih', 'paketan']</t>
  </si>
  <si>
    <t>['redem', 'poinya', 'sistem', 'sibuk', 'gabisa']</t>
  </si>
  <si>
    <t>['tingkatkan', 'jaringan', 'pelosok', '']</t>
  </si>
  <si>
    <t>['bintang', 'kecewa', 'berusaha', 'berbenah', 'bisanya', 'ngasih', 'maaf', 'doank', 'tarifnya', 'ditelkomsel', 'mahal', 'looooh', '']</t>
  </si>
  <si>
    <t>['buka', 'telkomsel', '']</t>
  </si>
  <si>
    <t>['bagus', 'knp', 'pembelian', 'paket', 'berbeda', 'harga', 'simpati']</t>
  </si>
  <si>
    <t>['kecewa', 'telkomsel', 'jaringan', 'sinyalnya', 'lemah', 'kecewa', '']</t>
  </si>
  <si>
    <t>['sinyal', 'bagus', 'sinyal', 'kuat']</t>
  </si>
  <si>
    <t>['susah', 'dibuka']</t>
  </si>
  <si>
    <t>['bintang']</t>
  </si>
  <si>
    <t>['membantu', 'disaat', 'membutuhkan']</t>
  </si>
  <si>
    <t>['menyukai']</t>
  </si>
  <si>
    <t>['', 'untungnya', 'beli', 'paket', 'telkomsel', 'sekelas', 'bumn', 'signal', 'anjlok', 'parah', 'gaada', 'hebatnya', 'modalin', 'upgrade', 'pelayanan', 'upgrade', 'hidup', 'petingginya', 'perusahan', 'negara', 'wedus', 'pelayananya', 'iya', 'juta', 'masyarakat', 'indonesia', 'pakai', 'telkomsel', 'beli', 'paket', 'minimal', 'ribu', 'gabisa', 'bagusin', 'kualitas', 'jaringan', 'tolol']</t>
  </si>
  <si>
    <t>['non', 'paket', 'barusan', 'kena', 'potong', 'lucu', 'kali', 'drtd', 'paket', 'potongnya']</t>
  </si>
  <si>
    <t>['aplikasi', 'krg', 'friendly', 'user', 'hrg', 'paket', 'lbh', 'mahal', 'kompetitor', '']</t>
  </si>
  <si>
    <t>['beli', 'paket', 'internet', 'senyum']</t>
  </si>
  <si>
    <t>['telkomsel', 'kuotanya', 'mahal', 'murah', 'dikit', 'ngapa', '']</t>
  </si>
  <si>
    <t>['puas', 'simpel', 'mudah', 'poin']</t>
  </si>
  <si>
    <t>['paket', 'internetnya', 'mahal', 'jaringannya', 'bagus', 'bagus', '']</t>
  </si>
  <si>
    <t>['mengecewakan', 'beli', 'paket', 'unlimited', 'youtube', 'tetep', 'kepake', 'kuota', 'utama', 'pulsa', 'habis', 'bersisa', 'giliran', 'veronika', 'jawabannya', 'konfirmasi', 'sesuai', 'kenyataan', 'tolong', 'telkomsel', 'terhormat', 'perbaiki', 'beli', 'pulsa', 'duit', '']</t>
  </si>
  <si>
    <t>['hadiah', '']</t>
  </si>
  <si>
    <t>['tolong', 'ditingkat', 'jaringan', 'trim']</t>
  </si>
  <si>
    <t>['lancar', 'jaya', 'lanjutkan', '']</t>
  </si>
  <si>
    <t>['sip', 'quota', 'datanya', 'murah']</t>
  </si>
  <si>
    <t>['nga', 'hadiah', 'kuota', 'pendaftar', 'payah', 'apk', 'kere']</t>
  </si>
  <si>
    <t>['paket', 'combo', 'sakti', 'knapa', 'ilangin']</t>
  </si>
  <si>
    <t>['jaringan', 'udah', 'mantap', 'paket', 'mahal']</t>
  </si>
  <si>
    <t>['layanan', 'sebagus', 'ditawarkan', 'beli', 'paket', 'internet', 'klik', 'notifikasi', 'diproses', 'hilang', 'menu', 'paket', 'internetnya', 'pindah', 'provider']</t>
  </si>
  <si>
    <t>['pakai', 'kartunya', 'mahal', 'god', 'tolong', 'ringankan', 'harga', 'paketan', 'kuota', 'kartu', 'pemakai', 'bangt', 'pulsapun', 'kepotong', 'kuota', 'udah', 'didaftar', 'telkom', 'nguras', 'isi', 'dompet', '']</t>
  </si>
  <si>
    <t>['good', 'mudah', 'mudahan', 'paket', 'combonya', 'adil', 'deh']</t>
  </si>
  <si>
    <t>['ushkan', 'event', 'ngotak', 'cuman', 'bli', 'paket', 'data', 'point', 'suruh', 'bayar', 'trus', 'isi', 'pulsa', 'trus', 'poin', 'masuk', 'pas', 'tuker', 'paket', 'data', 'mlah', 'maaf', 'sisa', 'pulsa', 'mader', 'pakkerrr', 'men', '']</t>
  </si>
  <si>
    <t>['aplikasinya', 'sngt', 'mnguntungkn', 'slain', 'promonya', 'mrh', 'mndptkn', 'ksmptn', 'mndptkn', 'hdiah', '']</t>
  </si>
  <si>
    <t>['apk', 'nyak', 'baguss']</t>
  </si>
  <si>
    <t>['terimakasih', 'telkomsel', 'paketmu', 'mahal', 'kali', 'kartu', 'lemot', 'mahal', 'harga', 'kurasa', 'paketmu', 'mahal', 'kubeli', 'pakai', 'otak', 'lemot', 'mahal', 'paket', 'berguna', 'rugi', 'setan', 'untung', 'setan', 'pakek', 'otakmu', '']</t>
  </si>
  <si>
    <t>['jaringan', 'suka', 'ilang', 'mendadak', 'nelpon', 'operator', 'jawabannya', 'gitu', 'mulu', 'bosen', 'perbaikannya', 'khusus', 'lampung', 'utara', 'tolong', 'perbaiki', 'cepat', 'gini', 'pindah', 'perdana', 'terimakasih']</t>
  </si>
  <si>
    <t>['beli', 'paket', 'internet', 'mahal', 'mahal', 'jaringan', 'lemot', 'kayak', 'taik', 'terpakai', 'kuota', 'kesallll', '']</t>
  </si>
  <si>
    <t>['paketan', 'super', 'mahal', 'ehh', 'beli', 'kuota', 'langsung', 'lemot', 'parah', 'gua', 'saranin', 'mending', 'tutup', 'perusahaan', 'gegara', 'gua', 'hancur', 'main', 'game', 'perusahaan', 'laris', 'bangs', 'wtf', '']</t>
  </si>
  <si>
    <t>['masok', 'tuo', 'apl', 'mantep']</t>
  </si>
  <si>
    <t>['apk', 'bagus', 'banget']</t>
  </si>
  <si>
    <t>['harga', 'relatif', 'mahal', 'terkadang', 'jaringan', 'lelet']</t>
  </si>
  <si>
    <t>['kaish', 'gua', 'gratis']</t>
  </si>
  <si>
    <t>['telkomsel', 'hati', 'semoga', 'ttap', 'jaya']</t>
  </si>
  <si>
    <t>['membantu', 'terimakasih', '']</t>
  </si>
  <si>
    <t>['tolol', 'paket', 'doang', 'mahal', 'sinyal', 'lemot']</t>
  </si>
  <si>
    <t>['knpa', 'malem', 'malem', 'lag', 'ajggggggg', 'mentang', 'malem', 'minggu', 'lag', 'bet', 'dahhhhhhhhhhhhhh']</t>
  </si>
  <si>
    <t>['ceria', 'rb', 'gagal', 'min', 'nonaktifkan']</t>
  </si>
  <si>
    <t>['puas', 'telkomsel', 'jaringany', 'lelet', 'promo', 'bonus', 'perbanyak']</t>
  </si>
  <si>
    <t>['bismillah', 'pengen', 'mubil', 'tdak', 'nyetir']</t>
  </si>
  <si>
    <t>['kasi', 'saran', 'jaringan', 'suka', 'down', 'mending', 'turunin', 'harga', 'kouta', 'mahal', 'beli', 'kouta', 'kualitas', 'jaringan', 'suka', 'down', '']</t>
  </si>
  <si>
    <t>['terimakasih', 'internet', 'gratisnya', 'telkomsel']</t>
  </si>
  <si>
    <t>['kasih', 'bintang', 'gmn', 'aplikasinya', 'membatu']</t>
  </si>
  <si>
    <t>['sinyalnya', 'astaghfirullah', '']</t>
  </si>
  <si>
    <t>['device', 'aelalu', 'force', 'stop', 'kah', 'aksesnya', 'fix', 'please']</t>
  </si>
  <si>
    <t>['tolong', 'sinyal', 'telkomsel', 'buruk', '']</t>
  </si>
  <si>
    <t>['kuota', 'sok', 'sok', 'mahal', 'jaringan', 'jaga']</t>
  </si>
  <si>
    <t>['app', 'mempermudah', 'pembelian', 'paket', 'pulsa']</t>
  </si>
  <si>
    <t>['telkomsel', 'ing', 'mahal', 'lemottttt', 'telkomsel', 'miskin', 'anak', 'baby']</t>
  </si>
  <si>
    <t>['woy', 'telkomsel', 'kuota', 'isi', 'habis', 'tarif', 'normal', 'liat', 'youtube', 'putus', 'kirim', 'video', 'skrg', 'ampun', 'smartfren', 'bagus', 'klu', 'bintang', 'bintang', 'minus', 'kasih', '']</t>
  </si>
  <si>
    <t>['update', 'android', 'aplikasi', 'hilang', 'install']</t>
  </si>
  <si>
    <t>['dibuka', 'blank', 'apk']</t>
  </si>
  <si>
    <t>['ngirim', 'sms', 'mengganggu']</t>
  </si>
  <si>
    <t>['pulsa', 'suka', 'terpotong', 'ngk', 'berkurang', 'pulsa', 'ngk']</t>
  </si>
  <si>
    <t>['aplikasi', 'promo', 'paket', 'mahal', 'lgi', 'nyesal', 'klau', 'download']</t>
  </si>
  <si>
    <t>['bnyakin', 'promo', 'kuotanya', 'min']</t>
  </si>
  <si>
    <t>['apk', 'simple', 'banget', 'beli', 'paket', 'ribet', '']</t>
  </si>
  <si>
    <t>['paket', 'datanya', 'mahal']</t>
  </si>
  <si>
    <t>['telkom', 'sinyal', 'jelek', '']</t>
  </si>
  <si>
    <t>['', 'paketan', 'harganya', 'mahal', 'sinyal', 'stabil', 'ngapa']</t>
  </si>
  <si>
    <t>['payah', 'beli', 'paket', 'unlimited', 'youtube', 'seminggu', 'dibuka']</t>
  </si>
  <si>
    <t>['terimakasih', 'telkomsel', 'mudah', 'cek', 'paket']</t>
  </si>
  <si>
    <t>['enak', 'sayang', 'mahal', 'paketannya']</t>
  </si>
  <si>
    <t>['sinyal', 'wonogiri', 'jelek', 'banget', 'terputus']</t>
  </si>
  <si>
    <t>['sinyal', 'parah', '']</t>
  </si>
  <si>
    <t>['pelayanan', 'telkomsel', 'membaik', 'harahap', 'tingkatkan', '']</t>
  </si>
  <si>
    <t>['lemot', 'bro']</t>
  </si>
  <si>
    <t>['', 'jaringan', 'bener', 'napa', 'tabok', 'muka', 'udah', 'kuota', 'mahal', 'jaringan', 'burik', 'emang', 'babi']</t>
  </si>
  <si>
    <t>['maju', 'teruss', 'telkomsel']</t>
  </si>
  <si>
    <t>['aplikasi', 'kemarin', 'buka', 'tolong', 'perbaikin', 'idh', 'perbarui', 'terima', 'kasih']</t>
  </si>
  <si>
    <t>['jaringan', 'telkomsel', 'parah', 'banget', 'sidoarjo', 'trus', '']</t>
  </si>
  <si>
    <t>['ganti', 'kartu', 'telkomsel', 'buruk', 'kualitasnya', 'paket', 'internet', 'sakti', 'sia', 'sia', 'kebuang', 'mending', 'provider', 'sebelah', 'bagus', 'jaringannya', 'pelosok', 'ketimbang', 'lambang', 'merah']</t>
  </si>
  <si>
    <t>['udah', 'bnyk', 'peminat', 'tingkat', 'kwalitas', 'jaringan', 'kelen', 'bnyk', 'peminat', 'peburuk', 'kwalitas', 'jaringan', 'pelanggan', 'setia', 'kecewa', 'jaringan', 'kelen', '']</t>
  </si>
  <si>
    <t>['nge', 'prank']</t>
  </si>
  <si>
    <t>['telkomtol', 'telkomnyet', 'sinyal', 'lelet', 'kek', 'keong', 'kuota', 'mahal', 'selangit']</t>
  </si>
  <si>
    <t>['buruk', 'bngtt', 'buruk', 'jam', 'malem', 'susah', 'jam', 'keatas', 'lancar', 'siang', 'telkomsel', 'jelek', 'bngtt', 'sumpah', 'emosi', 'pengen', 'buang', 'kartunya', 'ganti', 'sebel', 'udah', 'kapok']</t>
  </si>
  <si>
    <t>['lumayan', 'bagus', 'membantu']</t>
  </si>
  <si>
    <t>['perbaiki', 'networknya', 'searching', 'tugas', 'susah']</t>
  </si>
  <si>
    <t>['promo', 'paketnya']</t>
  </si>
  <si>
    <t>['baguss', 'bgttt', 'buruan', 'download', 'jugaa', '']</t>
  </si>
  <si>
    <t>['telkomsel', 'promo', 'paketny', 'jgaa', 'mahal', 'iklan', 'doang', 'bagus', 'mna', 'jaringannya', 'jelek', 'parah', 'lgii', '']</t>
  </si>
  <si>
    <t>['mahal', 'doang', 'harga', 'paket', 'gerimis', 'dikit', 'langsung', 'lag', 'buffring', 'tolong', 'perbaiki', 'lgi', 'pelanggan', 'puas', '']</t>
  </si>
  <si>
    <t>['mantap', 'sip', 'puas']</t>
  </si>
  <si>
    <t>['mahal', 'leletnya', 'kyak', 'keong', 'main', 'game', 'nyampah']</t>
  </si>
  <si>
    <t>['tambahin', 'paket', 'internet', 'full', 'kuota', 'utama', 'tingkatkan', '']</t>
  </si>
  <si>
    <t>['kcewa', 'paketan', 'masii', 'knp', 'pulsa', 'ikt', 'kesedot', 'internet', '']</t>
  </si>
  <si>
    <t>['jaringan', 'bagus', '']</t>
  </si>
  <si>
    <t>['goood', 'mahal']</t>
  </si>
  <si>
    <t>['promo', 'murah', 'meriah', 'boss']</t>
  </si>
  <si>
    <t>['', 'jaringan', 'signalnya']</t>
  </si>
  <si>
    <t>['gila', 'kacau', 'mahal', 'doang', 'kualitas', 'kacau', 'jaringan', 'kadang', 'parah', 'main', 'game', 'kalah', 'tri', 'udah', 'murah', 'kualitas', 'lumayan', 'kecewa', 'gue', 'simpati', 'udah', 'sinih', 'kacau', 'fix', 'gue', 'ganti', 'kartu', '']</t>
  </si>
  <si>
    <t>['semoga', 'lacar', 'mytelkosel']</t>
  </si>
  <si>
    <t>['telkomsel', 'memuaskan', 'pelanggan', 'kesini', 'sinyal', 'internetnya', 'buruk', 'bangkrut', 'kah', 'telkomsel', '']</t>
  </si>
  <si>
    <t>['menukar', 'poin']</t>
  </si>
  <si>
    <t>['aplikasi', 'putih', 'eror']</t>
  </si>
  <si>
    <t>['sinyal', 'game', 'lag', 'parah', 'hujan', 'hilang', 'sinyal', 'telkomsel', 'udah', 'kuotanya', 'mahal', 'sinyal', 'jelek', 'banget', 'banggain', 'hah', 'dahh', 'telkomsel', '']</t>
  </si>
  <si>
    <t>['mahal', 'banget', 'kuotanya']</t>
  </si>
  <si>
    <t>['info', 'tukar', 'point', 'pulsa']</t>
  </si>
  <si>
    <t>['asline', 'pengen', 'bintang', 'iso', 'soale', 'sinyal', 'telkom', 'ngelag', 'main', 'game', 'tolong', 'perbaiki', 'sinyal', 'telkom', '']</t>
  </si>
  <si>
    <t>['bermamfaat', 'cek', 'pulsa', 'cek', 'paket', 'murah', 'dll', 'ribet', 'kedepanya', 'bermamfaat']</t>
  </si>
  <si>
    <t>['beli', 'paket', 'emang', 'jual', 'pulsa', 'mikir', 'beli', 'sedot', 'nggk', 'tmpt', 'gaada', 'pulsa', 'pulsa', 'bayarnya', 'rp', 'njir', '']</t>
  </si>
  <si>
    <t>['simpati', 'sinyalnya', 'kuat', 'kayak', 'nyaman', 'pakek', 'semipati', 'main', 'game', 'tolong', 'perbaiki', 'admin', 'kenyamanan', 'penaggan', 'donk']</t>
  </si>
  <si>
    <t>['tolong', 'jaringan', 'daerah', 'wanajaya', 'wanasari', 'cibitung', 'bagusin', 'min', 'wfh', 'daring', 'daringan', 'tingkatkan', 'kualitas', 'paket', 'mahal', 'dibeli', 'segini', 'pelayanannya', '']</t>
  </si>
  <si>
    <t>['pokok', 'slalu', 'kasih', 'terbaik', 'telkomsel']</t>
  </si>
  <si>
    <t>['kecewa', 'telkomsel', 'paket', 'game', 'gunain', 'beli', 'mahal', 'mending', 'beralih', 'kartu', 'sebelah', '']</t>
  </si>
  <si>
    <t>['trima', 'kasih', 'telkomsel']</t>
  </si>
  <si>
    <t>['lemot', 'say', 'jaringannya', 'sedih', 'zoom', 'suka']</t>
  </si>
  <si>
    <t>['sinyal', 'bar', 'disconect', 'lokasi', 'kota', '']</t>
  </si>
  <si>
    <t>['sinyalnya', 'puas', 'kuat', 'kartu', 'simpati']</t>
  </si>
  <si>
    <t>['error', 'nge', 'bugggg', 'mohon', 'perbaikannya', 'min']</t>
  </si>
  <si>
    <t>['mahal', 'doang', 'sinyal', 'mah', 'udah', 'terpercaya', 'mending', 'laen', 'sinyal', 'stabil', 'parah', 'bener', 'perbaiki', '']</t>
  </si>
  <si>
    <t>['gmna', 'telkomsel', 'bagus', 'ngotak', 'dikit', 'iklan', 'liat', 'enak', 'gua', 'beli', 'kuota', 'sinyal', 'kya', 'gini', 'susah', 'liat', 'gmna', 'tolong', 'kasihan', 'bang', '']</t>
  </si>
  <si>
    <t>['akses', 'mudah', 'pilih', 'pilih', 'paket']</t>
  </si>
  <si>
    <t>['mengecewakan', 'jaringan', 'telkomsel', 'eror', 'mengecewakan', '']</t>
  </si>
  <si>
    <t>['tolong', 'membeli', 'pulsa', 'metode', 'pembayaran', 'debit', 'kartu', 'kredit', 'kaya', 'tetangga', 'sebelah', 'terimakasih']</t>
  </si>
  <si>
    <t>['aplikasi', 'tekomsel', 'buka', 'ttep', 'kasih', 'bintang', 'mohon', 'perbaiki', 'aplikasi', 'terimakasih']</t>
  </si>
  <si>
    <t>['mantap', 'kali', 'bah']</t>
  </si>
  <si>
    <t>['cuman', 'pakai', 'telkomsel', 'udah', 'nyaman', 'pakai', 'telkomsel', 'ahir', 'telkomsel', 'ganguan', 'jaringan', 'tolong', 'telkomsel', 'kembalikan', 'suasana', 'jaringan', '']</t>
  </si>
  <si>
    <t>['ribet']</t>
  </si>
  <si>
    <t>['signal', 'telkomsel', 'area', 'pekanbaru', 'parah', 'putus', 'sambung', 'putus', 'sambung']</t>
  </si>
  <si>
    <t>['mantappp', 'aplikasinya', 'membantu']</t>
  </si>
  <si>
    <t>['benerin', 'gangguan', 'sinyalnya', 'kaya', 'rabu', 'mengalami', 'gangguan', 'benerin', 'benerin', 'benerin', 'secepatnya', 'menganggu', 'proses', 'belajar', 'lemot', 'banget']</t>
  </si>
  <si>
    <t>['mudah', 'pke', 'aplikasi']</t>
  </si>
  <si>
    <t>['telkomsel', 'jaringan', 'parah', 'lelet', 'bagus', 'pakai', '']</t>
  </si>
  <si>
    <t>['pliiss', 'pulsa', 'kekuras', 'udah', 'seminggu', 'pdhl', 'udah', 'beli', 'kuota', 'tolong', 'telkomsel', 'bertanggung']</t>
  </si>
  <si>
    <t>['isi', 'plsa', 'ksdot', 'trus', 'woy', 'slalu', 'dpt', 'sms', 'mlunasi', 'pulsa', 'darurat', 'pdhal', 'prnah', 'ikutan', 'begituan', 'intenet', 'pkai', 'wifi', 'isi', 'plsa', 'lngsung', '']</t>
  </si>
  <si>
    <t>['telkomsel', 'lemot', 'bayar', 'mahal']</t>
  </si>
  <si>
    <t>['pulsa', 'terpotong', 'pemakaian', 'sms', 'akses', 'internet', 'tarif', 'non', 'paket', 'wifi', 'terima', 'poin', 'daily', 'check', 'payah']</t>
  </si>
  <si>
    <t>['amazing', 'telkomsel', 'sinyal', 'kualitas', '']</t>
  </si>
  <si>
    <t>['tolong', 'perbaiki', 'sinyal', 'daerah', 'plg', 'daerah', 'alang', 'lebar', 'minggu', 'sinyalnya', 'batang', 'pekerjaan', 'berhubungan', 'sinyal', 'terhambat']</t>
  </si>
  <si>
    <t>['blm', 'gratisan', 'quota', 'teman', 'pemakai', 'telkom']</t>
  </si>
  <si>
    <t>['mudah', 'mengakses']</t>
  </si>
  <si>
    <t>['sebenernya', 'ngasih', 'bintang', 'cuman', 'sinyal', 'kadang', 'hilang', 'kecewa', 'telkomsel', 'udah', 'kuotanya', 'mahal', 'sinyal', 'setara', 'harganya', 'murahin', 'kuota', 'paket', 'datanya', 'beli', 'mahal', 'mahal', 'sinyal', 'kayak', 'gini', 'kecewa', '']</t>
  </si>
  <si>
    <t>['jaringan', 'bagus', 'tutup', 'ngerugiin', 'orang', 'pengguna']</t>
  </si>
  <si>
    <t>['kasih', 'bintang', 'bgus', 'bru', 'ksih', 'bintang']</t>
  </si>
  <si>
    <t>['telkomsel', 'parah', 'kali', 'beli', 'paket', 'internet', 'sinyal', 'ilang', 'ilangan', 'pulsa', 'habis', '']</t>
  </si>
  <si>
    <t>['aplikasi', 'terlemot', 'pindah', 'kuning', 'deh', 'diupdate', 'terusan', '']</t>
  </si>
  <si>
    <t>['membantu', 'beli', 'paket', 'mengecek', 'pulsa', 'paket', 'internet']</t>
  </si>
  <si>
    <t>['promosi', 'sepi', '']</t>
  </si>
  <si>
    <t>['parah', 'sinyal', 'gnti', 'kartu', 'keluhan', 'udah', 'respon', 'paket', 'mahal', 'kebuang', 'sia', 'sia', 'pengen', 'untung', 'kau', 'telkomsel', 'jaringan', 'diperbaiki']</t>
  </si>
  <si>
    <t>['tolong', 'jaringannya', 'tingkatkan', 'ntt', 'jual', 'katu', 'paket', 'pulsa', 'jaringan', 'kaya', 'nggk', 'bangat', 'jaringan', 'telkomsel', 'bgtu', 'paket', 'datanya', 'mahal', 'jaringan', 'nggk']</t>
  </si>
  <si>
    <t>['parahhh', 'beli', 'pulsa', 'senilai', 'dipaketkan', 'paket', 'ceria', 'gb', 'seminggu', 'bbrpa', 'jam', 'paket', 'penuh', 'notif', 'sms', 'internet', 'bberap', 'menit', 'notif', 'rb', 'internet', 'kemana', 'pulsa', 'paket', 'ceria', 'informasi', 'perbedaan', 'kuota', 'jatah']</t>
  </si>
  <si>
    <t>['android', 'download', 'aplikasi', 'update', '']</t>
  </si>
  <si>
    <t>['harga', 'paket', 'internet', 'tlg', 'turunkan', 'konsumen', 'setia', 'telkomsel', '']</t>
  </si>
  <si>
    <t>['telkomsel', 'nge', 'lag', 'mabar', 'hotspot', 'smart', 'fren']</t>
  </si>
  <si>
    <t>['tolong', 'jaringan', 'diperbaiki', 'main', 'game', 'online', 'susahnya', 'ampun', 'sinyalnya', '']</t>
  </si>
  <si>
    <t>['kuota', 'lokal', 'kosan', 'jarak', 'meter', 'telkom', 'provider', 'mahal', 'pelayan', 'buruk']</t>
  </si>
  <si>
    <t>['telkom', 'busuk', 'abis', 'gnti', 'komisaris', 'update', 'terbaru', 'busuk', 'gnti', 'indosat', 'ketimbang', 'telkom', 'busuk']</t>
  </si>
  <si>
    <t>['sya', 'halo', 'paket', 'internet', 'lelet', 'skli', 'hah', 'lawak', 'skli', '']</t>
  </si>
  <si>
    <t>['user', 'interface', 'buruk', 'nyaman', 'mengadu', 'jaringan', 'pelayanan', 'buruk', 'diajukan', 'bot', 'melayani', 'kualitas', 'jaringan', 'buruk', 'apk', 'jaringan', 'pelayanan', 'sekedar', 'perihal', 'alami', 'telkomsel', 'peduli']</t>
  </si>
  <si>
    <t>['', 'tolong', 'banget', 'pliss', 'telkomsel', 'perbaiki', 'karna', 'sigyal', 'aneh', 'tpi', 'kasih', 'bintang', 'telkomsel', 'udah', 'nemenin', 'jaman', 'tolong', 'kecewain', 'doang', '']</t>
  </si>
  <si>
    <t>['kostumer', 'kartu', 'halo', 'masuk', 'disney', 'disuruh', 'bayar', 'iuran', 'jengkel']</t>
  </si>
  <si>
    <t>['tertampil', 'layar', 'menekan', 'aplikasinya', '']</t>
  </si>
  <si>
    <t>['cocok', 'sayangnya', 'paket', 'lokal', '']</t>
  </si>
  <si>
    <t>['membatu', 'makasih', 'telkomsel']</t>
  </si>
  <si>
    <t>['enk']</t>
  </si>
  <si>
    <t>['dear', 'telkomsel', 'tolong', 'paket', 'internet', 'murah', 'sinyal', 'stabil']</t>
  </si>
  <si>
    <t>['telkomsel', 'main', 'game', 'lag', 'sinyal', 'kadang', 'apk', 'tiktok', 'dll', 'stabil', 'pas', 'dipakai', 'ngegame', 'sinyal', 'langsung', 'drop', '']</t>
  </si>
  <si>
    <t>['', 'bintang', 'bintang', 'ntar', 'gede', 'ndase', 'paket', 'harga', 'mahal', 'kualitas', 'jaringan', 'sangaat', 'sanggat', 'buruk', 'buka', 'story', 'muser', 'main', 'game', 'appapun', 'sinyal', 'merah', 'seminggu', 'mulu', 'seburuk', 'jaringan', 'provider', 'ternama', 'bangsssatttt', 'dlogok', 'assuuu', '']</t>
  </si>
  <si>
    <t>['perbaiki', 'jaringan', 'internet', 'buruk', 'pelanggan', 'telkomsel', 'mengeluh', 'jaringan', 'internet', 'sungguh', 'kecewa', 'telkomsel', 'jelek', 'jaringan', 'internet', '']</t>
  </si>
  <si>
    <t>['simpati', 'bertanggung', 'pulsa', 'masuk', 'pengisian', 'pulsa', 'aplikasi', 'dana', 'makan', 'uang', 'haram', 'hak', 'orang', 'makan']</t>
  </si>
  <si>
    <t>['kecewa', 'jaringan', 'telkomsel', 'daerah', 'bener', 'parah', 'telkomsel', 'daerah', 'gresik', 'menganti', 'domas', 'parah', 'parah', 'parah', 'parah', 'polll', '']</t>
  </si>
  <si>
    <t>['update', 'terbaru', 'gambar', 'buka', '']</t>
  </si>
  <si>
    <t>['', 'bintang', 'coal', 'coba', 'apl', 'lihat', 'promo', 'murah', '']</t>
  </si>
  <si>
    <t>['telkomsel', 'mudah', 'mudahan', 'membantu']</t>
  </si>
  <si>
    <t>['sinyalnya', 'bagus']</t>
  </si>
  <si>
    <t>['paket', 'mahal', 'jaringan', 'susah', 'pulsa', 'hilang', 'transaksi', 'pulsa', '']</t>
  </si>
  <si>
    <t>['mahal', 'kartu', 'menag', 'beda', 'harga']</t>
  </si>
  <si>
    <t>['selamat', 'lemotnya', 'smoga', 'cepat', 'perbaiki', 'kinerja', 'koneksinya']</t>
  </si>
  <si>
    <t>['jaringan', 'kntl']</t>
  </si>
  <si>
    <t>['heran', 'telkomsel', 'jlas', 'buka', 'facebook', 'kuota', 'bgini', 'arahin', 'paket', 'darurat', 'gimna', 'slh', 'pncet', 'paket', 'darurat', 'facebook', 'kena', 'pulsa', 'rb', 'gila', 'maksa', 'bner', 'cari', 'duit', 'luu', 'ihh', 'gedeg', 'gwe', 'kartu', 'telkomsel', 'paketanya', '']</t>
  </si>
  <si>
    <t>['pengunci', 'pulsa', 'telkomsel', 'rawan', 'hilang', 'pulsa']</t>
  </si>
  <si>
    <t>['paketannya', 'mahal', 'imbangi', 'kualitas', 'sinyal', 'musim', 'penghujan', 'ilang', 'sinyalnya']</t>
  </si>
  <si>
    <t>['samgat', 'membantu', 'terimakasih', 'telkomsel']</t>
  </si>
  <si>
    <t>['pilihan', 'paket', 'lumayan', 'mahal']</t>
  </si>
  <si>
    <t>['kurangi', 'bintangnya', 'skarang', 'jaringanya', 'jelek', 'doang', 'internetan', 'chat', 'veronika', 'muter', 'muter', 'doang', 'tolong', 'jaringan', 'perbaiki', 'blum', 'jaringan', 'terbaik']</t>
  </si>
  <si>
    <t>['telkomsel', 'mkin', 'lma', 'mkin', 'jlek', 'plyananny', 'plnggan', 'isi', 'kuota', 'combo', 'sakti', 'unlimeteed', 'kuota', 'dibgi', 'kuita', 'internet', 'kuota', 'multimedia', 'kuota', 'multimedia', 'trmsuk', 'chat', 'music', 'game', 'sosmed', 'buka', 'youtube', 'main', 'game', 'dpotong', 'kuota', 'internet', 'smua', 'kuota', 'internet', 'hbis', 'bru', 'dipkai', 'kuota', 'multimediany', 'tpi', 'dngn', 'kecepatan', 'kbps', 'bsa', 'bsa', 'update', 'aplikasi', 'playstore', 'klian', 'lmbt', 'skli', 'loadingnya', 'ckup', 'trkhir', 'pkai', 'kuota', 'telkomsel', '']</t>
  </si>
  <si>
    <t>['perbaikan', 'jaringan']</t>
  </si>
  <si>
    <t>['mudah', 'kuata', 'murah', 'geratisan', '']</t>
  </si>
  <si>
    <t>['isi', 'pulsa', 'langsung', 'sedot', 'pasang', 'paket', 'data', 'kartu', 'simpati', 'hmm', 'payahh']</t>
  </si>
  <si>
    <t>['sangatta', 'memuaskan', '']</t>
  </si>
  <si>
    <t>['gila', 'telkomsel', 'udh', 'harga', 'paket', 'datanya', 'naiknya', 'paket', 'gua', 'beli', 'bener', 'bener', 'operator', 'terpelit', 'kaga', 'ngasih', 'discount', 'bonus', 'dinikmati', 'pengguna', 'kaga', 'beli', 'paket', 'data', 'telkomsel', 'gua', 'ganti', 'kartu']</t>
  </si>
  <si>
    <t>['koq', 'harga', '']</t>
  </si>
  <si>
    <t>['telkomsel', 'semangat', 'terbaik', 'sukses', 'telkomsel', 'terganti', 'semangat']</t>
  </si>
  <si>
    <t>['puas', 'aplikasi', 'telkomsel', 'promoan', 'isi', 'paket', 'internet']</t>
  </si>
  <si>
    <t>['aplikasi', 'oke', 'jaringan', 'lemot', 'banget', 'cileungsi', 'daerah', 'gang', 'doang', 'lemot', 'banget']</t>
  </si>
  <si>
    <t>['beli', 'kuota', 'gigamax', 'kesalllll', '']</t>
  </si>
  <si>
    <t>['buruk', 'berat', 'bukanya']</t>
  </si>
  <si>
    <t>['mahal', 'boros', 'mending', 'axis', 'murah', 'hemat', '']</t>
  </si>
  <si>
    <t>['bagus', 'bangettttttttttttttttt', 'mantap']</t>
  </si>
  <si>
    <t>['oke', '']</t>
  </si>
  <si>
    <t>['apaaan', 'update', 'blank', 'muncul', 'blank', 'tolong', 'perbaiki']</t>
  </si>
  <si>
    <t>['tolong', 'sinyal', 'perbaiki', 'tinggal', 'tangerang', 'tpi', 'snyal', 'telkomsel', 'lamban', 'banding', 'providor', 'maen', 'game', 'online', 'kualitasnya', 'gini']</t>
  </si>
  <si>
    <t>['telkomsel', 'mahal', 'jaringannya', 'tidam', 'stabill', 'enak', 'telkomsel', 'mahal', '']</t>
  </si>
  <si>
    <t>['sinyal', 'tolong', 'diperbaiki', 'terimakasih']</t>
  </si>
  <si>
    <t>['', 'bintang', 'berulang', 'kali', 'instal', 'ngga', 'conect']</t>
  </si>
  <si>
    <t>['jaringan', 'sampahhhhh']</t>
  </si>
  <si>
    <t>['cpt', 'abis', 'internet']</t>
  </si>
  <si>
    <t>['parah', 'cok', 'jaringan', 'telekomunikasi', 'indonesia', 'buruk']</t>
  </si>
  <si>
    <t>['respon', 'cepat', 'aplikasi']</t>
  </si>
  <si>
    <t>['beli', 'paket', 'combo', 'sakti', 'harga', 'rb', 'sinyalnya', 'parah', 'lemot', 'lemot', 'manteng', 'ngecewain', 'pelanggan', 'udah', 'bertahun', 'make', 'telkomsel', 'parahh', '']</t>
  </si>
  <si>
    <t>['telkomsel', 'kuota', 'mahal', 'jaringan', 'jelek']</t>
  </si>
  <si>
    <t>['signal', 'stabil', 'suka', 'hilang', 'kuota', 'telkomsel', 'jelek', 'banget', 'tolong', 'perbaiki', 'wilayah', 'jabar', 'khusus', 'subang', 'gini', 'mending', 'ganti', 'provider']</t>
  </si>
  <si>
    <t>['sebel', 'suka', 'pending', 'download', 'apk', 'loading', 'trs', 'ampe', 'bbrpa', 'pindah', 'dehh', 'yaaa', 'byeee']</t>
  </si>
  <si>
    <t>['promo', 'perbanyak', '']</t>
  </si>
  <si>
    <t>['kasih', 'diskon', 'paket', 'datanya', 'admin']</t>
  </si>
  <si>
    <t>['memudahkan', 'megisi', 'pulsa', 'kuota', '']</t>
  </si>
  <si>
    <t>['telkomsel', 'kususnya', 'wilayah', 'lampung', 'timur', 'kota', 'sukadana', 'desa', 'sukadana', 'ilir', 'merugikan', 'oengunanya', 'tolong', 'operator', 'perbaiki', 'jaringannya', 'palsu', 'jarigan', 'buruk', 'ngk', 'setabil', '']</t>
  </si>
  <si>
    <t>['payah', 'aplikasi', 'buka', 'gimana', 'peke', '']</t>
  </si>
  <si>
    <t>['aplikasi', 'memudahkan', 'terimakasih', 'telkomsel']</t>
  </si>
  <si>
    <t>['kasih', 'bonus']</t>
  </si>
  <si>
    <t>['pliss', 'telkomsel', 'woooy', 'gangguan', 'mulu', 'siiii', 'ahhh', 'kuota', 'mahal', 'jaringan', 'gajelas']</t>
  </si>
  <si>
    <t>['jaringan', 'telkomsel', 'ditempatku', 'stabil', 'kadang', 'gangguan', 'stabil']</t>
  </si>
  <si>
    <t>['telkomsel', 'jaringannya', 'terganggu', 'parah', 'banget', 'seharian', 'ngga', 'akses', 'internet', '']</t>
  </si>
  <si>
    <t>['tanggal', 'november', 'app', 'telkomsel', 'menampilkan', 'whitescreen', 'instal', 'ulang', 'app', 'hasilnya']</t>
  </si>
  <si>
    <t>['mahal', 'nge', 'lag']</t>
  </si>
  <si>
    <t>['cein', 'tiaphari', 'dapt', 'pls', 'gratis', 'suka', 'apk']</t>
  </si>
  <si>
    <t>['bagus', 'ngecek', 'pulsa', 'kuota', 'mudah', 'beli', 'paket', 'gampang', 'sayangnya', 'ndak', 'suka', 'bet', 'ama', 'perubahan', 'harga', 'kuota', 'cuman', 'bertambah', 'tetep', 'ndak', 'enak', 'harganya', 'beli', 'pulsa', 'auto', 'melayang', 'kuota', 'malam', 'nambah', '']</t>
  </si>
  <si>
    <t>['telkomsel', 'hati', 'dimana', 'jaringan']</t>
  </si>
  <si>
    <t>['beli', 'paket', 'yaa', 'tulisan', 'maaf', 'gangguan', 'sistem', 'udah', 'coba', 'berkali', 'tetep', '']</t>
  </si>
  <si>
    <t>['telkomsel', 'dihati']</t>
  </si>
  <si>
    <t>['knpa', 'buka', 'apk', 'telkom', 'sel', 'eror', '']</t>
  </si>
  <si>
    <t>['kesel', 'telkomsel', 'ngak', 'kekuatan', 'sinyal']</t>
  </si>
  <si>
    <t>['update', 'buka', 'ampas', 'kali', 'check', 'sisa', 'gb']</t>
  </si>
  <si>
    <t>['senang', 'pakai', 'aplikasi', 'telkomsel']</t>
  </si>
  <si>
    <t>['mahal', 'edan', 'menit', 'habis', '']</t>
  </si>
  <si>
    <t>['klu', 'paket', 'unlimited', 'medsos', '']</t>
  </si>
  <si>
    <t>['apk', 'lemot', 'mohon', 'telkomsel', 'percepat', 'kukasih', 'bintang']</t>
  </si>
  <si>
    <t>['pulsa', 'pembodohan', 'massal']</t>
  </si>
  <si>
    <t>['mmm', '']</t>
  </si>
  <si>
    <t>['aplikasinya', 'udah', 'update', 'ehhh', 'buka', 'bolak', 'coba', 'hasilnya', '']</t>
  </si>
  <si>
    <t>['sialan', 'masuk', 'asw', 'mls', 'apl', 'masuk', 'repot', '']</t>
  </si>
  <si>
    <t>['selesai', 'yaaa', 'jaringannya', 'bbrp', 'kali', 'komplin', 'solusi', 'memuaskan', 'harga', 'internet', 'mahal', 'tpi', 'sesuai', 'pelanggan', 'dapatkan', 'skrg', 'apl', 'buka', 'telkomsel', 'pliis', 'kasihan', 'pelanggan', 'muuuu', 'area', 'perkotaan', 'payah', '']</t>
  </si>
  <si>
    <t>['nomer', 'handphone', 'aktif', 'telfon', 'kadang', 'kadang', 'keseringan', 'susah', 'telfon', 'tolong', 'cek', 'handphone', '']</t>
  </si>
  <si>
    <t>['kuota', 'pling', 'mahal', 'jaringan', 'jelek', 'bnget', 'kecewa']</t>
  </si>
  <si>
    <t>['sinyal', 'kuat', 'bagus']</t>
  </si>
  <si>
    <t>['telkomsel', 'terbaik']</t>
  </si>
  <si>
    <t>['', 'cape', 'sumpah', 'kaya', 'gini', 'sinyal', 'parah', 'lag', 'mulu', '']</t>
  </si>
  <si>
    <t>['kecewa', 'ama', 'telkomsel', 'niatnya', 'beli', 'paket', 'kuotanya', 'pulsanya', 'ilang', '']</t>
  </si>
  <si>
    <t>['', 'network', 'the', 'worst', 'ever', 'sad', 'sebanding', 'harganya', 'lumayan', 'mahal', 'ujian', 'kesabaran', 'telkomsel']</t>
  </si>
  <si>
    <t>['keren', 'banget', 'telkomselmah']</t>
  </si>
  <si>
    <t>['telkomsel', 'gax', 'gangguan']</t>
  </si>
  <si>
    <t>['mantap', 'aplikasi', 'telkomsel']</t>
  </si>
  <si>
    <t>['tolong', 'ucapan', 'jaringan', 'terluas', 'tercepat', 'realisasikan', 'dlu', 'emang', 'cepet', 'down', 'grade', 'customer', 'kecewa', 'respon', 'tambahan', 'gua', 'beli', 'paketan', 'unlimited', 'youtube', 'pulsa', 'gua', 'kekuras', 'abis', 'ati', 'kena', 'karma', 'ikhlas', 'gua', 'jaringan', 'sampah', 'bertahun', 'make', 'bukanya', 'bagus', 'busuk', 'cepet', 'dibenerin', 'jaringannya', 'lemot', 'ampe']</t>
  </si>
  <si>
    <t>['aplikasi', 'lelet', 'paket', 'nelpon', 'langsung', 'dipakai', 'paket', 'habis']</t>
  </si>
  <si>
    <t>['keren', 'pelit', 'gratisan', '']</t>
  </si>
  <si>
    <t>['pelayanan', 'akurat']</t>
  </si>
  <si>
    <t>['sangan', 'mudah']</t>
  </si>
  <si>
    <t>['paket', 'habis', 'pakai']</t>
  </si>
  <si>
    <t>['kapet', 'ketengan', 'youtube', 'min', 'kesedot', 'paket', 'utama', 'tolong', 'perbaiki', 'secepatnya']</t>
  </si>
  <si>
    <t>['susah', 'buka', 'sinyal', 'susah']</t>
  </si>
  <si>
    <t>['tukar', 'poin', 'paket', 'internet']</t>
  </si>
  <si>
    <t>['mantep', 'dri', 'seblumx', 'kembang', 'promo', '']</t>
  </si>
  <si>
    <t>['aplikasi', 'eror', 'gini', 'emang', 'perbaiki', '']</t>
  </si>
  <si>
    <t>['', 'paket', 'aktif', 'aneh', 'dipake', 'kuotanya', 'hrus', 'beli', 'gmna', 'diaktifkan']</t>
  </si>
  <si>
    <t>['kedepan', 'semoga', 'sukses', '']</t>
  </si>
  <si>
    <t>['burik', 'gangguan', 'telkomsel']</t>
  </si>
  <si>
    <t>['top', 'pokoknya', 'gratisan', 'kuota', 'internet']</t>
  </si>
  <si>
    <t>['wilayah', 'sulawesi', 'tolong', 'tingkatkan', 'lemot', 'kalah', 'sebelah', '']</t>
  </si>
  <si>
    <t>['sinyal', 'prima', 'tiada', 'duanya', '']</t>
  </si>
  <si>
    <t>['aplikasi', 'manfaatnya']</t>
  </si>
  <si>
    <t>['hadeh', 'kumaha', 'atuh', 'kuota', 'kesedot', 'pulsanya']</t>
  </si>
  <si>
    <t>['pulsa', 'hilang', 'lemottttt']</t>
  </si>
  <si>
    <t>['bagus', 'bsa', 'menolong', 'dipelosok', 'desa', 'paket', 'internet', 'murah']</t>
  </si>
  <si>
    <t>['', 'bintang', 'nomor', 'beli', 'paket', 'combo', 'sakti', '']</t>
  </si>
  <si>
    <t>['suka', 'skli', 'pke', 'mytlkomsel']</t>
  </si>
  <si>
    <t>['sinyal', 'simpati', 'bagus', 'kaya']</t>
  </si>
  <si>
    <t>['signal', 'udah', 'suka', 'ilang', 'kayak']</t>
  </si>
  <si>
    <t>['', 'telkomsel', 'terbaik', 'promonya', 'kesempatan', 'hadiah', 'undi', 'undi', 'hepi', 'mudah', 'mudahan', 'kesempatan', 'menang', 'aamiin', '']</t>
  </si>
  <si>
    <t>['jaringan', 'telkomsel', 'lelet', 'kek', 'kura', 'kura', 'menyebalkan', '']</t>
  </si>
  <si>
    <t>['tolong', 'paketnya', 'turunkan', 'harganya']</t>
  </si>
  <si>
    <t>['aplikasinya', 'bagus', 'bagus', 'banget', 'gua', 'pulang', 'dirumah', 'tidur', 'besoknya', 'sekolah', 'berangkat', 'sekolah', 'gua', 'belajar', 'secolah', 'abis', 'jam', 'istirahat', 'gua', 'pergi', 'kantin', 'gua', 'beli', 'guatanya', 'kiko', 'enak']</t>
  </si>
  <si>
    <t>['sinyal', 'telkomsel', 'hancur', 'hancuran', 'muncul', 'timbul', 'udh', '']</t>
  </si>
  <si>
    <t>['bagus', 'banget', 'mudah', 'beli', 'paket', '']</t>
  </si>
  <si>
    <t>['harga', 'selangit', 'kualitas', 'menurun']</t>
  </si>
  <si>
    <t>['aplikasi', 'bagus', 'tingkatkan', 'lock', 'pulsa', 'pulsa', 'ilang', 'nyesek', 'hilang', 'udh', 'ngisi', 'pulss', 'brli', 'paket', 'ehh', 'kesedot']</t>
  </si>
  <si>
    <t>['oke', 'pisan', 'euy']</t>
  </si>
  <si>
    <t>['cata', 'munculkan', 'paket', 'gimana', 'min', 'mohon', 'solusinya']</t>
  </si>
  <si>
    <t>['memebeli', 'paketan', 'menu', 'telkomsel', 'muncul', 'tulisan', 'gangguan', 'coba', 'pulsa', 'mencukupi', '']</t>
  </si>
  <si>
    <t>['kak', 'nanya', 'pas', 'masuk', 'telkomsel', 'dak', 'kayak', 'layar', 'putih', 'tolong', 'cari', 'kak', 'plis', 'langanan', 'telkomsel']</t>
  </si>
  <si>
    <t>['ngeluh', 'jaringan', 'lemot', 'tolol', 'kawan', 'aplikasinya', 'tingal', 'hutan']</t>
  </si>
  <si>
    <t>['harga', 'mahal', 'sinyal', 'buruk']</t>
  </si>
  <si>
    <t>['maaf', 'telkomsel', 'pas', 'masuk', 'aplikasi', 'telkomsel', 'loadingnya', 'jaringan', 'baguss', 'buka', 'telkomsel', 'doang', 'buka', 'tolong', 'teruntuk', 'telkomsel', '']</t>
  </si>
  <si>
    <t>['mempermudah', 'informasi', 'telekomsel']</t>
  </si>
  <si>
    <t>['sinyal', 'bagus', 'respon', 'min']</t>
  </si>
  <si>
    <t>['telkomsel', 'sinyal', 'rubuh', 'kayaknya', 'sakit', 'sinyal']</t>
  </si>
  <si>
    <t>['mempermudah', 'transaksi', 'peningkatan', 'layanan', 'menanggapi', 'complain', 'sinyanl', 'hancur', 'hancuran', 'aplikasinya', 'kualitasnya', 'sesuai', 'rat', 'profider', 'sebelah', 'notabennya', 'murah', 'unggulin', 'aplikasi', 'kualitas', 'jaringan', '']</t>
  </si>
  <si>
    <t>['', 'kota', 'dipelosok', 'internet', 'telkomsel', 'oke', '']</t>
  </si>
  <si>
    <t>['beli', 'paket', 'internet', 'jaringan', 'gara', 'pindah', 'otomatis', 'dijadikan', 'alasan', 'potong', 'pulsa', 'alasan', 'konyol', '']</t>
  </si>
  <si>
    <t>['bentar', 'harga', 'paket', 'kayanya', 'gitu', 'promo', 'khusus', 'pengguna', '']</t>
  </si>
  <si>
    <t>['mengecewakan', 'sesuai', 'keterangan', 'janji', 'unlimited', 'memotong', 'pulsa', '']</t>
  </si>
  <si>
    <t>['paket', 'data', 'mahal', '']</t>
  </si>
  <si>
    <t>['paketan', 'game', 'murah', 'banget', 'mantaap', 'sinyalnya', 'oke', 'banget', 'kayak', 'siput', 'merambat', 'dipohon', 'hujan', 'lebat', '']</t>
  </si>
  <si>
    <t>['semoga', 'paket', 'paket', 'promo', 'asek', 'murah', 'murah']</t>
  </si>
  <si>
    <t>['sms', 'disuruh', 'download', 'aplikasi', 'telkomsel', 'dapet', 'pulsa', 'zonk', 'pulsa', 'rupiah', 'berkali', 'kali', 'ngecek', 'ttp', 'pulsanya', 'periode', 'promo']</t>
  </si>
  <si>
    <t>['rumah', 'opsisi', 'kota', 'mati', 'lampu', 'jaringan', 'mati', 'kadang', 'sinyal', 'doang', 'full', 'jaringan', 'lemot']</t>
  </si>
  <si>
    <t>['mantap', 'puas']</t>
  </si>
  <si>
    <t>['senang', 'berlanggana', 'kartu', 'halo', 'membantu', 'jaringan', 'berkomunikasi']</t>
  </si>
  <si>
    <t>['membantu', 'trimakasih']</t>
  </si>
  <si>
    <t>['kereeen', 'daerah', 'jujur', 'cepet', 'erorr', 'rutin', 'hebat', 'broo', 'sumpah', 'pokoknya', 'minggu', 'full', 'erorr', 'wifi', 'provider', 'udah', 'gitu', 'udah', 'beli', 'paket', 'mahal', 'udah', 'makek', 'telkomnyet', 'promo', 'aplikasi', 'keren', 'broo', 'sumpah', 'komen', 'pliss', 'klik', 'tombol', 'sebelah', 'tulisan', 'membantu', '']</t>
  </si>
  <si>
    <t>['bagus', 'promo', 'murah']</t>
  </si>
  <si>
    <t>['paket', 'internet', 'perpanjang', 'otomatis', 'kyk', 'rugi', 'beli', 'pulsa', 'kolot', 'aplikasi']</t>
  </si>
  <si>
    <t>['tukar', 'poin', 'degan', 'pulsa', 'pelis', 'aktifkan', 'pakat']</t>
  </si>
  <si>
    <t>['jaringan', 'data', 'telkomsel', 'udah', 'jelek', 'disaat', 'hujan', 'mati', 'lampu', 'buruk', 'saranin', 'kartu', 'telkomsel']</t>
  </si>
  <si>
    <t>['membantu', 'kontrol', 'kuota', 'paket', 'data']</t>
  </si>
  <si>
    <t>['ngecek', 'kuota', 'susah']</t>
  </si>
  <si>
    <t>['keren', 'memudahkan', 'layanannya', 'easy', 'access']</t>
  </si>
  <si>
    <t>['telkomsel', 'ngapain', 'sinyal', 'emosi', 'doang', 'kartu', '']</t>
  </si>
  <si>
    <t>['telkom', 'jelek', 'sinyalnya', 'kartu', 'telkom', 'sinyal', 'susah', 'paket', 'mahal']</t>
  </si>
  <si>
    <t>['jaringannya', 'lancar']</t>
  </si>
  <si>
    <t>['sinyal', 'buruk', 'pas', 'promosi', 'ngilerr']</t>
  </si>
  <si>
    <t>['tolong', 'fitur', 'mengunci', 'pulsa', 'paket', 'pulsa', 'tersedot', 'lucu', 'beli', 'paket', 'pulsa', 'abis', 'sedot', 'duluan']</t>
  </si>
  <si>
    <t>['download', 'deh', 'nyesel', '']</t>
  </si>
  <si>
    <t>['semoga', 'buka', 'telkomsel', 'gratis', 'kuota']</t>
  </si>
  <si>
    <t>['bro', 'bener', 'bener', 'parah', 'telkomsel', 'ngedukung', 'indonesia', 'serentak', 'ganti', 'kartu', 'telkomsel', 'setuju', 'acungkan', 'jempol']</t>
  </si>
  <si>
    <t>['sinyal', 'buruk']</t>
  </si>
  <si>
    <t>['mantap', 'mahalnya']</t>
  </si>
  <si>
    <t>['mksih', 'layanannya', 'memuaskan']</t>
  </si>
  <si>
    <t>['menu', 'putih', 'maksudnya', 'telkomsel']</t>
  </si>
  <si>
    <t>['telkomsel', 'bagus', 'sinyalnya', 'dimana']</t>
  </si>
  <si>
    <t>['sinyal', 'stabil', 'bagus', 'biru', 'lokasi', 'cimahi', 'selatan', 'tolong', 'perbaiki', '']</t>
  </si>
  <si>
    <t>['pulsa', 'habis', 'mulu', 'harga', 'kuota', 'mahal', 'paketan', 'parah', 'telkomsel', 'simpati']</t>
  </si>
  <si>
    <t>['turunin', 'harga']</t>
  </si>
  <si>
    <t>['paket', 'omg', 'hilang', 'anehh']</t>
  </si>
  <si>
    <t>['maaf', 'knpa', 'pembayaran', 'sllu', 'gagal', 'tolong', 'perbaiki']</t>
  </si>
  <si>
    <t>['kasih', 'bintang', 'beli', 'paket', 'harga', 'sekian', 'harga', 'bingung', 'kenaikan', 'harga', 'paket', 'mytelkom', 'kembalikan']</t>
  </si>
  <si>
    <t>['bagus', 'jaringan']</t>
  </si>
  <si>
    <t>['sinyal', 'terkadang', 'gangguan']</t>
  </si>
  <si>
    <t>['sinyal', 'susah', 'tllong', 'diperbaiki', 'karingan', 'diindonesia', 'males', 'nugas', 'susah', 'maen', 'susah', 'ajg', 'telkomsel', 'tolong', 'diperbaiki', 'iyha', 'harga', 'mahal', 'jaringan', 'susah', 'males', 'makai', 'kartu', 'sumpah', 'udah', 'gwe', 'lte', 'only', 'susah']</t>
  </si>
  <si>
    <t>['beli', 'kuota', 'youtube', 'kuota', 'utama', 'kepake', 'nonton', 'youtube', '']</t>
  </si>
  <si>
    <t>['heran', 'telkomsel', 'kirim', 'sms', 'nomor', 'produk', 'apalah', 'pulsa', 'dipotong', 'telkomsel', 'kirim', 'sms', 'menanggung', 'beban', 'biayanya', '']</t>
  </si>
  <si>
    <t>['bagus', 'semoga', 'kedepannya', 'paket', 'murah', 'murah']</t>
  </si>
  <si>
    <t>['beli', 'pulsa', 'beli', 'paket', 'kuota', 'sisa', 'pulsa', 'dipake', 'tinggal', 'aneh', '']</t>
  </si>
  <si>
    <t>['jeleeeek', 'ganti', 'kartu', 'saranin', 'telkomsel']</t>
  </si>
  <si>
    <t>['tolong', 'tambahin', 'fitur', 'lindungi', 'pulsa', 'kesedot', 'mulu', 'paket', 'kelancaran', 'oke', 'paketan', 'pulsa']</t>
  </si>
  <si>
    <t>['semoga', 'hadiah', 'mobil', 'amin', '']</t>
  </si>
  <si>
    <t>['beli', 'paket', 'login', 'susah']</t>
  </si>
  <si>
    <t>['hadehhhh', 'gmn', 'dibuka', 'telkomsel', 'udah']</t>
  </si>
  <si>
    <t>['beli', 'paket', 'data', 'pulsa', 'mudah']</t>
  </si>
  <si>
    <t>['penipuan', 'promo', 'pulsa', 'gratis', 'udah', 'ikutin', 'persyaratan', 'ngasih', 'gitu', 'ngabisin', 'kuota', 'gue']</t>
  </si>
  <si>
    <t>['sip']</t>
  </si>
  <si>
    <t>['telkomsel', 'terdepan', 'pelayanan', 'informasi', 'perkomunikasian', '']</t>
  </si>
  <si>
    <t>['sinyal', 'telkomsel', 'hilang', 'komunikasi', 'dll', 'susah']</t>
  </si>
  <si>
    <t>['bagus', 'sinyalnya']</t>
  </si>
  <si>
    <t>['bagus', 'senang', 'memakai', 'telkomsel']</t>
  </si>
  <si>
    <t>['mitra', 'ojol', 'hemat']</t>
  </si>
  <si>
    <t>['paket', 'telkomsel', 'mahal', 'kali', 'kalah', 'sma']</t>
  </si>
  <si>
    <t>['kecewa', 'telkomsel', 'udah', 'telkomsel', 'kesini', 'sinyal', 'main', 'game', 'ngelag', 'speed', 'download', 'lemot', 'banget', 'beli', 'paket', 'gb', 'berasa', 'dipake', 'lemot', 'pindah', 'provider', 'sebelah', 'bagus', 'ping', 'speed', 'downloadnya', '']</t>
  </si>
  <si>
    <t>['mantap', 'paketnya', 'dikasih', 'harga', 'murah']</t>
  </si>
  <si>
    <t>['oyy', 'telkomsel', 'harga', 'paket', 'mahal', 'bangett', 'paket', 'beli', 'harga', 'rb', 'gb', 'kuota', 'harga', 'derastis', 'banget', 'sampe', 'rb', 'harga', 'ngotak', 'anjirrr', 'males', 'langganan', 'kaya', 'gini', 'balikin', 'harga', '']</t>
  </si>
  <si>
    <t>['sinyal', 'bagus']</t>
  </si>
  <si>
    <t>['menginstal', 'aplikasi', 'gagal', 'pas', 'instal']</t>
  </si>
  <si>
    <t>['diupdate', 'mahal', 'harga', 'kuota']</t>
  </si>
  <si>
    <t>['akun', 'masukan', 'nomor', 'eror', 'parahhhhh', '']</t>
  </si>
  <si>
    <t>['semoga', 'paketan', 'seminggu']</t>
  </si>
  <si>
    <t>['coba', 'pasang', 'sinyal', 'telkomsel', 'kuat', 'jepara', 'wetan', 'bianangun', 'cilacap', 'jateng', 'sinyal', 'jelek', 'bangettt']</t>
  </si>
  <si>
    <t>['sukses', 'beli', 'paket', 'trus', 'internetan', 'pulsanya', 'sedot', 'telkomsel', 'udah', 'kecewa', 'pelayanan', 'telkomsel']</t>
  </si>
  <si>
    <t>['aplikasi', 'hebat']</t>
  </si>
  <si>
    <t>['pas', 'buka', 'telkomsel', 'trus', 'lag', 'jaringan', 'bagus', '']</t>
  </si>
  <si>
    <t>['telkomsel', 'lemot', 'kayak', 'harga', 'kouta', 'pas', 'mati', 'lampu', 'jaringan', 'hilang', 'kartu', 'nyesel', 'beli', 'main', 'game', 'jaringan', 'hilang', 'tolong', 'perbaiki', '']</t>
  </si>
  <si>
    <t>['jaringan', 'suka', 'hilang', 'jaringan', 'jaringan', 'doang']</t>
  </si>
  <si>
    <t>['kasih', 'bintang', 'bagus', 'kasih', 'bintang']</t>
  </si>
  <si>
    <t>['kali', 'paket', 'murah', 'thanks', 'telkomsel']</t>
  </si>
  <si>
    <t>['menarik', 'promonya']</t>
  </si>
  <si>
    <t>['cek', 'kuota', 'cepat']</t>
  </si>
  <si>
    <t>['aplikasi', 'telkomsel', 'stlah', 'diperbarui', 'bsa', 'buka']</t>
  </si>
  <si>
    <t>['aplikasi', 'diakses', '']</t>
  </si>
  <si>
    <t>['gajelas', 'aplikasi', 'gabisa', 'dibuka', 'unistall', 'trs', 'install', 'ulang', 'dibuka']</t>
  </si>
  <si>
    <t>['penjelasan', 'sinyal', 'lemot', 'paket', 'boros']</t>
  </si>
  <si>
    <t>['tolong', 'sinyal', 'stabilkan']</t>
  </si>
  <si>
    <t>['sinyalnya', 'daerah', 'bojonggede', 'kabupaten', 'bogor', 'hilang', 'klw', 'pakai', 'zoom', 'zoomnya', 'sinyal', 'lemah']</t>
  </si>
  <si>
    <t>['tanggal', 'nov', 'error', 'tellkomsel', 'laggg', 'banget']</t>
  </si>
  <si>
    <t>['alhamdulillah', 'mudah', 'mudahan', 'telkomsel', 'jaya']</t>
  </si>
  <si>
    <t>['sialan', 'sms', 'telkomsel', 'download', 'telkomsel', 'pulsa', 'ribu', 'sampah', 'pakai', 'telkomsel', 'menerima', 'telfon', 'sepenuhnya', 'menggunakannya', 'karna', 'serba', 'mahal', 'promo', 'telkomsel', 'internet', 'menelfon', 'oprator', 'murah', 'hemat', 'youtub', 'mengunggah', 'vidio', 'youtub', '']</t>
  </si>
  <si>
    <t>['kecewa', 'signal', 'internet', 'stabil', 'buka', 'aplikasinya', 'pengguna', 'telkomsel', 'simpati', 'namanya', 'provider', 'nasional', 'jaringannyasignalnya', 'bagus', 'rekomendasikan', 'telkomsel', 'buffering', '']</t>
  </si>
  <si>
    <t>['knpa', 'ndk', 'buka', 'ndk', 'aplikasi', 'kecewa']</t>
  </si>
  <si>
    <t>['paketan', 'internet', 'mahak']</t>
  </si>
  <si>
    <t>['jaringan', 'stabil', 'ngirim', 'file', 'susah', 'jaringan', 'kencang', 'buktinya', '']</t>
  </si>
  <si>
    <t>['mantap', 'jaringannya']</t>
  </si>
  <si>
    <t>['jaringannya', 'jelek', 'banget', 'nambah', 'jelek', 'paket', 'mahal', 'kondisikan', '']</t>
  </si>
  <si>
    <t>['special', 'promo', 'unfaedah', 'gb', 'mikir', 'min', 'tukar', 'poin', 'skian', 'poin', 'gb', 'telkomsel', 'indonesia', 'skarang', 'jajah', 'negeri', '']</t>
  </si>
  <si>
    <t>['aplikasi', 'provider', 'merugikan', 'isi', 'pulsa', 'kesedot', 'ribu', 'ribu', 'turun', 'pamor', 'sedot', 'pulsa', 'pelanggan', 'harga', 'mahal', 'sinyal', 'hilang', 'timbul', 'paket', 'cepat', 'terkuras', 'cek', 'aplikasi', 'ngeredem', 'isi', 'pulsa', 'tersedot', 'berkali', 'kyk', 'provider', 'sebelah', 'pengaturan', 'pulsa', 'tersedot', 'perbaiki', 'kualitas', '']</t>
  </si>
  <si>
    <t>['menyenangkan', 'belanja', 'telkomsel']</t>
  </si>
  <si>
    <t>['saran', 'pengguna', 'telkomsel', 'membeli', 'paket', 'combo', 'unlimited', 'gb', 'harga', 'mytelkosel', 'paket', 'rb', 'kuota', 'gb', 'jaringan', 'lancar', 'kasih', 'saran', 'telkomsel', 'membeli', 'paket', 'gb', 'youtube', 'kekecewaan', 'karang', 'jaringan', 'lemah', 'sulit', 'membuka', 'aplikasi', 'apapun', 'gagal', 'promo', 'telkomsel']</t>
  </si>
  <si>
    <t>['mantap', 'banget', 'beli', 'paket']</t>
  </si>
  <si>
    <t>['auto', 'give', 'star', 'rate']</t>
  </si>
  <si>
    <t>['terbantu', 'banyaknya', 'promo']</t>
  </si>
  <si>
    <t>['udah', 'perbarui', 'pas', 'app', 'buka', 'perbaharui', 'maksudnya', 'min', '']</t>
  </si>
  <si>
    <t>['coba', 'perbaiki', 'signalnya', 'boss', 'planggan', 'kecewa', 'signal', 'jelek']</t>
  </si>
  <si>
    <t>['puas', 'telkomsel', 'kaulitas', 'telpon', 'internetnya', 'bagus', 'harga', 'terjangkau', 'terima', 'kasih', 'telkomsel', 'tingkatkan', 'kualitas', 'telpon', 'internet', 'hargamu', '']</t>
  </si>
  <si>
    <t>['sinyal', 'mulu', 'jelek', 'main', 'game', 'online', 'pas', 'ditengah', 'permainan', '']</t>
  </si>
  <si>
    <t>['', 'telkomsel', 'buruk', 'jaringan', 'harga', 'peket', 'mahal', 'kualitas', 'jaringan', 'buruk', 'telkomsel', '']</t>
  </si>
  <si>
    <t>['jaringan', 'dibenerin', 'kalah']</t>
  </si>
  <si>
    <t>['beli', 'kuota', 'apk', 'aktifkan', 'data', 'pas', 'udh', 'aktifin', 'pulsa', 'kesedot', 'hadeh', 'kali', 'gitu', 'balikin', 'pulsa', 'men', '']</t>
  </si>
  <si>
    <t>['jaringan', 'lemot', '']</t>
  </si>
  <si>
    <t>['tolong', 'harganya', 'bagus', 'apk', 'tolong', 'turu', 'nin', 'hatganya']</t>
  </si>
  <si>
    <t>['pembelian', 'paket', 'berhasil', 'paket', 'pulsa', 'kesedot', 'tolong', 'beli', 'paket', 'pulsa', 'kesedot', 'kecewa', 'telkomsel', 'skrg', 'lag', 'ilang', 'sinyal']</t>
  </si>
  <si>
    <t>['telkomsel', 'kota']</t>
  </si>
  <si>
    <t>['harga', 'segitu']</t>
  </si>
  <si>
    <t>['berkali', 'penyelesaian', 'kuota', 'dibilang', 'beli', 'kuota', 'telpon', 'internet', 'mubasir', 'kapok']</t>
  </si>
  <si>
    <t>['maintance']</t>
  </si>
  <si>
    <t>['jaringan', 'telkomsel', 'susah', 'lelet', '']</t>
  </si>
  <si>
    <t>['maaf', 'layanan', 'tersedia', 'info', 'promo', 'raih', 'honda', 'beat', 'street', 'rizky', 'febian', 'tarif', 'rp', 'sms', 'hr', 'slm', 'hr', 'hub', 'jam', 'sms', 'teror', 'sms', 'berlanjut', 'trs', 'gimana', 'ngeblok', '']</t>
  </si>
  <si>
    <t>['parah', 'banget', 'telkomsel', 'nyesel', 'gua', 'isi', 'koutanya', 'lelet', '']</t>
  </si>
  <si>
    <t>['kuota', 'omg', 'nonton', 'youtube', 'pas', 'nonton', 'youtube', 'resolusi', 'kesedot', 'kuota', 'utama', 'mubazir', 'dipake', '']</t>
  </si>
  <si>
    <t>['jaringan', 'stabil', 'kepercayaan', 'masyarakat', 'indonesia']</t>
  </si>
  <si>
    <t>['telkomsel', 'mengecewakan', 'harga', 'mahal', 'nyaman', 'makai', 'ayo', 'pindah', 'kartu', 'teman', 'teman']</t>
  </si>
  <si>
    <t>['aplikasi', 'taii', 'berguna', 'telkomsel', 'kartu', 'harlo', 'sampah', 'bayak', 'penipuan', 'oknum', 'oknum', 'telkomsel', 'mudah', 'mudahan', 'telkomsel', 'bangkrut']</t>
  </si>
  <si>
    <t>['membantu', 'memudahkan', 'rutinitas']</t>
  </si>
  <si>
    <t>['coba', 'lakukan', 'maintance', 'berkala', 'kecewa', 'pelanggan']</t>
  </si>
  <si>
    <t>['apk', 'bagus']</t>
  </si>
  <si>
    <t>['woi', 'jual', 'paket', 'data', 'pas', 'rb', 'rb', 'rb', 'rb', 'ditambah', 'segitu', 'untung', 'harga', 'berubah', 'rubah', 'pemberitahuan', 'pas', 'isi', 'pulsa', 'beli', 'paket', 'data', 'rb', 'harga', 'rb', 'jancu', 'pokoknya', '']</t>
  </si>
  <si>
    <t>['smakin', 'smakin', 'bobrok', 'orang', 'sampe', 'terganggu', 'rejeki', 'karna', 'sinyal', 'gila', 'sinyal', 'simpati', 'mdngn', 'beralih', 'parah', 'lemotnya', 'stiap', 'gila', 'orang', 'dapet', 'rejeki', 'karna', 'data', 'bobrok', 'mndngn', 'tutup', 'ush', 'skrnya', 'merugikan', 'menguntungkan', '']</t>
  </si>
  <si>
    <t>['beli', 'paket', 'data', 'gb', 'rp', 'rp', 'murah', 'mahal', 'sinyal', 'lancar', 'bangat', 'hilang', 'kesel', 'tolong', 'pakai', 'telkomsel', 'keperluan']</t>
  </si>
  <si>
    <t>['blom', 'hadiah', 'rejeki', 'kemana', 'tuhan', 'atur', '']</t>
  </si>
  <si>
    <t>['udah', 'beli', 'paket', 'unlimited', 'youtube', 'kesedot', 'tetep', 'paket', 'utama', 'hadeh']</t>
  </si>
  <si>
    <t>['cek', 'pulsa', 'aktif', 'aktif', 'kartu', '']</t>
  </si>
  <si>
    <t>['memuaskan', 'paket', 'data', 'menguras', 'pulsa', 'aktif', 'habis', 'konfirmasi', 'pencegahan', 'olah', 'program', 'merugikan', 'pemakai', 'data', 'profesional', 'perlindungan', 'hak', 'hak', 'konsumen', '']</t>
  </si>
  <si>
    <t>['', 'muncul', 'diperkotaan', 'didesa', 'muncul', 'speed', 'cepet', '']</t>
  </si>
  <si>
    <t>['pelayanan', 'bagus']</t>
  </si>
  <si>
    <t>['dimurahin', 'biaa', 'pwlanggan', 'beli', 'pengguna', 'betah', 'swkian', 'terimakasih']</t>
  </si>
  <si>
    <t>['layanan', 'mytelkomsel', 'bagus', 'memudahkan', 'membeli', 'kuota', 'transfer', 'pulsa', 'dll', 'mengalami', 'mengakses', 'internet', 'memiliki', 'kuota', 'pulsa', 'tersedot', 'lumayan', 'mohon', 'solusinya', 'terimakasihh', '']</t>
  </si>
  <si>
    <t>['telkomsel', 'harga', 'paketnya', 'selangit', 'jaringannya', 'mending', 'kuat', 'murah', 'ngapain', 'mahal', 'lelet', 'gini', 'pelayanan', 'telkomsel', 'menurun', 'ganti', 'kartu', 'utama', 'perubahan', 'lelet', 'data', 'lelet', 'proses', 'pembelian', 'paket', 'dll', '']</t>
  </si>
  <si>
    <t>['kasi', 'bintang', 'apk', 'sangt', 'membntu', 'semenjk', 'menggunkn', 'apk', 'dpat', 'kuota', 'gratis', 'proggram', 'cehk', '']</t>
  </si>
  <si>
    <t>['membantu', 'mempermudah', 'transaksi', '']</t>
  </si>
  <si>
    <t>['telkomsel', 'kembalikan', 'pulsa', 'paket', 'dalurat', 'aktif', 'pulsa', 'masuk', 'isi', 'pulsa', 'ambil', 'pulsa', 'parah', 'banget']</t>
  </si>
  <si>
    <t>['mantap', 'promo', '']</t>
  </si>
  <si>
    <t>['aneh', 'beli', 'kuota', 'darurat', 'sepengetahuan', 'pengguna', 'kartu', 'aneh', 'pas', 'udah', 'isi', 'pulsa', 'kepotong', 'telkomsel', 'harga', 'mahal', 'kualitas', 'jelek']</t>
  </si>
  <si>
    <t>['semoga', 'kesempatan', 'menang', 'undian', 'karna', 'percaya', 'banget']</t>
  </si>
  <si>
    <t>['membantu', 'mudah', 'trimakasih']</t>
  </si>
  <si>
    <t>['ksih', 'bintang', 'karna', 'pennguna', 'telkomsel']</t>
  </si>
  <si>
    <t>['suka', 'simpati', 'potong', 'pulsa', 'smp', 'habis', 'pakai', 'internetan', 'tlp', 'pulsa', 'habis', 'sdri']</t>
  </si>
  <si>
    <t>['sinyal', 'sampah', 'gini', 'ajig']</t>
  </si>
  <si>
    <t>['app', 'telkomsel', 'hapus', 'pas', 'instal', '']</t>
  </si>
  <si>
    <t>['aplikasi', 'lelet', 'lemot', 'giliran', 'dibuka', 'susah', 'giliran', 'bayar', 'beli', 'paket', 'lancarrrr', 'aplikasi', 'mata', 'duitan']</t>
  </si>
  <si>
    <t>['maaf', 'beli', 'kuota', 'game', 'kaya', 'sebelah', 'kuota', 'game', 'kuota']</t>
  </si>
  <si>
    <t>['bagus', 'suka']</t>
  </si>
  <si>
    <t>['jaringan', 'perbaiki']</t>
  </si>
  <si>
    <t>['mpir', 'nomer', 'telp', 'kirain', 'rusak', 'ganti', 'trus', 'paket', 'unlimited', 'lbh', 'parah', 'jgnkan', 'nonton', 'browsing', 'time', 'out', 'mulu', 'hmmm', 'capek', 'deh', 'provider', 'mahal', 'doang', 'kualitas', 'ambyar', 'gimana', 'kasih', 'bintang', 'bintang', 'dibikin', 'pokoknya', 'kecewa']</t>
  </si>
  <si>
    <t>['jelek', 'banget', 'sinyal', '']</t>
  </si>
  <si>
    <t>['semoga', 'telkomsel', 'kedepannya', 'maju']</t>
  </si>
  <si>
    <t>['bintang', 'eror', 'ngebuka', 'aplikasinya']</t>
  </si>
  <si>
    <t>['bagus', 'gmpang', 'isi', 'kesback']</t>
  </si>
  <si>
    <t>['tolong', 'kasih', 'paket', 'internet', 'bulaan', 'kuota', 'multimedia', 'sosmet', 'tonton', 'berguna', 'pakai', 'saran', 'kuota', 'multimedia', 'dll', 'kebanyakan', 'saran', 'semoga', 'tanggapi', 'telkomsel']</t>
  </si>
  <si>
    <t>['kalain', 'pemain', 'game', 'kartu', 'uda', 'pakai', 'kartu', 'telkomsel', 'lag', 'sinyal', 'setabill', 'buka', 'tiktok', 'doang', 'lancar', '']</t>
  </si>
  <si>
    <t>['niat', 'prodvider', 'ndak', 'jaringannnta', 'super', 'buruk', 'main', 'game', 'sja', 'lag', 'ampun', 'bangkrut', 'kejelekan', 'jaringan', 'fakta', 'jaringannya', 'jelek', '']</t>
  </si>
  <si>
    <t>['login', 'mudah', 'tampilan', 'menarik']</t>
  </si>
  <si>
    <t>['aplikasi', 'telkomsel', 'buruk', 'mengklaim', 'hadiah', 'checkin', 'gagal', 'alasan', 'maaf', 'mencapai', 'batas', 'penukaran', 'point', 'alasan', '']</t>
  </si>
  <si>
    <t>['payah', 'kuota', 'mahal', 'jaringn', 'gangguan', 'mulu', '']</t>
  </si>
  <si>
    <t>['aplikasi', 'bagusssssssss']</t>
  </si>
  <si>
    <t>['aplikasi', 'berat', 'promosi', 'jelek', 'niat', '']</t>
  </si>
  <si>
    <t>['iiklan', 'layanan', 'telkomsel', 'via', 'sms', 'mengganggu', 'jaringan', 'bermain', '']</t>
  </si>
  <si>
    <t>['kali', 'beli', 'pulsa', 'langsung', 'habis', 'beli', 'pulsa', 'ribu', 'sisa', 'ribu', 'aktifin', 'paket', 'ribu', 'sisany']</t>
  </si>
  <si>
    <t>['menyebalkan']</t>
  </si>
  <si>
    <t>['update', 'versi', 'aplikasi', 'blank', '']</t>
  </si>
  <si>
    <t>['mantaaaap', 'pokoknya']</t>
  </si>
  <si>
    <t>['sediakan', 'pembayaran', 'pulsa', 'transfer', 'bank']</t>
  </si>
  <si>
    <t>['', 'lbh', 'murah']</t>
  </si>
  <si>
    <t>['iklan', 'clickbait', 'gb', 'harga', 'rb', 'pas', 'klik', 'penawaran', 'halaman', 'kosong', '']</t>
  </si>
  <si>
    <t>['sip', 'jaringannya', 'bener', 'ancur', 'ngotak', 'telkom', 'kesini', 'ancur', 'udah', 'galayak', 'emng', 'kalah', 'ama', 'provider', 'telkomsel', 'sinyal', 'ghoib']</t>
  </si>
  <si>
    <t>['ngisi', 'kuota', 'banget', 'isi', 'telkomsel', 'burik']</t>
  </si>
  <si>
    <t>['telkomsel', 'hancur', 'jaringan', 'internet', 'bagus', 'signal', 'telpon', 'bagus', 'padhal', 'tinggal', 'daerah', 'perkotaan', 'kota', 'bengkulu', 'tolong', 'diperbaiki', 'jaringan', 'bagus', 'segerahlah', 'diperbaiki', 'kenyamanan', 'penggunanya', '']</t>
  </si>
  <si>
    <t>['telkomsel', 'kesini', 'sinyalnya', 'buruk', '']</t>
  </si>
  <si>
    <t>['bagus', 'nyaman']</t>
  </si>
  <si>
    <t>['telkomsel', 'kemudahan', 'disetiap', 'genggaman']</t>
  </si>
  <si>
    <t>['beli', 'paket', 'promo', 'gagal', 'mulu', 'namanya', 'promo', 'ttep', 'promo', 'pas', 'promo', 'muncul', 'beli', 'bad']</t>
  </si>
  <si>
    <t>['mudah', 'cepat', '']</t>
  </si>
  <si>
    <t>['terimaksih', 'pulsanya']</t>
  </si>
  <si>
    <t>['simple', 'informatif']</t>
  </si>
  <si>
    <t>['memudahkan', 'transaksi', 'terima', 'kasih']</t>
  </si>
  <si>
    <t>['aplikasi', 'telkomsel', 'bagus', 'jarigan', 'stabil', 'keluhan', 'orang', 'orang', 'terima', 'kasih', 'telkomsel', 'semoga', 'berkembang']</t>
  </si>
  <si>
    <t>['jaringannya', 'jelek']</t>
  </si>
  <si>
    <t>['alhamdulillah', 'bermanfa', 'bangetttt', '']</t>
  </si>
  <si>
    <t>['baguuuus', '']</t>
  </si>
  <si>
    <t>['jaringan', 'diperbaiki']</t>
  </si>
  <si>
    <t>['kenapaa', 'gabisa', 'dibuka', 'loadingnya', 'lamaa', 'trus', 'ngga', 'kek', 'gini']</t>
  </si>
  <si>
    <t>['apk', 'pilikasi', 'suka', 'pilih', 'orang', 'nmornya', 'bnyak', 'murah', 'paketnya', 'giliran', 'gue', 'knp', 'slalu', 'mahal', 'paketnya', '']</t>
  </si>
  <si>
    <t>['telkomsel', 'isi', 'pulsa', 'tida', 'masuk', 'isi', 'kuota', 'tida', 'masuk', 'aktifnya', 'sebentar', '']</t>
  </si>
  <si>
    <t>['aplikasi', 'tidk', 'membli', 'kouta', 'pdhl', 'sinyal', 'pulsa', 'sudh', 'sngt', 'kecewa']</t>
  </si>
  <si>
    <t>['telkomsel', 'sinyalnya', 'jelek']</t>
  </si>
  <si>
    <t>['kecewa', 'parah', 'telkom', 'sinyal', 'ilang']</t>
  </si>
  <si>
    <t>['', 'telkomsel', 'mantappp']</t>
  </si>
  <si>
    <t>['otomatis', 'ter', 'update', 'stlh', 'isi', 'pulsa', 'beli', 'paket', 'internet', 'capek', 'deh', '']</t>
  </si>
  <si>
    <t>['login', 'kali']</t>
  </si>
  <si>
    <t>['malam', 'sampe', 'data', 'internet', 'putus', 'tlpn', 'putus', 'lokasi', 'marunda', 'jakarta', 'utara', 'jaringan', 'uda', 'normal', 'kasih', 'bintang', '']</t>
  </si>
  <si>
    <t>['disayangkn', 'internet', 'hilang', 'main', 'game', 'online', 'mlbb', 'buka', 'web', 'google', 'putus', 'hilang', 'sinyal', 'hilang', 'main', 'game', 'online', 'bsa', 'puas', 'jdi', 'bkn', 'kesel', 'mengecewakan', '']</t>
  </si>
  <si>
    <t>['jaringan', 'oke']</t>
  </si>
  <si>
    <t>['gimana']</t>
  </si>
  <si>
    <t>['terimakasih', 'mytelkomsel', 'kedepan', 'dihilangkan', 'yaa', 'paket', 'bulanan', 'rb', 'gb', 'terimakasih']</t>
  </si>
  <si>
    <t>['tolong', 'sinyal', 'diperbaiki', 'maen', 'game', 'selancar', 'mps', 'sinyal', 'unggulin', '']</t>
  </si>
  <si>
    <t>['kasih', 'bintang', 'baca', 'blm', 'merasakan', 'manfaat', 'aplikasi', 'udh', 'bonus', 'paket', 'mahal', 'ktanya', 'event', 'abis', 'koin', 'kabar', 'coba', 'koin', 'undi', 'undihappy', 'bohong', 'hoaxs', 'bukti', '']</t>
  </si>
  <si>
    <t>['unlimited', 'waw', 'bangett', 'harga', 'murmer']</t>
  </si>
  <si>
    <t>['telkomsel', 'berubah', 'bekasi', 'utara', 'sinyalnya', 'buruk', 'kadang', 'hilang', 'sinyal', 'tolong', 'berganti', 'kartu', '']</t>
  </si>
  <si>
    <t>['aplikasi', 'rumit', '']</t>
  </si>
  <si>
    <t>['sinyal', 'tingkat', 'menurun']</t>
  </si>
  <si>
    <t>['baguss', 'membantu']</t>
  </si>
  <si>
    <t>['internet', 'super', 'lelet', 'kuota']</t>
  </si>
  <si>
    <t>['tsel', 'hilang', 'instalan', 'instal', 'ulang', 'maintenance', 'gimana', '']</t>
  </si>
  <si>
    <t>['beli', 'paket', 'harga', 'trus', 'beli', 'payah', 'yesel', 'pakai', 'telkomsel', 'dibkomplin', 'respon', 'payah', 'telkomsel', 'puarah']</t>
  </si>
  <si>
    <t>['keren', 'mantap', 'jiwa']</t>
  </si>
  <si>
    <t>['layanan', 'cepat']</t>
  </si>
  <si>
    <t>['bagus', 'banget', 'keperluan', 'pilihan']</t>
  </si>
  <si>
    <t>['apk', 'istimewa', '']</t>
  </si>
  <si>
    <t>['mantap', 'semoga', 'penipuan', '']</t>
  </si>
  <si>
    <t>['aplikasi', 'eror']</t>
  </si>
  <si>
    <t>['suka', 'aplikasi', 'telkomsel', 'undiannya', '']</t>
  </si>
  <si>
    <t>['pakai', 'pengalaman', 'pengalaman', 'login', 'ratingnya']</t>
  </si>
  <si>
    <t>['bagus', 'cepat', 'ribed']</t>
  </si>
  <si>
    <t>['', 'dibuka', '']</t>
  </si>
  <si>
    <t>['membantu', 'harga', 'paket', 'internet', 'mahal']</t>
  </si>
  <si>
    <t>['paketan', 'unlimited', 'youtube', 'udah', 'statusnya', 'bari', 'beli', 'rugi', 'beli', 'hapus', 'daftar', 'paket']</t>
  </si>
  <si>
    <t>['telkomsel', 'oye']</t>
  </si>
  <si>
    <t>['sukses', 'telkomsel', 'mnjadi', 'terbaik']</t>
  </si>
  <si>
    <t>['maling', 'pulsa', 'trus', 'dasar', 'kagak']</t>
  </si>
  <si>
    <t>['memudahkan', 'cek', 'pulsa', 'beli', 'paket']</t>
  </si>
  <si>
    <t>['sinyal', 'stabil', 'malam', 'lancar', 'lancar', 'serasa', 'jaringan', 'hutan', 'susah', 'update', 'aktifitas', 'sehari', 'mohon', 'diperbaiki']</t>
  </si>
  <si>
    <t>['mempermudah', '']</t>
  </si>
  <si>
    <t>['jaringan', 'benerin', 'woy', 'kesini', 'jelek', 'jaringannya', 'heran', 'kerjanya', 'ngapain', 'digaji', 'mahal', 'mahal', 'kerja', 'sesuai', 'gajinya', 'kali', 'kecewa', 'banget', 'kartu', 'perdana', 'harga', 'paket', 'kesini', 'mahal', 'jaringannya', 'bagus', 'paketnya', 'mahal']</t>
  </si>
  <si>
    <t>['membantu', 'pertahankan']</t>
  </si>
  <si>
    <t>['terbaik', 'kaleng', 'kaleng']</t>
  </si>
  <si>
    <t>['update', 'ngebug']</t>
  </si>
  <si>
    <t>['udah', 'pulsa', 'tuker', 'poin']</t>
  </si>
  <si>
    <t>['gimana', 'klaim', 'kuota', 'hadiah', 'log', 'gb', 'tertulis', 'udah', 'terklaim', 'diberanda', 'masuk', 'pulsa', 'kesedot', 'aneh']</t>
  </si>
  <si>
    <t>['', 'stabil', 'maen', 'game', 'bukanya', 'senang', 'streees', '']</t>
  </si>
  <si>
    <t>['berubah', 'ubah', 'pemaketan', 'harga', 'internet', 'yaa', 'paket', 'rb', 'minggu', 'hilang', '']</t>
  </si>
  <si>
    <t>['aplikasi', 'kantuik', 'login']</t>
  </si>
  <si>
    <t>['layanan', 'telkomsel', 'bagus', 'kecuali', 'pemadaman', 'listrik', 'signal', 'internet', 'hilang', '']</t>
  </si>
  <si>
    <t>['buka', 'app', 'mytelkomsel', 'tampilan', 'layar', 'putih', 'kosong', 'beli', 'paket', 'data', 'app', 'jelek', 'app']</t>
  </si>
  <si>
    <t>['sinyal', 'kadang', 'jelek']</t>
  </si>
  <si>
    <t>['telkomsel', 'harga', 'paket', 'mahal', 'ddimbangi', 'kualitas', 'bagus', 'jaringan', 'hilang', 'seharian', 'lemotnya', 'kaya', 'edge', 'sekian', 'kali', 'pindah', 'kekartu', 'sebelah', 'stabil', 'murah', '']</t>
  </si>
  <si>
    <t>['', 'telkomsel', 'jaya', '']</t>
  </si>
  <si>
    <t>['woiii', 'telkomsel', 'kintil', 'tolong', 'perbaiki', 'jaringan', 'pemakai', 'telkomsel', 'kecewa', 'lelet', 'jaringan', 'aneh', 'jaringn', 'telkomsel', 'hujan', 'matahari', 'lelet', 'tolong', 'perbaiki', '']</t>
  </si>
  <si>
    <t>['apk', 'bermutu', 'eror']</t>
  </si>
  <si>
    <t>['pelayanan', 'terbaik']</t>
  </si>
  <si>
    <t>['membuka', 'aplikasi', 'telkomsel', 'kuota', 'gb', 'aplikasi', 'unistal', 'instal', 'ulang', 'aplikasi', 'terbuka', '']</t>
  </si>
  <si>
    <t>['semoga', 'amanah', 'jadinberkat']</t>
  </si>
  <si>
    <t>['kak', 'mohon', 'diperbaiki', 'kak', 'membuka', 'aplikasi', 'layarnya', 'putih', 'terbuka', 'isi', 'pulsa', 'paketan', 'dll', 'mohon', 'diperbaiki', 'kak', '']</t>
  </si>
  <si>
    <t>['tingkatkan', 'layanan', '']</t>
  </si>
  <si>
    <t>['membantu', 'bermanfaat']</t>
  </si>
  <si>
    <t>['mudah', 'beli', 'paketnya']</t>
  </si>
  <si>
    <t>['harga', 'paket', 'mencekik']</t>
  </si>
  <si>
    <t>['beli', 'kuota', 'telkomsel', 'tlisannya', 'cek', 'koneksi', 'ulangi', 'transaksi', 'menit', 'pdhl', 'jaringan', 'bagus', '']</t>
  </si>
  <si>
    <t>['paket', 'cepat', 'habis', 'padhal', 'pemakaian', 'terbatas', 'padahl', 'kmren', 'kmren', 'beli', 'paket', 'cuman', 'hbis', 'sisa', 'gimna', 'rugi']</t>
  </si>
  <si>
    <t>['knp', 'dibuka', 'pdhl', 'udah', 'versi', 'terbaru', 'tlg', 'diperbaiki']</t>
  </si>
  <si>
    <t>['bagus', 'apknya']</t>
  </si>
  <si>
    <t>['layanan', 'respon', 'aplikasi', 'lambat', 'loading', 'buka', 'menunya', '']</t>
  </si>
  <si>
    <t>['berharap']</t>
  </si>
  <si>
    <t>['ngga', 'pulsa', 'habis', 'njir', 'telkom', 'ngambil', 'jatah', 'customer', 'mohon', 'solusi', 'kedepan', 'kasih', 'fitur', 'lock', 'pulsa', 'ngaktifin', 'paket', 'pulsa', 'mendadak', 'habis']</t>
  </si>
  <si>
    <t>['suka', 'make', 'mytelkomsel', 'loading', 'berat', 'buka', 'app', 'beda', 'axisnet', 'mudah', '']</t>
  </si>
  <si>
    <t>['hallo', 'kak', 'tolong', 'perbaiki', 'app', 'telkomsel', 'samsung', 'update', 'android', 'app', 'telkomsel', 'samsung', '']</t>
  </si>
  <si>
    <t>['puas', 'jaringan', 'luas']</t>
  </si>
  <si>
    <t>['suara', 'bug', 'suara', 'semut', 'perangkat', 'televisi', 'tabung', 'aplikasi', 'dijalankan']</t>
  </si>
  <si>
    <t>['mudah', 'dlm', 'sisa', 'kuota']</t>
  </si>
  <si>
    <t>['telkomsel', 'loading', '']</t>
  </si>
  <si>
    <t>['update', 'ngga', 'buka']</t>
  </si>
  <si>
    <t>['paket', 'unlimitied', 'mahal']</t>
  </si>
  <si>
    <t>['update', 'kek', 'gini', 'kak', '']</t>
  </si>
  <si>
    <t>['mending', 'kelen', 'beli', 'kouta', 'gamemax', 'deh', 'susah', 'matching', 'match', 'relog', 'ngga', 'tetep', 'beli', 'dijamin', 'kena', 'mental', '']</t>
  </si>
  <si>
    <t>['keluhan', 'pelanggan', 'direspon', 'admin', 'semogga', 'kedepannya', 'bangkrut', 'pleaselah', 'balas', 'gtu', 'keluhan', 'pelanggan', 'harga', 'jujur', 'kecewa', 'keluhan', 'balas', 'suruh', 'keluarga', 'pindah', 'kekartu', 'sebelah', '']</t>
  </si>
  <si>
    <t>['aplikasi', 'memudahkan', 'data', 'paket', 'miliki', '']</t>
  </si>
  <si>
    <t>['jaringan', 'internet', 'telkomsel', 'bagus', '']</t>
  </si>
  <si>
    <t>['bagus', 'promonya', '']</t>
  </si>
  <si>
    <t>['mudah', 'telkomsel']</t>
  </si>
  <si>
    <t>['jaringan', 'bagus', 'stabil']</t>
  </si>
  <si>
    <t>['selesai', 'sinyal', 'telkomsel', 'kesini', 'lemot', 'telkomsel', 'nglawak', 'apk', 'udah', 'dipake', 'hilang', 'giliran', 'diinstal', 'gagal', 'maunya', 'telkomsel', 'kocak', '']</t>
  </si>
  <si>
    <t>['pulsa', 'mengurang', 'beli', 'paket', 'youtube', 'pulsa', 'hilang', 'pembelian', 'tolong', 'diselidiki', 'admin', 'kehilangan', 'pulsa', 'kali', '']</t>
  </si>
  <si>
    <t>['jancokkk', 'beli', 'paket', 'isi', 'pulsa', 'gabisa', 'buka', 'apknya', 'menit', 'udah', 'ngabisin', 'apk', 'parah', 'donwload']</t>
  </si>
  <si>
    <t>['aplikasi', 'jalan']</t>
  </si>
  <si>
    <t>['nyaman', 'telkomsel']</t>
  </si>
  <si>
    <t>['mantap', 'membantu']</t>
  </si>
  <si>
    <t>['trmakasih', 'telkomsel', 'bang', 'bersyukur', 'pelangganmu', '']</t>
  </si>
  <si>
    <t>['jaringan', 'teristimewa']</t>
  </si>
  <si>
    <t>['mantap', 'sya', 'suka', 'aplikasihh', '']</t>
  </si>
  <si>
    <t>['min', 'paket', 'langganan', 'ilang', '']</t>
  </si>
  <si>
    <t>['bintang', 'blm', 'coba', 'klu', 'bagus', 'bintang']</t>
  </si>
  <si>
    <t>['memuaskan', 'tank', 'telkomsel']</t>
  </si>
  <si>
    <t>['tekomsel', 'parah', 'pulsa', 'hilang', 'ribu', 'telkomsel', 'korupsi', 'akunya', 'pengguna']</t>
  </si>
  <si>
    <t>['suka', 'aplikasi', 'mudah', 'murah', 'membeli', 'paketan', 'internet', '']</t>
  </si>
  <si>
    <t>['pengen', 'hadiah', 'may', 'tlkomsel']</t>
  </si>
  <si>
    <t>['semoga', 'telkomsel', 'jaya', 'pelayanan', '']</t>
  </si>
  <si>
    <t>['aplikasi', 'lengkap', 'cakupan', 'area', 'merata', 'kota']</t>
  </si>
  <si>
    <t>['sinyal', 'jlek', 'trus']</t>
  </si>
  <si>
    <t>['sinyalnya', 'lemot', 'banget', 'klu', 'masuk', 'rumah', 'coran', '']</t>
  </si>
  <si>
    <t>['maaf', 'membuka', 'aplikasi', 'berulang', 'kali', 'update', 'pdhl', 'diinstal']</t>
  </si>
  <si>
    <t>['mahal', 'sinyal', 'busuk', 'mending', 'pindah', 'operator']</t>
  </si>
  <si>
    <t>['payahh', 'beli', 'paket', 'manapun', 'pulsa', 'gimana']</t>
  </si>
  <si>
    <t>['jaringan', 'lelet', 'bet', 'ktl', 'kalah', 'sma', 'sebelah']</t>
  </si>
  <si>
    <t>['paket', 'nelponnya', 'balikin', 'menit', '']</t>
  </si>
  <si>
    <t>['heran', 'jaringan', 'aceh', '']</t>
  </si>
  <si>
    <t>['', 'aplikasi', 'lemot']</t>
  </si>
  <si>
    <t>['promo', 'menarik', 'aplikasi', 'baguss', 'dehh', 'pokoknyaa']</t>
  </si>
  <si>
    <t>['gua', 'beli', 'kuota', 'youtube', 'minggu', 'kuota', 'reguler', 'kepake', 'gimana', 'telkomsel', 'nyesel', 'gua', 'beli']</t>
  </si>
  <si>
    <t>['aplikasi', 'mendukung']</t>
  </si>
  <si>
    <t>['', 'aplikasi', 'jaringannya', 'idup', 'mati', 'aneh', 'kecewa']</t>
  </si>
  <si>
    <t>['lemot', 'skrg']</t>
  </si>
  <si>
    <t>['puas', 'jaringan', 'sulit', 'bermain', 'game', 'online', 'pubg', 'mobile', 'legend', 'kuota', 'mahal', 'kualitas', 'buruk', 'signal', 'game', 'buruk', 'ping', 'normal', 'mending', 'kuota', 'murah', 'mahal', 'signal', 'memuaskan', 'bermain', 'game', 'mobile', '']</t>
  </si>
  <si>
    <t>['jaringan', 'lumpuh']</t>
  </si>
  <si>
    <t>['update', 'kebuka', 'telkomsel', '']</t>
  </si>
  <si>
    <t>['jaringannya', 'bagus', 'kenceng', 'merekomendet', 'banget']</t>
  </si>
  <si>
    <t>['langganan', 'kartu', 'hallo', 'kuota', 'multimedia', 'dipake', 'bayaran', 'berhenti', 'langganan', 'suruh', 'grapari', 'langganan', 'ditelepon', 'daftar', 'giliran', 'berhenti', 'aneh']</t>
  </si>
  <si>
    <t>['bener', 'kecewa', 'internetnya', 'mahal', 'doank', 'jaringannya', 'ancur', 'mending', 'ganti', 'kartu', 'peedana', 'deh', 'beli', 'kuota', 'kecewa', '']</t>
  </si>
  <si>
    <t>['paketan', 'mahal', 'signal', 'greget', '']</t>
  </si>
  <si>
    <t>['semoga', 'kedepannya', 'promo', 'menarik']</t>
  </si>
  <si>
    <t>['bermanfaat', 'pengguna', 'telkomsel', 'undian', 'menangkan', '']</t>
  </si>
  <si>
    <t>['update']</t>
  </si>
  <si>
    <t>['gatau', 'aplikasi', 'lemot', 'buka', 'apk', 'kenceng', 'lemot', 'ditambah', 'paket', 'internet', 'harga', 'cuman', 'seribu', 'rupiah', 'memberatkan', 'konsumen', 'pengalaman', 'konsumen', 'berpengalaman', 'harap', 'harga', 'dikondisikan', 'kalah', 'kartu']</t>
  </si>
  <si>
    <t>['sinyal', 'parah', 'down', 'lemot', 'mahal', 'paketan', 'internetnya', 'maen', 'game', 'lag', 'sinyal', 'ilang', 'tolong', 'perbaiki', 'performanya', 'harga', 'kualitas', '']</t>
  </si>
  <si>
    <t>['paket', 'doang', 'mahal', 'jaringan', 'jelek', '']</t>
  </si>
  <si>
    <t>['berguna']</t>
  </si>
  <si>
    <t>['sangan', 'bagus']</t>
  </si>
  <si>
    <t>['telkom', 'brensek', 'prnah', 'paket', 'darurat', 'isi', 'pulsa', 'slalu', 'disedot', 'emang', 'bnr', 'nii', 'telkom', 'taii', 'tlkom', 'hps', 'jaringan', 'bagus']</t>
  </si>
  <si>
    <t>['telkomsel', 'sinyal', 'bagus', 'mohon', 'penjelasannya', 'telkomsel', 'orang', 'online', 'mengandalkan', 'jaringan', 'kecewa', '']</t>
  </si>
  <si>
    <t>['sinyal', 'bagus', 'lumayan', 'mahal', 'umlimitidnya']</t>
  </si>
  <si>
    <t>['sinyal', 'buruk', 'hujan', 'sinyal', 'hilang']</t>
  </si>
  <si>
    <t>['pilihan', 'paket', 'beli', 'jaringan', 'error', 'beli', 'pilihan', 'hilangkan', '']</t>
  </si>
  <si>
    <t>['ayooo', 'kasih', 'ranting', 'aplikasi', 'bintang', 'admin', 'korupsi', 'terussss', 'quota', 'mahal', 'sinyal', 'harga', 'murah', 'sadar', 'totol', 'untung', 'desa', 'cuman', 'telkomsel', 'masuk', 'kartu', 'sudik', 'makai', 'telkomsel', 'auto', 'ganti', 'kartu', 'kek', 'kartu', 'sebelah', 'quota', 'harga', 'murah', 'jaringan', 'stabil', 'kaya', '']</t>
  </si>
  <si>
    <t>['semoga', 'hadiah', 'telkomsel', 'poin']</t>
  </si>
  <si>
    <t>['telkom', 'sekrg', 'jaringannya', 'sgt', 'jelek', 'ngegame', 'perasaan', 'bagus', 'udah', 'kayak', 'pakai', 'jeleknya', 'main', 'tolong', 'telkomsel', 'perbaiki', 'jaringan']</t>
  </si>
  <si>
    <t>['aplikasi', 'berguna', 'banget']</t>
  </si>
  <si>
    <t>['knp', 'telkomsel', 'performanya', 'tidaj', 'yaa', 'isi', 'ulang', 'kuota', 'lemott', 'banget', 'pdhl', 'full', 'kuota', 'pny', 'usaha', 'jualan', 'kyk', 'inu', 'menyusahkan', 'skali', 'buka', 'lemotny', 'bner', 'deh']</t>
  </si>
  <si>
    <t>['kecewa', 'kuota', 'buka', 'facebook', 'lemotnya', 'ampun', 'sinyal', 'bagus', 'jaringan', 'menerus', 'pindah', 'ganti', 'kartu', 'posting', 'ulasan', 'males', 'kasih', 'bintang']</t>
  </si>
  <si>
    <t>['mantap', 'jaringan', 'stabil', 'dimana', '']</t>
  </si>
  <si>
    <t>['sinyal', 'berasa', 'mengalami', 'harga', 'paket', 'beli', 'rb', 'kualitas', 'rb', '']</t>
  </si>
  <si>
    <t>['masuk', 'akun', 'nunggu', 'pesan', 'udah', 'terkirim', 'bacaan', 'masuk', 'telkomsel', 'udah', 'paket', 'mahal', 'telkomsel', 'mampus', 'rating', 'bagusin', 'jing', 'masuk']</t>
  </si>
  <si>
    <t>['buruk', 'terburuk', 'solusi', 'suruh', 'ngadu', 'robot', 'sistem', 'tetep', 'buruk', 'sinyalnya', 'nonton', 'youtube', 'muter', 'kaya', 'gangsing', 'bayar', 'perbulan', 'tpi', 'rugikan']</t>
  </si>
  <si>
    <t>['tolong', 'telkomsel', 'tanganin', 'sinyal', 'ilang', 'timbul', 'udah', 'berbulan', 'gini', 'terusss', 'klok', 'selesai', 'jangnkan', 'bintag', 'gua', 'kasi', 'bintag', 'kalok', '']</t>
  </si>
  <si>
    <t>['kartu', 'hallo', 'lancar', 'kaya', 'gini', 'kuota', 'udah', 'minggu', 'jaringan', 'engga', 'digunain', 'paketnya', 'mahal', 'jaringan', 'lelet', 'kuotanya', 'engga']</t>
  </si>
  <si>
    <t>['', 'telkomsel', 'memuaskan', 'promonya', 'love', 'mytelkomsel']</t>
  </si>
  <si>
    <t>['aplikasi', 'mudah', 'fiturnya', 'lumayan', 'lengkap']</t>
  </si>
  <si>
    <t>['apl', 'berguna', 'liat', 'kuota', 'beli', 'paketan', 'apl', 'skli', 'pesan', 'yng', 'masuk', 'gpp', 'telkomsel', 'beli', 'kuota', 'internet', 'jdi', 'klian', 'apl', 'telkomsel', 'okay', 'saran', 'dri', 'bye', 'byeee']</t>
  </si>
  <si>
    <t>['berat', 'apk', 'peringan', '']</t>
  </si>
  <si>
    <t>['apk', 'white', 'sscreen', 'udah', 'uninstal', 'download', 'tetep']</t>
  </si>
  <si>
    <t>['sanagat', 'mudah', 'terimakasih', 'tekomsel']</t>
  </si>
  <si>
    <t>['kecewa', 'jaringannya', 'ngelag', 'bngst', 'paket', 'mahal', 'parah', 'nyet', '']</t>
  </si>
  <si>
    <t>['paket', 'kuota', 'mahal', 'sinyal', 'beres']</t>
  </si>
  <si>
    <t>['kecewa', 'bangett', 'ama', 'telkomsel', 'beli', 'pulsa', 'beli', 'kuota', 'ketengan', 'utama', 'pulsa', 'syaa', 'tersia', 'tolong', 'telkomsel', 'kembalikan', 'pulsa', '']</t>
  </si>
  <si>
    <t>['mohon', 'telkomsel', 'blokir', 'situs', 'brwser', 'nonton', 'anime', 'tulisan', 'internet', 'umur', 'th', 'ngatur', 'ngetik', 'animeid', 'isinya', 'anime', 'porno', 'rasis', 'saran', 'sok', 'menjaga', 'krna', 'mempersulit', 'kalok', 'nonton', 'porno', 'nonton', 'pakek', 'aplikasi', 'ketiga', 'campur', 'urusan', 'terang', 'kecewa']</t>
  </si>
  <si>
    <t>['jaringan', 'full', 'lelet', 'respon', 'lelet', 'udah', 'kali', 'kagak', 'respon', 'munkin', 'jaringan', 'lag']</t>
  </si>
  <si>
    <t>['mudah', 'sesuai', 'harapkn']</t>
  </si>
  <si>
    <t>['mantap', 'aplikasinya', 'ngirit']</t>
  </si>
  <si>
    <t>['simpati', 'mantap']</t>
  </si>
  <si>
    <t>['mantap', 'kadang', 'klemot', 'signal', 'pusing']</t>
  </si>
  <si>
    <t>['jaringan', 'buruk', '']</t>
  </si>
  <si>
    <t>['main', 'game', 'stabil']</t>
  </si>
  <si>
    <t>['sinyal', 'buruk', 'sesuai', 'harga']</t>
  </si>
  <si>
    <t>['kuota', 'utama', 'parah', 'banget', 'harga', 'mahal', 'kualitasnya', 'membohongin', 'konsumen']</t>
  </si>
  <si>
    <t>['kuota', 'omg', 'nonton', 'barusan', 'nonton', 'yutub', 'jam', 'kuota', 'utama', 'kesedot', 'kuota', 'nonton', 'utuh', 'utuh', 'sodara', 'kuota', 'nonton', 'apaa', 'telkom', 'sel', 'terhormat', 'pajangan']</t>
  </si>
  <si>
    <t>['jringan', 'telkomsel', 'jringan', 'lemot', 'emosi', 'main', 'game', 'ajh', 'ngelek', 'kyk', 'gtu', 'berubah', 'jrungan', 'jelek', 'tolong', 'perbaiki', 'kedepan', 'lgi', '']</t>
  </si>
  <si>
    <t>['simpati', 'lelet', 'udh', 'paketnya', 'mahal', 'lelet', 'jaringan', 'kalah', 'ama', 'jaringan', 'simpati']</t>
  </si>
  <si>
    <t>['aplikasi', 'multi']</t>
  </si>
  <si>
    <t>['aplikasi', 'telkomsel', 'lemot', 'menambah', 'nomor', 'log', 'out', 'berkali', 'kali', 'masukin', 'alamatnya']</t>
  </si>
  <si>
    <t>['paket', 'data', 'mahal', 'sinyalnya', 'lemot', 'banget', 'pdahl', 'dlu', 'lancar', 'kecewa', 'gini', 'mending', 'ganti', '']</t>
  </si>
  <si>
    <t>['mantap', 'semoga', 'kedepannya', 'diturunkan', 'tarifnya']</t>
  </si>
  <si>
    <t>['kasih', 'rating', 'telkomseljaringan', 'buruk', 'daerah', 'padalarang', 'sekain']</t>
  </si>
  <si>
    <t>['paketan', 'mahal', 'mahal', 'kasar', '']</t>
  </si>
  <si>
    <t>['masukan', 'telkomsel', 'tolong', 'paket', 'paket', 'aktifnya', 'udah', 'habis', 'paket', 'berlakunya', 'beli', 'paket', 'mingguan', 'beli', 'paket', 'bulanan', 'kepotong', 'paket', 'bulanan', 'gimana', 'paket', 'udah', 'habis', 'berlakunya', 'diutamakan', 'penggunaannya', 'paket', 'berlakunya', 'kecewa', 'tambahan', 'ngga', 'ngapa', 'in', 'pulsa', 'kepotong', 'gimana', '']</t>
  </si>
  <si>
    <t>['mempermudah']</t>
  </si>
  <si>
    <t>['', 'koq', 'pilihan', 'unlimitid', '']</t>
  </si>
  <si>
    <t>['kartu', 'hallo', 'kartu', 'kecewa', 'menyesal', 'telkomsel']</t>
  </si>
  <si>
    <t>['tar', 'udah', 'jaringan', 'daerah', 'kasi', 'moho', 'perbaiki', 'jaringan', 'internet', 'daerah', 'setabil', 'memakai', 'telkomsel']</t>
  </si>
  <si>
    <t>['payah', 'lemot']</t>
  </si>
  <si>
    <t>['ngerti', 'ama', 'telkomsel', 'udah', 'mah', 'harga', 'paket', 'data', 'mahal', 'sinyal', 'kagak', 'stabil', 'kecewa', 'banget', 'perbaiki', 'harga', 'sesuai', 'kualitas', 'ping', 'stabil', 'suka', 'drop', 'mulu', 'aneh', 'banget']</t>
  </si>
  <si>
    <t>['', 'deh', 'semoga', 'sinyal', 'kalah', 'wifi']</t>
  </si>
  <si>
    <t>['oke', 'bayar']</t>
  </si>
  <si>
    <t>['sush', 'donwload']</t>
  </si>
  <si>
    <t>['coba', 'sinyal', 'lag', 'parahhh', 'kuota', 'sinyal', 'ilang', 'ilangan', 'mohon', 'perbaiki', 'min', 'smpe', 'gnti', 'kartu']</t>
  </si>
  <si>
    <t>['nuker', 'poin', 'diadain', 'poin', 'poin', 'gua', 'udah', 'dituker', 'bener', 'ajjh', 'disaat', 'keadan', 'susah', 'gini', 'nuker', 'poin', 'ajah', 'ajah', 'alesan', 'sistem', 'sibuk', 'tukar', 'poin', 'ajhh', 'gembel', '']</t>
  </si>
  <si>
    <t>['paketan', 'mahal', 'sms', 'promo', 'suruh', 'cek', 'aplikasi', 'promo', 'operator', 'hoax']</t>
  </si>
  <si>
    <t>['harganya', 'berubah', '']</t>
  </si>
  <si>
    <t>['tolong', 'telkomsel', 'perbaiki', 'jaringan']</t>
  </si>
  <si>
    <t>['woi', 'knpa', 'gangguan', 'main', 'sinyal', 'kadang', 'hilang', 'aneh', 'bngt', 'udah', 'beli', 'paketan', 'mahal', 'gini', 'trus', 'mnding', 'harga', 'paketannya', 'turunin', 'kesel']</t>
  </si>
  <si>
    <t>['sinyal', 'telkomsel', 'buruk', 'sexali']</t>
  </si>
  <si>
    <t>['knapa', 'yaa', 'ambil', 'paket', 'maaf', 'gangguan', 'harap', 'coba', 'pdahal', 'udah', 'update', 'udah', 'uninstal', 'download', 'pas', 'ngambil', 'paket', 'maaf', 'sdang', 'gangguan', 'tolong', 'alasan', 'knapa', 'bgitu', 'telkomsel']</t>
  </si>
  <si>
    <t>['pemenangnya']</t>
  </si>
  <si>
    <t>['paket', 'internetnya', 'beli', 'ilang', 'mulu']</t>
  </si>
  <si>
    <t>['mohon', 'perbaiki', 'sinyal', 'daerah', 'bogor', 'ngelag', 'banget', 'main', 'game', 'online', 'kak', '']</t>
  </si>
  <si>
    <t>['', 'bintang', 'surga', 'bumi', 'seisinya']</t>
  </si>
  <si>
    <t>['semoga', 'menang', 'undian', 'amiin', 'allah', 'kepengen', 'banget', 'motor', 'smoga', 'dpt', 'undian', 'motor', 'bissmillah']</t>
  </si>
  <si>
    <t>['saldo', 'link', 'terpotong', 'paket', 'aktif']</t>
  </si>
  <si>
    <t>['telkomsel', 'desaku', 'sinyalnya', 'lancar', 'jaya', 'full', 'sulit', 'banget', 'sinyalnya', 'lemot', 'parah', 'terimakasih', 'telkomsel', '']</t>
  </si>
  <si>
    <t>['kalok', 'niat', 'jaringan', 'jaringan', 'telkomsel', 'dasar', 'ank', 'ngen']</t>
  </si>
  <si>
    <t>['pelosok', 'jaringannya', 'kota', 'lelet']</t>
  </si>
  <si>
    <t>['telkomsel', 'hati', '']</t>
  </si>
  <si>
    <t>['sinyal', 'burik', 'anjeng', 'pket', 'mahal', 'sinyal', 'miskin', 'perbaiki']</t>
  </si>
  <si>
    <t>['telkomsel', 'paket', 'datanya', 'mahal', 'mengkopetkan']</t>
  </si>
  <si>
    <t>['parah', 'jaringannya', 'survey', 'didaerah', 'bts', 'udah', 'over', 'bermasalah', 'paketan', 'mahal', 'pelayanan', 'murahan']</t>
  </si>
  <si>
    <t>['telkomsel', 'kalah', 'seblah', 'kecepatanya', 'mati', 'lampu', 'lemot']</t>
  </si>
  <si>
    <t>['parah', 'telkomsel', 'posisi', 'jakarta', 'sinyal', 'paketan', 'lemot', 'banget', '']</t>
  </si>
  <si>
    <t>['tingkatkan', 'pelayanan', 'semoga', 'bermanfaat', 'penggunanya', 'menyajikan', 'paket', 'paket', 'internet', 'bersahabat', 'mempertahankan', 'kualitasnya', '']</t>
  </si>
  <si>
    <t>['macamtai', 'harga', 'mahal', 'jaringan', 'lag', 'pliss', 'murahin', 'napa', 'perbanyak', 'unlimited', 'murah']</t>
  </si>
  <si>
    <t>['update', 'stuck', 'screen', 'putih', '']</t>
  </si>
  <si>
    <t>['mahalllll']</t>
  </si>
  <si>
    <t>['nyaman', 'kartu', 'hallo', '']</t>
  </si>
  <si>
    <t>['promo', 'menarik', 'paket', 'udah', 'beli', 'beli', 'mending', '']</t>
  </si>
  <si>
    <t>['cekin', 'harian', 'mb', 'pakek', 'tigal', 'mb']</t>
  </si>
  <si>
    <t>['', 'beli', 'kuota', 'mahal', 'julukan', 'kartu', 'sultan', 'sesuai', 'kelancaran', 'internet', 'sesuai', 'harapan', 'mahal', 'doang', 'heran', 'pelanggan', 'lari', 'kompetitor', 'bener', 'bener', 'kecewa', 'keluhan', 'perbaikan', 'hiu', 'ampe', 'ngamuk', 'murka', 'karna', 'beban', 'laut', 'kondisi', 'monoton']</t>
  </si>
  <si>
    <t>['jijik', 'liat', 'jaringan', 'ngerti', 'hujan', 'daerah', 'jakarta', 'lancar', 'pas', 'main', 'game', 'maen', 'game', 'mobile', 'legend', 'free', 'fire', 'pubg', 'hilang', 'ajg', 'selesai', 'main', 'game', 'scroll', 'tiktok', 'hilang', 'kayak', 'sengaja', 'banget', 'pangkat', 'menurun', 'besok', 'besok', 'mending', 'operator', 'dhlh', 'mahal', 'main', 'game', 'jaringan', 'hilang', 'mending', 'operator', 'sebelah', 'murah', 'jaringan', 'bagus', 'stabil', 'hilang', 'otw', 'uninstal', 'apk', 'kartu', 'operator']</t>
  </si>
  <si>
    <t>['sinyal', 'buruk', 'jakarta', '']</t>
  </si>
  <si>
    <t>['paket', 'udah', 'mahal', 'leletnya', 'ampun', 'njing', 'emng', 'tinggal', 'nama', 'doang', 'telkomsul']</t>
  </si>
  <si>
    <t>['butuh', 'paket', 'harga', 'terjangkau']</t>
  </si>
  <si>
    <t>['sinyalnya', 'mantap', 'sayang', 'undian']</t>
  </si>
  <si>
    <t>['udah', 'jaringan', 'stabil', 'ujan', 'udah', 'reda', '']</t>
  </si>
  <si>
    <t>['harga', 'specialnya', 'happy']</t>
  </si>
  <si>
    <t>['jaringan', 'sinyal', 'terparah', 'operator', 'pakai', 'telkomsel', 'stress']</t>
  </si>
  <si>
    <t>['terima', 'kasih', 'lngsung', 'proses', '']</t>
  </si>
  <si>
    <t>['bgs', 'signal', 'jernih', 'suara']</t>
  </si>
  <si>
    <t>['jaringan', 'telkomsel', 'jelek', 'banget', 'kayak', '']</t>
  </si>
  <si>
    <t>['beli', 'paket', 'aplikasi', 'pulsa', 'dimakan', 'paket', 'masuk', 'tolong', 'perbaiki', 'tolong', 'menderita', 'gara', 'gara', '']</t>
  </si>
  <si>
    <t>['jaringan', 'buruk', 'koneksi', 'stabil', 'malu', 'menyesal', 'kartu', 'hallo', 'telkomsel']</t>
  </si>
  <si>
    <t>['susah', 'dibuka', 'aplikasi', 'telkomsel', 'pagi', '']</t>
  </si>
  <si>
    <t>['mohon', 'evaluasi', 'tarif', 'kuota', 'internet', 'ubah', 'harga', 'ganjil', '']</t>
  </si>
  <si>
    <t>['senang', 'aplikasi']</t>
  </si>
  <si>
    <t>['mahal', 'harga', 'kuota', 'telkomsel', 'mytelkomsel', 'bonus', 'gb', 'harga', 'hilang', 'ndak', 'kemana', 'beli', 'kuota', 'mahal', 'bet', 'gdby', 'mytelkomsel', 'bagus', 'bet', 'aplikasinya', 'kasih', 'ulasan', 'bagu', 'bisanya', 'kasih', 'ulasan', 'jelek', 'tolong', 'balikin', 'kuota', 'gb', 'harganya', 'kalok', 'nggak', 'terpaksa', 'kuota', '']</t>
  </si>
  <si>
    <t>['pulsa', 'kesedot', 'monyet', 'kartu', 'babi']</t>
  </si>
  <si>
    <t>['udah', 'cocok', 'telkomsel', 'laen', 'minggiirr', '']</t>
  </si>
  <si>
    <t>['masuk', 'eko']</t>
  </si>
  <si>
    <t>['coba', 'dlu', 'mda', 'han', 'sllalu', 'tdak', 'mem', 'ngecwakan']</t>
  </si>
  <si>
    <t>['harga', 'paket', 'murah', 'promosi']</t>
  </si>
  <si>
    <t>['tertulis', 'paket', 'internet', 'makan', 'pulsa']</t>
  </si>
  <si>
    <t>['mudah', 'dijangkau']</t>
  </si>
  <si>
    <t>['parah', 'bar', 'full', 'lemot', 'parah', 'mengecewakan', '']</t>
  </si>
  <si>
    <t>['bagus', 'tuk', 'aps', 'telkom']</t>
  </si>
  <si>
    <t>['memudahkan', 'update', 'data']</t>
  </si>
  <si>
    <t>['bugs', 'macet', 'macet', 'sinyal', 'menyedihkan', '']</t>
  </si>
  <si>
    <t>['ngomong', 'perubahan']</t>
  </si>
  <si>
    <t>['memakai', 'telkomsel', 'memuaskan', '']</t>
  </si>
  <si>
    <t>['mohon', 'maaf', 'admin', 'sinyal', 'daerah', 'pelosok', 'khusunya', 'daerah', 'cisagu', 'dayeuhluhur', 'kab', 'cilacap', 'tolong', 'penjelasan', '']</t>
  </si>
  <si>
    <t>['tolong', 'pembayaran', 'pilihan', 'bank', 'masak', 'banget', 'bank', 'contoh', 'virtual', 'bri', 'disana', 'bank', '']</t>
  </si>
  <si>
    <t>['telkomsel', 'sinyalnya', 'kayak', '']</t>
  </si>
  <si>
    <t>['sgt', 'berguna']</t>
  </si>
  <si>
    <t>['sinyal', 'parah', 'tinggal', 'surabaya', 'raya', '']</t>
  </si>
  <si>
    <t>['bermanfaat', 'mudah']</t>
  </si>
  <si>
    <t>['aplikasi', 'buka', '']</t>
  </si>
  <si>
    <t>['pulsa', 'poin', 'tukarkan', 'poin', 'kouta', 'pulsa', 'potong', 'tinggal', 'ribu', 'poin', 'potong', 'parah', 'telkomsel', 'monyet']</t>
  </si>
  <si>
    <t>['jujur', 'kartu', 'telkomsel', 'paket', 'data', 'mahal', 'dibanding', 'kartu', 'pindah', 'kartu', 'beralih', 'kartu', 'telkomsel', 'percaya', 'nguras', 'kantong']</t>
  </si>
  <si>
    <t>['mantul', 'telkomsel', 'sukses']</t>
  </si>
  <si>
    <t>['gampang', 'beli', 'paket', 'data']</t>
  </si>
  <si>
    <t>['sinyal', 'bagus', 'mantap']</t>
  </si>
  <si>
    <t>['keren', 'aplikasi', 'membantu']</t>
  </si>
  <si>
    <t>['aplikasinya']</t>
  </si>
  <si>
    <t>['mudah', 'penggunaannya']</t>
  </si>
  <si>
    <t>['sinyal', 'telkomsel', 'indihome', 'stabil', 'tujuannya', 'terimakasih', 'telkomsel', 'layanan', 'paket', 'data', 'reliabel', 'mahal', 'ganti', 'indihome', 'pertimbangkan', 'menggantinya', '']</t>
  </si>
  <si>
    <t>['pulsanya', 'ilang', '']</t>
  </si>
  <si>
    <t>['bosss', 'aplikasinya', 'instal', 'bosss', 'proses', 'download', 'selesai', 'tinggal', 'proses', 'instal', 'langsung', 'gagal', 'berulang', 'gagal', 'instal', 'bosss', 'kuota', 'terpakai', 'mb', 'sampe', 'boosss', '']</t>
  </si>
  <si>
    <t>['moga', 'tukar', 'point', 'dapatkan', 'hadiah', 'orang', 'kaya', 'korupsi', 'pekerjaannya', 'hadiah', 'kmi', 'pkerja', 'keras', 'memakai', 'telkomsel', 'blum', 'hadiah', 'barakalloh', '']</t>
  </si>
  <si>
    <t>['dibawa', 'kalimantan', 'sulawesi', 'telkomsel', 'nomor', 'wahid', 'kwalitas', 'jaringan', 'sinyal']</t>
  </si>
  <si>
    <t>['senang', 'aplikasi', 'telkomsel', 'mudah', 'proses', 'transaksi', 'beli', 'apapun', '']</t>
  </si>
  <si>
    <t>['iyaa', 'aplikasi', 'lancar', 'pas', 'main', 'merah', 'kuning', 'mahal', 'harganya', '']</t>
  </si>
  <si>
    <t>['lemot', 'anying', 'ahh', 'butut', '']</t>
  </si>
  <si>
    <t>['puas', 'nggak', 'promo', 'nggak', 'bos']</t>
  </si>
  <si>
    <t>['aplikasi', 'lambat', 'lemot', 'beli', 'kuota', 'lancar']</t>
  </si>
  <si>
    <t>['ribu', '']</t>
  </si>
  <si>
    <t>['bagus', 'jaringany', 'mahal', 'hrga', 'kuotany', 'drpd', 'jaringan', 'sinyal', 'mah', '']</t>
  </si>
  <si>
    <t>['membantu', 'tolong', 'perbaiki', 'cepat', 'jaringan', 'terimakasih']</t>
  </si>
  <si>
    <t>['layanan', 'telkomsel', 'buruk', 'grapari', 'grapari', 'masak', 'iya', 'hilang', 'urus', 'kartu', 'hilang', 'proses', 'alsan', 'daftar', 'yaa', 'masyarakat', 'awam', 'emang', 'hilang', 'kartu', 'enaknya', 'personel', 'grapari', 'nyaaaf', 'proses', 'kartu', 'verifikasi', 'dompet', 'digital']</t>
  </si>
  <si>
    <t>['diupdate', 'lelet', 'lihat', 'sisa', 'kuota', 'loadingnya', 'logout', 'mudah', 'cek', 'kuota', 'manual', 'aplikasi', 'modelnya', 'gini', '']</t>
  </si>
  <si>
    <t>['telkomsel', 'ikutan', 'pencuri', 'pulsa', 'pulsa', 'dipakai', 'dibilang', 'dipakai', 'akses', 'internet', 'non', 'kuota']</t>
  </si>
  <si>
    <t>['oke', 'puas', 'karna', 'awlnya', 'saaja', 'bagus', 'besuk', 'buka', 'cek', 'pulsa', 'data', 'notivikasi', 'pendaftaran', 'ulang', 'loding', 'lambat', 'meja', 'birokrasi', 'rumit', 'aplikasi', 'berguna', '']</t>
  </si>
  <si>
    <t>['sayangnya', 'buka', 'aplikasi', 'telkomsel', 'lemot']</t>
  </si>
  <si>
    <t>['aplikasi', 'bagus', 'fitur', 'fitur', 'tersedia', 'membantu', '']</t>
  </si>
  <si>
    <t>['maaf', 'kak', 'telkomsel', 'sinyal', 'susah', 'tolong', 'diperbaiki', '']</t>
  </si>
  <si>
    <t>['sinyal', 'full', 'kecepatan', 'dapi', 'palsu', 'tolong', 'perbaiki', 'jngan', 'emosi', 'kecewa', 'perbaiki', 'maaf', 'gua', 'ganti', '']</t>
  </si>
  <si>
    <t>['', 'buka', 'layar', 'putih', 'teruss', 'parah', 'hbis', 'update']</t>
  </si>
  <si>
    <t>['disuruh', 'mode', 'halo', 'sinyalnya', 'jelek', '']</t>
  </si>
  <si>
    <t>['kali', 'beli', 'paket', 'telepon', 'aplikasi', 'telkomsel', 'sms', 'konfirmasi', 'pembelian', 'paket', 'sukses', 'sangay', 'kecewa']</t>
  </si>
  <si>
    <t>['pokoknya', 'jaringannya', 'bagus']</t>
  </si>
  <si>
    <t>[]</t>
  </si>
  <si>
    <t>['area', 'maluku', 'ambon', 'signal', 'bagus']</t>
  </si>
  <si>
    <t>['jaya', 'telkomsel', '']</t>
  </si>
  <si>
    <t>['gampang', 'menggunakannya']</t>
  </si>
  <si>
    <t>['', 'dlu', 'tukar', 'poin', 'blm', 'prnh', 'dpt', 'hadiah', 'skali', 'gmbar', 'pemanis', 'sja', 'pemenangx', 'blm', 'prnh', 'so', 'pemenangx', 'untk', 'tlkomsel', 'ttp', 'cemungut', '']</t>
  </si>
  <si>
    <t>['pakai', 'jaringan', 'wifi', 'pulsa', 'terpotong', 'alasan', 'notifikasi', 'sms', 'data', 'non', 'paket', '']</t>
  </si>
  <si>
    <t>['upgrade', 'android', 'aplikasiny', 'hilang', 'gbisa', 'download', '']</t>
  </si>
  <si>
    <t>['ngasih', 'bintang', 'ckckck', 'bermain', 'perbintangan', 'google', 'play']</t>
  </si>
  <si>
    <t>['hadiah']</t>
  </si>
  <si>
    <t>['suka', 'aplikasinya', 'membantu', '']</t>
  </si>
  <si>
    <t>['semuany', 'jdi', 'mudah', 'hemat', 'jdi', 'cocoklh', '']</t>
  </si>
  <si>
    <t>['dapet', 'hadiah', 'hadiahnya', 'cuman', 'tipu', 'tipu', 'doang']</t>
  </si>
  <si>
    <t>['min', 'asep']</t>
  </si>
  <si>
    <t>['update', 'white', 'screen', 'kek', 'apk', '']</t>
  </si>
  <si>
    <t>['mimin', 'telkomsel', 'pas', 'beli', 'paket', 'game', 'max', 'gada', 'vocher', 'diamond', 'tertera', 'diamond', 'gratis']</t>
  </si>
  <si>
    <t>['loadingnya', 'lambat', 'tolong', 'diperbaiki']</t>
  </si>
  <si>
    <t>['promo', 'kuota', 'special', 'for', 'you', 'orang', 'grade', 'gold', '']</t>
  </si>
  <si>
    <t>['keren', 'mudah', 'pakenya', 'pembelian', 'paket', 'internet', 'bahasanya', 'memudahkan']</t>
  </si>
  <si>
    <t>['mantap', 'undian']</t>
  </si>
  <si>
    <t>['paketnya', 'terbaik']</t>
  </si>
  <si>
    <t>['kak', 'kebapa', 'nggak', 'dimurahib', 'enak', 'gitu', 'beli', 'peket']</t>
  </si>
  <si>
    <t>['bacot', 'pulsa', 'gua', 'hilang', 'ribu', 'hutang', 'mytelkomsel', 'apk', 'babi']</t>
  </si>
  <si>
    <t>['mantaaaaaap', 'apk', 'telkomsel', 'goood', 'pokoknya']</t>
  </si>
  <si>
    <t>['paket', 'murah', 'mudah', 'aktivasi', 'paketnya', 'aplikasi', 'pengguna', 'good', 'provider']</t>
  </si>
  <si>
    <t>['', 'push', 'rank', 'jaringan', 'nge', 'banting', 'anjg']</t>
  </si>
  <si>
    <t>['update', 'hitler', 'goyang', 'pargoy']</t>
  </si>
  <si>
    <t>['', 'pisan', 'euy']</t>
  </si>
  <si>
    <t>['layanan', 'akses', 'network', 'telkomsel', 'parah', 'banget', 'putus', 'hilang', 'telp', 'sinyal', 'pandemi', 'jaringan', 'berbisnis', 'berkutat', 'jabodetabek', 'berlangganan', 'pasca', 'bayar', 'kali', 'kecewa', 'seburuk', 'layanan', 'apps', 'tsel', 'menghilang', 'berganti', 'mjd', 'tsel', 'lite', 'feature', 'lengkap', 'pelanggan', 'putus', 'hubungan', 'berubah', 'membaik', '']</t>
  </si>
  <si>
    <t>['paket', 'gua', 'kasih', 'murah', 'woi', 'mahal']</t>
  </si>
  <si>
    <t>['paket', 'internet', 'pas', 'isi', 'pulsa', 'langsung', 'abis', 'anjg']</t>
  </si>
  <si>
    <t>['beli', 'paket', 'gagal', 'pembayaran']</t>
  </si>
  <si>
    <t>['informasi']</t>
  </si>
  <si>
    <t>['', 'nahan', 'pulsa', 'paket', 'data', 'habis']</t>
  </si>
  <si>
    <t>['kendala', 'apapun', 'semoga', 'terbaik', 'kalangan', '']</t>
  </si>
  <si>
    <t>['menunjang', 'kerja']</t>
  </si>
  <si>
    <t>['sukses', 'telkomsel', 'telkomsel', 'semoga']</t>
  </si>
  <si>
    <t>['parah', 'complain', 'jelek', 'jaringannya']</t>
  </si>
  <si>
    <t>['event', 'daily', 'check', 'udh', 'bagus', 'bngt', 'download', 'nyesel', 'tujuh', 'turunan']</t>
  </si>
  <si>
    <t>['tolong', 'perbaiki', 'sinyalnya', 'jelek', 'maen', 'game', 'kebanyakan', 'leg', 'parah', 'kota', '']</t>
  </si>
  <si>
    <t>['lemotnya', 'loading', 'trusss', 'operator', 'terbesar', 'terpercaya']</t>
  </si>
  <si>
    <t>['knp', 'extra', 'unlimited', 'udah', 'beli', 'youtube', 'gmn', 'solusinya', 'youtube', 'tolong', 'benerin']</t>
  </si>
  <si>
    <t>['gua', 'kasih', 'bintang', 'terimakasih', 'menemani', 'mundur', 'telkom', 'udah', '']</t>
  </si>
  <si>
    <t>['semoga', 'kedepannya', '']</t>
  </si>
  <si>
    <t>['hujan', 'sinyal', 'susah', 'tolong', 'diperbaiki', '']</t>
  </si>
  <si>
    <t>['simpati', 'sinyalnya', 'buruk', 'pengalaman', 'game', 'ancur']</t>
  </si>
  <si>
    <t>['sinyal', 'parah', 'skrg', 'simpati', 'udh', 'mahal', '']</t>
  </si>
  <si>
    <t>['redem', 'point', 'telkomsel', 'telko', 'pulsa', 'keuntungan', 'kegunaan', 'telkomsel', 'point', 'menukarkan', 'point', 'pulsa', '']</t>
  </si>
  <si>
    <t>['koneksi', 'terhubung', 'beli', 'paket', 'gb', 'parahhh', '']</t>
  </si>
  <si>
    <t>['sinyal', 'manapun']</t>
  </si>
  <si>
    <t>['apk', 'bagus', 'dapatin', 'bonus', 'kak']</t>
  </si>
  <si>
    <t>['bagus', 'promo']</t>
  </si>
  <si>
    <t>['segini', 'malik', 'promo', 'bintang', 'full', 'telkomsel']</t>
  </si>
  <si>
    <t>['jaringan', 'stabil', 'pas', 'lampu', 'padam', 'jaringan', 'hilang', '']</t>
  </si>
  <si>
    <t>['tolong', 'kasih', 'menu', 'pencegahan', 'pulsa', 'terpotong', 'paket', 'data', 'habis', 'aplikasi', 'axiata']</t>
  </si>
  <si>
    <t>['rugi', 'banget', 'beli', 'paket', 'dibagi', 'kuota', 'internet', 'kuota', 'multimedia', 'kepake', 'kuota', 'internet', 'mulu', 'pdhl', 'buka', 'tiktok', 'masuk', 'kuota', 'multimedia', 'trs', 'pas', 'kuota', 'internet', 'abis', 'tinggal', 'kuota', 'multimedia', 'pas', 'buka', 'dll', 'lelet', 'banget', 'pdhl', 'udh', 'kuota', 'apk', 'sosmed', 'chat', 'tolong', 'perbaiki']</t>
  </si>
  <si>
    <t>['gua', 'saranin', 'pindah', 'kartu', 'bro', 'telkomsel', 'mahal', 'doang', 'jaringan', 'kek', 'sampah', '']</t>
  </si>
  <si>
    <t>['tolong', 'apk', 'perbarui', 'pulsa', 'bekurang', '']</t>
  </si>
  <si>
    <t>['sinyal', 'internet', 'jelek', 'kecamatan', 'pecalungan', 'kabupaten', 'batang', 'jawa']</t>
  </si>
  <si>
    <t>['', 'mudah', 'operasional', 'fitur', 'belanja']</t>
  </si>
  <si>
    <t>['bagus', 'banget', 'apk']</t>
  </si>
  <si>
    <t>['beli', 'paket', 'combo', 'keterangannya', 'pulsa', 'mencukupi', 'pulsa', 'mencukupi', 'membeli', 'paket', 'tolong', 'diperbaiki', '']</t>
  </si>
  <si>
    <t>['pembaruan']</t>
  </si>
  <si>
    <t>['aplikasi', 'telkomselnya', 'bayar', 'pulsa', 'tolong', 'perbaiki', 'aplikasinya', 'daftar', 'paket', 'bayar', 'pakek', 'plsa', '']</t>
  </si>
  <si>
    <t>['beli', 'paket', 'bagus', 'indosat', 'selalau', 'layanan', 'saatain', 'game', 'pas', 'main', 'gam', 'setan', 'mahal', 'doang', '']</t>
  </si>
  <si>
    <t>['bintang', 'bagussaya']</t>
  </si>
  <si>
    <t>['bguss', 'memuaskan']</t>
  </si>
  <si>
    <t>['tolong', 'diperbaiki', 'login', 'nomor', 'pas', 'udah', 'masuk', 'disitu', 'tulisan', 'sesi', 'masuk', 'habis', 'login', 'udah', 'habis']</t>
  </si>
  <si>
    <t>['hera', 'kasih', 'bonus', 'pulsa', 'cuman', 'saran', 'ngasih', 'bonusnya', 'masuk', 'akal', 'pulsa', 'seluler', 'kepake', '']</t>
  </si>
  <si>
    <t>['aplikasi', 'bagus', 'mudah']</t>
  </si>
  <si>
    <t>['aktifasi', 'paket', 'gagal']</t>
  </si>
  <si>
    <t>['motong', 'pulsa', 'jls', 'sms', 'telkomsel', 'mengakses', 'internet', 'non', 'paket', 'pdhal', 'data', 'seluler', 'sll', 'off', 'pke', 'wifi', 'ngeuh', 'pulsa', 'kepotong', 'untung', 'bener', 'donk']</t>
  </si>
  <si>
    <t>['bagus', 'tingkatkan']</t>
  </si>
  <si>
    <t>['berlangganan', 'telkomsel', 'udah', 'kesini', 'ancur', 'sinyal', 'buruk', 'tinggal', 'kota', 'berasa', 'kebon', 'susah', 'bener', 'dapet', 'sinyal', 'telkomsel', 'miris']</t>
  </si>
  <si>
    <t>['jaringannya', 'eror', 'jelek', 'cuman', 'pengen', 'perbaikin', 'emm']</t>
  </si>
  <si>
    <t>['nyedot', 'pulsa', 'sepengetahuan', 'kecurangan', 'sms', 'akses', 'internet', 'non', 'paket', 'balas', 'sms', 'pokoknya', 'curang', 'awas', 'dosa', 'makan', 'haram']</t>
  </si>
  <si>
    <t>['sekrang', 'telkomsel', 'muncul', 'kayak', 'gini', 'maaf', 'sistem', 'eror', 'tolong', 'perbaiki', 'plis', '']</t>
  </si>
  <si>
    <t>['jaringan', 'maju', 'indonesia', 'internetan', 'lemot', 'main', 'game', 'online', 'lag', '']</t>
  </si>
  <si>
    <t>['suka', 'nada', 'teng', 'teng', 'teng', 'teng']</t>
  </si>
  <si>
    <t>['kecewa', 'beraat', 'telkomsel', 'beli', 'kuotaa', 'mehong', 'banget', 'sinyal', 'kota', '']</t>
  </si>
  <si>
    <t>['apknya', 'lumayan', 'bagus', 'memuaskan']</t>
  </si>
  <si>
    <t>['mudah', 'penggunaan']</t>
  </si>
  <si>
    <t>['lumayan', 'jaringannya', 'ditingkatkan', 'ngelag', '']</t>
  </si>
  <si>
    <t>['tolong', 'aplikasi', 'perbaiki', 'pengguna', 'setia', 'telkomsel', 'memakai', 'aplikasi', 'telkomsel', 'rutin', 'mengikuti', 'ptogram', 'daily', 'check', 'telkomsel', 'upgrade', 'terbuka', 'aplikasinya', 'white', 'screen', 'gitu', 'coba', 'uninstal', 'instal', 'tolong', 'tanggapan', 'solusinya', 'perhatiannya', 'terimakasih']</t>
  </si>
  <si>
    <t>['very', 'good', 'sukses', 'telkomsel']</t>
  </si>
  <si>
    <t>['mantap', 'lanjutkan']</t>
  </si>
  <si>
    <t>['coba', 'tingkatkan', 'fitur', 'pulsa', 'safe', 'paket', 'data', 'pulsanya', 'disedot', 'gila', 'kali', '']</t>
  </si>
  <si>
    <t>['signalnya', 'bgus', 'tpi', 'kadang', 'hujan', 'melehoy', 'ditingkatkan', 'lgi', 'signalnya']</t>
  </si>
  <si>
    <t>['log', 'nomor', 'bayak', 'gimana', '']</t>
  </si>
  <si>
    <t>['bagus', 'cepat', 'proses']</t>
  </si>
  <si>
    <t>['kuota', 'mahal', 'mahasiswa', 'butuh', 'kuota', 'terjangkau']</t>
  </si>
  <si>
    <t>['telkomsel', 'kalah', 'bersing', 'maksain', 'udah', 'nyerah', 'pelanggan', 'setia', 'gini', 'jaringan', 'stabil', 'internet', 'lemot', 'mahal', 'sesuai', 'kinerja']</t>
  </si>
  <si>
    <t>['apk', 'lalot', 'anjing', 'paket', 'mahal', 'mahal', 'anjing']</t>
  </si>
  <si>
    <t>['', 'suka', 'telkomsel']</t>
  </si>
  <si>
    <t>['telkomsel', 'langsung', 'kecantol', 'dibandingkan', 'kompetitor', 'kompetitornya', 'pokonya', 'mytelkomsel', 'rekomended', 'banget', 'bonus', 'sulit', 'pindah', '']</t>
  </si>
  <si>
    <t>['hadiah', 'ntar', 'dikasih', 'bintang', '']</t>
  </si>
  <si>
    <t>['kecewa', 'telkomsel', 'isi', 'pulsa', 'jaga', 'nelpon', 'internet', 'pakai', 'provider', 'pulsa', 'kesedot', 'notif', 'sms', 'say', 'amenggunakan', 'internet', 'pulsa', 'memakai', 'telkomsel', 'internet', 'sengaja', 'nyedot', 'pulsa', 'alasan', 'masuk', 'akal']</t>
  </si>
  <si>
    <t>['tolong', 'pengguna', 'telkomsel', 'aplikasi', 'update', 'performa', 'terbelakang', 'diperbaiki', 'rating', 'maksimalkan']</t>
  </si>
  <si>
    <t>['smga', 'kedepan', 'lbih', 'murah']</t>
  </si>
  <si>
    <t>['internetnya', 'lelet']</t>
  </si>
  <si>
    <t>['telkomsel', 'paket', 'mahal', 'tpi', 'sinyal', 'sesuai']</t>
  </si>
  <si>
    <t>['tolong', 'perbaiki', 'tower', 'desa', 'lampu', 'mati', 'sinyal', 'hilang']</t>
  </si>
  <si>
    <t>['gangguan', 'yaa']</t>
  </si>
  <si>
    <t>['gembel', 'karna', 'beli', 'kuota', 'link', 'bayarnya', 'kuota', 'tsb', 'nambah', 'aktif', 'ribet', 'banget', 'beli', 'pulsa', 'trs', 'beli', 'kuota', 'data', 'kerja', 'terpaksa', 'beli', 'aktif', 'menu', 'dial', 'tlvn', 'kerja', 'kaga', 'telkomsel', 'kupret', 'emang', 'nyari', 'untung', 'banget']</t>
  </si>
  <si>
    <t>['membantu', 'kehabisan', 'pulsa']</t>
  </si>
  <si>
    <t>['siang', 'leg', 'mulu', 'bangst', 'nyesel', 'gua', 'beli', '']</t>
  </si>
  <si>
    <t>['semoga', 'menang', 'amin', '']</t>
  </si>
  <si>
    <t>['parah', 'jaringannya', 'kagak', 'ngapa', 'in', 'telpon', 'sibuk', 'karna', 'operator', 'nenek', 'moyang', 'ogah', 'pakai', 'telkomsel', '']</t>
  </si>
  <si>
    <t>['mantab', 'layanannya', '']</t>
  </si>
  <si>
    <t>['update', 'white', 'screen', 'aplikasinya', 'coding', 'bener', 'kerja', 'bagain', 'pembaruan', 'aplikasi', 'mohon', 'tegaskan', '']</t>
  </si>
  <si>
    <t>['memuaskan', 'mohon', 'berharap', 'jaringan', 'tingkatkan', 'trrimakasih']</t>
  </si>
  <si>
    <t>['sukses']</t>
  </si>
  <si>
    <t>['tolong', 'kembalikan', 'paket', 'unlimited']</t>
  </si>
  <si>
    <t>['telkomsel', 'jaringan', 'stabil', '']</t>
  </si>
  <si>
    <t>['rela', 'beli', 'paketan', 'internet', 'mahal', 'provider', 'harapannya', 'telkomsel', 'jaringan', 'bagus', 'jaringan', 'kena', 'gerimis', 'macet', 'keboan', 'anom', 'sidoarjo', 'rugi', 'biaya', 'tiket', 'kereta', 'biaya', 'antigen', 'biaya', 'ojek', 'online', 'kacau']</t>
  </si>
  <si>
    <t>['memudhkan', 'berterasaksi', 'membeli', 'paket', 'atupun', 'pulsa']</t>
  </si>
  <si>
    <t>['provider', 'jaringan', 'lag']</t>
  </si>
  <si>
    <t>['apk', 'payah', 'nggak', 'menguntungkan', 'pengguna']</t>
  </si>
  <si>
    <t>['signal', 'banten', 'bagusin']</t>
  </si>
  <si>
    <t>['update', 'login']</t>
  </si>
  <si>
    <t>['nyebelin', 'banget', 'aplikasi', 'dibuka', 'buang', 'download', 'menyebalkan', 'promo', 'gb', 'pulsa', 'terpotong', 'ehhh', 'paket', 'internet']</t>
  </si>
  <si>
    <t>['proses', 'cepat']</t>
  </si>
  <si>
    <t>['jaringan', 'tsel', 'buruk', 'pulsa', 'abis', 'paket', 'data', '']</t>
  </si>
  <si>
    <t>['banyakin', 'promo', 'paketnya', 'telkomsel', 'mantapp', '']</t>
  </si>
  <si>
    <t>['joss', 'telkomsel', 'servis', 'memuaskan', 'produk', 'paket', 'datanya', 'mahal', 'bro', 'mohon', 'harga', 'special', 'alias', 'laris', 'manis', 'murah', 'meriah', '']</t>
  </si>
  <si>
    <t>['sia', 'sia', 'belik', 'pakek', 'combo', 'unlimitd', 'pakek', 'pelanggan', 'tmkomsel', 'kabur', 'karna', 'nyamanan', 'pelanggan', '']</t>
  </si>
  <si>
    <t>['', 'isi', 'ulang', 'kasih', 'poin', 'minimal', 'isi', 'ulang', 'goceng']</t>
  </si>
  <si>
    <t>['', 'pascabayar', 'kartu', 'hallo', 'pemakaian', 'sisa', 'habis', 'kuota', 'tgl', 'kartu', 'paket', 'data', 'tambahan', 'pemakaian', 'paket', 'kartu', 'hallo', 'marketing', 'upgrade', 'limit', 'biaya', '']</t>
  </si>
  <si>
    <t>['problem', 'telkomsel', 'beli', 'kouta', 'unlimited', 'youtube', 'niatnya', 'kouta', 'utama', 'disedot', 'kuota', 'utama', 'nyampek', 'gb', 'bayangin', 'udah', 'pasang', 'kouta', 'unlimited', 'youtube', 'udah', 'ganti', 'kartu', 'lol', 'pagi', 'grapari', 'maaf', 'ketentuan', 'ketengan', 'youtube', 'kouta', 'utama', 'habis', 'hati', 'helloo', 'baca', 'syarat', 'ketentuan', 'lol', 'sulusi', '']</t>
  </si>
  <si>
    <t>['sinyalnya', 'jelek', 'banget', 'harga', 'paketnya', 'mahal', 'mahal', 'beli', 'paket', 'unlimited', 'dipakai', 'main', 'game', 'harga', 'barang']</t>
  </si>
  <si>
    <t>['semoga', 'menang', 'poin', 'motor', 'adv']</t>
  </si>
  <si>
    <t>['mendaftar', 'pulsa', 'paket', 'telpon', 'srbulan', 'sulit', 'sulit', 'cikup', 'mahal', 'keluhan', '']</t>
  </si>
  <si>
    <t>['tolong', 'telkomsel', 'paket', 'promonya', 'hilang', 'paket', 'cerianya', 'hilang', 'gini', 'bingung', 'beli', 'paketnya', 'pindah', 'kartu', 'kali']</t>
  </si>
  <si>
    <t>['telkomsel', 'kecepatannya', 'josssss']</t>
  </si>
  <si>
    <t>['makasih', 'aplikasi', 'mebantu']</t>
  </si>
  <si>
    <t>['harap', 'telkomsel', 'maju', 'ditinggalkan', 'pelanggannya', 'iya', 'mahal', 'boros', 'internet', 'kualitasnya', 'males', 'pakek', 'internet', 'telkomsel', 'beli', 'paketan', 'puas', 'pakek', 'kartu', 'telkomsel', 'untu', 'tepon', 'karna', 'kartu', 'dibkenal', 'orang', 'internet', 'maaf', 'males', 'susah', 'orang']</t>
  </si>
  <si>
    <t>['murahin', 'paket', 'internet']</t>
  </si>
  <si>
    <t>['apk', 'niat', 'ngapa']</t>
  </si>
  <si>
    <t>['jaringan', 'kuat']</t>
  </si>
  <si>
    <t>['update', 'dibuka', 'dipakai', 'mendingan', 'hapus', 'apk', '']</t>
  </si>
  <si>
    <t>['knp', 'siang', 'sinyal', 'banget', '']</t>
  </si>
  <si>
    <t>['tingkatkan', 'semoga', 'kedepannya', 'fitur', 'lock', 'pulsa', 'please', '']</t>
  </si>
  <si>
    <t>['membatu', 'pengecekan', 'penggunaan', 'internet', 'paket', 'data', 'ambil', 'promo']</t>
  </si>
  <si>
    <t>['rekomen', 'pengguna']</t>
  </si>
  <si>
    <t>['simpati', 'mahal', 'pket', 'data', 'promo', 'kartu', 'sya', 'pakai', '']</t>
  </si>
  <si>
    <t>['update', 'lemot', 'bug', 'white', 'screen', 'mending', 'uninstall']</t>
  </si>
  <si>
    <t>['aplikasi', 'bagus', 'banget']</t>
  </si>
  <si>
    <t>['paket', 'internet', 'data']</t>
  </si>
  <si>
    <t>['memudahkan', 'ngisi', 'paket', 'gaada', 'paketan', 'gabisa', 'mengecek']</t>
  </si>
  <si>
    <t>['kurangnya', 'pengamanan', 'pulsa', 'terkuras', 'memakai', 'jaringan', 'pulsa', 'berkurang', 'tolong', 'pengaturan', 'pulsa', 'terkuras', 'provider', 'pengaturan', 'pulsa', 'terima', 'kasih']</t>
  </si>
  <si>
    <t>['koneksi', 'daerah', 'gempol', 'pasuruan', 'jawa', 'timur', 'jelek', 'sinyal', 'full', 'parah', 'sinyalnya', 'gini', '']</t>
  </si>
  <si>
    <t>['perbanyak', 'diskon']</t>
  </si>
  <si>
    <t>['', 'mantap', 'sukses']</t>
  </si>
  <si>
    <t>['terima', 'kasih', 'kemudahannya']</t>
  </si>
  <si>
    <t>['mudah', 'cepat', 'ribet', '']</t>
  </si>
  <si>
    <t>['', 'telkomsel', 'bagus']</t>
  </si>
  <si>
    <t>['fakta', 'telkomsel', 'tarif', 'mahal', 'provider', 'cek', 'notif', 'internet', 'habis', 'pulsa', 'habis', 'mengambil', 'pulsa', 'pelanggan', 'penggunaan', 'berlangganan', 'sepengetahuan', 'pengguna', 'kuota', 'internet', 'aplikasi', 'berguna', 'menilai', 'maaf', 'cari', 'cuan', 'halal', 'percaya', 'tuhan', '']</t>
  </si>
  <si>
    <t>['paket', 'pembelian', 'internet', 'beda', 'harga']</t>
  </si>
  <si>
    <t>['bagus', 'mudah', 'diakses']</t>
  </si>
  <si>
    <t>['primitip', 'sepertinnya', 'kecepatan', 'internet', 'temukan', 'provarder']</t>
  </si>
  <si>
    <t>['paketnya', 'murah']</t>
  </si>
  <si>
    <t>['jaringan', 'jelek', 'kayak', 'pekerja', 'bosnya']</t>
  </si>
  <si>
    <t>['memuaskan', 'pakai', 'aplikasi']</t>
  </si>
  <si>
    <t>['senang', 'membeli', 'kuota', 'mytelkomsel', 'love', 'you', 'mytelkomsel', '']</t>
  </si>
  <si>
    <t>['telkomsel', 'skg', 'beli', 'kuota', 'gb', 'dpt', 'bonus', 'gb', 'pagi', 'kuota', 'ilang', 'tbtb', 'berubah', 'paket', 'gb', 'woylah', '']</t>
  </si>
  <si>
    <t>['beli', 'paket', 'combo', 'chat', 'you', 'tube', 'dll', 'reguler', 'padaahl', 'chat', 'utuh', 'penipuan', 'quota', 'chat', 'embel', 'tetep', 'quota', 'nyesel', 'beli', 'payah', 'sel']</t>
  </si>
  <si>
    <t>['update', 'update', 'versi', 'terbaru', 'temukan', 'udah', '']</t>
  </si>
  <si>
    <t>['buruk', 'sarankan', 'jngn', 'telkomsel', '']</t>
  </si>
  <si>
    <t>['knp', 'telkomsel', 'skrng', 'sinyalnya', 'ilang', 'buka', 'lemot', 'padhal', 'tinggal', 'desa', 'perkampungan', 'susah', 'sinyal', 'hadeh', 'bli', 'kuota', 'mahal', 'sinyal', 'bagus', '']</t>
  </si>
  <si>
    <t>['bagus', 'banget', 'aplikasi', 'beli', 'paket', 'data', 'dapet', 'kouta', 'tambahan']</t>
  </si>
  <si>
    <t>['enk', 'bli', 'paketan']</t>
  </si>
  <si>
    <t>['mantap', 'keren']</t>
  </si>
  <si>
    <t>['tolong', 'apk', 'knp', 'sihh', 'tukar', 'poin', 'data', 'sitem', 'sibuk', 'gimna', 'sihh', 'tolong', 'tindak', 'lanjuti']</t>
  </si>
  <si>
    <t>['kocak', 'muncul', 'notif', 'sms', 'sdg', 'akses', 'internet', 'tarif', 'non', 'paket', 'data', 'telkomsel', 'pas', 'cek', 'pulsa', 'uda', 'berkurang', 'bangkee', '']</t>
  </si>
  <si>
    <t>['tsel', 'benerin', 'sinyal', 'konyol', 'ganggu', 'banget', 'nyaman', 'layanan', 'perbaiki', '']</t>
  </si>
  <si>
    <t>['mantap', 'joss', 'mahalnya', '']</t>
  </si>
  <si>
    <t>['tambahin', 'promo', 'murah', 'donk']</t>
  </si>
  <si>
    <t>['perbaiki', 'sinyal', 'harga', 'mahal', 'sinyal', 'ilang', 'ilangan', 'medsos', 'main', 'game', 'online', 'gabisa']</t>
  </si>
  <si>
    <t>['udah', 'update', 'aply', 'lemot', 'tolong', 'perbaiki']</t>
  </si>
  <si>
    <t>['harga', 'mahal', 'isi', 'paket', 'dikit', 'disamping', 'jaringan', 'kadang', 'ilang', 'nyaman', 'main', 'game', 'streaming', 'youtube', 'mahal', 'jaringan', 'lancar', 'banget', 'papa', 'sepadan', 'harga', 'kualitas', 'nggak', 'harga', 'kualitas']</t>
  </si>
  <si>
    <t>['upgrade', 'android', 'aplikasi', 'instal']</t>
  </si>
  <si>
    <t>['telkomsel', 'pilih', 'ganti', '']</t>
  </si>
  <si>
    <t>['parahhh', 'beli', 'paket', 'tpi', 'paketnya', 'masuk', 'tpi', 'uangnya', 'ambil']</t>
  </si>
  <si>
    <t>['sinyal', 'buruk', 'harga', 'paket', 'internet', '']</t>
  </si>
  <si>
    <t>['pembayaran', 'transfer', 'bank']</t>
  </si>
  <si>
    <t>['bagus', 'ngeload', 'mulu', 'lemot']</t>
  </si>
  <si>
    <t>['aplikasi', 'mudah', 'membantu', 'memudahkan', 'kebutuhan', 'keperluan', 'instan', 'digital', '']</t>
  </si>
  <si>
    <t>['sinyal', 'telkomsel', 'padang', 'lemot', 'berkurang', 'mutunya', 'paket', 'data', 'mahal', 'profider', 'coba', 'beli', 'paket', 'combo', 'seharga', 'sms', 'promosi', 'sayang', 'paket', 'sinyal', 'lemot', 'pindah', 'pakai', 'wifi', 'msk', 'masuk', 'wag', 'promosi']</t>
  </si>
  <si>
    <t>['tolong', 'aplikasinya', 'perbaiki', 'klu', 'sya', 'hapus', 'aplikasinya', '']</t>
  </si>
  <si>
    <t>['pilihan', 'paketnya', 'berkurang', 'kesini', 'gini', '']</t>
  </si>
  <si>
    <t>['megisi', 'pulsa', 'beli', 'paket', 'sisanya', 'habis', 'badahal']</t>
  </si>
  <si>
    <t>['bagusss', 'ssekaliii']</t>
  </si>
  <si>
    <t>['udah', 'susah', 'beli', 'paket', 'internet', 'harinya', 'mmg', 'mending', 'dihilangkan', 'promo', '']</t>
  </si>
  <si>
    <t>['gangguan', 'membeli', 'paket', 'pulsa']</t>
  </si>
  <si>
    <t>['kadang', 'paket', 'suka', 'berubah']</t>
  </si>
  <si>
    <t>['mudah', 'murah', 'meriah']</t>
  </si>
  <si>
    <t>['jaringan', 'telkomsel', 'buruk']</t>
  </si>
  <si>
    <t>['bagus', 'aplikasi', 'simpel', 'banget']</t>
  </si>
  <si>
    <t>['stabilkan', 'sinyal', 'min', 'kamarku', 'kadang', 'jaringane', 'kadang', 'jaringane', 'ruang', 'tamu', 'wkwkw', 'kota', 'jogja', 'lho', 'minn', 'mask', 'iya', 'sinyal', 'stabil', 'trus', 'disaat', 'paketkan', 'internet', 'isi', 'pulsa', 'knp', 'sms', 'data', 'internet', 'non', 'paket', 'habislah', 'pulsa']</t>
  </si>
  <si>
    <t>['aplikasi', 'susah', 'dibuka', 'android', 'diberesin', 'donk', 'bagus', 'memudahkan', 'sulit', 'tagihan', 'hallo', 'rajin', 'sms', '']</t>
  </si>
  <si>
    <t>['loading', 'lambat']</t>
  </si>
  <si>
    <t>['enak', 'yaa', 'semena', 'naikin', 'harga', 'kuota', 'menipu', 'harga', 'harga', 'promo', '']</t>
  </si>
  <si>
    <t>['harga', 'kuota', 'cepat', 'berubah', '']</t>
  </si>
  <si>
    <t>['paket', 'combo', 'hilang', 'langganan']</t>
  </si>
  <si>
    <t>['paket', 'unlimited', 'combo', 'sakti', 'cacat', 'sesuai', 'diberitahukan', 'tik', 'tok', 'game', 'gimana', 'telkomsel']</t>
  </si>
  <si>
    <t>['kualitas', 'signal', 'bagus', 'daerah', 'telkomsel', 'tingkatkan', 'kualitas', 'signal', 'mudah', 'loginnya', '']</t>
  </si>
  <si>
    <t>['sgt', 'membantu', 'terima', 'kasih']</t>
  </si>
  <si>
    <t>['telkomsel', 'udah', 'kesalahan', 'sistem', 'hedeh']</t>
  </si>
  <si>
    <t>['kasi', 'pulsa', 'gratis', 'suka', 'banget', 'sma', 'apk', 'bagus', 'banget']</t>
  </si>
  <si>
    <t>['mqntap', 'pengurangan', 'harga', 'aplikasi', 'telkomsel']</t>
  </si>
  <si>
    <t>['paket', 'telkomsel', 'oke', 'putus', 'putus']</t>
  </si>
  <si>
    <t>['terbaik', 'harga', 'terjangkau', 'membantu', 'mudah']</t>
  </si>
  <si>
    <t>['terbaik', 'tele']</t>
  </si>
  <si>
    <t>['gimana', 'kuota']</t>
  </si>
  <si>
    <t>['trimakasih', 'membantu', 'mahal']</t>
  </si>
  <si>
    <t>['membantu', 'mendungkung']</t>
  </si>
  <si>
    <t>['dengerin', 'baca', 'ulasan', 'keluhannya', 'perbaikan', 'tetep', 'parah', 'kuota', 'pulsa', 'hilang', 'pakai', '']</t>
  </si>
  <si>
    <t>['membantu', 'harga', 'murah']</t>
  </si>
  <si>
    <t>['pelayanan', 'cepat']</t>
  </si>
  <si>
    <t>['kartu', 'halo', 'mantap', '']</t>
  </si>
  <si>
    <t>['aplikasinya', 'udah', 'update', 'memudahkan', 'beli', 'kuota', 'internet', 'isi', 'ulang', 'pulsa', 'mudah', 'gampang']</t>
  </si>
  <si>
    <t>['trimakaih', 'tambahan', 'kouta', '']</t>
  </si>
  <si>
    <t>['telkomsel', 'taik', 'sya', 'udah', 'beli', 'paket', 'internet', 'pulza', 'msh', 'kemakan', 'cari', 'untung', 'jngn', 'nipu', 'donk', 'sya', 'adukan', 'keminfo', 'krna', 'penipua', 'kyk', 'taik', 'gini', 'mending', 'pkek', 'pket', 'murah', 'bnyak', 'bonus', 'penipu', 'kyk', 'telkomsel', '']</t>
  </si>
  <si>
    <t>['pelayanan', 'cepat', 'promo']</t>
  </si>
  <si>
    <t>['sinyal', 'paket', 'data', 'lancar', 'gangguan', 'kasih', 'bintang', 'harap', 'hadiah', 'telkomsel', '']</t>
  </si>
  <si>
    <t>['jaringan', 'luas']</t>
  </si>
  <si>
    <t>['apk', 'bagus', 'paket', 'habis', 'pulsa', 'habis', '']</t>
  </si>
  <si>
    <t>['maaf', 'kasih', 'bintang', 'ganti', 'provider', 'sinyal', 'stabil', 'jaringan', 'telpon', 'solusinya', 'telpon', 'jangka', 'minggu', 'pelayanan', 'mengecewakan', 'pelayanan', 'harap', 'lakukan', 'perbaikan', 'pelanggan', 'nyaman', 'pelayanan', 'telkomsel', 'terimakasih']</t>
  </si>
  <si>
    <t>['isi', 'paket', 'diaplikasi', 'tpi', 'masuk', 'veronika', 'email', 'capturan', 'bukti', 'percaya', 'cek', 'email', 'kejelasan', 'gagal', 'iya', 'gagal', 'berhasil', 'berhasil', 'klik', 'kejelasan', 'jdi', 'bingung']</t>
  </si>
  <si>
    <t>['sinyal', 'trbaik', 'nusatenggra']</t>
  </si>
  <si>
    <t>['bagus', 'mudah', 'dlm', 'informasi', 'kartu', 'dpt', 'manapun', 'thn', 'pke', 'telkomsel', 'puas']</t>
  </si>
  <si>
    <t>['menu', 'lengkap']</t>
  </si>
  <si>
    <t>['aplikasi', 'bagus', 'bermanfaat']</t>
  </si>
  <si>
    <t>['', 'konsisten', 'paket', 'promo']</t>
  </si>
  <si>
    <t>['maaf', 'kecewa', 'alami', 'orang', 'pulsa', 'berkurang', 'coba', 'isi', 'pulsa', 'diamkan', 'pakai', 'oprator', 'pulsanya', 'berkurang', 'tolonglah', 'oprator', 'telkomsel', 'perbaiki', 'pulsa', 'hilang']</t>
  </si>
  <si>
    <t>['jawabarat', 'knph', 'smua', 'jaringan', 'telkomsel', 'mengalami', 'ganguan', 'brikan', 'bintang', 'smoga', 'cpt', 'perbaiki', 'mohon', 'tanggapanya', 'terimakasih']</t>
  </si>
  <si>
    <t>['hebbbat', 'harga', 'paket', 'terusss']</t>
  </si>
  <si>
    <t>['seandainya', 'mytelkomsel', 'fitur', 'kontrol', 'pulsa', 'aplikasi', 'myxl', 'bagus', 'pulsa', 'kesedot', 'paket', 'internetnya', 'habis', 'semoga', 'lekas', 'fitur']</t>
  </si>
  <si>
    <t>['telkomsel', 'bagus', 'program', 'hadiah', '']</t>
  </si>
  <si>
    <t>['', 'paket', 'combo', 'murah', 'mahal', '']</t>
  </si>
  <si>
    <t>['brguna', 'brmanfaat']</t>
  </si>
  <si>
    <t>['mantap', 'telkomsel', 'membantu']</t>
  </si>
  <si>
    <t>['kartu', 'paket', 'habis', 'langsung', 'nyedot', 'habis', 'pulsa', 'kayak', 'kartu', 'paket', 'habis', 'pulsa', 'aman', 'paket', 'habis', 'langsung', 'nyedot', 'pulsa', 'rugi', 'paket', 'habis', 'langsung', 'otomatis', 'membeli', 'kuota', 'ketengan', 'utama', 'harga', 'nyedot', 'pulsa', 'rugi']</t>
  </si>
  <si>
    <t>['aplikasi', 'berat', 'dijalankan', 'mohon', 'diperbaiki', 'terima', 'kasih', '']</t>
  </si>
  <si>
    <t>['nice', 'membantu', 'bnget']</t>
  </si>
  <si>
    <t>['aplikasi', 'membatu', 'fitur', 'membatu', 'pembelian', 'paket', 'internet']</t>
  </si>
  <si>
    <t>['mahal', 'harganya', 'murah']</t>
  </si>
  <si>
    <t>['jaringan', 'lumayan', 'sayang', 'harga', 'mahall']</t>
  </si>
  <si>
    <t>['bagus', 'banget', 'aplikasihnya']</t>
  </si>
  <si>
    <t>['kualitas', 'sesuai', 'dng', 'harga', 'aplikasi', 'trouble', 'stlh', 'update', '']</t>
  </si>
  <si>
    <t>['puas', 'mnggunakan', 'telkomsel']</t>
  </si>
  <si>
    <t>['memudahkan', 'daan', 'pilihannya']</t>
  </si>
  <si>
    <t>['memudah', 'mengisi', 'paket', 'mudah']</t>
  </si>
  <si>
    <t>['bagus', 'cek', 'kouta']</t>
  </si>
  <si>
    <t>['puas', 'nyaman', 'aplikasi', 'telkomsel']</t>
  </si>
  <si>
    <t>['hancur', 'jaringan', 'kayak', 'operator', 'sebelah']</t>
  </si>
  <si>
    <t>['masya', 'allah', 'alhamdulillah', 'mantabs', 'rekomended']</t>
  </si>
  <si>
    <t>['sinyal', 'jelek', 'alhamdulillah', 'bagus', 'tolong', 'ditingkatkan', 'terimakasih', '']</t>
  </si>
  <si>
    <t>['pakai', 'telkomsel', 'alhamdulillah', 'lancar', 'jaya', 'nyerepet', 'syg', 'mati', 'lampu', 'jaringan', 'mati', 'total']</t>
  </si>
  <si>
    <t>['signal', 'ditingkatkan', 'gangguan']</t>
  </si>
  <si>
    <t>['aplikasi', 'blok']</t>
  </si>
  <si>
    <t>['saingannya', 'telkomsel', 'jaringan', 'daerah', 'terima', 'kasih', 'telkomsel']</t>
  </si>
  <si>
    <t>['pas', 'otp', 'pembayaran', 'dana', 'aplikasinya', 'akun', 'dana', 'bekukan', 'acu', 'aplikasi']</t>
  </si>
  <si>
    <t>['telkomsel', 'makinnn', 'parahh', 'dlu', 'semahal', 'parah', 'ngertiin', 'pelajar', 'tolongg']</t>
  </si>
  <si>
    <t>['tukang', 'sedot', 'pulsa']</t>
  </si>
  <si>
    <t>['mencari', 'penawaran', 'khusus', 'telkomsel', 'terima', 'kasih', 'tolong', 'tingkatkan', '']</t>
  </si>
  <si>
    <t>['ksini', 'parah', 'kuota', 'mahal', 'lemot', 'pelayanan', 'seenak', 'customer', 'nyari', 'untung', 'telkomsel', 'pikir', 'ganti', 'kartu', 'kecewa', 'pelanggan', 'setia', 'telkomsel', 'kecewa', 'ending', 'mem', 'bagongkan', '']</t>
  </si>
  <si>
    <t>['mantul', 'akses', 'cepat']</t>
  </si>
  <si>
    <t>['', 'bagus', 'cuman', 'beneran', 'pulsa', 'beli', 'paketan', 'tolong', 'diperbaiki', '']</t>
  </si>
  <si>
    <t>['praktis', 'memudahkan', 'pelanggan']</t>
  </si>
  <si>
    <t>['', 'kuota', 'telkomsel', 'mahal', 'ngrasain', 'smua', 'ngab', 'ngrasain', 'kah', 'knpa', 'harga', 'kuotanya', 'melonjak', 'stinggi', '']</t>
  </si>
  <si>
    <t>['suka', 'aplikasi', 'bandingkan']</t>
  </si>
  <si>
    <t>['telkomsel', 'tolong', 'perbaiki', 'sistem', 'daily', 'check', 'masak', 'uda', 'klaim', 'notif', 'redem', 'point', 'berhasil', 'maaf', 'mencapai', 'batas', 'penukaran', 'point', 'maksimal', 'kali', 'silahkan', 'coba', 'kesempatan', 'uda', 'coba', 'berulang', 'ulang', 'gitu', 'animasi', 'klaim', 'uda', 'kouta', 'gb', 'cek', 'kaga', 'kouta', 'masuk', 'kali', 'kemarin', 'pas', 'gb', 'gitu', 'alhasil', 'pulsa', 'beli', 'paket', 'tersedot', 'krena', 'kupikir', 'uda', 'dpt', 'kouta', 'rugi', 'sisa', '']</t>
  </si>
  <si>
    <t>['keren', 'hadiah', 'akses', 'beli', 'kuota', 'murah']</t>
  </si>
  <si>
    <t>['pesk']</t>
  </si>
  <si>
    <t>['aplikasinya', 'bug', 'ram', 'udah', 'pusingdah', 'kirain', 'hpnya', 'lag', 'apknya', 'relog', 'profider', 'gitu']</t>
  </si>
  <si>
    <t>['aplikasi', 'mudah', '']</t>
  </si>
  <si>
    <t>['sinyal', 'parah', 'hancur', 'mati', 'lampu', 'sinyal', 'hilang', 'hujan', 'lemot', 'sinyal', 'kagak', 'stabil', 'aduh', 'ancur']</t>
  </si>
  <si>
    <t>['apknya', 'bagus', 'tolong', 'perbaiki', 'jaringan', 'telkomsel', 'pelosok', 'jaringan', 'tlpn', 'internet', 'buruk', 'misool', 'kabupaten', 'raja', 'ampat', 'papua', 'barat', 'terimakasih']</t>
  </si>
  <si>
    <t>['semoga', 'sukses']</t>
  </si>
  <si>
    <t>['lemot', 'buka', 'aplikasinya']</t>
  </si>
  <si>
    <t>['pengguna', 'gold', 'beli', 'paket', 'internet', 'terjangkau', 'paket', 'combo', 'sakti', 'terjangkau', 'hilang', 'paket', 'tersedia', 'standar', 'gb', 'bawa', 'udah', 'tolong', 'telkomsel', 'perbaikin']</t>
  </si>
  <si>
    <t>['proomonya', 'diperbanyak', 'lgi', 'gannn']</t>
  </si>
  <si>
    <t>['jaringan', 'cepat', 'anti', 'lemoooot', 'mantap', 'brooo']</t>
  </si>
  <si>
    <t>['kecepatan', 'internet', 'daerah', 'ponorogo', 'kecamatan', 'mlarak', 'kecamatan', 'kauman', 'jelek', 'sinyal', 'bagus', 'terpaksa', 'beli', 'provider', 'simcard', 'internetan', '']</t>
  </si>
  <si>
    <t>['sinyal', 'stabil', 'harga', 'stabil', '']</t>
  </si>
  <si>
    <t>['udah', 'sinyal', 'jelek', 'stabil', 'paket', 'abis', 'pulsanya', 'kesedot', 'abis', 'notif', 'telat', 'pulsa', 'udah', 'abis', 'motif', 'masuk', 'trus', 'claim', 'reward', 'poin', 'daily', 'chek', 'poin', 'udah', 'berkurang', 'trus', 'statusnya', 'udah', 'claimed', 'kuota', 'masuk', 'aneh', 'harga', 'kuota', 'mahal', 'sebanding', 'layanan', 'kualitas', 'kau', 'kecewa', 'telkomsel', 'kaya', 'diandalkan', 'alasan', 'alasan', 'kabel', 'digigit', 'ikan', 'hiu', '']</t>
  </si>
  <si>
    <t>['aneh', 'bin', 'ajaib', 'paket', 'pas', 'cek', 'telkomsel', 'auto', 'gila', 'emang', '']</t>
  </si>
  <si>
    <t>['kecewa', 'banget', 'telkomsel', 'beli', 'pulsa', 'jam', 'pulsa', 'ngilang', 'pulsa', 'diapa', 'apain', 'kouta', '']</t>
  </si>
  <si>
    <t>['halo', 'samsung', 'rekomendasi', 'untukmu', 'muncul', 'habis', 'hapus', 'data', 'instalasi', 'ulang', 'muncul', 'hilang', 'pas', 'buka', 'aplikasi', 'kalinya', 'mohon', 'diperbarui', 'terima', 'kasih']</t>
  </si>
  <si>
    <t>['paket', 'murah', 'cmn', 'beli', 'tolong', 'kedepannya', 'perbaiki']</t>
  </si>
  <si>
    <t>['bagus', 'cepat', 'respon', 'sinalnya']</t>
  </si>
  <si>
    <t>['diinstall', 'perangkat', 'android', '']</t>
  </si>
  <si>
    <t>['tingkatkan', 'sampe', 'login', 'apk', 'leg', 'loading', 'banyakin', 'promo', 'menarik', 'pengguna', 'telkomsel', 'tingkatkan', 'sinyal', 'daerah', 'bogor', 'khusus', 'dramaga', 'ciherang', 'cibinong', 'sinyal', 'bersahabat']</t>
  </si>
  <si>
    <t>['kurangin', 'bintangnya', 'karna', 'paket', 'beli', 'daftar', 'daftar', 'paket', 'mahal', 'telkomsel', '']</t>
  </si>
  <si>
    <t>['bagus', 'membantu']</t>
  </si>
  <si>
    <t>['aksistensi', 'bagus', 'ditingkatkan', 'terima', 'kasih', 'telkomsel', 'good', 'job']</t>
  </si>
  <si>
    <t>['jelek', 'susah', 'dibuka', 'loading']</t>
  </si>
  <si>
    <t>['mantapp', 'menggunaanya']</t>
  </si>
  <si>
    <t>['aplikasi', 'membantu', 'terimakasih', 'telkomsel', '']</t>
  </si>
  <si>
    <t>['suka', 'telkomsel']</t>
  </si>
  <si>
    <t>['ngambil', 'paket', 'darurat', 'tpi']</t>
  </si>
  <si>
    <t>['mantap', 'banget']</t>
  </si>
  <si>
    <t>['aplikasi', 'tolol', 'suka', 'ngebug', 'jaringannya', 'suka', 'tolol', 'edit', 'tay', 'pulsa', 'gue', 'berkurang', 'gajelas', 'telkomsel', 'anying', '']</t>
  </si>
  <si>
    <t>['bagus', 'dana', 'balikin', 'sinyal', 'good']</t>
  </si>
  <si>
    <t>['maaf', 'jaringan', 'error', 'transaksi', 'bayar', 'internet', '']</t>
  </si>
  <si>
    <t>['perbaikan', 'jaringan', 'tolong', 'pemberitahuan', 'jaringan', 'penuh', 'buka', 'udah', 'kouta', 'mahal', 'orang', 'main', 'game', 'juha', 'tolong', 'kerjasama', '']</t>
  </si>
  <si>
    <t>['mytelkomsel', 'hadiah', 'undian', 'betol', '']</t>
  </si>
  <si>
    <t>['bagus', 'banget', 'skrng', 'mahal', 'lemot', 'apk', 'jaringannya', 'bermasalah', 'ngeblank', 'loading', 'apknya', 'jaringannya', '']</t>
  </si>
  <si>
    <t>['app', 'mudah', 'pahami', 'membantu']</t>
  </si>
  <si>
    <t>['update', 'bnyak', 'pilihan', 'beli', 'paket', 'kouta', 'unlimited', '']</t>
  </si>
  <si>
    <t>['', 'pakek', 'telkomsel', 'sinyal', 'darah', 'lemot', 'segra', 'perbaiki', 'kualitas', 'jaringan', 'mati', 'lampu', 'langsung', 'ilang', 'sinya', '']</t>
  </si>
  <si>
    <t>['ngga', 'kuotanya', 'paket', 'nasional', 'ngga', 'paket', 'bundling', 'aplikasi', 'ribet', 'banget', 'telkomsel', 'nyari', 'untungnya', 'beli', 'kuota', 'ngga', 'kepake', 'cloudmax', 'musicmax', 'pls', 'follow', '']</t>
  </si>
  <si>
    <t>['aplikasi', 'beli', 'paket', 'udh', 'kenceng', 'sinyal']</t>
  </si>
  <si>
    <t>['aplikasinya', 'mantap', 'telkomsel', 'beli', 'paket', 'data', 'murah']</t>
  </si>
  <si>
    <t>['apk', 'tlkomsel', 'update', 'udh', 'selesai', 'isi', 'pulsa', 'beli', 'paket', 'eror', 'teruss', 'amjingg', 'kenapaaa', 'woyyyyy', 'taikk', '']</t>
  </si>
  <si>
    <t>['apk', 'parah', 'gangguan']</t>
  </si>
  <si>
    <t>['nge', 'crash', 'app']</t>
  </si>
  <si>
    <t>['gabisa', 'buka']</t>
  </si>
  <si>
    <t>['ngelag', 'banget', 'sumpah']</t>
  </si>
  <si>
    <t>['jaringan', 'down', 'mulu', 'main', 'game', 'gimana', 'harga', 'paket', 'dinaikin', 'sinyal', 'ancur']</t>
  </si>
  <si>
    <t>['woe', 'gimana', 'aplikasinya', 'eror', 'ahk']</t>
  </si>
  <si>
    <t>['subuh', 'aplikasi', 'suka', 'eror', '']</t>
  </si>
  <si>
    <t>['', 'udh', 'apdet', 'ajah', 'kesalah', 'gimana']</t>
  </si>
  <si>
    <t>['apk', 'bermasalah', 'trs']</t>
  </si>
  <si>
    <t>['bagus', 'apl', 'orang', 'jelek', 'gpp', '']</t>
  </si>
  <si>
    <t>['banyakin', 'bonus', 'kaka']</t>
  </si>
  <si>
    <t>['mudah', 'telkomel']</t>
  </si>
  <si>
    <t>['paketan', 'langsung', 'perpanjangan', 'otomatis', 'pulsa', 'habis', 'paketnya', 'hilang', 'parah', '']</t>
  </si>
  <si>
    <t>['provider', 'kualitas', 'buruk', 'direkomendasikan', '']</t>
  </si>
  <si>
    <t>['jaringan', 'tlongg', 'stabil', 'pnawaran', 'paket', 'murah', 'lancar', 'cman', 'chatt', 'doang', 'nge', 'game', 'buka', 'aplikasi', 'nunggu', 'jam', 'wib', 'baguss', 'tlonggg', 'dengar', 'keluhan', 'sumpah', 'jaringan', 'superr', 'nga', 'jlassss']</t>
  </si>
  <si>
    <t>['jaringan', 'konek', 'internet', 'kuota', 'diisi', 'provider', 'lancar', 'lancar', 'tolong', 'perbaiki']</t>
  </si>
  <si>
    <t>['beli', 'qaota', 'susah', 'banget', 'masuk', 'masuk', '']</t>
  </si>
  <si>
    <t>['bagus', 'mudah', 'aplikasi', 'belik', 'data', 'internet']</t>
  </si>
  <si>
    <t>['aplikasi', 'bermanfaat']</t>
  </si>
  <si>
    <t>['bagus', 'kasih', 'semoga', 'kedepannya', 'bagus', 'memuaskan', '']</t>
  </si>
  <si>
    <t>['fitur', 'live', 'chat', 'berfungsi', 'kuota', 'multimedia', 'pakai', '']</t>
  </si>
  <si>
    <t>['hancur', 'caringan', 'leletttttttttt', '']</t>
  </si>
  <si>
    <t>['dqn', 'bagus']</t>
  </si>
  <si>
    <t>['udah', 'paket', 'mahal', 'kuota', 'tetep', 'ngelag', 'tolong', 'telkom', 'ketua', 'telkom', 'diperbaiki', 'jaringan', 'ilang', 'gny', 'bintang', 'min', 'kekasih', 'telkom', 'karna', 'udah', 'kasih', 'berat', 'hati']</t>
  </si>
  <si>
    <t>['telkomsel', 'niat', 'ngak', 'ksh', 'gratis', 'pls', 'datanya', 'udah', 'chek', 'klaim', 'hadiah', 'musti', 'pls', 'klu', 'ksh', 'gratis', 'ksh', 'ngak', '']</t>
  </si>
  <si>
    <t>['selamat', 'malam', 'tolong', 'kasih', 'penjelasan', 'isi', 'pulsa', 'paket', 'combo', 'sakti', 'internet', 'sakti', 'hilang', 'mengalami', 'berpikiran', 'negatif', 'telkomsel', 'tolong', 'penjelasannya', '']</t>
  </si>
  <si>
    <t>['mahal', 'oke', 'jaringan', 'jelek', '']</t>
  </si>
  <si>
    <t>['alsi', 'nyesel', 'bgd', 'gue', 'beli', 'pulsa', 'telkomnyet', 'berhasil', 'pulsa', 'masuk', 'udah', 'laporan', 'auruh', 'nunggu', 'kerja', 'proses', 'refund', 'udah', 'hati', 'bank', 'terkait', 'bermasalah', 'gue', 'sumpahin', 'banhkrut', 'makan', 'duit', 'orang', 'sumpah', 'gue', 'gam', 'ikhlas', 'seumur', 'hidup', 'bangsattt', 'dsar', 'telkomnyet']</t>
  </si>
  <si>
    <t>['telkomsel', 'terbaik', 'semoga', 'hadiah', 'mobil', 'motor', 'telkomsel']</t>
  </si>
  <si>
    <t>['tolong', 'pembayaran', 'adakan', 'via', 'bank', 'enak', 'pembelian']</t>
  </si>
  <si>
    <t>['telkomsel', 'koplok', 'pdhl', 'internet', 'jaringan', 'wifi', 'gitu', 'paket', 'data', 'make', 'simcard', 'ttp', 'kepotong', 'pulsa', 'namanya', 'pemalakan', 'terselubung']</t>
  </si>
  <si>
    <t>['tingkatkan', 'kualitas', 'aplikasi', 'mendukung', 'mode', 'gelap', 'malam', '']</t>
  </si>
  <si>
    <t>['jaringan', 'telkomsel', 'ngak', 'bagus', 'biayanya', 'mahal', 'mohon', 'perbaiki', '']</t>
  </si>
  <si>
    <t>['telkomsel', 'jaringan', 'suka', 'ngeleg', '']</t>
  </si>
  <si>
    <t>['membantu', 'telkomsel']</t>
  </si>
  <si>
    <t>['signal', 'diarea', 'pegunungan', 'susah']</t>
  </si>
  <si>
    <t>['habis', 'upgrade', 'android', 'aplikasi', 'telkomsel', 'download']</t>
  </si>
  <si>
    <t>['jaringan', 'buruk']</t>
  </si>
  <si>
    <t>['mudah', '']</t>
  </si>
  <si>
    <t>['telkomsel', 'sinyal', 'penuh', 'bukak', 'ngx', 'beli', 'paket', '']</t>
  </si>
  <si>
    <t>['telkomsel', 'sayang', 'seberuntung', 'pengguna', 'hadiah']</t>
  </si>
  <si>
    <t>['semoga', 'kesempatan', 'menang', 'terimakasih', 'telkomsel']</t>
  </si>
  <si>
    <t>['', 'update', 'memadai', 'terimakasih', 'lenovo', 'jadul', 'apk', 'cacat', 'beli', 'mahal', 'beda', 'harga', 'beli', 'gb', 'telkomsel', '']</t>
  </si>
  <si>
    <t>['kualitas', 'sinyal', 'parah']</t>
  </si>
  <si>
    <t>['telkomsel', 'kesini', 'mahal', 'berlangganan', 'paket', 'internet', 'giganet', 'gb', 'sebulan', 'dihilangkan', 'gimana', 'nasib', 'pelangan', 'cocok', 'paketan', 'harga', 'sekian', 'opsi', 'pilihan', 'disodorkan', 'harga', 'paketan', 'mahal', 'tolong', 'menghilangkan', 'opsi', 'pilihan', 'dibeli', 'pelanggan']</t>
  </si>
  <si>
    <t>['maaf', 'menghargai', 'pelayanannya', 'bagus', 'banget', 'sinyall', 'ampun', 'dehhh', 'kedesa', 'sinyal', 'jelek', 'dikota', 'sinyal', 'jelek', 'planet', 'mars', 'sinyal', 'bagus', 'kecewaaaaaaaaa', 'nggak', 'males', 'guee', 'hubungi', 'twitter', 'males', 'bangetttt']</t>
  </si>
  <si>
    <t>['semoga', 'telkomsel', 'slalu', 'bagus', 'sinyalnya']</t>
  </si>
  <si>
    <t>['telkomsel', 'mudah', '']</t>
  </si>
  <si>
    <t>['pokoke', 'telkomsel', 'top', 'markotop', '']</t>
  </si>
  <si>
    <t>['mentang', 'paket', 'kuota', 'combo', 'sakti', 'udah', 'mahal', 'sinyal', 'jelek', 'banget', 'kesaalll', 'banget', 'main', 'game', 'lag', 'buka', 'aplikasi', 'lag', 'dahlah', 'males']</t>
  </si>
  <si>
    <t>['pengguna', 'mudah', 'pahami']</t>
  </si>
  <si>
    <t>['paket', 'sesuai', 'aturannya', '']</t>
  </si>
  <si>
    <t>['masuk', 'apk', 'susah', 'sinyal', 'naeik', 'turun', 'paketan', 'udah', 'mahal', 'jaringan', 'susah', 'tolong', 'diperbaiki', 'mikir', 'untung', '']</t>
  </si>
  <si>
    <t>['ngasih', 'bonus', 'niat', 'semoga', 'harimu', 'suram']</t>
  </si>
  <si>
    <t>['jaringan', 'rusak', 'harga', 'mahal', 'jaringan', 'bagus', 'perbaiki']</t>
  </si>
  <si>
    <t>['susah', 'masuk', 'app', 'semenjak', 'upgred', 'tolong', 'diperbaiki', 'complian', 'direspon', 'app', 'uninstal']</t>
  </si>
  <si>
    <t>['mantap', 'paket', 'internet', 'gb', 'makasih', 'mytelkomsel', '']</t>
  </si>
  <si>
    <t>['tolong', 'pilihan', 'paket', 'adakan', 'khusus', 'internet', 'kbanyakan', 'paket', 'gabungan', 'jls']</t>
  </si>
  <si>
    <t>['maaf', 'nanya', 'samsung', 'ultra', 'update', 'versi', 'android', 'aplikasi', 'telkomsel', 'hilang', 'download', 'mohon', 'solusinya', '']</t>
  </si>
  <si>
    <t>['kasih', 'diskon', 'daftar', 'internet', 'mahal']</t>
  </si>
  <si>
    <t>['kebanggaan', 'keluarga']</t>
  </si>
  <si>
    <t>['sinyal', 'jelek', 'stabil']</t>
  </si>
  <si>
    <t>['ngak', 'internet', 'kuota']</t>
  </si>
  <si>
    <t>['memakai', 'kartu', 'terima', 'kasih', 'telkomsel', 'paket', 'internet', 'harga', 'murah', 'semoga', '']</t>
  </si>
  <si>
    <t>['layanan', 'sip', 'bintang', 'seminggu', 'macet']</t>
  </si>
  <si>
    <t>['terimakasih', 'telkomsel', 'kegemaran', 'sya', 'memakai', 'kartu', 'perdana', 'telkomsel', 'semoga', 'endikung', 'hadiah', 'jaya', 'telkom', 'amin']</t>
  </si>
  <si>
    <t>['tolong', 'turun', 'harga', 'paket', 'nlp', 'internet', '']</t>
  </si>
  <si>
    <t>['alhamdulilah', 'aplikasi', 'terbantu', '']</t>
  </si>
  <si>
    <t>['kasi', 'bintang', 'jaringan', 'internet', 'terima', 'bagus', 'trmks', '']</t>
  </si>
  <si>
    <t>['ngelag', 'mulu', 'pdhal', 'bayar', 'make', 'kuota', 'dll', 'mahal', 'sial']</t>
  </si>
  <si>
    <t>['ditingkatkan', 'kualitas', 'jaringan']</t>
  </si>
  <si>
    <t>['yth', 'mohon', 'perbaikan', 'wilayah', 'alue', 'bilie', 'khusus', 'desa', 'panton', 'bayu', 'karna', 'jaringan', 'drop', 'jaringan', 'telkomsel', 'normal', 'full', 'jaringan', 'kecepatan', 'rendah', 'tolong', 'perbaiki', 'admin', 'pengguna', 'mengeluh', 'tks']</t>
  </si>
  <si>
    <t>['sinyal', 'lelet', 'suara', 'membuka', 'telkomsel', 'hilangkan', '']</t>
  </si>
  <si>
    <t>['terima', 'kasih', 'mempermudah', 'pembelian', 'kuota', 'pulsanya', 'diperbanyak', 'promo', 'poin', 'tebus', 'kuotanya', 'kak', 'trims', '']</t>
  </si>
  <si>
    <t>['sangan', 'membantu', 'mytelkomsel', 'reward', 'beli', 'kuota', 'nggak', 'ribet', 'keren']</t>
  </si>
  <si>
    <t>['aplikasi', 'gunanya', 'cek', 'kuota', 'doang', 'harga', 'paket', 'internet', 'berubah', 'ubah', 'cepat', 'harganya', 'gua', 'ganti', 'indosat', 'beli', 'paket', 'internet']</t>
  </si>
  <si>
    <t>['tingkatkan', 'pelayanannya', 'semoga', 'menang', 'telomsel', 'poin', '']</t>
  </si>
  <si>
    <t>['nyesel', 'unduh', 'lemt']</t>
  </si>
  <si>
    <t>['gabisa', 'aktivasi', 'kuota', 'udah', 'komplain', 'seminggu', 'perubahan', '']</t>
  </si>
  <si>
    <t>['kemudahan']</t>
  </si>
  <si>
    <t>['telkomsel', 'memuaskan']</t>
  </si>
  <si>
    <t>['udah', 'paketan', 'mahal', 'point', 'tuker', 'paket', 'telco', 'product', 'aplikasi', 'bobbrok']</t>
  </si>
  <si>
    <t>['mudah', 'masuk', 'mytelkomsel', '']</t>
  </si>
  <si>
    <t>['sinyal', 'bagus', 'ngabrettt', 'pisan', 'membantu', 'banget', 'anak', 'sekolah', 'pokoknya', 'telkomsel', 'jempolll']</t>
  </si>
  <si>
    <t>['kebiasaan', 'telkomsel', 'beli', 'paket', 'khusus', 'game', 'giliran', 'paket', 'utama', 'habis', 'nyedot', 'pulsa', 'dirugikan', 'pelanggan', 'setia', '']</t>
  </si>
  <si>
    <t>['apresiasi', 'diturunin', 'harga', 'paket', 'omg']</t>
  </si>
  <si>
    <t>['telkomsel', 'jaya']</t>
  </si>
  <si>
    <t>['tolong', 'perjelas', 'internet', 'kuota', 'habis', 'ngambil', 'pulsa', 'mending', 'jaringan', 'internet', 'terputus', 'habisin', 'pulsa', 'seluler']</t>
  </si>
  <si>
    <t>['jaringan', 'telkomsel', 'gangguan', 'kah', '']</t>
  </si>
  <si>
    <t>['telkomsel', 'tolonglah', 'perbaiki', 'jaringanmu', 'uda', 'beli', 'paket', 'mahal', 'naikk', 'sesuai', 'harga', 'bos', 'harga', 'mahal', 'jari', 'ngan', 'kek', 'taiii']</t>
  </si>
  <si>
    <t>['kuota', 'masi', 'internet', 'pulsa', 'kepotong', 'koruptor', 'jahatttt', '']</t>
  </si>
  <si>
    <t>['makasih', 'puas']</t>
  </si>
  <si>
    <t>['sinyal', 'busuk', 'paket', 'kartu', 'sinyal', 'payaaaah']</t>
  </si>
  <si>
    <t>['aduh', 'mohon', 'maaf', 'pulsanya', 'kepotong', 'hahaha', 'sukurin', 'aduan', 'perubahan', 'kasih', 'link', 'pengaduan', 'baca', 'komen', 'kekecewaan', 'dasar', 'maling']</t>
  </si>
  <si>
    <t>['sinyalnya', 'jelek', 'wilayah', 'kelurahan', 'lubuk', 'tanjung', 'kota', 'lubuklinggau', '']</t>
  </si>
  <si>
    <t>['signal', 'hilang', 'eror', 'paket', 'combo', 'naikin', 'merakyat', 'sms', 'stiap', 'menit', 'menggangu']</t>
  </si>
  <si>
    <t>['membuka', 'aplikasinya', 'mohon', 'penjelasannyaa', 'kesal', 'tugas', 'kouta', 'beli', 'apj', 'dibuka', '']</t>
  </si>
  <si>
    <t>['tolong', 'aktifkan', 'paket', 'internet', 'beli', 'paket', 'conect', 'internetnya', 'cek', 'kuota', 'kuota', 'versi', 'login', 'update']</t>
  </si>
  <si>
    <t>['kadang', 'suka', 'pusing', 'promo', 'udah', 'beli', 'paket', 'taunya', 'murah', '']</t>
  </si>
  <si>
    <t>['udh', 'jaringan', 'lemot', 'isi', 'ulang', 'paket', 'data', 'ngga', 'ngotak', 'mahal']</t>
  </si>
  <si>
    <t>['jaringan', 'lemah', 'kualitas', 'akses', 'redah', 'payah', 'lelet', '']</t>
  </si>
  <si>
    <t>['min', 'paket', 'harian', 'aktif', 'daftar', 'jam', 'tanggal', 'abis', 'jam', 'ditanggal', 'jam', 'jam', 'besoknya']</t>
  </si>
  <si>
    <t>['pliss', 'knpaa', 'telkomsel', 'sperti', 'paket', 'unlimitid', 'ganti', 'lihat', 'ulasan', 'semuaa', 'warga', 'net', 'gtu', 'pliss', 'perbaiki', 'lagii', 'kesini', 'giganya', 'jaringan', 'jelek', 'pdhal', 'telkomsel', 'ternilai', 'sngat', 'bagus', 'klangan', 'masyarakat', 'knpaa', 'kesini', 'bertingkah', 'beli', 'pulsa', 'habis', 'data', 'kesedot', 'udah', 'matiin', 'dtanya', 'rugi', 'tolong', 'perbaiki', 'ssya', 'suka', '']</t>
  </si>
  <si>
    <t>['keseringan', 'update']</t>
  </si>
  <si>
    <t>['pilihan', 'paket']</t>
  </si>
  <si>
    <t>['keren', 'josss', 'membantu']</t>
  </si>
  <si>
    <t>['terimakasih', 'jaringan', 'buruk', '']</t>
  </si>
  <si>
    <t>['menangin', '']</t>
  </si>
  <si>
    <t>['jaringan', 'tolong', 'perbaiki', 'bagus']</t>
  </si>
  <si>
    <t>['bumn', 'harga', 'paketanya', 'bersahabat', 'rakyat', 'mahal', 'mahal', '']</t>
  </si>
  <si>
    <t>['jaringan', 'surabaya', 'parah', 'poll', 'poll', 'signal', 'ngegrab', 'jaringan', 'lemah']</t>
  </si>
  <si>
    <t>['snagat', 'membantu', 'murah']</t>
  </si>
  <si>
    <t>['hei', 'tsel', 'bambang', 'gua', 'pengen', 'kasih', 'ide', 'fitur', 'internet', 'cuman', 'kuota', 'nggak', 'kuotanya', 'otomatis', 'keputus', 'data', 'selulernya', 'fitur', 'berguna', 'banget', 'tolong']</t>
  </si>
  <si>
    <t>['beli', 'kuota', 'sistem', 'sibuk', 'sesibuk', 'bujang', 'beli', 'kuota', 'dipake', 'bayar', 'kartu', 'bujang']</t>
  </si>
  <si>
    <t>['jaringan', 'stabil']</t>
  </si>
  <si>
    <t>['bagus', 'promo', 'turun', 'promo', '']</t>
  </si>
  <si>
    <t>['asyik', 'nonton', 'desney', '']</t>
  </si>
  <si>
    <t>['pelayanan', 'costumer', 'service', 'lambat']</t>
  </si>
  <si>
    <t>['udah', 'perbarui', 'bener', 'buka', 'suruh', 'beli', 'kuota', 'atw', 'mode', 'gratis', 'padaj', 'kuota', 'masi', 'ganggu', 'udah', 'gitu', 'ulasa', 'asa', 'respon', 'profider']</t>
  </si>
  <si>
    <t>['jaringannya', 'lancar', 'jarang', 'lemot', '']</t>
  </si>
  <si>
    <t>['', 'cepet', 'pelayanan', 'isi', 'kuota', '']</t>
  </si>
  <si>
    <t>['memuat', 'halaman', 'sebulan', 'perubahan']</t>
  </si>
  <si>
    <t>['boros', 'kuota', 'buka', 'aplikasi', 'telkomsel', 'langsung', 'ngebut', 'nyedot', 'kuotanya', 'buka', 'lgsg', 'abis', '']</t>
  </si>
  <si>
    <t>['bagus', 'klu', 'pakai', 'ojol']</t>
  </si>
  <si>
    <t>['apps', 'pas', 'dibuka', 'pas', 'diunistal', 'instal', 'login', 'tetep', 'mulu', 'apps', '']</t>
  </si>
  <si>
    <t>['mudah', 'shopink', 'chat', 'date', 'terimakasih', 'telkomsel']</t>
  </si>
  <si>
    <t>['bener', 'bener', 'telkom', 'paket', 'internet', 'udh', 'mahal', 'pas', 'pketan', 'udh', 'habis', 'pulsapun', 'sedot', 'jga', 'stock', 'pulsa', 'rb', 'langsung', 'sedot', 'jga', 'tinggal', 'rb', 'dengerin', 'telkom', 'harusnye', 'emang', 'internetnya', 'habis', 'akses', 'internetnya', 'putus', 'main', 'sedot', 'pulsa', 'emang', 'beli', 'pulsa', 'bos', 'duit', 'cukkk', 'emang', 'make', 'bot']</t>
  </si>
  <si>
    <t>['lancar', 'telkomsel', 'semoga', 'promo', '']</t>
  </si>
  <si>
    <t>['inet', 'jatim', 'lemot', 'menyusxhkan']</t>
  </si>
  <si>
    <t>['gua', 'download', 'aplikasi', 'karna', 'dapatin', 'paket', 'data', 'menukar', 'point', 'telkomsel', 'download', 'tukar', 'berhasil', 'kecewa', 'unistal', 'aplikasinya', 'beralih', 'oredo', 'beli', 'pulsa', 'ribu', 'gratis', 'paket', 'data', 'skrng', 'telkomsel', 'jaringannya', 'bagus', 'ngelaq', 'main', 'game', '']</t>
  </si>
  <si>
    <t>['kuota', 'ketenganya', 'kntolllllllllllllllllllllllllllllllll', 'pulsa', 'abis', 'internetan', 'sedetik', 'kntollll']</t>
  </si>
  <si>
    <t>['telkomsel', 'pencuri', 'pulsa', 'pulsa', 'abis', 'kuota', 'suka', 'ketik', 'aneh', '']</t>
  </si>
  <si>
    <t>['klau', 'bagus', 'kasih', 'bintang']</t>
  </si>
  <si>
    <t>['promo', 'suka']</t>
  </si>
  <si>
    <t>['tolong', 'kesini', 'menurun', 'contoh', 'simpelnya', 'buka', 'aplikasinya', 'susah', 'kadang', 'blank', 'loading', 'dibilang', 'jaringan', 'buset', 'mahal', 'doang', 'kualitas', 'tiarap', 'kalah', 'provider', 'sebelah', 'ancuur', 'ancur', 'gua', 'posting', 'ulasan', 'banget', 'loading', '']</t>
  </si>
  <si>
    <t>['heeemmm', 'parah', 'jaringan', 'telkomsel', 'sinyal', 'ilang', 'lelet', 'jaringan', 'tpi', 'internet', 'sinyal', 'kuat', 'stabil', 'semoga', 'pengguna', 'telokmsel', 'berpaling', '']</t>
  </si>
  <si>
    <t>['meningkatkan', 'telkomsel', 'mendukung', 'tks', 'infonya']</t>
  </si>
  <si>
    <t>['pulsa', 'habis', 'pakai', 'internet']</t>
  </si>
  <si>
    <t>['kartu', 'anjeng', 'gada', 'angin', 'gada', 'ujan', 'sinyal', 'ilangg', 'babi', 'setan', 'gua', 'kalah', 'ranked']</t>
  </si>
  <si>
    <t>['mengecewakan']</t>
  </si>
  <si>
    <t>['telkomsel', 'jelek', 'sinyal']</t>
  </si>
  <si>
    <t>['mahal', 'doang', 'ngelag', 'mending', 'murah', 'lancar', 'kebiasaan', 'mahal', 'iya', 'ngelag', 'iya']</t>
  </si>
  <si>
    <t>['knp', 'unlimeted', 'signal', 'jelek', 'banget', 'jalur', 'buka', 'aplikasi', 'nyayi', 'langsung', 'putus', 'omg', 'unlimited', 'pdhal', 'tinggal', 'kota', 'signal', 'jelek', 'aneh', 'tlng', 'perbaiki', 'signal', 'tangerang', 'kota', 'tdi', 'beli', 'kuota', 'aplikasi', 'telkomsel', 'notif', 'berhasil', 'pas', 'buka', 'apk', 'sms', 'potong', 'data', 'matiin', 'potong', 'ribu', 'minggu', 'kmrn', 'gitu', 'bli', 'apk', 'msk', 'skls', 'telkomsel', 'apk', 'trobel']</t>
  </si>
  <si>
    <t>['kesini', 'parah', 'sinyal', 'kuota', 'udah', 'mkin', 'mahal', 'call', 'senter', 'slalu', 'jaringan', 'gitu']</t>
  </si>
  <si>
    <t>['tampilan', 'simpel', 'keterangan', 'suka', 'promo', 'harga', 'paket', 'top', 'pulsanya', '']</t>
  </si>
  <si>
    <t>['berilah', 'kuota']</t>
  </si>
  <si>
    <t>['telkomsel', 'jaringan', 'lemot', 'kalah', 'oprator', 'pengguna', 'telkomsel', 'hbis', 'sya', 'penjual', 'lemottt', 'mksih']</t>
  </si>
  <si>
    <t>['assalamualaikum', 'min', 'adain', 'reedem', 'code', 'mlbb', 'min', 'please', '']</t>
  </si>
  <si>
    <t>['rugikan', 'sinyal', 'kunjung', 'normal', 'udah', 'pengguna', 'jaringan', 'telkomsel', 'kecewa']</t>
  </si>
  <si>
    <t>['kecewa', 'udah', 'paketnya', 'mahal', 'sinyal', 'lemot', 'tolong', 'tolong', 'tolong', 'diperbaiki', 'jaringan', 'internet', '']</t>
  </si>
  <si>
    <t>['keren', 'aplikasi', 'inch', 'membantu', 'peblianpakketan', 'suguh', 'puas', 'guudlcak']</t>
  </si>
  <si>
    <t>['mohon', 'perbaiki', 'sinyal', 'bagus', 'suka', 'ngelag', 'mohon', 'bantuan', '']</t>
  </si>
  <si>
    <t>['mudah', 'cek', 'kuota']</t>
  </si>
  <si>
    <t>['memuaskan', 'bintang']</t>
  </si>
  <si>
    <t>['jaringan', 'lelet', 'harga', 'paketan', 'mahal', '']</t>
  </si>
  <si>
    <t>['error', 'apk', 'screen', 'kadi', 'putih', 'log', 'penawaran', 'semenjak', 'pembaharuan']</t>
  </si>
  <si>
    <t>['tingkatkan', 'jaringan', 'nyaman']</t>
  </si>
  <si>
    <t>['beli', 'paket', 'mkin', 'mahal']</t>
  </si>
  <si>
    <t>['sinyal', 'mantab', 'tarif', 'kulaitas', 'menuruunnnn', 'mengecewakan']</t>
  </si>
  <si>
    <t>['ngotak', 'harganya', '']</t>
  </si>
  <si>
    <t>['cek', 'pulsa']</t>
  </si>
  <si>
    <t>['jaringan', 'telkomsel', 'uda', 'mahal', 'jaringan', 'susah', 'uda', 'kalah', 'jaringan', 'tolong', 'perbaiki', 'orang', 'beralih']</t>
  </si>
  <si>
    <t>['memudahkan', 'pembelian', 'paket']</t>
  </si>
  <si>
    <t>['puas', 'denga', 'jaringan']</t>
  </si>
  <si>
    <t>['', 'telkomsel', 'terbaik', '']</t>
  </si>
  <si>
    <t>['mantap', 'cuman', 'agk', 'lemot', 'letoy', 'bro', '']</t>
  </si>
  <si>
    <t>['jaringan', 'jaringan', 'payah', 'banget', '']</t>
  </si>
  <si>
    <t>['tlkom', 'poin', 'udh', 'bnyk', 'tpi', 'diredeem']</t>
  </si>
  <si>
    <t>['kemudahan', 'aplikasi', 'bagus', 'paket', 'combo', 'saktinya', 'disayangkan', 'mahal', 'kuotanya', 'menyebabkan', 'kuota', 'terpakai', 'aktifnya', 'harap', 'combo', 'sakti', 'kuotanya', 'kuota', 'terbuang', 'sia', 'sia', 'orang', 'menjangkau', 'membelinya', 'terimakasih']</t>
  </si>
  <si>
    <t>['aplikasinya', 'lemot', 'parah', 'buka', 'aplikasi', 'nunggu']</t>
  </si>
  <si>
    <t>['buka', 'aplikasi', 'lemot', 'ganti', 'logo']</t>
  </si>
  <si>
    <t>['bagus', 'klok', 'loding', '']</t>
  </si>
  <si>
    <t>['ngisi', 'pulsa', 'langsung', 'kesedot', 'habis', '']</t>
  </si>
  <si>
    <t>['paket', 'mahal', 'kendala', 'jaringan', '']</t>
  </si>
  <si>
    <t>['bismillahirrahmanirrahim', 'semoga', 'bermanfaat', '']</t>
  </si>
  <si>
    <t>['alhamdulillah', 'rupiah']</t>
  </si>
  <si>
    <t>['tolong', 'perbaiki', 'jaringan', 'internet', 'maluku', 'jaringannya', 'lambat', '']</t>
  </si>
  <si>
    <t>['puas', 'banget', 'gengan', 'aplikasinya', '']</t>
  </si>
  <si>
    <t>['error', 'asik', '']</t>
  </si>
  <si>
    <t>['mantapp', 'membantu']</t>
  </si>
  <si>
    <t>['pokoknya', 'bagus', 'banget', 'langsung', 'kasih', 'bintang']</t>
  </si>
  <si>
    <t>['sekian', 'kalinya', 'ndak', 'memperbaiki', 'mending', 'tutup', 'ajah', 'aplikasinya', 'jengkel', 'banget']</t>
  </si>
  <si>
    <t>['aplikasinya', 'bangus', 'banget', 'sumpah', 'allah', '']</t>
  </si>
  <si>
    <t>['telkomsel', 'khonnnthoollll', 'paketan', 'mahal', 'karan', 'nomor', 'udah', 'setahun', '']</t>
  </si>
  <si>
    <t>['download']</t>
  </si>
  <si>
    <t>['ribet', 'tukar', 'poin', 'kode', 'undian', 'tukar', 'poin', 'kode', 'undian', 'mobil', 'poin', 'ditukarkan', 'undian', 'mobil', 'gimana', 'mencet', 'tombol', 'tukar', 'poin', 'pindah', 'menu', 'tukar', 'poin', 'kali', 'tukar', 'poin', 'klik', 'poin', 'klik', 'klik', 'may', 'god', 'handphone', 'panas', 'rusak', 'prosesnya', 'alias', 'ngehang', 'sistemnya']</t>
  </si>
  <si>
    <t>['knp', 'reedem', 'voucher', 'poinnya', 'udah', 'kesedot', 'nggak', 'pulsa', 'nggak', 'pas', 'udah', 'isi', 'pulsa', 'nggak', 'tukar', 'kali', 'tukar']</t>
  </si>
  <si>
    <t>['bagus', 'jaringan', 'dipelosok']</t>
  </si>
  <si>
    <t>['lbh', 'murah', 'pembelian', 'pulsa', 'ato', 'paket', 'data']</t>
  </si>
  <si>
    <t>['asalamualaikum', 'min', 'sinyal', 'telkomsel', 'jelek', 'banget', 'belinyu', 'kabupaten', 'bangka', 'kepulauan', 'bangka', 'belitung']</t>
  </si>
  <si>
    <t>['berlangganan', 'harganya', 'mahal']</t>
  </si>
  <si>
    <t>['josss', 'kali', 'apk', 'membantu']</t>
  </si>
  <si>
    <t>['game', 'menyenangkan', 'maaf']</t>
  </si>
  <si>
    <t>['knapa', 'tukar', 'poin', 'sayang', 'udang', 'tpi', 'tukar']</t>
  </si>
  <si>
    <t>['aplikasinyabtolong', 'ditingkatkan', 'sampe', 'berat']</t>
  </si>
  <si>
    <t>['aplikasinya', 'bagus', 'telpon', 'ngotak', 'pulsa', 'rb', 'habis', 'perubahan', 'tarif', 'telp', 'habis', 'pulsa', 'nyesel', 'telkomsel', 'mending', 'ganti', 'provider']</t>
  </si>
  <si>
    <t>['may', 'telkomsel', 'mantap']</t>
  </si>
  <si>
    <t>['mkasih', 'suka', 'aplikaai', 'telkomsel']</t>
  </si>
  <si>
    <t>['membantu', 'sinyal', 'telkom', 'tolong', 'perbaiki']</t>
  </si>
  <si>
    <t>['tingkatkan', 'kualitasnya', 'tingkatkan']</t>
  </si>
  <si>
    <t>['reaksi', 'cepat', 'darurat']</t>
  </si>
  <si>
    <t>['harga', 'kuota', 'mahal']</t>
  </si>
  <si>
    <t>['beli', 'paket', 'internet', 'mahal', 'mahal', 'internetnya', 'lancar', 'banget', 'saking', 'lancar', 'sampe', 'pingin', 'banting', '']</t>
  </si>
  <si>
    <t>['promo', 'iklan', 'siknalnya', 'buruk', 'nelfon', 'sblumnya', 'lgi', 'internet']</t>
  </si>
  <si>
    <t>['tingkatkan', 'perbaikan', 'jaringan']</t>
  </si>
  <si>
    <t>['semoga', 'parah', 'nge', 'lag', 'kasih', '']</t>
  </si>
  <si>
    <t>['kenyamanan', 'pemakaian']</t>
  </si>
  <si>
    <t>['daerah', 'sinyal', 'telkomsel', 'slalu', 'lag', 'buka', 'sosmed', 'game', 'slalu', 'lag']</t>
  </si>
  <si>
    <t>['ngk', 'knp', 'update', 'susah', 'dipake', 'beli', 'paket', 'aplikasi', 'dibilang', 'gangguan', 'system', 'coba', 'bbrp', 'menit', 'cepek', '']</t>
  </si>
  <si>
    <t>['ampun', 'diperbarui', 'klik', 'diperbarui', 'buka', 'tumbolnya', 'tetep', 'diperbarui', '']</t>
  </si>
  <si>
    <t>['senang']</t>
  </si>
  <si>
    <t>['mempermudah', 'aktifasi', 'data', 'mantap', '']</t>
  </si>
  <si>
    <t>['aplikasi', 'bagus', 'pertahankan', 'kualitas', 'min', '']</t>
  </si>
  <si>
    <t>['aplikasi', 'isi', 'pulsa', 'nyambung', 'gopay']</t>
  </si>
  <si>
    <t>['pulsa', 'sedot', 'udah', 'paketan', 'suka', 'nyedot', 'hadeh']</t>
  </si>
  <si>
    <t>['setia', 'pelanggan', 'telkomsel', 'pelanggan', 'setia', 'poin', 'tukar', 'poin', 'respon', 'hadiah', 'kuota', 'telkomsel', 'kebohongan', 'nyata', '']</t>
  </si>
  <si>
    <t>['jaringan', 'skrg', 'lelet']</t>
  </si>
  <si>
    <t>['jaringan', 'koq', 'hancur', 'mati', 'listrik', 'jaringan', 'internet', 'offline', 'khususny', 'daerah', 'marelan', 'terjun', 'beli', 'ups', 'gimana', 'mahal', 'kualitas', 'bobrok', '']</t>
  </si>
  <si>
    <t>['hadiah', 'menarik', 'suka', 'banget']</t>
  </si>
  <si>
    <t>['coba', 'bagus', 'diterusin', 'knp', 'paket', 'data', 'gb', 'dibeli', 'digerai', 'telkomsel', 'apl', '']</t>
  </si>
  <si>
    <t>['bagus', 'bangat', 'aplikasi']</t>
  </si>
  <si>
    <t>['memudahkan', 'memakai', 'belanja', 'paket', 'telkomsel']</t>
  </si>
  <si>
    <t>['bagus', 'tpi', 'kesini', 'kesini', 'harganya', 'melambung', 'banget', 'dapet', 'kuota', 'sebanding', 'harga']</t>
  </si>
  <si>
    <t>['mntap', 'jaya', 'telkomsel']</t>
  </si>
  <si>
    <t>['', 'karna']</t>
  </si>
  <si>
    <t>['buruk', 'bngst', 'bngt', 'ngisi', 'pulsa', 'udah', 'ksedot', 'mending', 'perbaikin', 'deh', 'apk', 'bner']</t>
  </si>
  <si>
    <t>['senyal', 'tolong', 'perbaiki']</t>
  </si>
  <si>
    <t>['tetaplah', 'jaringan', 'super', 'stabil', '']</t>
  </si>
  <si>
    <t>['kesini', 'mahal', 'internet', 'tsel']</t>
  </si>
  <si>
    <t>['ancur', 'menu', 'pembelian', 'kuora', 'dikit', '']</t>
  </si>
  <si>
    <t>['isi', 'pulsa', 'pagi', 'masuk', '']</t>
  </si>
  <si>
    <t>['paket', 'mahal', 'sinyal', 'buruk', 'sms', 'masuk', 'provider', 'noob', '']</t>
  </si>
  <si>
    <t>['kasih', 'paketanplis']</t>
  </si>
  <si>
    <t>['bonusanya']</t>
  </si>
  <si>
    <t>['tolong', 'jaringan', 'perbaiki', 'sinyal', 'ful', 'paketan']</t>
  </si>
  <si>
    <t>['membantu', 'btw', 'gua', 'cerita', 'nii', 'kuota', 'telkomsel', 'bett', 'murah', 'bet', 'anjirrrr', 'rebu', 'rupiah', 'keren', 'siii', 'wkwkw']</t>
  </si>
  <si>
    <t>['', 'solusi', 'buang', 'chat', 'whatsapp', 'aplikasi', 'belom', 'udh', 'makasih', 'udh', 'rugi', 'saldo', 'rugi', 'suruh', 'nambah', 'harga', 'normal', 'tahunan', 'nyangka', 'ngecewain', 'terima', 'kasih', 'semoga', 'kedepanya']</t>
  </si>
  <si>
    <t>['sngat', 'menyukai', 'aplikasi']</t>
  </si>
  <si>
    <t>['oprator', 'udah', 'bayar', 'paket', 'darurat', 'pas', 'ngisi', 'ambil']</t>
  </si>
  <si>
    <t>['tolong', 'donk', 'mba', 'nga', 'beli', 'paket', 'telkomsel', 'beli', 'paket', 'aplikasi', 'telkomsel', 'nga', 'hapus', 'aplikasi', 'karenakan', 'nga', 'beli', 'paket', 'internet', 'truss', 'downlod', 'ehh', 'ternya', 'nga', 'jaringan', 'eror', 'eror', 'nenek', 'moyang', 'luuu']</t>
  </si>
  <si>
    <t>['bagus', 'semoga', 'reward']</t>
  </si>
  <si>
    <t>['mohon', 'maximalkan', 'perluas', 'sistem', 'jaringannya', 'stabil']</t>
  </si>
  <si>
    <t>['boros', 'mahal', 'nggak', 'cocok', 'driver', 'ojol', 'nggak', 'memanfaatkan', 'fitur', 'nonton', 'film', 'streaming', 'dsb', 'pakai', 'kuota', 'terima', 'orderan', 'ojol', 'imho', '']</t>
  </si>
  <si>
    <t>['kanpa', 'yaa', 'stiap', 'notifikasi', 'dri', 'telkomsel', 'pas', 'dklik', 'promo', 'tdak', 'temukan', 'knpa', 'stlah', 'updte', 'jdi', 'kya', 'gni']</t>
  </si>
  <si>
    <t>['telkomsel', 'skarng', 'kyk', 'leg', 'trus']</t>
  </si>
  <si>
    <t>['tgl', 'november', 'gue', 'dapet', 'kejutan', 'extra', 'kuota', 'gb', 'menukarkan', 'poin', 'gabisa', 'kepake', 'ampas', 'kali', 'telkomsel', 'paket', 'utama', 'gue', 'kesedot', 'sayang', 'banget', 'gb', 'gabisa', 'diapa', 'in', 'njir', 'gue', 'complain', 'kuota', 'nonton', 'dulunya', 'unlimited', 'kesedotnya', 'disedot', 'duluan', 'kuota', 'utamanya', 'bareng']</t>
  </si>
  <si>
    <t>['gokil', 'bugnya']</t>
  </si>
  <si>
    <t>['susah', 'banget', 'isi', 'ulang', 'paket', 'data', 'aplikasi', 'mytelkomsel', 'error']</t>
  </si>
  <si>
    <t>['jaringan', 'data', 'telkom', 'menyebalkan', 'fasilitas', 'bagus', 'putus', 'kecewa', 'berat', 'tagihan', 'rajin', 'menagih', 'giliran', 'jaringan', 'kunjung', 'perbaiki']</t>
  </si>
  <si>
    <t>['sinyal', 'visa', 'internetan']</t>
  </si>
  <si>
    <t>['aplikasi', 'dibuka', 'mulu', 'cek', 'kuota', 'mesti', 'hapus', 'pasang', 'capekkk', 'tlg', 'solusinya', 'naff', 'bintangnya', 'kurangin', 'nemu', 'solusinya']</t>
  </si>
  <si>
    <t>['mudah', 'komunikasi', 'transaksi', 'hati', 'hati']</t>
  </si>
  <si>
    <t>['kerenn', 'praktis', 'lbih', 'mudah']</t>
  </si>
  <si>
    <t>['sampah', 'paketan', 'mahal', 'sinyalnya', 'ngos', 'ngosan', '']</t>
  </si>
  <si>
    <t>['mohon', 'dibenahi', 'aplikasi', 'diinstal', 'system', 'android', 'telkomsel', 'diinstal', 'telkomsel']</t>
  </si>
  <si>
    <t>['hai', 'admin', 'simpati', 'saran', 'jual', 'telkom', 'karna', 'siyal', 'internet', 'telkom', 'bermutu', 'mari', 'buktikan', 'kecepatan', 'siyal', 'internet', 'axis', 'joz', 'siyal', 'internet', 'pengguna', 'telkomsel', 'mengeluh', 'mengadu', 'buruk', 'dengar', 'berusaha', 'terbaik', 'pengguna', '']</t>
  </si>
  <si>
    <t>['sinyak', 'stabil', 'buruk']</t>
  </si>
  <si>
    <t>['pemberitahuan', 'paket', 'internet', 'habis', 'pulsa', 'udah', 'habis', 'emosi', '']</t>
  </si>
  <si>
    <t>['beli', 'telkomsel', 'sinyal', 'jelek']</t>
  </si>
  <si>
    <t>['hey', 'telkomsel', 'pulsa', 'kepotong', 'pdahal', 'kuota', 'kaget', 'muncul', 'notif', 'pulsa', 'kepake', 'non', 'paket', 'kaget', 'liat', 'sisa', 'pulsanya', 'hedeh', 'kyk', 'provider', 'potong', 'pulsa', 'internet', 'pke', 'tri', 'makan', 'duit', 'haram', 'pke', 'kebijakan', 'nipu', '']</t>
  </si>
  <si>
    <t>['bermanfaat', 'kemudahan', 'hadiah', 'menarik', '']</t>
  </si>
  <si>
    <t>['telkomsel', 'stelah', 'ganguan', 'kabel', 'laut', 'sinya', 'desa', 'lemot', 'karuan', 'aneh', 'nyata', 'harga', 'kuota', 'sesuai', 'ama', 'kecepatan', 'internet', 'lemott', 'memakai', 'telkomsel', 'tpi', 'perbaikan', 'jaringan', 'internet', '']</t>
  </si>
  <si>
    <t>['bagusss', 'jaringan', 'sampe', 'kuota', 'abisss']</t>
  </si>
  <si>
    <t>['tolong', 'jaringannya', 'lelet', 'udh', 'mahal', 'yakali', 'harga', 'gada', 'kualitas', '']</t>
  </si>
  <si>
    <t>['mengeluh', 'jaringan', 'telkomsel', 'payah', 'mengeluh', 'seminggu', 'jaringan', 'telkomsel', 'payah', 'main', 'game', 'langsung', 'pindah', '']</t>
  </si>
  <si>
    <t>['sinyal', 'buruk', 'paket', 'mahal']</t>
  </si>
  <si>
    <t>['telkomsel', 'pelosok', 'sinyal', 'bagus']</t>
  </si>
  <si>
    <t>['suka', 'sukanya', 'ganti', 'harga', 'konsisten']</t>
  </si>
  <si>
    <t>['min', 'knp', 'nukar', 'point', 'tulisannya', 'sistem', 'sibuk', 'menukarkan', 'voucher', 'nuker', 'vouchernya', 'tolong', 'perbaiki', 'usaha', 'milik', 'negara', 'kek', 'gini', 'paketan', 'harga', 'penjabat', 'emang', 'dikasih', 'subsidi', 'min', 'poin', 'telkom', 'kayak', 'gitu', 'lohh', 'sekalinya', 'berguna', 'muncul', 'tulisan', 'sistem', 'sibuk', 'sibuk', 'knp', 'emangnya', 'min', 'retas', 'hengker', 'kah', 'atauu', 'pembagian', 'bansos', 'kantor', 'telkomnya', 'kali']</t>
  </si>
  <si>
    <t>['telkomsel', 'suek', 'ngutang', 'pas', 'beli', 'pulsa', 'ditarik', 'gimana']</t>
  </si>
  <si>
    <t>['telkomsel', 'parah', 'inetnya', 'leelet']</t>
  </si>
  <si>
    <t>['awet', 'signal', 'promosinya', 'top', 'markotop', 'kenyataan', 'signla', 'malu', 'opertor']</t>
  </si>
  <si>
    <t>['aplikasi', 'napa', 'log', 'susah', 'udah', 'klik', 'berkali', 'kirim', 'tautan', 'sms', 'kirim', 'kirim', '']</t>
  </si>
  <si>
    <t>['buruk', 'parah', 'sinyal', 'hilang', 'pengguna', 'telkomsel', 'menyesal']</t>
  </si>
  <si>
    <t>['aniing', 'telkomsel', 'suka', 'ilang', 'sinyalnya', 'dikarawang', 'kota']</t>
  </si>
  <si>
    <t>['paketan', 'internet', 'mahal', 'sinyal', 'jelek', 'pdhl', 'bkn', 'pelosok', 'sinyal', 'bener', 'gaada', '']</t>
  </si>
  <si>
    <t>['jaringan', 'telkom', 'udah', 'isi', 'kouta', 'ngelek', 'jaringannya', 'kuota', 'beraktivitas', 'belajar', 'online', 'main', 'game', 'buka', 'youtube', 'buka', 'tiktok', 'dll', 'tolong', 'telkom', 'perbaiki', 'sinyal', 'terganggu', 'sinyalnya', 'susah', 'banget', 'mohon', 'perbaiki', 'anjg', '']</t>
  </si>
  <si>
    <t>['mahalnya']</t>
  </si>
  <si>
    <t>['aplikasi', 'telkomsel', 'mudah', 'akses']</t>
  </si>
  <si>
    <t>['suka', 'ilang', 'sinyal']</t>
  </si>
  <si>
    <t>['bagus', 'area', '']</t>
  </si>
  <si>
    <t>['unlimited', 'kesni', 'mahal', 'dikit']</t>
  </si>
  <si>
    <t>['ayo', 'telkomsel', 'perbaikin', 'wlpun', 'kuota', 'internet', 'habis', 'plsa', 'utuh', 'telkomsel', 'ngga', 'kuota', 'habis', 'makan', 'plsa', 'langsung', 'sikat', 'habis', 'tlonglah', 'pelangganmu', 'puluhan', 'thun', 'iya', 'bgini', 'trus', '']</t>
  </si>
  <si>
    <t>['bagus', 'mempergambang', 'pengguna']</t>
  </si>
  <si>
    <t>['prosesnya', 'cepat', '']</t>
  </si>
  <si>
    <t>['lelet', 'beli', 'paketan', 'internet']</t>
  </si>
  <si>
    <t>['', 'perbaiki', 'dlu', 'sinyalmu', 'serasa', 'harga', 'paket', 'mahal', 'sinyal', 'lemmot', 'kayak', 'siput', 'sesuai', 'harga', 'harga', 'paket', 'aneh', 'kmren', 'ribu', 'ribu', 'dimana', 'jual', 'pulsa', 'ribu', 'dipaksa', 'beli', 'pulsa', 'ribu', 'lintah', 'darat', '']</t>
  </si>
  <si>
    <t>['tambahin', 'menu', 'isi', 'voucher', 'pakai', 'aplikasi', 'via', 'dial', 'gangguan', 'operator', 'maju', 'dikit', 'ngapa', '']</t>
  </si>
  <si>
    <t>['ajangan', 'mahal', 'napa']</t>
  </si>
  <si>
    <t>['mahal', 'paketannya']</t>
  </si>
  <si>
    <t>['tolong', 'sistem', 'poinnya', 'masak', 'sisitem', 'poin', 'undian', 'hadiah', 'masak', 'klaim']</t>
  </si>
  <si>
    <t>['mencoba', '']</t>
  </si>
  <si>
    <t>['', 'perbaiki', 'habis', 'update', 'langsung', 'white', 'screen', 'trus', 'beli', 'paket', 'transaksi', 'berhasil', 'tpi', 'paket', 'masuk', 'masuk', 'pulsa', 'potong', 'perbaiki', 'telkomsel']</t>
  </si>
  <si>
    <t>['muncul', 'panduan', 'beli', 'pulsa', 'paket', 'paket', 'puluhan', 'pelanggan', 'terganggu', 'konten', 'konten', 'nyelonong', 'clik', '']</t>
  </si>
  <si>
    <t>['kadang', 'suka', 'proses', 'beli', 'paket', 'internet', '']</t>
  </si>
  <si>
    <t>['isi', 'pulsa', 'langsung', 'ditarik', 'nominal', 'notif', 'pengembalian', 'paket', 'meminjam', 'paket', 'tsb', 'haedehhhhh', '']</t>
  </si>
  <si>
    <t>['telkomsel', 'aap', 'belinya', 'ditelkomsel', 'telkomsel', 'best']</t>
  </si>
  <si>
    <t>['mantap', 'untk', 'beli', 'data', 'pket', 'murah']</t>
  </si>
  <si>
    <t>['sinyal', 'lenyap', 'area', 'kecitran', 'klampok', 'banjarnegara', 'khusus', 'utara', 'pasar', 'bilungan', '']</t>
  </si>
  <si>
    <t>['telkomsel', 'lemot', 'knp', 'pedahal', 'dlu', 'lancar', 'main', 'game', 'ngelag', 'mengganggu', 'tolong', 'diperbaiki', 'secepatnya', 'ngelag', 'tros', 'telkom']</t>
  </si>
  <si>
    <t>['maaf', 'ksih', 'bintng', 'kendala', 'pas', 'isi', 'pulsa', 'beli', 'diapk', 'tsel', 'masuk', 'udh', 'bayar', 'pulsa', 'berkurang', 'payah', 'tolong', 'diperbaiki', '']</t>
  </si>
  <si>
    <t>['telkomsel', 'udh', 'mode', 'pesawat', 'kesedot', 'mulu', 'berkali', 'kali', 'knp', 'nyedot', 'nyalain', 'data']</t>
  </si>
  <si>
    <t>['jaringan', 'error', 'lemot', 'mahal']</t>
  </si>
  <si>
    <t>['tolong', 'sinyal', 'daerah', 'kaligelang', 'taman', 'pemalang', 'jawa', 'diperbaiki', 'sinyal', 'kadang', 'tpi', 'browsing', '']</t>
  </si>
  <si>
    <t>['ngapa', 'login', 'kelewat', 'sehari', 'aza', 'poin', 'hangus', 'claim', 'reward', 'donk', 'zahara', 'masak', 'berpindah', 'kartu', 'sebelah', 'sihhh', '']</t>
  </si>
  <si>
    <t>['hmm', 'suka', 'liat', 'narimo', 'eng', 'phandum', 'mawon', '']</t>
  </si>
  <si>
    <t>['keamanan', 'aplikasinya', 'parah', 'penipu', 'log', 'pakai', 'nomor', 'verifikasi', 'masuk', '']</t>
  </si>
  <si>
    <t>['tolong', 'telkomsel', 'harga', 'paket', 'masuk', 'akal', 'kali', 'gb', 'harga', 'rb', 'tolong', 'paket', 'data', 'jadikan', 'bervariasi', 'masaan', 'mulu', '']</t>
  </si>
  <si>
    <t>['terima', 'kasih', 'telkomsel', 'aplikasi', 'membantu']</t>
  </si>
  <si>
    <t>['ulasan', 'bintang', 'ubah', 'telkomsel', 'mematok', 'harga', 'paket', 'data', 'harga', 'selangit', 'iringi', 'kualitas', 'memuaskan', 'kecewa', 'bagus', 'drpd', 'skrng', 'surabaya', 'sinyal', 'full', 'bar', 'mentok', 'bar']</t>
  </si>
  <si>
    <t>['telkomsel', 'sakit', 'sinyal', 'lemot', 'udh']</t>
  </si>
  <si>
    <t>['telkomsel', 'mah', 'gitu', 'system', 'sengaja', 'merugikan', 'konsumennya', 'nomor', 'indonesia', 'hmmm', 'marilah', 'beralih', 'operator', 'menghiraukan', 'komplain', 'sengaja', 'pemilik', 'sahamnya', 'mengeruk', 'duit', 'masyarakat', 'kelas', 'menengah', 'pengguna', 'jasa', '']</t>
  </si>
  <si>
    <t>['jaringanny', 'mkin', 'lemot', '']</t>
  </si>
  <si>
    <t>['aplikasinya', 'suka', 'nge', 'bug', '']</t>
  </si>
  <si>
    <t>['top', 'mantap', 'pelayan', 'telkomsel']</t>
  </si>
  <si>
    <t>['unistal', 'klau', 'buka', 'lelet', 'saldo', 'plsa', 'trkadang', 'pelan', 'plan', 'menyusut', 'hilang', 'daily', 'kcau', 'poin', 'plsa', 'jdi', 'ksong', 'hilang', 'pdhal', 'saldo', 'sbaliknya', 'bgitu', 'promo', 'hdiah', 'mggu', 'hoax', 'ngabsin', 'poin', '']</t>
  </si>
  <si>
    <t>['sinyal', 'jelek', 'mahal', 'paket', 'kuota', 'penipuan', 'beli', 'paket', 'combo', 'gb', 'internet', 'gb', 'multi', 'media', 'kuota', 'multimedia', 'gunalan', 'menedot', 'kuota', 'internet', 'gb', 'payah', 'kuoto', 'gb', 'habis', 'kuota', 'multimedia', 'memaki', 'kuota', 'internet', 'beli', 'pokonya', 'payak', 'menuaskan', 'sinyal', 'jelek', 'pelayanan', 'gerai', 'telkom', 'menyebalkan', '']</t>
  </si>
  <si>
    <t>['adain', 'promo', 'usahain', 'paket', 'utama', 'kepake', 'paket', 'promo', 'mah', 'bohong', 'promonya']</t>
  </si>
  <si>
    <t>['paket', 'telkomsel', 'gini', 'siyal', 'jelek', 'banget', 'sampay', 'masuk', 'gem', 'susah', 'main', 'enak', 'siyal', 'ngelek', 'banget']</t>
  </si>
  <si>
    <t>['telkomsel', 'jaringan', 'kyk', 'taik', 'lelet', 'kali', 'woiii', 'nyesel', 'telkom', 'besok', 'ganti', 'tri', 'bagus', 'emat', 'kyk', 'telkom', 'udh', 'mahal', 'lelet']</t>
  </si>
  <si>
    <t>['doamu', 'harapanku']</t>
  </si>
  <si>
    <t>['telkomsel', 'sllu', 'terbaik', 'kelas', 'hnya', 'sayang', 'promo', 'kuota', 'jarang', 'terkadang', 'mahal', 'semoga', 'peninjauan', 'program', 'kuota', 'minimalis', 'harga', 'for', 'all', 'the', 'best', 'qualified']</t>
  </si>
  <si>
    <t>['sinyal', 'lancar', 'lelet', '']</t>
  </si>
  <si>
    <t>['paketan', 'mahal', 'sinyal', 'kek', 'kartu', 'prabayar', 'ribuan']</t>
  </si>
  <si>
    <t>['jng', 'kartu', 'lag', 'nian', 'hilang', 'sinyal', 'org', 'lgi', 'push', 'mmr', '']</t>
  </si>
  <si>
    <t>['kasih', 'bintang', 'knpa', 'telkomsel', 'unlimited', 'kaya', 'buka', 'main', 'game', 'tampa', 'lemot', 'telkom', 'skarang', 'unlimited', 'lemah', 'bngt', 'kaya', 'kartu', 'smoga', 'telkom', 'kaya', 'dlu']</t>
  </si>
  <si>
    <t>['sinyal', 'skrng', 'hilang', 'hilang', 'lemottttt', 'pdhl', 'kerjaan', 'cepat', 'kerja', 'terhambat', 'ktn', 'telkomsel']</t>
  </si>
  <si>
    <t>['sinyalnya', 'ancur', 'malem', 'jelang', 'subuh', 'doang', 'lancarnya', 'udh', 'siang', 'dikit', 'lemot', 'parah', 'berkali', 'kali', 'aktifin', 'mode', 'pesawat', 'tetep', 'perubahan', 'tolong', 'ditingkatkan', 'kualitas', 'sinyalnya', 'khusus', 'wilayah', 'pedesaan', 'konsumen', 'mudah', 'dlm', 'berkomunikasi', 'akses', 'internet', '']</t>
  </si>
  <si>
    <t>['sinyal', 'buruk', 'jelex', 'parah', 'suka', 'putus', 'ngeleg', 'dll', 'udah', 'bangkrut', '']</t>
  </si>
  <si>
    <t>['dipercepat', 'akses', 'aplikasi']</t>
  </si>
  <si>
    <t>['wajib', 'bintang', 'pelayanan', 'buruk', 'provider', 'pastinya', 'telkomsel', 'telkomsel', 'berguna', '']</t>
  </si>
  <si>
    <t>['jaringan', 'telkomsel', 'jancuuuuukkkkkk']</t>
  </si>
  <si>
    <t>['woeee', 'telkom', 'sinyal', 'noh', 'perbaiki', 'sinyal', 'full', 'internetan', 'lelet', 'asw', 'jalan', 'beli', 'mahal', 'layananan', 'memuaskan', 'pembeli', 'picek']</t>
  </si>
  <si>
    <t>['tsel', 'beli', 'pket', 'mahal', 'knp', 'klw', 'paket', 'data', 'multimedia', 'lemot', 'pket', 'utuh', 'provider', 'pling', 'mahal', 'indonesia', 'pdahal', 'pelayan', 'buruk', 'tolong', 'harga', 'sesui', 'kualitas', 'klw', 'harga', 'mahal', 'kualits', 'buruk', '']</t>
  </si>
  <si>
    <t>['lemot', 'pas', 'dibuka']</t>
  </si>
  <si>
    <t>['membantu', 'terima', 'kasi']</t>
  </si>
  <si>
    <t>['mantap', 'lancar', 'jaya']</t>
  </si>
  <si>
    <t>['halaman', 'muncul', 'aplikasi', 'bagus']</t>
  </si>
  <si>
    <t>['bener', 'undiannya']</t>
  </si>
  <si>
    <t>['jaringan', 'telkomsel', 'stabil', 'jaringan', 'datanya', 'pengguna', 'kecewa', 'maaf', 'bintang', '']</t>
  </si>
  <si>
    <t>['aplikasi', 'super', 'berat', 'lelet', 'diluar', 'kuota', 'reguler', '']</t>
  </si>
  <si>
    <t>['jaya', 'telkomsel']</t>
  </si>
  <si>
    <t>['masuk', 'telkomsel', 'sinyal', 'down', 'sinyal', 'stabil']</t>
  </si>
  <si>
    <t>['membantu', 'mempermudah', 'akses', 'pengecekan']</t>
  </si>
  <si>
    <t>['setia', 'untukmu']</t>
  </si>
  <si>
    <t>['pokoknya', 'puas', 'banget']</t>
  </si>
  <si>
    <t>['', 'apk', 'sngt', 'bagus']</t>
  </si>
  <si>
    <t>['butuh', 'paket', 'nelpon', 'murah']</t>
  </si>
  <si>
    <t>['sanggat', 'pungsi', 'daper', 'kuota', 'ngratis', 'telkomsel']</t>
  </si>
  <si>
    <t>['', 'puas', 'layanannya', 'tolong', 'jaringannya', 'desa', 'diperkuat', 'puas', 'aplikasinya', 'terbantu', 'terima', 'kasih', '']</t>
  </si>
  <si>
    <t>['ngk', 'undian', 'hadiah', 'tukar', 'poin', 'beli', 'pulsa', 'lumayan', '']</t>
  </si>
  <si>
    <t>['semenjak', 'update', 'telkomsel', 'leletnya', 'ampun']</t>
  </si>
  <si>
    <t>['gem', 'keren', 'banget']</t>
  </si>
  <si>
    <t>['simpati', 'pokonya', 'bagus', 'ganti', '']</t>
  </si>
  <si>
    <t>['bintang', 'sukses', 'telkomsel']</t>
  </si>
  <si>
    <t>['jaringanya', 'kenceng', 'deh', 'triming']</t>
  </si>
  <si>
    <t>['apk', 'mantapp']</t>
  </si>
  <si>
    <t>['tolong', 'main', 'sinyalnya', 'suka', 'merah', 'udah', 'report', 'tolong', 'diperbaiki', 'pengguna', 'telkomsel', 'nyaman', 'bermain', 'game']</t>
  </si>
  <si>
    <t>['tolong', 'sinyalnya', 'perkuat', 'daerah', 'pisangan', 'sinyalnya', 'lemah', 'hujan', 'ilang', 'sinyal', 'datanye', 'terima', 'kasih', 'sblmnye', '']</t>
  </si>
  <si>
    <t>['kecewa', 'jaringan', 'telkomsel', 'jaringannya', 'suka', 'lemot', '']</t>
  </si>
  <si>
    <t>['mantap', 'murah']</t>
  </si>
  <si>
    <t>['aplikasi', 'cek', 'pulsa', 'kuota', 'internet', 'berat']</t>
  </si>
  <si>
    <t>['poin', 'dtukar', '']</t>
  </si>
  <si>
    <t>['maaf', 'turunin', 'bintangnya', 'sinyal', 'telkomsel', 'kacau', 'udh', 'bela', 'in', 'beli', 'paket', 'telkomsel', 'tdnya', 'beli', 'smartfren', 'kacau', 'sinyalnya', 'kacaaaauuu', '']</t>
  </si>
  <si>
    <t>['okelah', 'beli', 'mohon', 'cepat', 'boros']</t>
  </si>
  <si>
    <t>['suka', 'banget', 'aplikasi', 'tukar', 'poin', 'dpt', 'internet', 'gartissssssss']</t>
  </si>
  <si>
    <t>['maaf', 'komplen', 'skarng', 'telkom', 'suka', 'utang', 'pulsa', 'darurat', 'mnta', 'utangan', 'mnta', 'sngat', 'merugikan', 'trrjadi', 'mohon', 'penjelasan', '']</t>
  </si>
  <si>
    <t>['pertema', 'pegang', 'udah', 'telkomsel', 'kluarga', 'telkomsel', 'karna', 'kualitas', 'sunyal', 'bagusb', 'sinyalnya', 'jelek', 'bangettttttttttttttt', 'tolong', 'perbaiki', 'dahhhhh']</t>
  </si>
  <si>
    <t>['beli', 'paket', 'zoom', 'aktif', 'duapuluh', 'konfirmasi', 'grapari', 'perubahan', '']</t>
  </si>
  <si>
    <t>['dlu', 'haduh', 'harga', 'paket', 'data', 'jaringan', 'bukanya', 'bagus', 'kadang', 'signal', 'tolong', 'perbaiki', 'pembaharuan', 'harga', '']</t>
  </si>
  <si>
    <t>['mantap', 'kuota', 'harinya', 'ngebantu', 'banget', 'makasih', 'mytelkomsel', '']</t>
  </si>
  <si>
    <t>['bagus', 'syng', 'isi', 'klu', 'habis', 'data', 'buka', 'telkomsel']</t>
  </si>
  <si>
    <t>['perbanyak', 'paket', 'data', 'merakyat']</t>
  </si>
  <si>
    <t>['pengguna', 'telkomsel', 'setia', 'telkomsel', 'ngerasa', 'udh', 'cocok', 'tinggal', 'rayakan', 'aniversary', 'telkomsel', 'atw', 'gitu', 'hadiah', 'menarik', 'telkomsel', '']</t>
  </si>
  <si>
    <t>['gua', 'beli', 'pulsa', 'saldo', 'gopay', 'gua', 'potong', 'masuk', 'udah']</t>
  </si>
  <si>
    <t>['bagus', 'membatu']</t>
  </si>
  <si>
    <t>['lumayan', 'bagus', 'sayangnya', 'paketnya', 'mahal', 'jaringannya', 'bermasalah']</t>
  </si>
  <si>
    <t>['blank', 'menit', 'buka', 'appnya', 'item', 'trus', 'dipencet', '']</t>
  </si>
  <si>
    <t>['paket', 'data', 'murah', 'hilang', 'males']</t>
  </si>
  <si>
    <t>['tingkatkan', 'kualitas']</t>
  </si>
  <si>
    <t>['parah', 'telkomsel', 'pengguna', 'kenyamanan', 'sinyal', 'jelek', 'main', 'game', 'lelet', 'trus', 'udh', 'hbs', 'paket', 'nyedot', 'pulsa', 'dasar', 'parah', 'bnr']</t>
  </si>
  <si>
    <t>['harga', 'paketnya', 'mahal', 'teruss', 'unlimited', 'yagnh', 'bener', 'unlimited', 'banget', 'ribu', 'hbis', 'paket', 'unlimited', 'dikurangin', 'kecepatan', 'maklum', 'gue', 'harganya', 'ribu', 'harga', 'kenape', 'tsel', 'astaghfirullah', '']</t>
  </si>
  <si>
    <t>['mantap', 'paket', 'rb']</t>
  </si>
  <si>
    <t>['pembelian', 'paket', 'aplikasi', 'masuk', '']</t>
  </si>
  <si>
    <t>['install', 'bagus', 'signal', 'full', 'diwilayah', 'jakarta', 'pusat', 'semoga', 'bagus', '']</t>
  </si>
  <si>
    <t>['membantu', 'tolong', 'perbaiki', 'jaringan', 'daerah', 'ntt']</t>
  </si>
  <si>
    <t>['paketnya', 'merata', 'nomor', 'simpati']</t>
  </si>
  <si>
    <t>['aneh', 'telepon', 'dipaksa', 'tutup', 'detik', 'bug', 'kah', 'emang', 'emang', 'mahal', '']</t>
  </si>
  <si>
    <t>['unlimited', 'batasannya', 'dasar', 'provider', 'aneh', 'mata', 'duitan', 'kuota', 'mahal', 'poin', 'nukar', 'kuota', 'dayli', 'harian', 'make', 'pulsa', 'klaim', 'dasar', 'mata', 'duitan', 'gunanya', 'poinnya', 'point', 'make', 'pulsa', 'rating', 'rating', 'aplikasi', 'kebanyakan', 'ngasih', 'bintang', 'rendah', 'hmmm', 'mencurigakan', '']</t>
  </si>
  <si>
    <t>['ngga', 'angin', 'hujan', 'isis', 'pulsa', 'dipotong', 'ngga', 'ambil', 'paket', 'darurat', 'gimana']</t>
  </si>
  <si>
    <t>['gmna', 'beli', 'paket', 'langgana', 'disney', 'masuk', 'disney', 'disuruh', 'bayar', 'berlangganan', '']</t>
  </si>
  <si>
    <t>['aplikasi', 'mantap', 'banget', 'lengkap', 'fitur', 'terbaru', 'excellent']</t>
  </si>
  <si>
    <t>['parah', 'banget', 'jaringannya', 'harga', 'mahal', 'koneksi', 'lambat', 'payah', '']</t>
  </si>
  <si>
    <t>['harga']</t>
  </si>
  <si>
    <t>['buruk', 'stres', 'aje', 'nungguin', 'aplikasi', 'cek', 'kuota', 'mytel', 'udah', 'ngikutin', 'upgrade', 'beli', 'paket', 'gb', 'poin', 'lenyap', 'sinyal', 'error', 'lemot', 'mahal', 'hadeeeuuh', 'burrruuukkk', '']</t>
  </si>
  <si>
    <t>['midah', 'cek', 'paket', 'data', 'pulsanya']</t>
  </si>
  <si>
    <t>['paketan', 'mahal', 'kartuku', 'orang', 'mah', 'murah', '']</t>
  </si>
  <si>
    <t>['telkomsel', 'anjjing', 'bkin', 'maen', 'game', 'kalah', 'laaq', 'truussss', 'asssuuuu']</t>
  </si>
  <si>
    <t>['', 'bintang', 'bagus', 'kasi', '']</t>
  </si>
  <si>
    <t>['bnyakin', 'diskon']</t>
  </si>
  <si>
    <t>['bermanfaat', 'wajib', 'dwonload']</t>
  </si>
  <si>
    <t>['paket', 'combo', 'sakti', 'beli', 'paket', 'telp', 'tselk', 'sms', 'hapus', 'karna', 'kepake', 'ganti', 'kuota', 'internetnya', '']</t>
  </si>
  <si>
    <t>['isi', 'paket', 'harga', 'nanggung', 'mengharuskan', 'beli', 'pulsa', 'harga', 'paket', 'beda', 'beda', '']</t>
  </si>
  <si>
    <t>['mantap', 'kale', 'lek', '']</t>
  </si>
  <si>
    <t>['tingkatkan', 'kualitas', 'internet', 'lancar']</t>
  </si>
  <si>
    <t>['', 'disa', 'akses', 'kuota', 'alias', 'kuota', 'habis', 'bin', 'kosong', '']</t>
  </si>
  <si>
    <t>['nggak', 'niat', 'ngasih', 'sinyal', 'jaringan', 'knntl', 'telkomsel', 'annnnnjjjjjjg']</t>
  </si>
  <si>
    <t>['quota', 'gede', 'jaringan', 'tpi', 'knpa', 'susah', 'buka', 'apliksi', 'heran', 'akumah', 'coba']</t>
  </si>
  <si>
    <t>['aplikasi', 'bagus', 'pembelian', 'paket', 'data']</t>
  </si>
  <si>
    <t>['telkomsel', 'paketnya', 'murahin', 'kayak', 'provider', 'haduh', 'mahal', 'banget', 'paketnya', 'sinyal', 'telkomsel', 'doang', 'milik', 'negara', 'murah', 'mahal', 'banget', 'rakyat', '']</t>
  </si>
  <si>
    <t>['redem', 'poin', 'data', 'gb', 'knpa', 'sulit']</t>
  </si>
  <si>
    <t>['harga', 'promo']</t>
  </si>
  <si>
    <t>['internet', 'stabil', 'diperbaiki', 'lancar', 'jaya', 'berdunia', 'maya', '']</t>
  </si>
  <si>
    <t>['websitenya', 'bagus', '']</t>
  </si>
  <si>
    <t>['min', 'tolong', 'tambahkan', 'fitur', 'lock', 'pulsa', 'min', 'data', 'hilang', 'pulsanya', 'chat', 'notif', 'masuk', 'udah', 'cuman', 'min', 'semoga', 'direspon', 'ditindaklanjuti', 'terimakasih']</t>
  </si>
  <si>
    <t>['muda', 'murah']</t>
  </si>
  <si>
    <t>['', 'telkomsel', 'membantu', 'kepuasan', 'pelanggan', '']</t>
  </si>
  <si>
    <t>['paket', 'kuota', 'mahal']</t>
  </si>
  <si>
    <t>['suka', 'prnh', 'kendala', 'sinyal', 'suuka', '']</t>
  </si>
  <si>
    <t>['niarkan', 'bintang', 'berbicara', '']</t>
  </si>
  <si>
    <t>['', 'telkomsel', 'hebat', 'jaringan', 'luas', 'cepat', 'smg', 'telkomsel', 'maju', 'terbaik']</t>
  </si>
  <si>
    <t>['bonus', 'transaksi']</t>
  </si>
  <si>
    <t>['aplikasi', 'data', 'latar', '']</t>
  </si>
  <si>
    <t>['', 'telkomsel', 'menipu', 'pelanggan', 'telkomsel', 'sampe']</t>
  </si>
  <si>
    <t>['', 'telkomsel', 'mantap']</t>
  </si>
  <si>
    <t>['', 'membantu', 'ambil', 'kuotanya']</t>
  </si>
  <si>
    <t>['fungsi', 'poinnya', 'ajig', 'sumpah', 'nukerin', 'paketan', 'pke', 'pulsa', 'gila', 'event', 'poinnya', 'emang', 'bener']</t>
  </si>
  <si>
    <t>['beli', 'paket', 'suka', 'lelet', 'responya', 'cmn', 'skali', 'beli', 'nunggu', 'ampe', 'besok', 'masuk', 'paket', 'jdi', 'hrs', 'spam', 'beli', 'dlu', 'bru', 'lngsng', 'masuk']</t>
  </si>
  <si>
    <t>['mantap', 'mudah']</t>
  </si>
  <si>
    <t>['kecewa', 'layanan', 'telkomsel', 'sehari', 'aktifkan', 'paket', 'booster', 'abis', 'mengikuti', 'paket', 'malam', 'paket', 'bulanan', 'miliki', 'memiliki', 'jangka', 'saran', 'berlaku', '']</t>
  </si>
  <si>
    <t>['kanapa', 'dowload', 'telkomsel', 'kuota', 'mudah', 'pas', 'udah', 'dowload', 'kuota', 'udah', 'restart', 'jaringan', 'udah', 'mati', 'nyalain', 'pas', 'apus', 'lancar']</t>
  </si>
  <si>
    <t>['tsel', 'milik', 'bumn', 'kopatible', 'praktis', 'efektif', 'tpi', 'berbisnis', 'apli', 'konten', 'iming', 'mencari', 'apli', 'konten', 'jual', 'pengguna']</t>
  </si>
  <si>
    <t>['mntp', 'lanjutkan', 'kemajuan', 'nusa', 'bangsa', 'berkarya', 'terussss']</t>
  </si>
  <si>
    <t>['apk', 'sangatnmembantu']</t>
  </si>
  <si>
    <t>['paket', 'mahal', 'sinyal', 'susah', 'banget']</t>
  </si>
  <si>
    <t>['telkomsel', 'intenetan', 'lancar', 'jaringan', 'menghilang', '']</t>
  </si>
  <si>
    <t>['kasih', 'bintang', 'jaringannya', 'kasih', 'bintang', 'paketannya', 'mahal', 'jaringannya', 'bintang', 'tinggal', 'kota', 'pedesaan', 'ngeleg', 'bener', '']</t>
  </si>
  <si>
    <t>['beli', 'paket', 'extra', 'unlimited', 'akses', 'diulasan', 'bebas', 'twiter', 'game', 'kog', 'maksutnya', 'gimana', 'beli', 'duakali', 'tolong', 'diperbaiki', '']</t>
  </si>
  <si>
    <t>['', 'telkomsel', 'masak', 'gangguan', 'sistem', 'ganti', 'kartu']</t>
  </si>
  <si>
    <t>['knp', 'data', 'terkuras', 'penggunaan', 'data', 'skrng', 'penggunaan', 'data', 'ngapa', 'ngapain', 'kgk', 'download', 'apk', 'update', 'game', 'ngambil', 'keuntungan', 'baget', '']</t>
  </si>
  <si>
    <t>['daerah', 'tolong', 'dibenahi', 'ngotak', 'banget', 'sumpah', 'semarang', 'sinyal', 'request', 'time', 'out', 'trus', 'jam', 'nyesel', 'pakai', 'telkomsel', 'kesini', 'sinyal', 'troble', 'trus', 'trus', '']</t>
  </si>
  <si>
    <t>['aplikasinya', 'uda', 'bagus', 'cuman', 'promo', 'kartu', 'tampilkan', 'sekedar', 'masukn', 'nilai', 'aplikasinya', 'kasi', 'bintang', '']</t>
  </si>
  <si>
    <t>['perbanyak', 'promo', 'turunkan', 'harga', 'paket', 'internet', 'sinyal', 'gangguan']</t>
  </si>
  <si>
    <t>['tolong', 'perbaiki', 'jarnganya', 'kecepatan', 'intrnetnya']</t>
  </si>
  <si>
    <t>['pas', 'coba', 'beli', 'muncul', 'notif', 'pulsa', 'mencukupi', 'isi', 'pulsa', 'beli', 'paket', 'muncul', 'notif', 'paket', 'tersedia', 'kecewa', '']</t>
  </si>
  <si>
    <t>['tolong', 'kaga', 'sms', 'ginian', 'bosan', 'menuh', 'memori', 'iklan', 'sampah', 'ginian', 'bonus', 'kuota', 'gb', 'top', 'games', 'duniagames', 'pulsa', 'telkomsel', 'min', 'rb', 'kuy', 'klik', 'tsel', 'dgdr', 'info', 'skb']</t>
  </si>
  <si>
    <t>['kuota', 'hangus', 'jaringan', 'sinyal', 'telkomsel', 'jelek', 'beda', 'operator', 'jelek', 'sinyalnya', 'bagus', 'telkomsel', 'posisi', 'cigugur', 'cimindi', 'cimahi']</t>
  </si>
  <si>
    <t>['bagus', 'terimakasih']</t>
  </si>
  <si>
    <t>['update', 'pilihan', 'beli', 'paket', 'malam', 'payaaah', '']</t>
  </si>
  <si>
    <t>['mahal', 'mahal', 'anyng']</t>
  </si>
  <si>
    <t>['orang', 'beli', 'paket', 'perbulan', 'mintak', 'main', 'game', 'signalnya', 'kadang', 'kuning', 'merah', 'ngk', 'hijau', 'lancar', 'nonton', 'vidio', 'facebook', 'macet', 'macet', 'intinya', 'beli', 'mintak', 'tolonglah', 'perbaiki', 'jaringan', '']</t>
  </si>
  <si>
    <t>['jaringan', 'internet', 'bagus', 'daerah', 'sampang', 'lemot']</t>
  </si>
  <si>
    <t>['aplikasinya', 'baguss', 'sya', 'sukaaa']</t>
  </si>
  <si>
    <t>['kendala', 'recomended']</t>
  </si>
  <si>
    <t>['ditemukan', 'menu', 'beli', 'paket', 'sms', 'sayang', 'telkomsel', 'bantuan', 'jeng', 'vero', 'ning', 'namanya', 'robot', 'mbulet', 'wis', 'grapari', 'berasa', 'hidup', 'aneh', 'gini', 'sms', 'terang', 'sms', 'buktinya', 'instansi', 'resmi', 'pemerintahan', 'mengandalkan', 'sms', '']</t>
  </si>
  <si>
    <t>['paket', 'mahal', 'sehat', 'kantong', 'pelanggan', 'promo', 'paket', 'pelanggan', 'promonya', 'menarik', 'olah', 'pelanggan']</t>
  </si>
  <si>
    <t>['berbagi', 'telkomsel', 'poin', 'terimakasih']</t>
  </si>
  <si>
    <t>['berinovasi']</t>
  </si>
  <si>
    <t>['sinyal', 'telkomsel', 'bagus', 'seneng', 'banget', 'makenya', 'udah', 'make', 'telkomsel', 'ngak', 'ganti', 'cuman', 'buka', 'aplikasi', 'mytelkomsel', 'error', 'dibuka', 'cuman', 'layar', 'putih', 'nunggu', 'bermenit', 'menit', 'tetep', 'ngak', 'dibuka', 'udah', 'hapus', 'data', 'aplikasi', 'tetep', 'error', 'tolong', 'diperbaiki', 'kakak', '']</t>
  </si>
  <si>
    <t>['hemat', 'combo', 'sakti', 'terbantu', '']</t>
  </si>
  <si>
    <t>['memudahkan', 'keperluan', 'pembelian', 'pulsa', 'kuota', 'dll']</t>
  </si>
  <si>
    <t>['mempermudah', 'keperluan', '']</t>
  </si>
  <si>
    <t>['tingkat', 'jaringan', 'tetep', 'top', 'cer', 'sinyal']</t>
  </si>
  <si>
    <t>['knpa', 'paket', 'mahal', '']</t>
  </si>
  <si>
    <t>['telkomsel', 'mantap', 'jaringan', 'kuat', 'berkualitas', 'pokoknya', 'the', 'best', 'like', 'telkomsel']</t>
  </si>
  <si>
    <t>['mudah', 'beli', 'paket', 'data', 'pilihan']</t>
  </si>
  <si>
    <t>['susah', 'konfirmasi', 'pengguna', 'nmor', 'ponsel', 'trdaftar']</t>
  </si>
  <si>
    <t>['mantap', 'sayang', 'paketan', 'gua', 'mahal']</t>
  </si>
  <si>
    <t>['aplikasi', 'cupup', 'menyajikan', 'beragam', 'informasi', 'hadiah', 'hiburan', 'thank', 'you']</t>
  </si>
  <si>
    <t>['telkomsel', 'bener', 'jahatnya', 'ampun', 'pulsa', 'sisa', 'disedot', 'klupaan', 'menit', 'perpanjang', 'pulsa', 'raib', 'moga', 'busung', 'pegawainya']</t>
  </si>
  <si>
    <t>['perbaiki', 'sinyal', 'daerah', 'pengen', 'anteung', 'streaming', 'bola', 'ayolah', 'telkomsel', 'gini', 'gini', 'perubahan', 'drastis', 'mengecewakan', '']</t>
  </si>
  <si>
    <t>['semoga', 'paket', 'murah', 'kedepannya', 'aplikasi', 'bagus', 'membantu']</t>
  </si>
  <si>
    <t>['aplikasinya', 'bagus', 'gampang', 'menggunakannya', 'jaringannya', 'lelet', 'aplikasi', 'membantu', '']</t>
  </si>
  <si>
    <t>['bagus', 'harga', 'standar', 'internet', 'bonus']</t>
  </si>
  <si>
    <t>['', 'keren', 'aplikasinya']</t>
  </si>
  <si>
    <t>['baguss']</t>
  </si>
  <si>
    <t>['kecepatan', 'jaringan', 'standar', 'harga', 'paketan', 'internet', 'mahal', 'sungguh', 'ironis', 'berbanding', 'terbalik', 'operator', 'sebelah', 'murah', 'bagus', 'jempol', 'terbalik', 'telkomsel', 'udah', 'gitu', 'paketan', 'internet', 'habis', 'langsung', 'nyolong', 'pulsa', 'orang', 'habis', 'pemberitahuan', 'bedanya', 'maling', 'sungguh', 'ironis', 'malu', 'operator', 'sopan', 'beradab', '']</t>
  </si>
  <si>
    <t>['terimakasih', 'app', 'telkomsel', 'thn', 'berlangganan', 'telkomsel', 'membantu', 'harga', 'paket', 'naikin', 'jaringan', 'lelet', '']</t>
  </si>
  <si>
    <t>['mahal', 'bet', 'paketan', 'dapet', '']</t>
  </si>
  <si>
    <t>['paket', 'murah', '']</t>
  </si>
  <si>
    <t>['membantu', 'terima', 'kasih', 'telkomsel', '']</t>
  </si>
  <si>
    <t>['promo', 'berkah']</t>
  </si>
  <si>
    <t>['membantu', 'paket', 'menjangkau', 'kalangan', 'menengah', 'kebawah']</t>
  </si>
  <si>
    <t>['setahun', 'telkomsel', 'ngerasain', 'kecewa', 'kuota', 'pulsa', 'kemakan', 'aktivin', 'data', 'menit', 'doang', 'ngapa', 'langsung', 'kesedot', 'rb', 'kuota', 'ilmupedia', 'kesedot', 'pulsa', 'total', 'rb', 'pulsa', 'kesedot', 'kecewa', 'banget', 'penilaian', 'minus', 'kasih', 'rb', 'gede', 'ayolah', 'tambahin', 'fitur', 'kunci', 'pulsa', '']</t>
  </si>
  <si>
    <t>['cepat', 'terbaik']</t>
  </si>
  <si>
    <t>['kacau', 'telkomsel', 'sinyal', 'hilang', 'tinggal', 'medan', 'pelosok', 'kali', 'harga', 'paket', 'mahal', 'banding', 'operator', 'bagus', 'kacau', 'kecewa', 'coyy']</t>
  </si>
  <si>
    <t>['harganya', 'teruuuussss', 'kwalitas', 'jaringan', 'turun', 'teruuuusss', 'kedepan', 'sampe', 'provider', 'masuk', 'daerah', 'telkomsel', 'gini', 'jelek', 'pastikan', 'ganti', 'provider', 'nyekek', 'leher']</t>
  </si>
  <si>
    <t>['telkomsel', 'terdepan', 'maju', 'terpercaya']</t>
  </si>
  <si>
    <t>['alhamdulilah', '']</t>
  </si>
  <si>
    <t>['telkom', 'daerah', 'garut', 'layanan', 'cuman', 'kemana', 'wikwikwik', 'dapet', 'hadiah', 'layanan', 'awokawok']</t>
  </si>
  <si>
    <t>['', 'instal', 'android', 'parah', 'telkomsel']</t>
  </si>
  <si>
    <t>['malam', 'jaringan', 'telkomsel', 'gangguan', 'beli', 'paket', 'mahal', 'jaringan', 'buffering', 'telkomsel', '']</t>
  </si>
  <si>
    <t>['cepet', 'habisnya', 'kuota', 'masak', 'sebulan', 'blm', 'gb']</t>
  </si>
  <si>
    <t>['kesini', 'jaringannya', 'stabil']</t>
  </si>
  <si>
    <t>['kecewa', 'hadiah', 'undian', 'berhadiah', 'hepi', '']</t>
  </si>
  <si>
    <t>['aplikasinya', 'jelek', 'boong']</t>
  </si>
  <si>
    <t>['telkomsel', 'sinyal', 'sesui', 'harga', 'paketannya', '']</t>
  </si>
  <si>
    <t>['semenjak', 'pakek', 'apk', 'kadi', 'konter']</t>
  </si>
  <si>
    <t>['tolong', 'perbaiki', 'bugnya', 'membeli', 'paket', 'konfirmasi', 'terbeli', 'pulsa', 'saldo', 'terpotong', 'paketan', 'terbeli', 'tolong', 'perbaiki', 'kenyamanan', 'berama']</t>
  </si>
  <si>
    <t>['tsel', 'malu', 'provider', 'kalah', 'provider', 'swasta', 'makan', 'gaji', 'buta', 'sinyal', 'internet', 'parah', 'udh', 'kota', 'gmn', 'maju', 'negri', 'bumn', 'layanan', 'buruk', '']</t>
  </si>
  <si>
    <t>['paket', 'date', 'promo', 'gb', 'skrng', 'kasih', 'bintang', 'ajaa']</t>
  </si>
  <si>
    <t>['paham', 'telkomsel']</t>
  </si>
  <si>
    <t>['tolonglah', 'diperbaiki', 'sinyal', 'telkomsel', 'daerah', 'kecewa', 'dsni', 'paket', 'data', 'telkomsel', 'murah', 'loo', 'pelayanan', 'sinyal', 'buruk', '']</t>
  </si>
  <si>
    <t>['jaringan', 'jelek', 'banget', 'males', 'beli', 'paket', 'data', '']</t>
  </si>
  <si>
    <t>['apk', 'lemot', 'mna', 'hrus', 'uprage', 'trus', 'hrus', 'buka', 'pas', 'ofline', 'donk', 'bsa', 'beli', 'pas', 'pulsa', 'pas', 'pasan']</t>
  </si>
  <si>
    <t>['app', 'ilang', 'nggak', 'install', 'android', 'paket', 'internet', 'lumayan', 'mahal', 'cabangnya', 'kek', 'jalan', 'perkotaan', 'murah', 'woyy']</t>
  </si>
  <si>
    <t>['beraaaat', 'aplikasinya', 'hidup', 'berat', '']</t>
  </si>
  <si>
    <t>['oke', 'mantap', 'bagus']</t>
  </si>
  <si>
    <t>['semoga', 'paketnya', 'murah']</t>
  </si>
  <si>
    <t>['respon', 'kek', 'udah', 'gitu', 'sinyal', 'sebagus']</t>
  </si>
  <si>
    <t>['mangkin', 'mangkin', 'parah', 'jaringan', 'pindah', 'jaringan', 'sebelah', '']</t>
  </si>
  <si>
    <t>['bangus', 'ivent', 'pulsa', 'gratis', '']</t>
  </si>
  <si>
    <t>['sinyal', 'parah', 'didaerah', 'garut', 'selatan', 'mohon', 'diperbaiki', 'jaringan', 'trimakasih', '']</t>
  </si>
  <si>
    <t>['detik', 'tgl', 'nov', 'jam', 'sinyal', 'hilanng', 'kemana', 'maksudnya', 'sumpah', 'burik', 'banget', 'layannan', 'loe']</t>
  </si>
  <si>
    <t>['tolonglah', 'diperhatikan', 'jaringan', 'internet', 'ntt', 'paketan', 'uda', 'mahal', 'pelayanannya', 'jelek', 'youtube', 'buffering', 'parah', 'main', 'game', 'pingnya', 'merah', 'hancurrrrr']</t>
  </si>
  <si>
    <t>['paketan', 'doang', 'mahal', 'jaringan', 'siput', 'wajib', 'diperbaiki', 'sinyal', 'naikin', 'harga', 'paketan', 'naikin', 'kualitas', 'jaringan', 'telkomsel', 'nggak', 'kaya', 'telkomsel']</t>
  </si>
  <si>
    <t>['jaringan', 'terbaik', 'indonesia', 'buka', 'aplikasinya', 'beli', 'paket', 'loadingnya', 'kelar', 'skrg', 'sinyal', 'suka', 'hilang', 'ckckckck', 'provider', 'kah', '']</t>
  </si>
  <si>
    <t>['beli', 'paket', 'gb', 'harga', 'rupiah', 'bahagia', 'deh', 'telkomsel', 'makasih']</t>
  </si>
  <si>
    <t>['telkomsel', 'mantapp', 'pokoknya']</t>
  </si>
  <si>
    <t>['sinyalnya', 'jelek', 'kaliii']</t>
  </si>
  <si>
    <t>['kesini', 'jaringan', 'telkomsel', 'buruk', 'beli', 'kuota', 'mahallll', 'jaringan', 'mirisssssss', 'kuota', 'mahalin', 'jaringan', 'benerin', '']</t>
  </si>
  <si>
    <t>['mengecewakan', 'telkom', 'berbeda', 'sinyal', 'hilang', 'lemot', 'pelayanan', 'burukkkk', '']</t>
  </si>
  <si>
    <t>['mantap', 'gan', 'ane', 'jual', 'mobil']</t>
  </si>
  <si>
    <t>['woy', 'admin', 'telkomsel', 'jaringan', 'bagus', 'leg', 'leg', 'macem', 'beda', 'kaya', 'sinyal', 'penuh', 'kuota', 'lelet', 'saranin', 'nyoba', 'ganti', 'kartu', 'macem', 'produk', 'telkomsel', 'mahal', 'doang', 'paketan', 'signal', 'parah', 'nyesel', 'pesan', 'telkomsel', 'bye', 'bye', 'pindah', 'kartu', 'laen', '']</t>
  </si>
  <si>
    <t>['sinyal', 'telkomsel', 'buruk', 'kusus', 'palembang', 'sinyal', 'telkomsel', 'buruk', '']</t>
  </si>
  <si>
    <t>['buruk', 'banget', 'sinyal', 'ngegame', 'putus', 'putus', 'mulu']</t>
  </si>
  <si>
    <t>['sinyal', 'benerin', 'woy', 'kuota', 'mahal', 'sinyal', 'buruk', 'sinyal', 'ilang', 'pas', 'main', 'game', 'online', 'ilang', 'sinyal', 'gmna', 'woy', 'atasi', 'secepatnya', 'promo', 'dibanyakin', 'perbaikan', 'kualitas', 'jaringannya', 'gmna', 'menikmati', 'sinyalnya', 'buruk', 'kesini', 'parah', 'hah']</t>
  </si>
  <si>
    <t>['sebel', 'paket', 'data', 'msih', 'bnyak', 'beli', 'telkomsel', 'suka', 'lemot', 'banget', '']</t>
  </si>
  <si>
    <t>['sinyal', 'beres', 'maen', 'game', 'kadang', 'ilang', 'perbaikin', 'pelanggannya', 'ngeluh']</t>
  </si>
  <si>
    <t>['mempermudah', 'sgala', 'urusan', '']</t>
  </si>
  <si>
    <t>['kasih', 'bintang', 'pembelian', 'delay', 'mengakibatkan', 'penarikan', 'pulsa', 'paket', 'diaktifkan', 'ribet', 'isi', 'pulsa', 'berulang', 'ulang', '']</t>
  </si>
  <si>
    <t>['menjelang', 'jam', 'malam', 'sinyal', 'berubah', '']</t>
  </si>
  <si>
    <t>['', 'membantu']</t>
  </si>
  <si>
    <t>['jam', 'malam', 'jaringan', 'telkomsel', 'hilang', 'tolong', 'kasih', 'kaya', 'gitu', 'trs']</t>
  </si>
  <si>
    <t>['', 'telkomsel', 'terbaik', 'pemakaian', 'kali', 'salam', 'gorontalo', '']</t>
  </si>
  <si>
    <t>['puas', 'jaringan', 'telkomsel', 'alhamdulillah', 'promo', 'kuota', 'telkomsel', 'nuhun', 'telkomsel', '']</t>
  </si>
  <si>
    <t>['telkomsel', 'lemot', 'beli', 'kuota', 'sengaja', 'beli', 'mahal', 'lemot', 'parah', 'kuota', 'lelet', 'ganti', 'kartu']</t>
  </si>
  <si>
    <t>['bagus', 'memudahkan']</t>
  </si>
  <si>
    <t>['ngawur', 'sinyal', 'telkomsel', 'hala', 'tower', 'biha', 'marang', 'lampung', 'pesisir', 'barat', 'enakan', 'kartu', 'indosat', 'sinyal', 'hilang', '']</t>
  </si>
  <si>
    <t>['gua', 'beli', 'pulsanya', 'ngurang', 'paket', 'internet', 'masuk']</t>
  </si>
  <si>
    <t>['medsos', 'bagus', 'nge', 'game', 'kek', 'sinyal', 'parah', 'bet']</t>
  </si>
  <si>
    <t>['masuk', 'link', 'live', 'streaming', 'sepakbola', 'situs', 'mengandung', 'unsur', 'pornografi', 'giliran', 'masuk', 'link', 'pornografi', 'asli', '']</t>
  </si>
  <si>
    <t>['telkomsel', 'ngadain', 'paketan', 'game', 'online', 'silver', 'emg', 'dipakai', 'hapus', 'ngerugiin', 'beli', '']</t>
  </si>
  <si>
    <t>['bintang', 'langsung', 'inti', 'permasalahan', 'kali', 'beli', 'paket', 'pesan', 'masuk', 'selamat', 'paket', 'combo', 'gb', 'habis', 'buka', 'game', 'cek', 'ulang', 'paket', 'aplikasi', 'paket', 'data', 'gitu', 'tolong', 'aplikasi', 'perbaikin', 'penipu']</t>
  </si>
  <si>
    <t>['aplikasi', 'bagus', 'memudahkan', 'transaksi', 'pembelian', 'pulsa']</t>
  </si>
  <si>
    <t>['tolong', 'tingkat', 'jaringan', 'telkomsel']</t>
  </si>
  <si>
    <t>['mahal', 'doang', 'sinyal', 'butut', 'kalah', 'provider', 'sebelah']</t>
  </si>
  <si>
    <t>['dri', 'bntang', 'trus', 'sya', 'ksih', 'bintang', 'kuota', 'msih', 'mlah', 'lemot', 'jdi', 'kecewa', '']</t>
  </si>
  <si>
    <t>['mengecewakan', 'metode', 'pembayaran', 'isi', 'ulang', 'pulsa', 'ribu', 'gopay', 'hapus', 'ngasih', 'promo', 'bnget', 'syaratnya', 'naikin', 'pamor', 'link', 'metode', 'pembayaran', 'gopay', 'ditiadakan', 'jaringan', 'beres', '']</t>
  </si>
  <si>
    <t>['beli', 'telkomsel', 'zoom', 'coba', 'senang', 'paket', 'kecewa', 'pembelian', 'paket', 'seharga', 'ribu', 'ditunggu', 'sms', 'verifikasi', 'email', 'akun', 'zoom', 'kunjung', 'gimana', 'telkomsel', 'bayar', 'kewajiban', 'telkomsel', 'ditunaikan']</t>
  </si>
  <si>
    <t>['lemot', 'dlu', 'kek', 'gini', 'knp', 'lemot', 'knp', 'isi', 'pulsa', 'membeli', 'pakek', 'maaf', 'pulsa', 'pdhl', 'stlh', 'cek', 'pulsa', 'aman', 'aman', 'tolong', 'penglola', 'operator', 'perbaikan', 'lgi', 'dlu', '']</t>
  </si>
  <si>
    <t>['sinyalll', 'parah', 'jelek', 'kek']</t>
  </si>
  <si>
    <t>['jaringan', 'stabil', 'pemotongan', 'pulsa', 'masuk', 'akal', 'paketan', 'sekejap', 'pulsa', 'langsung', 'terpotong', '']</t>
  </si>
  <si>
    <t>['happy', 'telkomsel']</t>
  </si>
  <si>
    <t>['paket', 'murah', 'mudahkan', 'penggunaan', 'link', 'telmomsel', 'terimakasih', '']</t>
  </si>
  <si>
    <t>['kualitas', 'sesuai', 'harga', 'mahal']</t>
  </si>
  <si>
    <t>['min', 'eror']</t>
  </si>
  <si>
    <t>['kartu', 'beli', 'kuota', 'data', 'internet', 'beda', 'penawarannya', 'mahal', 'kartu', 'murah', 'sungguh', 'adil', '']</t>
  </si>
  <si>
    <t>['pilihan', 'paket', 'langganan', 'hilang', 'semenjak', 'beli', 'telkomsel', 'beli', 'kuota', 'youtub', 'facebook', 'instagram', 'hilang', '']</t>
  </si>
  <si>
    <t>['sempati', 'mahal', 'paket', 'jaringan', 'sekaran', 'tolong', 'perbaik', '']</t>
  </si>
  <si>
    <t>['harga', 'kuota', 'mahal', 'jaringannya', 'kayak', 'dihutan']</t>
  </si>
  <si>
    <t>['tolong', 'bales', 'komentar', 'semena', 'mena', 'nyerot', 'pulsa', 'gitu', 'diisiin', 'pulsa', 'mamah', 'paket', 'abis', 'bisanya', 'pulsa', 'serot', 'dikemanain', 'pulsa', 'hah', 'duit', 'gimana', 'sampe', 'nyedot', 'pulsa', 'dinamakan', 'maling', 'modern', 'come', 'one', 'bentar', 'ulangan', 'tolong', 'kayak', 'gini', 'tolong', 'respon', 'pesan', 'pertanggung', '']</t>
  </si>
  <si>
    <t>['telkomsel', 'mengecewakan', 'menghidupkan', 'data', 'bisanya', 'sms', 'akses', 'internet', 'non', 'paket', 'harinya', 'pulsa', 'terpotong', 'dikemanain', 'pulsa', 'memeras', 'pelanggan', 'kasihan', 'iya', 'orang', 'kaya', 'perkotaan', 'orang', 'pedessaan', 'telkomsel', 'pelanggannya', 'gitu', 'kasihan', 'enaknya', 'apk', 'super', 'lemot', '']</t>
  </si>
  <si>
    <t>['malam', 'telkomsel', 'pulsa', 'hilang', 'kemana', 'mengaktif', 'data', 'sebentar', 'habis', 'pulsa', 'menerima', 'notifikasi', 'aplikasi', 'pakai', 'tolong', 'konfirmasi', 'salah', 'paham', 'tunggu', '']</t>
  </si>
  <si>
    <t>['harga', 'mahal', 'kualitas', 'sinyal', 'murahan', '']</t>
  </si>
  <si>
    <t>['makinn', 'jaringan', 'telkom', 'jelek', 'min', 'maen', 'game', 'beuhhh', 'gerakk', 'perbaiki', 'lagii', 'jaringan', 'min', 'iya', 'mahal', 'jaringan', 'lemot', 'bngtt', '']</t>
  </si>
  <si>
    <t>['beli', 'paket', 'mahal', 'mahal', 'kualitas', 'rendahan', 'dibawa', 'main', 'ngelag', 'mulu']</t>
  </si>
  <si>
    <t>['apl', 'mmebantu', 'membeli', 'paketan', 'tsel']</t>
  </si>
  <si>
    <t>['sinyalnya', 'ngelag', 'parah']</t>
  </si>
  <si>
    <t>['kaga', 'sinyal', 'ngeluh', 'disuruh', 'off', 'mode', 'airplane', 'udah', 'kali', 'kek', 'gitu', 'utuh', 'ngelagnya', 'browsing', 'whatsapp', 'ditambah', 'kuota', 'mahal', 'kuota', 'mahal', 'sinyal', 'bagus', 'mah', 'gpp', 'sinyal', 'jelek', 'banget', 'sekelas', 'kota', 'ngelag', 'ujan', 'kecewa', 'ama', 'telkomsel', 'mending', 'provider', 'sebelah', 'udah', 'ogah', 'make', 'telkomsel', 'bye']</t>
  </si>
  <si>
    <t>['sumpah', 'ngerti', 'ama', 'jaringan', 'telkomsel', 'udh', 'paket', 'mahal', 'murah', 'jaringan', 'kek', 'anjink', 'ngegame', 'loading', 'njirrr', '']</t>
  </si>
  <si>
    <t>['mahal', 'harga', 'kuotanya', 'kualitas', 'sinyal', 'buruk']</t>
  </si>
  <si>
    <t>['mantap', 'mytelkomsel']</t>
  </si>
  <si>
    <t>['kualitas', 'sinyal', 'sesuai', 'harga', 'paket', 'internetnya', '']</t>
  </si>
  <si>
    <t>['android', 'versi', 'susah', 'install']</t>
  </si>
  <si>
    <t>['masak', 'langganan', 'bertambah', 'sinyalnya', 'paketnya', 'bertambah', 'mahal', '']</t>
  </si>
  <si>
    <t>['mundah', 'membantu', 'keuntungannya']</t>
  </si>
  <si>
    <t>['aplikasi', 'telkomsel', 'bagussss', 'gue', 'suka', 'bagett', '']</t>
  </si>
  <si>
    <t>['memakai', 'telkomsel', 'mitra', 'grab', 'akun', 'dewa', 'dukungan', 'kartu', 'telkomsel', 'terima', 'kasih', 'telkomsel', '']</t>
  </si>
  <si>
    <t>['mati', 'lampu', 'jgan', 'hilang', 'donk', 'signal', 'suntuk', 'atu']</t>
  </si>
  <si>
    <t>['jaringannya', 'bagus', 'bangettt', 'bismilah', 'pulsa']</t>
  </si>
  <si>
    <t>['bener', 'sinyal', 'telkomsel', 'tpt', 'parah', 'bantu', 'cek', 'follow', '']</t>
  </si>
  <si>
    <t>['tolong', 'perbaiki', 'bug', 'kuota', 'multimedia', 'udah', 'main', 'udah', 'seminggu', 'seminggu', 'lancar', 'login', 'kuota', 'utama', 'menit', 'kebuka', 'kayak', 'udah', 'abis', 'kuota', 'multimedianya', 'kayak', 'tiggal', 'batas', 'internet', 'kbps', 'download', 'data', 'file', 'setau', 'download', 'kuota', 'multimedia', 'keterangan', 'kuota', 'gamemax']</t>
  </si>
  <si>
    <t>['kejadian', 'bbrp', 'gangguan', 'jaringan', 'telkomsel', 'berhari', 'sampe', 'skg', 'signalnya', 'tetep', 'buruk', 'mengecewakan', '']</t>
  </si>
  <si>
    <t>['parah', 'banget', 'provider', 'jagat', 'raya', 'indonesia', 'masukin', 'voucer', 'kuota', 'kaga', 'maaf', 'layanan', 'sibuk', 'parah', 'udh', 'tungguin', 'kdpan', 'masi', 'eror', 'udh', 'setting', 'jaringan', 'masi', 'tetep', 'kga', 'udh', 'gua', 'restart', 'masi', 'hmpir', 'seminggu', 'masi', 'kaga', 'bsa', 'dahhlahhhhh', '']</t>
  </si>
  <si>
    <t>['nyaman', 'telkomsel', '']</t>
  </si>
  <si>
    <t>['wiiii', 'jaringan', 'gausah', 'email', 'email', 'langsung', 'ajah', 'benerinnnnn', '']</t>
  </si>
  <si>
    <t>['versi', 'install', 'android', 'coeq', 'udah', 'kali', 'update', 'gagal', 'install', 'kecuali', 'versi']</t>
  </si>
  <si>
    <t>['lumsyan', 'ditingkatkan']</t>
  </si>
  <si>
    <t>['pulsa', 'hbis', '']</t>
  </si>
  <si>
    <t>['mahal', 'kuotanya', 'hahahaa']</t>
  </si>
  <si>
    <t>['mantap', 'beli', 'paket', 'kombonya']</t>
  </si>
  <si>
    <t>['aplikasi', 'lumayan', 'bagus']</t>
  </si>
  <si>
    <t>['bagusi', 'jaringan', 'cambek', 'musuh', 'gara', 'gara', 'kau', 'ass', 'berhenti', '']</t>
  </si>
  <si>
    <t>['beli', 'paket', 'mahal', 'mahal', 'jaringan', 'stabil', 'jaringan', 'tpi', 'nonton', 'youtube', 'ngadat', 'tolong', 'sesuaikan', 'harga', 'paket', 'kualiatas', 'sinyal', 'memadai', '']</t>
  </si>
  <si>
    <t>['kebanyakan', 'survey', '']</t>
  </si>
  <si>
    <t>['tolong', 'jaringannya', 'ditingkatkan', 'telkomsel', 'jaringannya', 'lemot', 'jaringannya', 'stabil', '']</t>
  </si>
  <si>
    <t>['kasih', 'bintang', 'hapus', 'apk', 'mytelkomsel', 'hpku', 'murah', 'beli', 'paket', 'apk', 'membuka', 'apk', 'paket', 'data', 'buka', 'plsanya', 'hilang', 'rb', 'kejadian', 'beli', 'paket', 'data', 'apk', 'hilang', 'plsaku', 'rb', 'deh', 'jga', 'sinyal', 'buruk', 'plosok', 'desa', 'sinyal', 'bagus', 'bwat', 'internet', 'bagus', 'tdak', 'kayak', 'kartu', 'lainya', 'tpi', 'dikota', 'sinyal', 'penuh', 'bwat', 'internetan', 'susah', 'ngeruwel', '']</t>
  </si>
  <si>
    <t>['bagus', 'banget', 'promo']</t>
  </si>
  <si>
    <t>['woy', 'tolong', 'sinyal', 'susah', 'hilang', 'hilang', 'sinyal', 'tolong', 'perbaiki', 'kedepannya', '']</t>
  </si>
  <si>
    <t>['sinyal', 'buruk', 'hujan', 'mengecewakan', '']</t>
  </si>
  <si>
    <t>['sinyal', 'telkomsel', 'tamba', 'kotok', 'taek', 'rugi', 'tuku', 'paketan']</t>
  </si>
  <si>
    <t>['apasi', 'tsell', 'kesini', 'sad', 'signal', '']</t>
  </si>
  <si>
    <t>['jaringannya', 'bagus']</t>
  </si>
  <si>
    <t>['gampang']</t>
  </si>
  <si>
    <t>['keren', 'hehehe']</t>
  </si>
  <si>
    <t>['puas', 'sinyal', 'jelek', 'main', 'game', 'afk', 'gara', 'sinyal', 'online', 'jga', 'puas', '']</t>
  </si>
  <si>
    <t>['mudah', 'puas']</t>
  </si>
  <si>
    <t>['', 'telkomsel', 'pilihanya', 'mantap', '']</t>
  </si>
  <si>
    <t>['luas', 'jangkauwannya', 'takjujur', 'penipu', '']</t>
  </si>
  <si>
    <t>['paketnya', 'hilang']</t>
  </si>
  <si>
    <t>['tolong', 'jaringan', 'kadang', 'ngelag', 'knpa', 'yak', 'pdhl', 'harga', 'turun', 'kayak', 'kenceng', 'bngt', 'tolong', '']</t>
  </si>
  <si>
    <t>['tolong', 'tingkat', 'pemberitahuan', 'pengguna', 'kemudahan', 'transaksi', 'pembelian', 'paket', 'pulsa', 'interneldan']</t>
  </si>
  <si>
    <t>['bagus', 'cocok']</t>
  </si>
  <si>
    <t>['terma', 'kasih', 'banget', 'telkom']</t>
  </si>
  <si>
    <t>['telkomsel', 'signal', 'jelek', 'tolong', 'perbaiki']</t>
  </si>
  <si>
    <t>['bagus', 'sinyal', 'aplikasi', 'keren', 'lemot']</t>
  </si>
  <si>
    <t>['mantap', 'gampang', 'ribett', 'terbaik', 'telkomsel']</t>
  </si>
  <si>
    <t>['min', 'kuota', 'combo', 'sakti', 'gb', 'beli', 'mahal', 'kuota', 'gb', 'harga', 'ribu', 'mahal', 'tsel', 'gni', 'alih', 'sebelah', 'kayak', 'murah']</t>
  </si>
  <si>
    <t>['woy', 'benerin', 'signalnya', 'mkin', 'jelass', 'kacau', 'bner', 'telkomsel']</t>
  </si>
  <si>
    <t>['paket', 'internet', 'unlimited', 'minggu', 'mna', 'cpt', 'abis', 'kemarin', 'beli', 'paket', 'bulanan', 'trs', 'besok', 'pas', 'beli', 'jdi', 'trs', 'pilihan', 'terpaksa', 'beli', 'beli', 'lgi', 'udh', 'jdi', 'malas', 'ganti', 'kartu', 'krna', 'udh', 'bnget', 'pakai', 'telkomsel', 'lgi', 'pengangguran', 'kek', 'berat', 'bnget', 'telkomsel', 'tolong', 'turuni', 'harga', '']</t>
  </si>
  <si>
    <t>['mantap', 'memudahkan', 'pengguna', 'telkomsel', '']</t>
  </si>
  <si>
    <t>['berat', 'lemot', 'lelet', 'menanggapi', 'force', 'close', 'android', 'ram', 'diperbaiki', '']</t>
  </si>
  <si>
    <t>['pengguna', 'halo', 'prioritas', 'halo', 'sinyal', 'ikutan', 'ilang', 'simpati', 'ilang', 'koneksi', 'stabil', 'putus', 'game', 'auto', 'down', 'grade', 'plus', 'ganti', 'operator', 'gini', '']</t>
  </si>
  <si>
    <t>['siyal', 'hilang', 'telkomsel', 'tolong', 'prioritaskan', 'sinyal', 'bagus', 'beli', 'paketan', 'mesti', 'gini', 'udah', 'pelanggan', 'setia', 'permainkan', 'tolong', 'sinyal', 'terbaik', 'terluas', 'indonesia', 'penguna', 'setia', 'kecewa']</t>
  </si>
  <si>
    <t>['iternet', 'combo', 'sakti', 'mahal', '']</t>
  </si>
  <si>
    <t>['terima', 'kasih', 'telkomsel', 'memudahkan', 'membantu', 'love', 'love']</t>
  </si>
  <si>
    <t>['nyesel', 'setia', 'pakai', 'telkomsel', 'kesini', 'bener', 'beli', 'paket', 'mahal', 'kepakai', 'gunanya', 'paket', 'multimedia', 'paket', 'utama', 'habis', 'paket', 'utama', 'habis', 'multimediapun', 'chat', 'apk', 'tentukan', 'kecewa', '']</t>
  </si>
  <si>
    <t>['admin', 'telkom', 'maaf', 'doang', 'kekurangan', 'perbaiki', 'parah', 'signal', 'buka', 'youtube', 'dapet', 'gelar', 'provider', 'terbaik', 'kaya', 'kentut']</t>
  </si>
  <si>
    <t>['mudah', 'makenya']</t>
  </si>
  <si>
    <t>['mohon', 'dibantu', 'min', 'update', 'one', 'versi', 'mytelkomselnya', 'didownload']</t>
  </si>
  <si>
    <t>['aplikasi', 'sngt', 'bagus', '']</t>
  </si>
  <si>
    <t>['jaringan', 'wilayah', 'kota', 'pangkal', 'pinang', 'buruk', 'beli', 'paket', 'brp', 'ttp', 'bgs', 'tlg', 'perbaiki', 'jwb', 'mohon', 'ketidaknyamanan', 'beli', 'paket', 'bkn', 'geratis', '']</t>
  </si>
  <si>
    <t>['buruk', 'sinyal', 'down', 'didalam', 'diluar', 'ruangan', 'tetep', 'sinyalnya', 'buruk', 'udah', 'berkali', 'kali', 'komplen', 'jaringan', 'internet', 'tetep', 'perbaikan', 'telkomsel', '']</t>
  </si>
  <si>
    <t>['trus', 'jaringan', 'suka', 'ngaret', 'ngegame', 'suka', 'ngelag']</t>
  </si>
  <si>
    <t>['buka', 'aplikasi', 'telkomsel', 'aplikasi', 'eror', 'nge', 'bug', 'kirain', '']</t>
  </si>
  <si>
    <t>['kartu', 'mahal', 'hujan', 'ngelag', 'babi', '']</t>
  </si>
  <si>
    <t>['sya', 'sngat', 'snang', 'skli', 'mnggunakan', 'apf', 'kren', '']</t>
  </si>
  <si>
    <t>['aplikasi', 'dibuka', 'update', 'apk', 'gimana', 'developer']</t>
  </si>
  <si>
    <t>['smg', 'telkomsel', 'mejadi', 'pelayanannya']</t>
  </si>
  <si>
    <t>['pakai', 'aplikasi', 'online', 'kerjaan', 'pakai', 'kartu', 'simpati', 'jadikan', 'hotspot', 'aplikasi', 'tsb', 'buka', 'pindahkan', 'jaringan', 'aplikasi', 'tsb', 'buka', 'tolong', 'pencerahannya', '']</t>
  </si>
  <si>
    <t>['memudahkan', 'beli', 'paket']</t>
  </si>
  <si>
    <t>['parah', 'telkomsel', 'jaringannya', 'butut', 'kalah', 'kompetitor', 'kota', 'jaringan', 'tutup', 'mendingan', '']</t>
  </si>
  <si>
    <t>['ngapa', 'paket', 'giganet', 'gb', 'udah', 'ngga']</t>
  </si>
  <si>
    <t>['membantu', 'bangettttttttttty']</t>
  </si>
  <si>
    <t>['sulit', 'mengakses', 'jaringan', 'terganggu', 'mohon', 'ditingkatkan', 'kualitas', 'jaringan', '']</t>
  </si>
  <si>
    <t>['ngelag', 'banget', 'kadang', 'kintil', 'kerja']</t>
  </si>
  <si>
    <t>['jaringa', 'sel', 'bermasalah', 'tolong', 'diperbaiki', 'konsumen', 'butuh', 'kenyamanan', 'jaringan', '']</t>
  </si>
  <si>
    <t>['bintang', '']</t>
  </si>
  <si>
    <t>['mantapp', 'kurangin', 'harga']</t>
  </si>
  <si>
    <t>['kecewaaa', 'udh', 'telkomsel', 'bagus', 'signal', 'knp', 'skrg', 'jelek', 'butuhin', 'muter', 'trs', 'jalan', '']</t>
  </si>
  <si>
    <t>['telkomsel', 'suka', 'nguras', 'pulsa', 'barusan', 'ngisi', 'pulsa', 'ribu', 'berkurang', 'tinggal', 'ribu', 'hutang', 'telkomsel', 'hilang', 'ribu', 'buka', 'whatsapp', 'pakek', 'kuota', 'gb', 'sms', 'telkomsel', 'non', 'kuota', 'paket', 'internet', 'ngisi', 'pulsa', 'kuota', 'bener', 'telkomsel', 'narik', 'pulsa', 'sinyal', 'udah', 'lemot', 'narik', 'pulsa', 'orang', 'sesukanya', '']</t>
  </si>
  <si>
    <t>['telkomsel', 'jaringan', 'luas', 'sinyalnya', 'susah', 'tolong', 'jaringan', 'perjelas', 'jaringan', 'menyusahkan', 'konsuman']</t>
  </si>
  <si>
    <t>['jaringan', 'bagus', 'paket', 'mahal', 'beda', 'telkom', 'murah', 'beli', 'paketnya']</t>
  </si>
  <si>
    <t>['telkomsel', 'gimana', 'pinjam', 'paket', 'darurat', 'pemberitahuan', 'meminjam', 'otomatis', 'minjam', 'knp', 'pinjam']</t>
  </si>
  <si>
    <t>['mantep', 'pokoknya']</t>
  </si>
  <si>
    <t>['', 'telkomsel', 'bnget', 'deh', 'kemarin', 'promo', 'gb', 'ribu', 'uda', 'klau', 'adain', '']</t>
  </si>
  <si>
    <t>['butuh', 'fitur', 'mengatur', 'kuota', 'terpakai', 'aplikasi', 'optimal', 'deskripsi', 'paket', 'kuota', 'ketengan', 'berfungsi', 'semestinya', 'bintang', '']</t>
  </si>
  <si>
    <t>['mantap', 'promo', 'perbulan', 'bagus', 'min', '']</t>
  </si>
  <si>
    <t>['telkomsel', 'pantat', 'jaringan', 'bermasalah', '']</t>
  </si>
  <si>
    <t>['lelet', 'cepat', 'promo']</t>
  </si>
  <si>
    <t>['nggak', 'sinyalnya', 'nggak', 'aplikasi', 'error', 'mulu', 'sedih', 'kangen', 'telmomsel', '']</t>
  </si>
  <si>
    <t>['aplikasi', 'memuaskan']</t>
  </si>
  <si>
    <t>['harga', 'paket', 'internetan', 'mahal', 'pulsa', 'suka', 'terpotong', 'paket', 'internet', '']</t>
  </si>
  <si>
    <t>['akses', 'internet', 'mudah', 'dll']</t>
  </si>
  <si>
    <t>['bagus', 'banget', 'mudah']</t>
  </si>
  <si>
    <t>['tolong', 'kasih', 'peromo']</t>
  </si>
  <si>
    <t>['aplikasi', 'bagus', 'membantu']</t>
  </si>
  <si>
    <t>['sinyal', 'stabil', 'nyesel', 'makai']</t>
  </si>
  <si>
    <t>['abis', 'kuota', 'utama', 'paket', 'unlimited', 'sosmed', 'kecepatan', 'kualitas', 'sinyal', 'turunin', 'kepake', 'telkomsel', 'lampung', 'pindah', 'indosat', 'miris', '']</t>
  </si>
  <si>
    <t>['joss', 'paket', 'data', 'udah', 'mahal', 'signal', 'kadang', 'putus', 'posisi', 'rumah', 'dket', 'tower', 'telkomsel', 'emang', 'bener', 'telkomsel']</t>
  </si>
  <si>
    <t>['bagus', 'pilihan', 'paket', 'datanya', 'toplah', 'pokonya', '']</t>
  </si>
  <si>
    <t>['update', 'stelah', 'update', 'update', 'lgi', 'jdi', 'kmu', 'donk', '']</t>
  </si>
  <si>
    <t>['pengguna', 'telkomsel', 'semoga', 'membantu', 'memuaskan', 'maaf', 'bintang']</t>
  </si>
  <si>
    <t>['jaringan', 'jelek', 'teruss', 'paket', 'data', 'unlimited', 'sisa', 'gb', 'beli', 'terpakai', 'paket', 'data', 'utama', 'habis', 'data', 'unlimited', 'data', 'utama', 'udah', 'habisss', 'kenpa', 'data', 'unlimited', 'kepake', 'sebentar', 'udah', 'terkadang', 'terkadang', 'udah', 'not', 'unlimited', '']</t>
  </si>
  <si>
    <t>['tingkatkan', 'jaringan', '']</t>
  </si>
  <si>
    <t>['keren', 'pokonya']</t>
  </si>
  <si>
    <t>['mohon', 'telkomsel', 'tingkatkan', 'kualitas', 'sinyalnya', 'telkomsel', 'kaya', 'sinyal', 'bagus', 'kecepatan', 'internet', 'berkurang', 'telkomsel', 'sinyal', 'bagus', 'operator', 'mlh', 'bagus', 'operator', 'mohon', 'tingkatkan', 'kualitas', 'jaringan', 'internetnya', 'trimakasih']</t>
  </si>
  <si>
    <t>['sejarah', 'daerah', 'sinyalnya', 'jelek']</t>
  </si>
  <si>
    <t>['salam', 'sehat', 'srmuanya', 'smg', 'sehat', 'kluhan', 'masuk', 'telkom', 'suka', 'lemot', 'sjak', 'versi', '']</t>
  </si>
  <si>
    <t>['jos', 'gandok', 'pengen', 'menangin', 'undian', 'menariknya']</t>
  </si>
  <si>
    <t>['aplikasi', 'bagus']</t>
  </si>
  <si>
    <t>['berharap', 'jaringan', 'stabil']</t>
  </si>
  <si>
    <t>['signal', 'jelek']</t>
  </si>
  <si>
    <t>['jaringan', 'telkomsel', 'dibanggakan', 'lelet', 'berubah', 'mahalnya', '']</t>
  </si>
  <si>
    <t>['semoga', 'meningkat', 'sukses', '']</t>
  </si>
  <si>
    <t>['kompirmasi', 'twitter', 'telkomsel', 'sina', 'telkomsel', 'aneh', '']</t>
  </si>
  <si>
    <t>['kacau', 'beli', 'kuota', 'rbu', 'pusla', 'rbu', 'beli', 'pulsa', 'hilang', 'pan', 'aneh', 'berqsa', 'dirampok']</t>
  </si>
  <si>
    <t>['telkomsel', 'hemat', 'kaya']</t>
  </si>
  <si>
    <t>['hai', 'sel', 'beli', 'perdana', 'kartu', 'kelewat', 'massa', 'tengat', 'pas', 'psbb', 'covid', 'ketinggal', 'tasik', 'ambil', 'psbb', 'kehabisan', 'massa', 'aktip', 'aktipin', 'yaah', 'kartu', '']</t>
  </si>
  <si>
    <t>['alhamdulikah', 'aplikasi', 'tlkomsel', 'membantu', 'sukses', '']</t>
  </si>
  <si>
    <t>['mntap', 'aplikasi']</t>
  </si>
  <si>
    <t>['telkomsel', 'kog', 'parah', 'signalnya', 'masuk', 'mytelkomsel', 'bayar', 'beli', 'paketan', 'bangkrut', 'bnyak', 'peminat', 'tmbah', 'parah', 'ngini', 'layananya']</t>
  </si>
  <si>
    <t>['sinyalnya', 'jelek', 'banget']</t>
  </si>
  <si>
    <t>['mantap', 'harganya', 'naikk']</t>
  </si>
  <si>
    <t>['senang', 'simpati']</t>
  </si>
  <si>
    <t>['paketan', 'ketengan', 'youtube', 'paketan', 'utama', 'habis', 'thanks', 'telkomsial', '']</t>
  </si>
  <si>
    <t>['beda', 'akses', 'beda', 'harga', 'akses', 'harga', 'paket', 'lumayan', 'murah', 'jdi', 'mahal', 'disayang', 'harga', 'pekat', 'internet', 'telkomsel', 'mahal', 'tpi', 'jaringan', 'lumayan', 'parah', 'error', 'good', 'bay', 'telkomsel', '']</t>
  </si>
  <si>
    <t>['apk', 'bagus', 'banget', '']</t>
  </si>
  <si>
    <t>['gimana', 'minggu', 'sinyal', 'ilang', 'trus', 'pulsa', 'abis', 'aktif', 'balikin', 'pulsa', 'gua', '']</t>
  </si>
  <si>
    <t>['harganya', 'kemahalan']</t>
  </si>
  <si>
    <t>['mudah', 'pelayanan']</t>
  </si>
  <si>
    <t>['woi', 'telkom', 'pulsa', 'kekuras', 'paket', 'kemdikbud', 'gimana', 'telkomsel', 'balikin', 'pulsa', 'udah', 'beli', 'hilang', 'gampang', 'banget', 'tolong', 'paketan', 'pulsanya', 'kekuras', 'napa', 'kesel', 'kau', '']</t>
  </si>
  <si>
    <t>['aplikasi', 'pulsa', 'gua', 'dikurangi', 'mulu', 'ngotak', 'dikit']</t>
  </si>
  <si>
    <t>['nomor', 'tersedia', 'paket', 'internet', 'sakti', 'gb', 'rp', '']</t>
  </si>
  <si>
    <t>['mytelkomsel', 'anjay', 'terbaik', 'beli', 'pulsa', 'beli', 'paketan', 'terkuras', 'pulsanya', 'dlu', 'paketannya', '']</t>
  </si>
  <si>
    <t>['beli', 'paket', 'dapet', 'blm', 'masuk', 'duitnya', 'udah', 'nggak', 'tolong', 'respon', '']</t>
  </si>
  <si>
    <t>['notifikasi', 'terkirim', 'membeli', 'paket']</t>
  </si>
  <si>
    <t>['curang', 'poin', 'coba', 'tukar', 'sistem', 'sibuk', 'poin', 'kembalikan']</t>
  </si>
  <si>
    <t>['sinyal', 'teruss', 'kntol', 'kena', 'comeback', 'bgsat']</t>
  </si>
  <si>
    <t>['signal', 'penuh', 'kwalitas', 'jelek', 'kalah', 'operator', 'tetangga', '']</t>
  </si>
  <si>
    <t>['apk', 'sngt', 'baguss']</t>
  </si>
  <si>
    <t>['bangus', 'mantap', '']</t>
  </si>
  <si>
    <t>['aplikasinya', 'berat']</t>
  </si>
  <si>
    <t>['mantap', 'membantu', 'kualitas', 'singyal', 'perbaiki', 'penjuru', 'negri', 'usahakan', 'singyal', 'biyar', 'masyarakat', 'merasakan', 'kemudahan', 'ber', 'komunikasi']</t>
  </si>
  <si>
    <t>['tolong', 'telkomsel', 'perbaikin', 'sinyal', 'daerah', 'pelosok', 'lancar', 'lancar', 'sinyal', 'buka', 'buka', 'facebook', 'susah', 'main', 'game', 'hadeuh', 'pengen', 'patah', 'patah', 'kartu', 'telkomsel', 'kaya', 'gini', 'kabur', 'entar', 'pelanggan', '']</t>
  </si>
  <si>
    <t>['naikan', 'harga', 'paketnya', 'please']</t>
  </si>
  <si>
    <t>['apk', 'mahal']</t>
  </si>
  <si>
    <t>['harga', 'paket', 'murah', 'jaringannya', 'jelek', 'lemot', 'sinyal', 'ngilang', 'mnding', 'kartu']</t>
  </si>
  <si>
    <t>['mahal', 'combo', 'sakti']</t>
  </si>
  <si>
    <t>['sinyal', 'jelek', 'gangguan', 'komplain', 'nomer', 'layanan', 'konsumen', 'telkomsel', 'gangguan', 'tanggapan', 'kasar', '']</t>
  </si>
  <si>
    <t>['gunanya', 'poin', 'tukar', 'paket', 'internet', 'tetep', 'pulsanya', 'koret', 'banget']</t>
  </si>
  <si>
    <t>['kartu', 'ngelawak', 'pulsa', 'gua', 'sedot', 'kuota', 'hadehh']</t>
  </si>
  <si>
    <t>['coba', 'dlu', 'oke', 'kasih', 'bintang', '']</t>
  </si>
  <si>
    <t>['koneksi', 'stabil', 'kampungan', 'ganti', 'logo', 'koneksi', 'pas', 'hujan', '']</t>
  </si>
  <si>
    <t>['bintang', 'internet', 'buruk', 'full', 'bar', 'kecepatan', 'internet', 'lambat', 'tolong', 'telkomsel', 'daerah', 'kabupaten', 'cirebon', 'memperbaiki', 'kecepatan', 'jaringan', 'menambah', 'unit', 'pemancar', 'internet', '']</t>
  </si>
  <si>
    <t>['kecewa', 'isi', 'kouta', 'jaringan', 'gda', 'mulu', 'hadehh', 'buang', 'duit', 'doang']</t>
  </si>
  <si>
    <t>['tingkatkan', 'promo']</t>
  </si>
  <si>
    <t>['paket', 'promo']</t>
  </si>
  <si>
    <t>['apikasi', 'terbaik']</t>
  </si>
  <si>
    <t>['coba', 'migrasi', 'telkomsel']</t>
  </si>
  <si>
    <t>['telkomsel', 'hancur', 'sinyalnya', 'semenjak', 'ditempat', 'josss', 'sinyalnya', 'jelek', 'sinyal', 'turun', 'uda', 'menghubungi', 'customer', 'servis', 'diperbaiki', 'besok', 'sinyal', 'jelek', 'imbang', 'harganya', 'harganya', 'muuuuuaaaaaahhhhaaaallll', 'servis', 'memuaskan', '']</t>
  </si>
  <si>
    <t>['buruk', 'mengunakan', 'telkomsel', 'paket', 'mahal', 'pulsa', 'sedot', 'bersisa', 'paket', 'internet', 'aktif']</t>
  </si>
  <si>
    <t>['kuota', 'utama', 'kesedot', 'pas', 'pakai', 'kuota', 'unlimited', 'youtube', 'nggak', 'gitu', 'kecewa', 'tolong', 'diperbaiki', 'telkomsel', 'pengguna', 'nyaman']</t>
  </si>
  <si>
    <t>['udah', 'perbarui', 'buka', 'gimana']</t>
  </si>
  <si>
    <t>['gampang', 'banget', 'pakenya']</t>
  </si>
  <si>
    <t>['tingkatkan', 'promo', 'combo', 'sakti', 'murah', 'sampe', 'hilangkan', 'menu', 'aplikasi']</t>
  </si>
  <si>
    <t>['bagus', 'dijamin', 'aman']</t>
  </si>
  <si>
    <t>['transaksi', 'beli', 'paket', 'mudah', 'makasih', 'telkomsel']</t>
  </si>
  <si>
    <t>['pulsa', 'hilang', 'kemana', 'mantap', 'telkomsel', 'btw', 'komenan', 'kemana', 'yaa']</t>
  </si>
  <si>
    <t>['mahal', 'jaringan', 'kayak', 'kura', 'kura', 'magelang']</t>
  </si>
  <si>
    <t>['promo', 'menarik']</t>
  </si>
  <si>
    <t>['mohon', 'perkuat', 'jaringan', 'plosok', '']</t>
  </si>
  <si>
    <t>['signalnya', 'parah', 'kayak', '']</t>
  </si>
  <si>
    <t>['telkomsel', 'jaringannya', 'bagus']</t>
  </si>
  <si>
    <t>['mdh', 'telkomsel', 'memanjakan', 'konsumennya', 'paket', 'murah', '']</t>
  </si>
  <si>
    <t>['bagussssss']</t>
  </si>
  <si>
    <t>['jaringan', 'ngetod']</t>
  </si>
  <si>
    <t>['apk', 'bgus', 'bangett']</t>
  </si>
  <si>
    <t>['harga', 'paket', 'stress', 'udah', 'gitu', 'ulimited', 'pas', 'paket', 'utama', 'habis', 'gabisa', 'gunain', '']</t>
  </si>
  <si>
    <t>['pulsa', 'udh', 'belipaket', 'mlh', 'notif', 'pulsa', 'mencukupi', 'aneh', 'bet']</t>
  </si>
  <si>
    <t>['point', 'udah', 'juta', 'tuker', 'taekkkk']</t>
  </si>
  <si>
    <t>['hemat', 'murah', 'keren']</t>
  </si>
  <si>
    <t>['terkesan']</t>
  </si>
  <si>
    <t>['', 'telkomsel', 'gue', 'banget']</t>
  </si>
  <si>
    <t>['telkomsel', 'terbaik', 'jaringan']</t>
  </si>
  <si>
    <t>['membantu', 'gimana', 'ngilangin', 'nada', 'sambung', 'karna', 'pulsa', 'hilang', '']</t>
  </si>
  <si>
    <t>['aplikasi', 'mantap', '']</t>
  </si>
  <si>
    <t>['fitur', 'mahal', 'smua', 'kmaren', 'mahal']</t>
  </si>
  <si>
    <t>['aplikasinya', 'lamban']</t>
  </si>
  <si>
    <t>['bangga', 'telkomsel']</t>
  </si>
  <si>
    <t>['tolong', 'paket', 'unlimited', 'hilang']</t>
  </si>
  <si>
    <t>['kayak', 'auto', 'mahal', 'ngegame', 'kayak', 'kuro', 'lemot', 'meter', 'dibawah', 'tanah', 'sinyal', 'napa', 'ngaca', 'jaringan', 'udah', 'lemah', 'syahwat', '']</t>
  </si>
  <si>
    <t>['', 'smga', 'telkomsel', 'indonesia', 'berkarya', 'aamiin', '']</t>
  </si>
  <si>
    <t>['ayok', 'telkomsel', 'adain', 'paket', 'unlimited', 'max', 'internet', 'lokal', 'unlimited', 'chat', 'kedepannya', 'suka', 'provider', 'telkomsel', 'sukses', '']</t>
  </si>
  <si>
    <t>['terimakasih', 'mytelkomsel', 'semoga', 'bermanfaat', 'dapatkan', 'hadiah', 'menarik']</t>
  </si>
  <si>
    <t>['keren', 'banget', 'aplikasinya']</t>
  </si>
  <si>
    <t>['mudah', 'kali', 'penggunaan', 'aplikasi']</t>
  </si>
  <si>
    <t>['lancar', 'pokok', 'pelosok', 'terjangkau', 'telkomsel', 'sukses', 'telkomsel']</t>
  </si>
  <si>
    <t>['kecewa', 'telkomsel', 'sinyal', 'buruk', 'parah', 'sekian', 'terimakasih']</t>
  </si>
  <si>
    <t>['halo', 'telkomsel', 'sinyal', 'telkomsel', 'kadang', 'kadang', 'hilang', '']</t>
  </si>
  <si>
    <t>['sinyal', 'sampah', 'nyuruh', 'mode', 'pesawat', 'kao', 'ttp', 'sampah', 'restart', 'jt', 'provider', 'sampah', 'ttp', 'provider', 'sampah', 'situ', 'korupsi', 'harga', 'kualitas', 'sampah', 'sinyalnya', 'kuota', 'msh']</t>
  </si>
  <si>
    <t>['', 'telkomsel', 'mantap', '']</t>
  </si>
  <si>
    <t>['kecewa', 'sistem', 'telkomsel', 'karna', 'membeli', 'paket', 'data', 'mytelkomsel', 'membeli', 'data', 'apapun', 'app', 'mytelkomsel', 'karna', 'proses', 'pembelian', 'gagal', 'muncul', 'notifikasi', 'sistem', 'silahkan', 'cek', 'kuota', 'internet', 'coba', 'youtube', 'lancar', 'lancar', 'contak', 'veronika', 'survei', 'lwt', 'email', 'kecewa']</t>
  </si>
  <si>
    <t>['saran', 'riwayat', 'darah', 'pakai', 'telkomsel', 'jaringannya', 'lelet', 'mintak', 'ampun', 'mending', 'pakai', 'kartu', 'telkomsel']</t>
  </si>
  <si>
    <t>['beli', 'paket', 'suruh', 'periksa', 'jaringan', 'jaringan', 'bagus', 'suruh', 'tunggu', 'menit', 'udah', 'ditunggu', 'tetep', 'dibeli', 'beli', 'paket', 'gangguan', 'sistem', 'diperbaiki', 'sistemnya', '']</t>
  </si>
  <si>
    <t>['buka', 'aplikasi', 'kesalahan', 'sistem']</t>
  </si>
  <si>
    <t>['hilang', 'pulsa']</t>
  </si>
  <si>
    <t>['bagus', 'banget', 'telkomsel', 'terbaik', 'pokoknya', '']</t>
  </si>
  <si>
    <t>['sinyal', 'simpati', 'kya', 'anjink', 'babi', 'bngt', 'sinyal', 'simpati', 'paket', 'mahal', 'tpi', 'ngelag', 'kaya', 'anjink', 'sinyal', 'simpati', 'jaringan', 'bagus', 'kaya', 'iya', 'sinyal', 'lag', 'paket', 'doang', 'mahal']</t>
  </si>
  <si>
    <t>['mantab', 'aplikasi']</t>
  </si>
  <si>
    <t>['harga', 'paket', 'internet', 'mahal', 'harapan', 'paket', 'murah', '']</t>
  </si>
  <si>
    <t>['sinyal', 'susah', 'jaringan', 'internet', 'lemottt']</t>
  </si>
  <si>
    <t>['harganya', 'paketanya', 'mahal', 'mahal']</t>
  </si>
  <si>
    <t>['sebagus', 'jaringannya', 'lambat', 'daerah', 'bogor', 'ciampea']</t>
  </si>
  <si>
    <t>['manncaapp', 'memudahkan', 'transaksi', 'repot', 'pergi', 'konter', 'langsung', 'terisi', 'paket', 'ribet', 'beli', 'paket', 'konter', 'beli', 'nomor', 'paket', 'habis', 'buang', 'buka', 'casing', 'terimakasih', 'kartu', 'hallo', 'jossss', '']</t>
  </si>
  <si>
    <t>['pengguna', 'semoga', 'suka', 'aplikasi']</t>
  </si>
  <si>
    <t>['membantu', 'promo', 'murah', 'meriah', 'kuota', '']</t>
  </si>
  <si>
    <t>['jaringan', 'error']</t>
  </si>
  <si>
    <t>['harga', 'paket', 'combo', 'berubah', 'poin']</t>
  </si>
  <si>
    <t>['susah', 'kali', 'masuk', 'kirim', 'nomor', 'tlp', 'sms', 'verifikasi', 'coba', 'berkali', 'kali']</t>
  </si>
  <si>
    <t>['mending', 'provider', 'udah', 'murah', 'jarang', 'kendala', 'ngelag', 'lemot', 'telkom', '']</t>
  </si>
  <si>
    <t>['langsung', 'bntg', '']</t>
  </si>
  <si>
    <t>['klw', 'kouta', 'hbs', 'trs', 'klw', 'daftar', 'kouta', 'masak', 'mencari', 'wifi']</t>
  </si>
  <si>
    <t>['masuk', 'pulsa', 'berkurang', 'maunya']</t>
  </si>
  <si>
    <t>['paket', 'internet', 'sakti', 'hilang', 'giganet', 'mahal', 'sinyal', 'down', 'mending', 'ganti', 'thn', 'kecewa', 'bumn', '']</t>
  </si>
  <si>
    <t>['harga', 'paket', 'combo', 'sakti']</t>
  </si>
  <si>
    <t>['kadang', 'jaringannya', 'lelet']</t>
  </si>
  <si>
    <t>['tekomsel', 'daerah', 'lancar', 'katak', '']</t>
  </si>
  <si>
    <t>['mudah', 'info']</t>
  </si>
  <si>
    <t>['disaat', 'darurat', 'telkomsel', 'membantu', 'berkomunikasi', 'sinyal', 'bagus']</t>
  </si>
  <si>
    <t>['', 'ganti', 'bintang', 'semoga', 'semoga', 'telkomsel', 'jaringan', 'dll']</t>
  </si>
  <si>
    <t>['gejelas', 'telkomsel', 'pulsa', 'suka', 'kesedot', 'gajelas', '']</t>
  </si>
  <si>
    <t>['beli', 'pulsa', 'dipake', 'error']</t>
  </si>
  <si>
    <t>['aplikasi', 'bagus', 'tolong', 'penukaran', 'poin', 'kasih', 'voucher', 'game', 'poin', 'sia', 'sia']</t>
  </si>
  <si>
    <t>['mantap', 'mending', 'beli', 'beli', 'paket', 'internet', 'telkomsel', 'murah']</t>
  </si>
  <si>
    <t>['telkomsel', 'jangkauan', 'luas', 'jangkauan', 'lemot', '']</t>
  </si>
  <si>
    <t>['apk', 'bagus', 'mempermudah', 'orang', 'beli', 'paket', 'internet']</t>
  </si>
  <si>
    <t>['mempermudah', 'mengecek', 'pulsa', 'data']</t>
  </si>
  <si>
    <t>['harga', 'kuota', 'kualitas', 'sinylanya', 'gitu', 'pindah', 'provider', 'gitu', 'kecewa', 'telkomsel', 'pdhal', 'operator', 'kepercayaan']</t>
  </si>
  <si>
    <t>['mudah', 'membantu', 'btw', 'min', 'kpan', 'nukar', 'diamond', '']</t>
  </si>
  <si>
    <t>['bagus', 'layanannya']</t>
  </si>
  <si>
    <t>['apanya', 'jaringan', 'terbaik', 'tlp', 'iya', 'internet', 'telkomsel', 'jaringannya', 'smart', 'udh', 'ambil', 'regular', 'kek', 'smart', 'wajar', 'lemot', 'unlimited', 'karna', 'perhati', 'gb', 'gb', 'jaringan', 'telkomsel', 'brand', 'org', 'kesel', 'kadang', 'ilang', 'kirain', 'kuota', 'habis', 'nggk', 'taunya', 'nggk', 'udh', 'nggk', 'kuat', 'naikin', 'nggk', 'lemot', 'kebanyaoan', 'customer', 'cari', 'berkwalitas', 'harga']</t>
  </si>
  <si>
    <t>['sinyal', 'parah', 'sinyal', 'buruk']</t>
  </si>
  <si>
    <t>['tolong', 'tambahkan', 'fitur', 'smartlock']</t>
  </si>
  <si>
    <t>['semangat', 'terbaik', 'sip', '']</t>
  </si>
  <si>
    <t>['jaringan', 'telkomsel', 'full', 'lag']</t>
  </si>
  <si>
    <t>['maunya', 'aktif']</t>
  </si>
  <si>
    <t>['bintang', 'min', 'blumm', 'diskon', 'kuota', 'murah', 'sekian', 'terimakasih']</t>
  </si>
  <si>
    <t>['dowload', 'aplikasi', 'telkomsel']</t>
  </si>
  <si>
    <t>['sll', 'suka', 'sma', 'kemudahan', 'fiturnya']</t>
  </si>
  <si>
    <t>['aplikasi', 'ribet', 'banget', 'log', 'ribet', 'log', 'nin', 'nomor', 'ibuk', 'susah', 'banget', 'pakek', 'acara', 'kirim', 'link', 'males', 'banget']</t>
  </si>
  <si>
    <t>['telkomsel', 'sinyal', 'kayabm', 'jelek', 'parah']</t>
  </si>
  <si>
    <t>['harga', 'paket', 'data', 'internet', 'mahal', 'kecewa']</t>
  </si>
  <si>
    <t>['koneksi', 'internet', 'lemot', 'parah', 'kecewa', '']</t>
  </si>
  <si>
    <t>['mohhon', 'tingkat', 'mehilang', 'internet', 'udah', 'pakum', 'telkomsel', 'karna', 'suka', 'gangguan', 'sinyal', '']</t>
  </si>
  <si>
    <t>['kuota', 'gb', 'koneksi', 'jaringan', 'akses', 'chrome', 'youtube', 'lelet', 'banget', 'berasa', 'jaringan', 'edge', 'tolonglah', 'telkomsel', 'rugikan', 'pelanggan', 'setia', 'telkomsel', 'udah', 'bayar', 'paket', 'mahal', 'jaringan', 'harga', 'kecewa', 'minus', 'rating', 'kasih', 'bintang', 'kayanya']</t>
  </si>
  <si>
    <t>['aplikasi', 'telkomsel', 'cek', 'pulsa', 'kuota', 'beli', 'kuota', 'muncul', 'tulisan', 'gangguan', 'sistem', 'diperbarui', 'parah', '']</t>
  </si>
  <si>
    <t>['parah', 'poin', 'peroleh', 'point', 'adakah', 'solusinya', '']</t>
  </si>
  <si>
    <t>['sya']</t>
  </si>
  <si>
    <t>['heran', 'telkomsel', 'pengguna', 'kuota', 'mahal', 'kartu', 'bnyak', 'promo', 'murah', '']</t>
  </si>
  <si>
    <t>['download', 'dibuka', 'suruh', 'update', 'gimanaa', 'aplikasi']</t>
  </si>
  <si>
    <t>['promo', 'mantul']</t>
  </si>
  <si>
    <t>['malu', 'harga', 'mahal', 'sinyal', '']</t>
  </si>
  <si>
    <t>['beli', 'paket', 'apk', 'telkomsel', 'gagal', 'sistem', 'gangguan', 'tolong', 'perbaiki', 'min', '']</t>
  </si>
  <si>
    <t>['masuk', 'apliksi', 'susah', 'bngt', 'loading', 'stu', 'jam', 'pdhl', 'kouta', 'bru', 'bli', 'mkin', 'buruk']</t>
  </si>
  <si>
    <t>['coba', 'ofline', 'aplikasinya', 'buka']</t>
  </si>
  <si>
    <t>['baim', 'gausah', 'paket', 'unlimitd', 'gabisa', 'dipake', 'kembalikan', 'paket', 'full', 'kecewa', 'lihat', 'telkomael']</t>
  </si>
  <si>
    <t>['assalammualaikum', 'min', 'paket', 'beli', 'hilang', 'ektra', 'unlimited', 'sya', 'beli', 'hadeh', 'beli', 'mahal']</t>
  </si>
  <si>
    <t>['telkomsel', 'deh']</t>
  </si>
  <si>
    <t>['knp', 'paket', 'promo', 'berubah', '']</t>
  </si>
  <si>
    <t>['internet', 'sakti', 'dapet', 'benefit', 'gratis', 'langganan', 'disney', 'hotstar', 'pas', 'buka', 'disney', 'suruh', 'langganan', 'kecewa', '']</t>
  </si>
  <si>
    <t>['semenjak', 'perbaharui', 'telkomselku', 'gag', 'buka', 'masuk', 'beli', 'paketan', 'nongol', '']</t>
  </si>
  <si>
    <t>['sip', 'membantu']</t>
  </si>
  <si>
    <t>['cukupan', 'tolong', 'diperbaiki', 'promo', 'konsumer', 'terkecoh', 'kurangnya', 'kejelasan', 'bintangnya', '']</t>
  </si>
  <si>
    <t>['kesal', 'kali', 'sampe', 'sempatkan', 'nilis', 'mohon', 'pesan', 'masuk', 'menggangu', 'pagi', 'pesan', 'dri', 'telkomsel', 'suka', 'bermanfaat', 'aplikasi', 'org', 'liat', 'pelu', 'kirim', 'pesan', '']</t>
  </si>
  <si>
    <t>['kacau', 'telkomsel', 'beli', 'pulsa', 'habis', 'wifi', 'data', 'seluler', 'jarang', 'pakai', 'kondisi', 'paket', 'internet', 'pulsa', 'kesedot', 'habis', '']</t>
  </si>
  <si>
    <t>['', 'allah', 'signalmu', 'jelek', 'mohon', 'cek', 'area', 'ngawi', 'perbatasan', 'bojonegoro', 'sinyal', 'bentar', 'berubah', 'mengganggu', 'kenyamanan', 'kecewa', 'bintang', 'kasi', 'bintang', 'saking', 'buruknya', 'jaringan']</t>
  </si>
  <si>
    <t>['jaringannya', 'parah', 'gini', 'telkomsel', 'lambat', 'lemot', 'lelet', 'ditelkomsel', 'pokonya', 'benerin', 'jaringannya', '']</t>
  </si>
  <si>
    <t>['knapa', 'telkomsel', 'nyedot', 'pulsa', 'kuota', 'data', 'kuota', 'gb', 'nyedot', 'pulsa', '']</t>
  </si>
  <si>
    <t>['mahal', 'paketnya', 'lbih', 'mahal', 'paket', 'uang', 'makan', 'sebayak', 'paket', 'trus', 'sebagus', 'dlu', 'seinyalnya', 'jelek', '']</t>
  </si>
  <si>
    <t>['puas', 'pelayan', 'telkomsel']</t>
  </si>
  <si>
    <t>['sinyal', 'gangguan', 'ngotak', 'iya', 'gangguan', 'berjam', 'jam', '']</t>
  </si>
  <si>
    <t>['membantu', 'pelanggan']</t>
  </si>
  <si>
    <t>['bagus', 'aplikasi', 'mytelkomsel', 'terima', 'kasin']</t>
  </si>
  <si>
    <t>['kasih', 'deskripsi', 'paket', 'daerahku', 'sinyal', 'paket', 'ceria', 'online', 'match', 'game', 'pes', 'tolong', 'direspon', 'mentang', 'mentang', 'mengunggulkan', 'sinyal', 'luas', 'mendengarkan', 'konsumen']</t>
  </si>
  <si>
    <t>['tingkatkan', 'sinyal', 'plosok', 'daerah', '']</t>
  </si>
  <si>
    <t>['parah', 'pulsa', 'abis', 'data', 'mati', 'abis', 'udah', 'kalinya', '']</t>
  </si>
  <si>
    <t>['keseringan', 'update', 'fungsi', 'benefit', 'poin', 'sel', 'tolong', 'bermanfaat', 'voucher', 'belanja', 'marketplace', 'aneh', 'aneh']</t>
  </si>
  <si>
    <t>['kasih', 'bintang', 'ngisi', 'voucher', 'susah', '']</t>
  </si>
  <si>
    <t>['bagus', 'mudah', 'semoga', 'aplikasi', 'perbagus', 'trimksh']</t>
  </si>
  <si>
    <t>['signal', 'smakin', 'turun', 'perbaiki', 'pindah', 'peovider', 'pengguna', 'taun']</t>
  </si>
  <si>
    <t>['mengecewakan', 'transaksi', 'gagal']</t>
  </si>
  <si>
    <t>['ngerasa', 'puas', 'minggu', 'paket', 'rb', 'udah', 'tolong', 'pelit', 'nyari', 'uang', 'enak', 'kah', '']</t>
  </si>
  <si>
    <t>['nomer']</t>
  </si>
  <si>
    <t>['mahal', 'lambat']</t>
  </si>
  <si>
    <t>['bagus', 'cepat', 'hemat', '']</t>
  </si>
  <si>
    <t>['aneh', 'versi', 'ketinggalan', 'apps', 'hhhh']</t>
  </si>
  <si>
    <t>['good', 'aplikasi', 'mudah', 'penggunaan']</t>
  </si>
  <si>
    <t>['telkomsel', 'uninstall', 'diinstal', 'install', 'pembaruan', '']</t>
  </si>
  <si>
    <t>['gangguan', 'sistem', 'beli', 'quotaaaaa', 'dahlah', 'hapusss', 'udah', 'dihapus', 'pas', 'download', 'ulang', 'gangguan', 'sistem', 'hapus']</t>
  </si>
  <si>
    <t>['jangkauan', 'daerah']</t>
  </si>
  <si>
    <t>['cepat', 'mudah', 'simpel']</t>
  </si>
  <si>
    <t>['mencoba', 'aplikasi']</t>
  </si>
  <si>
    <t>['android', 'meng', 'unduh', 'app', 'update']</t>
  </si>
  <si>
    <t>['harga', 'suka', 'berubah', 'sesuka', 'hati', 'bener', 'trik', 'marketing', 'mengganggu', 'contoh', 'isi', 'pas', 'beli', 'alih', 'diskon', 'rb', 'musti', 'isi', 'isi', 'minimal', 'rb', 'membagongkan', '']</t>
  </si>
  <si>
    <t>['membantu', 'membantu']</t>
  </si>
  <si>
    <t>['main', 'game', 'sinyal', 'penuh', 'lag', 'lag', 'browsing', 'kencang', 'kbs', 'main', 'game', 'kecepatan', 'transfer']</t>
  </si>
  <si>
    <t>['pulsanya', 'hilang', 'kartu', 'telkomsel', 'buka', 'aplikasi', 'pulsanya', 'berkurang', 'berkurang', 'sbg', 'data', 'seluler', 'parah']</t>
  </si>
  <si>
    <t>['sibuk', 'promo', 'min', 'benerin', 'jaringan', 'minimal', 'kaya', 'kesini', 'bagus', 'buruk', 'jaringannya', '']</t>
  </si>
  <si>
    <t>['harapan', 'telkomsel', 'pelayanan', 'prima']</t>
  </si>
  <si>
    <t>['paketan', 'masuk', 'akal', 'ganti', 'ganti', 'harga', 'akhlak', 'harga', 'paketan', 'bener', 'sinyal', 'kesini', 'aneh', 'kaya']</t>
  </si>
  <si>
    <t>['beli', 'telkomsel', 'cok', 'sinyalnya', 'nggak', 'suka', 'ngilang', 'pas', 'main', 'jaringan', 'nggak', 'sebagus', 'banget', 'pas', 'main', 'ping', 'trus', 'kalah', 'gara', 'gara', 'telkomsel', 'udah', 'nggak', 'bener', 'nggak', 'kaya', 'kasih', 'bintang', '']</t>
  </si>
  <si>
    <t>['semoga', 'mantap']</t>
  </si>
  <si>
    <t>['sinyal', 'pengiriman', 'ebill', 'terkendala']</t>
  </si>
  <si>
    <t>['oke', 'pilihan', 'bonus', '']</t>
  </si>
  <si>
    <t>['alhamdulillah', 'bermanfaat']</t>
  </si>
  <si>
    <t>['membantu', 'paket', 'data', 'murah', '']</t>
  </si>
  <si>
    <t>['pulsa', 'kesedot', 'kuota', 'mentri']</t>
  </si>
  <si>
    <t>['event', 'orang', 'terima', 'kasih', 'paket', 'murahnya', 'area', 'jabodetabek', 'semoga', 'paket', '']</t>
  </si>
  <si>
    <t>['telkomsel', 'udh', 'didaerah', 'telkomsel', 'bagus', 'jaringan', 'belajar', 'online', 'memuaskan', 'ditambah', 'interface', 'aplikasi', 'user', 'friendly', 'terima', 'kasih', 'pelayanan']</t>
  </si>
  <si>
    <t>['soalya']</t>
  </si>
  <si>
    <t>['mempermudah', 'transaksi', 'pembelian', 'pulsa', 'kuota']</t>
  </si>
  <si>
    <t>['hilang', 'jaringan']</t>
  </si>
  <si>
    <t>['menjadikan', 'komunikasi', 'ekonomis', 'mudah']</t>
  </si>
  <si>
    <t>['', 'tolong', 'perbaiki', 'jaringan', 'tolong', 'kuotanya', 'harga', 'terjangkau', 'ekonomi', 'lemah']</t>
  </si>
  <si>
    <t>['didaftarkan']</t>
  </si>
  <si>
    <t>['aplikasi', 'lelet', 'banget']</t>
  </si>
  <si>
    <t>['tolong', 'hadiah', 'hadiah', 'gitu']</t>
  </si>
  <si>
    <t>['perbaiki', 'icon', 'notifikasi', 'android', 'tampil', 'kotak']</t>
  </si>
  <si>
    <t>['terdepan', 'kwalitas']</t>
  </si>
  <si>
    <t>['', 'ditingkatkan', 'signal', 'jaringannya', 'aplikasinya', 'masak', 'dikota', 'sekelas', 'telkomsel', 'jaringanya', 'busuk', 'maen', 'game', '']</t>
  </si>
  <si>
    <t>['promonya', 'menarik']</t>
  </si>
  <si>
    <t>['hemat', 'praktis']</t>
  </si>
  <si>
    <t>['pakai', 'membantu', 'lelet', 'kuota', 'buka', 'download', 'turunkan', 'bintang', 'memuaskan', 'hapus', 'pakai', '']</t>
  </si>
  <si>
    <t>['kecewa', 'telkomsel', 'paket', 'kuota', 'isi', 'ulang', 'data', 'kosong', 'telkomsel', 'langsung', 'menyedot', 'pulsa']</t>
  </si>
  <si>
    <t>['maju', 'dlm', 'teknologi', 'sukses']</t>
  </si>
  <si>
    <t>['memg', 'ditinggalkan', 'combo', 'sakti', 'maxnya', 'murah']</t>
  </si>
  <si>
    <t>['mempermudah', 'transaksi', 'ribet', 'maju', 'sukses', 'telkomsel']</t>
  </si>
  <si>
    <t>['paket', 'internet', 'suka', 'ngambil', 'pulsa', 'seenak', 'anjg', '']</t>
  </si>
  <si>
    <t>['masuknya', 'ribet']</t>
  </si>
  <si>
    <t>['cepat', 'mudah', 'hemat']</t>
  </si>
  <si>
    <t>['terima', 'kasih', 'persembahan', 'tekomsel', 'komunikasi', 'keluarga', 'terjangkau', 'gangguan', 'sinyal']</t>
  </si>
  <si>
    <t>['telokmsel', 'ngecek', 'kuota', 'habis', '']</t>
  </si>
  <si>
    <t>['beli', 'pulsa', 'beli', 'paket', 'pulsa', 'tinggal', 'data', 'aktif', 'hilang', 'rugi', 'orng', '']</t>
  </si>
  <si>
    <t>['bagus', 'ditingkatkan', 'login']</t>
  </si>
  <si>
    <t>['aplikasi', 'lemot', 'liat', 'sisa', 'quota', 'uninstall', 'aplikasi', 'install', 'aplikasi', 'buka', 'aplikasi', 'bongkar', 'pasang', 'aplikasi', 'layar', 'white', 'screen', 'perbaiki', 'aplikasi', 'repot', 'bolak', 'bongkar', 'pasang', 'aplikasi', 'liat', 'quota', '']</t>
  </si>
  <si>
    <t>['bintang', 'layanan', 'prima']</t>
  </si>
  <si>
    <t>['ditingkatkan', 'sinyal', 'daerah']</t>
  </si>
  <si>
    <t>['mantep', 'banget', 'telkomsel', 'keluhan', 'langsung', 'respon', 'cepat', 'terimakasih', 'telkomsel']</t>
  </si>
  <si>
    <t>['hoii', 'telkomsel', 'update', 'paketan', 'kuota', 'mahal', '']</t>
  </si>
  <si>
    <t>['lemot', 'jaringan', 'bagus']</t>
  </si>
  <si>
    <t>['unlimited', 'hapus', 'lemotnya']</t>
  </si>
  <si>
    <t>['internetnya', 'lemot', 'parah', 'wilayah', 'jabodetabek', 'sia', 'beli', 'kuota', 'mahal', 'pelayanannya']</t>
  </si>
  <si>
    <t>['tukat', 'poin', 'pulsa', 'aneh', 'kali', 'apk', 'berhenti', 'beli', 'pulsa', 'klw', 'poinnya', 'tukar', 'pulsa', 'payahhh']</t>
  </si>
  <si>
    <t>['bgs', 'apk']</t>
  </si>
  <si>
    <t>['sinyalnya', 'ilang', 'sebanding', 'hraga', 'mahal', 'gua', 'putus', 'keluhan', 'suruh', 'hub', 'vero', 'vero', 'berbuat', 'ap', 'opo', 'iki', '']</t>
  </si>
  <si>
    <t>['jaringan', 'telkomsel', 'perluas', 'terjangkau', 'daerah']</t>
  </si>
  <si>
    <t>['sial', 'lag', 'mulu', 'kayak', 'lancar']</t>
  </si>
  <si>
    <t>['semoga', 'telkomsel', 'pembayaran', 'non', 'tunai', 'harap', 'tanggapi', '']</t>
  </si>
  <si>
    <t>['harapannya', 'perbanyak', 'promo', 'murah', 'unlimited', 'mahal', 'harga', 'paketnya']</t>
  </si>
  <si>
    <t>['mantab', 'murah']</t>
  </si>
  <si>
    <t>['singal', 'tibatiba', 'gimana', 'kuota', 'mahal', 'singal', 'abalabal', '']</t>
  </si>
  <si>
    <t>['sinyal', 'internet', 'lancar', '']</t>
  </si>
  <si>
    <t>['jaringan', 'terburuk', 'harga', 'paket', 'internet', 'mahal', 'signal', 'busuk', 'telkomnyet', 'perusak', 'signal', '']</t>
  </si>
  <si>
    <t>['', 'sangatt', 'baguss', '']</t>
  </si>
  <si>
    <t>['sinyal', 'jelek', 'parah', 'boros', 'data', 'pokoknya', 'udah', 'mahal', 'beli', 'kuota', 'sinyal', 'jelek', 'kuota', 'boros', 'fix', 'telkomsel', 'provider', 'jelek', 'skrng']</t>
  </si>
  <si>
    <t>['tilkomsial', 'mahal', 'doang', 'jaringan', 'labil', 'kayak', 'bocah', 'gblk']</t>
  </si>
  <si>
    <t>['sinyal', 'telkom', 'parah', 'gara', 'sinyal', 'hilang', 'banned', 'akun', 'game', 'menunggu', 'bermain', 'game', 'mohon', 'perhatikan', 'sinyal', 'jaringan', 'kartu', 'telkomsel', 'layanan', 'jaringan', 'sinyal', 'bagus', 'pengguna', 'telkomsel', 'zaman', 'sekolah', 'kecewa', '']</t>
  </si>
  <si>
    <t>['mantap', 'mantap', 'mamtap']</t>
  </si>
  <si>
    <t>['', 'srkali']</t>
  </si>
  <si>
    <t>['jaringan', 'rusak', 'pulsa', 'hilang', 'pakai', 'aneh', 'udah', 'kayak', 'korupsi', 'pulsa', 'lapor', 'kpk', '']</t>
  </si>
  <si>
    <t>['kesalahan']</t>
  </si>
  <si>
    <t>['ditingkatkan']</t>
  </si>
  <si>
    <t>['senang', 'produk', 'internet', 'telkomsel', 'perhatikan', 'paket', 'internet', 'beli', 'masuk', 'kali', 'pembelian', 'hilang', 'sengaja', 'dihilangkan', 'mgkn', 'alasan', 'diluar', 'jangkauan', 'aneh', 'diarahkan', 'paket', 'nota', 'bene', 'tertarik', 'anehnya', 'aplikasi', 'telkomsel', 'hny', 'paket', 'malam', 'tersedia', 'mending', 'pakai', 'operator', 'paket', 'internetnya', 'kecewa', 'telkomsel', 'terima', 'kasih', '']</t>
  </si>
  <si>
    <t>['', 'paketnya', 'merata', 'kartu', 'paketan', 'murah', 'masi', 'paketannya', 'mahal', '']</t>
  </si>
  <si>
    <t>['kecewa', 'telkomsel', 'mkin', 'gx', 'bersa', 'stiap', 'nonton', 'streaming', 'kualitas', 'lelet', '']</t>
  </si>
  <si>
    <t>['jaringan', 'lambat', 'aplikasinya', 'ribet', 'update', 'syarat', 'langsung', 'auto', 'uninstal', '']</t>
  </si>
  <si>
    <t>['bagus', 'skali']</t>
  </si>
  <si>
    <t>['belasan', 'thn', 'pengguna', 'telkomsel', 'senang', 'jaringan', 'telkom', 'bagus', 'skrg', 'kcwa', 'jaringan', 'skrg', 'terputus', 'hilang', 'kcwa', 'kurangi', 'bintang', '']</t>
  </si>
  <si>
    <t>['telkomsel', 'menjadikan', 'mudah', 'gengaman']</t>
  </si>
  <si>
    <t>['mantap', 'mudah', 'transaksinya']</t>
  </si>
  <si>
    <t>['bukak', 'app', 'mesti', 'butuh', 'jaringan', 'extra', 'kenceng', 'tebukak']</t>
  </si>
  <si>
    <t>['pakai', 'telkomsel', 'manapun', 'sinyal', 'oke']</t>
  </si>
  <si>
    <t>['bonus', 'cek', 'dimasukin', 'bonus', 'diamond', 'mobile', 'legend', 'masukin', 'bonus', 'data', '']</t>
  </si>
  <si>
    <t>['maaf', 'kurangi', 'bintangnya', 'pulsa', 'terpotong', 'rb', 'kuota', 'pulsa', 'ambil', 'tolong', 'kembalikan', 'pulsa', 'uang', 'layanan', 'buruk', '']</t>
  </si>
  <si>
    <t>['telkomsel', 'sinyalnya', 'udah', 'bagus', 'hujan', 'suka', 'gangguan']</t>
  </si>
  <si>
    <t>['mantep', 'kali', 'apk', 'mudah', 'beli', 'paket', 'internet']</t>
  </si>
  <si>
    <t>['bug', 'beli', 'paketan', 'harga', 'metode', 'pulsa', 'paket', 'malam', 'gb', '']</t>
  </si>
  <si>
    <t>['jaringan', 'busuk', 'kerjaan', 'tertunda', 'gara', 'gara', 'sinyal', 'kek', 'babi']</t>
  </si>
  <si>
    <t>['aplikasinya', 'udah', 'perbarui', 'ngak', 'pakek', 'pas', 'buka', 'perbarui', 'gitu']</t>
  </si>
  <si>
    <t>['aplikasi', 'menarik', 'event', 'event', 'semangat', 'mengembangkan', 'aplikasi']</t>
  </si>
  <si>
    <t>['membeli', 'kuota', 'ketengan', 'unlimited', 'youtube', 'nggk', 'gunain', 'nonton', 'youtube', 'ehh', 'kepakai', 'palab', 'kuota', 'utama', 'rugi', '']</t>
  </si>
  <si>
    <t>['bagus', 'mantap']</t>
  </si>
  <si>
    <t>['bintang', 'ntar', 'berkembang', 'tbah', '']</t>
  </si>
  <si>
    <t>['tolonglah', 'manajemen', 'telkomsel', 'perbaiki', 'koneksi', 'beli', 'paket', 'mahal', 'mahal', 'koneksi', 'lelet', 'tunggu', 'itikad', 'manajemen', 'telkomsel', 'udah', 'provider', 'telkomsel', 'koneksinya', 'buruk', 'perbaikannya', 'provider', 'taik', '']</t>
  </si>
  <si>
    <t>['saldo', 'berkurang', 'perlahan', 'data', 'selulernya', 'aktif', 'konsumen', 'rugi', '']</t>
  </si>
  <si>
    <t>['semoga', 'menang', 'salah', 'undian', 'ikuti', 'telkomsel', 'amin']</t>
  </si>
  <si>
    <t>['harga', 'paket', 'kuota', 'mahal', 'pengguna', 'telkomsel', 'pindah', 'kartu', 'paket', 'internet', 'max', 'terjangkau', 'msih', 'dipakai', 'masyarakat', 'miskin', 'skarang', 'smua', 'mahal', 'sbagai', 'pelanggan', 'kecewa', 'fix', 'ganti', 'krtu', 'kuota', 'msih', 'tpi', 'pda', 'riwayat', 'pemakaian', 'mengambil', 'plz', 'pemakaian', 'internet', 'maling', 'telkomsel', 'babi', '']</t>
  </si>
  <si>
    <t>['oke', 'wae', 'laah']</t>
  </si>
  <si>
    <t>['sinyal', 'perbaiki', 'kuota', 'nambah', 'mahal', 'gini', 'rugi']</t>
  </si>
  <si>
    <t>['login', 'proses', 'lambat']</t>
  </si>
  <si>
    <t>['signal', 'mangkin', 'uda', 'telkomsel', 'tolong', 'singnal', 'telkomsel']</t>
  </si>
  <si>
    <t>['bintang', 'kurangin', 'sumpah', 'kesel', 'banget', 'maen', 'game', 'ajah', 'kalah', 'axis', 'sinyal', 'kek', 'kartu', 'tri', 'gunung', 'lemah', '']</t>
  </si>
  <si>
    <t>['nyaman']</t>
  </si>
  <si>
    <t>['jaringan', 'mulu', 'kota', 'bagus', 'ampas', 'sinyalnya']</t>
  </si>
  <si>
    <t>['kecepatan', 'data', 'telkomsel', 'bagus', 'down', 'main', 'game', 'koneksi', 'ancur', 'dimohon', 'telkomsel', 'mengecek', 'memperbaikinya', 'pelanggan', 'telkosel', 'kecewa', '']</t>
  </si>
  <si>
    <t>['auto', 'uninstall', 'gajelas', 'sinyal', '']</t>
  </si>
  <si>
    <t>['biaya', 'pembelian', 'kuota', 'pengguna', 'setia', 'berilah', 'harga', 'spesial', 'mahal', 'terimakasih']</t>
  </si>
  <si>
    <t>['punyaku', 'reset', 'checki', 'udah', 'sampe', 'reset', 'lgi']</t>
  </si>
  <si>
    <t>['harga', 'kuota', 'kemahalan', 'pas', 'mengecewa', 'telkomsel', 'memiliki', 'jaringan', 'internet', 'hey', 'telkomsel', 'dimana', 'jati', '']</t>
  </si>
  <si>
    <t>['cerita', 'beli', 'paket', 'youtube', 'unlimited', 'trus', 'terpakai', 'kuota', 'utama', 'gimana', 'ngapain', 'beli', 'tambahan', 'paket', 'kuota', 'utama', 'pakai', 'menyengsarakan', '']</t>
  </si>
  <si>
    <t>['sya', 'beli', 'pulsa']</t>
  </si>
  <si>
    <t>['kalah', 'paket', 'mahal', 'gabi', 'tataian']</t>
  </si>
  <si>
    <t>['paket', 'telkomsel', 'mahal']</t>
  </si>
  <si>
    <t>['dlm', 'pelanggan', 'bahasa', 'mudah', 'mengerti']</t>
  </si>
  <si>
    <t>['ribet', 'diakses', 'ditunggu', 'kebuka', 'tetep', 'diakses', 'udah', 'diuninstal', 'download', 'tetep']</t>
  </si>
  <si>
    <t>['welfrid', 'bunga', 'telkomsel', 'nyata', 'love', 'telkomsel']</t>
  </si>
  <si>
    <t>['semoga', 'dapet', '']</t>
  </si>
  <si>
    <t>['kartu', 'taik', 'mahal', 'doank', 'sdm', 'rendah', 'loker', 'meletakkan', 'telpon', 'tlpon', 'diangkat', 'read', 'doank', 'sinyalnya', 'stabil', 'dlu', 'sdm', 'rendah', 'ganti', 'kartu', 'fix', 'idiot']</t>
  </si>
  <si>
    <t>['telkomsel', 'provider', 'terburuk', 'hidup', 'kota', 'kya', 'hidup', 'hutan', 'belantara', 'susah', 'sinyal', '']</t>
  </si>
  <si>
    <t>['sinyal', 'parah', 'gila', 'udh', 'hilang', 'kacau', 'telkomsel']</t>
  </si>
  <si>
    <t>['kestabilan', 'koneksi', 'internet', 'parah', 'diambil', 'alih', 'swasta', 'profesional']</t>
  </si>
  <si>
    <t>['mahal', 'mahal', 'sinyal', 'kek']</t>
  </si>
  <si>
    <t>['pakai', 'telkomsel', 'telkomsel', 'signal', 'bagus', 'jelek', 'skarang', 'telkomsel', 'signal', 'jelek', 'kartu', 'kartu', 'bosan', 'muak', 'telkomsel', 'auto', 'cabut', 'kartu', 'buang', 'pindah', 'kartu', 'laen', '']</t>
  </si>
  <si>
    <t>['jaringan', 'telkom', 'bagus', 'mengecewakan']</t>
  </si>
  <si>
    <t>['pengguna', 'kartu', 'telkom', 'kecewa', 'karna', 'disebabkan', 'sinyal', 'telkom', 'sel', 'melemah', 'malam', 'jam', 'ampe', 'ngeleg', 'parah', 'kyk', 'dlu', 'lgi', 'tolong', 'telkomsel', 'diperbaiki', 'tinggal', 'pelosok', 'asli', 'sinyal', 'ngeleg', 'main', 'plis', 'telkomsel', 'sinyal', 'diperbaikin', 'dibikin', 'pusing', 'karna', 'sinyal', 'lemot', 'danemvuat', 'frustasi', 'bundir', '']</t>
  </si>
  <si>
    <t>['memudahkan', 'transaksi']</t>
  </si>
  <si>
    <t>['isi', 'pulsa', 'beli', 'paket', 'seharga', 'pulsa', 'trus', 'pulsa', 'berkurang', 'trus', 'beli', 'paket', 'sbb', 'aplikasi', 'bermasalah', 'pulsa', 'berkurang', 'kantanya', 'aplikasi', 'bermasalah', 'ngambil', 'pulsa', '']</t>
  </si>
  <si>
    <t>['bilangnya', 'game', 'unlimited', 'mengurangi', 'kecepatan', 'masuk', 'lobi', 'game', 'pubg', 'parah', 'emng', '']</t>
  </si>
  <si>
    <t>['aplikasi', 'suka']</t>
  </si>
  <si>
    <t>['paket', 'nelpon', 'spesial', 'bulanan', 'diaktifkan', '']</t>
  </si>
  <si>
    <t>['knp', 'promo', 'harganya', 'naikin', 'seribu']</t>
  </si>
  <si>
    <t>['paket', 'data', 'mahal', 'jaringan', 'lelet', '']</t>
  </si>
  <si>
    <t>['mantap', 'bagus', 'harga', 'kouta', 'murah', 'semoga', 'dapet', 'promo']</t>
  </si>
  <si>
    <t>['bonusnya', 'yesssss', 'hahaha']</t>
  </si>
  <si>
    <t>['update', '']</t>
  </si>
  <si>
    <t>['', 'bintang']</t>
  </si>
  <si>
    <t>['mantap']</t>
  </si>
  <si>
    <t>['memuaskan', 'pelayanannya']</t>
  </si>
  <si>
    <t>['login', 'link', 'ngerepotin', 'promo', 'menari']</t>
  </si>
  <si>
    <t>['kota', 'nikmati', 'promo', 'vocer', '']</t>
  </si>
  <si>
    <t>['jaringan', 'super', 'lemot', 'signal', 'lelet', 'paket', 'mahal']</t>
  </si>
  <si>
    <t>['anjiiiingggg', 'ngga', 'jaringanya', 'babi']</t>
  </si>
  <si>
    <t>['paket', 'telkomsel', 'mahal', 'mahal', 'bnget']</t>
  </si>
  <si>
    <t>['admin', 'telkomsel', 'tolong', 'paket', 'gamemaxs', 'game', 'support', 'kaya', 'pubg', 'genshin', 'impack', 'game', 'lainya', 'game', 'paket', 'gamemaxs']</t>
  </si>
  <si>
    <t>['udh', 'beli', 'kouta', 'pulsa', 'masuk', 'kena', 'potong', 'nomer', 'ajg']</t>
  </si>
  <si>
    <t>['jaman', 'jebod', 'gua', 'udh', 'setia', 'telkomsel', 'sinyal', 'lelet', 'harga', 'sinyal', 'udh', 'kek', 'ribet', 'kartu', 'sultan', 'spek', 'kalah', 'kartu', 'rakyat', 'sorry', 'pindah', 'murah', 'sinyal', 'keren', '']</t>
  </si>
  <si>
    <t>['mantap', 'kortingannya']</t>
  </si>
  <si>
    <t>['semoga', 'betah']</t>
  </si>
  <si>
    <t>['', 'nyesel', 'download', 'telkomsel', 'cobain', 'deh']</t>
  </si>
  <si>
    <t>['bertahun', 'telkomsel', 'kekecewaan', 'pelanggan', 'bertambah', 'beli', 'pulsa', 'ambil', 'paket', 'internet', 'telepon', 'sms', 'hilangnya', 'pulsa', 'kemana', 'tuyul', 'mengambil', 'pulsa', 'lenyap', 'pulsa']</t>
  </si>
  <si>
    <t>['diperbarui', 'diperbaharui', 'dibuka', 'udah', 'update', 'dibuka', 'apk', 'ngecek', 'pulsa', 'kuota', 'manual', '']</t>
  </si>
  <si>
    <t>['keluhan', 'pelanggan', 'diperdulikan', 'provider', 'telkomsel', 'ampun', 'deh', 'how', 'are', 'you', 'jaringan', 'plosok', 'desa', 'bangsaaa', '']</t>
  </si>
  <si>
    <t>['kemari', 'sinyal', 'telkomsel', 'jelek', '']</t>
  </si>
  <si>
    <t>['fungsi', 'kegunaan', 'membantu', 'memudahkan', 'kebutuhan', 'saran', 'app', 'tsel', 'widget', 'menampilkan', 'sisa', 'pulsa', 'kuota', 'mudah', 'buka', 'app', 'semoga', 'membantu', '']</t>
  </si>
  <si>
    <t>['harga', 'internet', 'mahal', 'jaringan', 'stabil', 'pokoknya', 'kecewa', 'emosi', 'sampe', 'banting', 'gara', 'gara', 'ngelag']</t>
  </si>
  <si>
    <t>['login', 'musti', 'link', 'url', 'parah', 'aplikasi']</t>
  </si>
  <si>
    <t>['apk', 'membantu']</t>
  </si>
  <si>
    <t>['aplikasi', 'taik', 'masak', 'nggak', 'login', 'nggak', 'dikirim', 'pesan']</t>
  </si>
  <si>
    <t>['terima', 'kasih', 'promo', 'sukses', 'slalu', 'terbaik', '']</t>
  </si>
  <si>
    <t>['paket', 'darurat', 'menjebak', 'notif', 'dipagihari', 'pas', 'bangun', 'tidur', 'bangung', 'fokus', 'pencet', 'tampa', 'baca', 'isi', 'pesan', 'bangun', 'tidur', 'fokus', 'sisa', 'kuota', 'internet', 'sisa', 'tagihan', 'paket', 'darurat', 'bayar', '']</t>
  </si>
  <si>
    <t>['telkomsel', 'babi', 'pulsa', 'sedot', 'teros', 'babi', 'lahh', '']</t>
  </si>
  <si>
    <t>['kecewa', 'telkomsel', 'sinyal', 'jelek', 'kualitasnya', 'hati', 'orang', 'kesal', 'lemot', 'sinyal', 'hilang', 'hilang', 'beli', 'paket', 'mahal', 'mahal', '']</t>
  </si>
  <si>
    <t>['telkomsel', 'jelek', 'parah', 'telkomsel', 'nyesel']</t>
  </si>
  <si>
    <t>['teruntuk', 'telkomsel', 'membaca', 'pesan', 'mendonasikan', 'poin', 'tolong', 'berbuat', 'orang', 'susah', 'telkomsel', 'disana', 'kaya', 'paket', 'internet', 'murah', 'promo', 'kemahalan', 'paket', 'bang', 'mahal', 'mahal', 'langganan', 'turunin', 'bang', '']</t>
  </si>
  <si>
    <t>['simple', 'gausah', 'lari', 'konter']</t>
  </si>
  <si>
    <t>['', 'eror', 'parah', 'bgd', 'perbaikinya', 'mahal', 'doang', 'pelayanan', 'bagus']</t>
  </si>
  <si>
    <t>['', 'lawan']</t>
  </si>
  <si>
    <t>['sinyal', 'ubdate', '']</t>
  </si>
  <si>
    <t>['', 'hilang', 'sinyal', 'internetnya', 'isi', 'cuman', 'daerah', 'kota', 'susah', 'sinyal', 'kah', 'seindah', 'harganya', 'sampek', 'rb', 'gb', '']</t>
  </si>
  <si>
    <t>['akun', 'telkomsel', 'memakai', 'kode', 'keamanan', 'pasword', '']</t>
  </si>
  <si>
    <t>['kapok', 'pakai', 'telkomsel', 'harga', 'doank', 'mahal', 'kulitas', 'fix', 'ganti', 'provider', 'gini', 'mah', 'bye', 'telkomsel', 'makasih', 'menemani', 'slama']</t>
  </si>
  <si>
    <t>['aplikasinya', 'bagus', 'terimakasih']</t>
  </si>
  <si>
    <t>['daerah', 'parung', 'bogor', 'jawa', 'barat', 'sinyal', 'jelek', 'banget', 'daerah', 'waru', 'jaya', 'mohon', 'tingkat', 'pakai', 'telkomsel', 'udh', 'parah', 'sinyal']</t>
  </si>
  <si>
    <t>['perbaiki', 'jaringan', 'mahal', 'doang', 'kualitas', 'cacad', 'kesel', 'banget', 'jaringan', 'jelek', 'tinggal', 'kota', 'main', 'game', 'cacad', 'sebanding', 'harga', '']</t>
  </si>
  <si>
    <t>['coba', 'mytelkomsel']</t>
  </si>
  <si>
    <t>['harga', 'paketnya', '']</t>
  </si>
  <si>
    <t>['coba', '']</t>
  </si>
  <si>
    <t>['provider', 'nomer', 'indonesia', 'cuman', 'main', 'game', 'koneksi', 'ilang', 'tolong', 'mahalnya', 'harga', 'paketan', 'imbangi', 'kualitasnya', '']</t>
  </si>
  <si>
    <t>['membantu', 'nggak', 'geratisa']</t>
  </si>
  <si>
    <t>['paket', 'mahal', 'kantong', 'pelajar']</t>
  </si>
  <si>
    <t>['jaringannya', 'buruk']</t>
  </si>
  <si>
    <t>['hancur', 'jaringan', 'internet', 'tsel', 'stabil', 'ditengah', 'kota', 'lho', 'udah', 'harga', 'kuota', 'mahal', 'kualitas', 'sebanding', '']</t>
  </si>
  <si>
    <t>['harga', 'paket', 'kompetitif', 'member', 'telkomsel', 'beda', 'beda', 'konsisten']</t>
  </si>
  <si>
    <t>['jaringan', 'ngk']</t>
  </si>
  <si>
    <t>['jaringan', 'hujan', 'ngelag', 'mahal', 'ngelag']</t>
  </si>
  <si>
    <t>['pulsa', 'pulsa', 'mencukupi', 'tolol']</t>
  </si>
  <si>
    <t>['aplikasi', 'efektif', 'kuota', 'pulsa', 'akses', 'darurat', 'telkomsel', 'contoh', 'beli', 'kuota', 'dll']</t>
  </si>
  <si>
    <t>['iya', 'telkomsel', 'jaringan', 'udah', 'full', 'signal', 'lag', 'heran', 'paketan', 'mahal', 'signalnya', 'parah', 'lag', 'jump', 'trus', 'gimana', 'gtu', 'haahhhhhhh', 'kecewaaaa', '']</t>
  </si>
  <si>
    <t>['smngat', 'membatu']</t>
  </si>
  <si>
    <t>['tolong', 'telomsel', 'konfirmasi', 'kemaren', 'protes', 'aplikasinya', 'blm', 'perbaikan', 'sinyal', 'hilang', 'paket', 'mahal', 'kualitas', 'buruk', 'masak', 'kota', 'buruk']</t>
  </si>
  <si>
    <t>['muach', 'telkomsel']</t>
  </si>
  <si>
    <t>['jaringan', 'buruk', 'merugikan', 'costumer', 'tolong', 'perbaiki', 'jngan', 'harga', 'paket', 'mahalbtapi', 'kualitas', 'jaringan', 'buruk', 'sangatt', 'buruk', 'kecewa', 'pelanggan', 'telkomsel', 'buruk', 'jaringannya']</t>
  </si>
  <si>
    <t>['mudah', 'menarik', 'penggunaannya']</t>
  </si>
  <si>
    <t>['keren', 'telkomsel', 'jaringan', 'paket', 'data', 'dipakai', 'game', 'online', 'nonton', 'baca', 'berita', 'ggl', 'telkomsel', '']</t>
  </si>
  <si>
    <t>['geblek', 'aplikasi', 'deadline', 'isi', 'kouta', 'bener', 'akun', 'giliran', 'pakai', 'point', 'aktif', 'giliran', 'kouta', 'ojek', 'kaga', 'mampus', 'sistem']</t>
  </si>
  <si>
    <t>['membatu']</t>
  </si>
  <si>
    <t>['promo', 'paket', 'internet', 'infokan', 'notif', 'jaringannya', 'tergganggu', 'gara', 'mendung']</t>
  </si>
  <si>
    <t>['sinyalnya', 'ampun', 'andalkan', 'marketnya', 'plat', 'pengguna', 'marketnya', 'perorangan', 'hebat', 'hebat']</t>
  </si>
  <si>
    <t>['sinyal', 'jelek', 'terkadang', 'hilang', '']</t>
  </si>
  <si>
    <t>['mantul', 'pokoknya', 'mantap']</t>
  </si>
  <si>
    <t>['telkomsel', 'kesinj', 'sinyalnya', 'buruk', 'banget', 'kayak', 'bayar', 'mahal', 'sinyalnya', 'bagus', 'bayar', 'mahal', 'sinyal', 'jelek', 'hadeuh']</t>
  </si>
  <si>
    <t>['suka', 'aplikasi']</t>
  </si>
  <si>
    <t>['mantap', 'cepat', 'telcomsel']</t>
  </si>
  <si>
    <t>['koneksi', 'lemot', 'beli', 'kuota', 'jir', '']</t>
  </si>
  <si>
    <t>['aplikasi', 'koq', 'nga', 'buka']</t>
  </si>
  <si>
    <t>['praktis', 'dlm', 'transaksi']</t>
  </si>
  <si>
    <t>['kartu', 'aneh', 'beli', 'kuota', 'aplikasi', 'baca', 'komik', 'online', 'serasa', 'kuota', 'buka', 'apk', 'pengaruh', 'sinyal', 'mustahil', 'pindah', 'ketempat']</t>
  </si>
  <si>
    <t>['skarang', 'telkomsel', 'berasa', 'kaya', 'jelek', 'banget', 'sinyal', 'bar', 'internetan', 'mengecewakan']</t>
  </si>
  <si>
    <t>['telkomsel', 'tolong', 'perbaiki', 'sinyal', 'lemot', 'setabil', 'menurun', 'drastis', 'tolong', 'pertimbangkan', 'telkomsel', 'sattt', 'gua', 'muak', 'ama', 'telkom', 'udah', 'komentar', 'suruh', 'perbaiki', 'ttp', 'sat', 'telkomsel', 'babi', 'halah', 'ktl']</t>
  </si>
  <si>
    <t>['terimakasih', 'telkomsel', 'telkomsel', 'solusi', 'menukarkan', 'poin', 'pulsa', '']</t>
  </si>
  <si>
    <t>['sinyal', 'hancur', 'pengen', 'pindah', 'kartu', 'klw', 'kaya', 'gini', 'trus']</t>
  </si>
  <si>
    <t>['membantu', 'pembelian', 'paket', 'undian', 'sumbangan', 'mantap', '']</t>
  </si>
  <si>
    <t>['jaringannya', 'lemot', 'bngt', 'sklh', 'bdr', 'susah', '']</t>
  </si>
  <si>
    <t>['jaringan', 'kek', 'kntd']</t>
  </si>
  <si>
    <t>['kehabisan', 'pulsa', 'limit', 'kepentingan', 'dibatasi', '']</t>
  </si>
  <si>
    <t>['ngirit', 'ngorot', 'gara', 'kejebak', 'beli', 'paket', 'ceria', 'pulsa', 'utama', 'habis', 'akses', 'internet', 'non', 'paket', 'gara', 'gara', 'jaringan', 'masuk', 'sinyalnya', 'jelek', 'banget', '']</t>
  </si>
  <si>
    <t>['kuota', 'mahal', '']</t>
  </si>
  <si>
    <t>['min', 'admin', 'telkomsel', 'udah', 'beli', 'paketan', 'bln', 'lost', 'signal', 'massa', 'simcard', 'sinyal', 'bagus', 'nokia', 'doang', 'kegunaannya', 'paketin', 'jadul', 'nggak', 'hape', 'lainya', 'gitu', '']</t>
  </si>
  <si>
    <t>['telkomsel', 'babi', 'perbaikan', 'tolong', 'jaringan', 'kelen', 'babi', 'main', 'pas', 'hujan', 'ngelag', 'kali', 'bos', 'jual', 'provider', 'kelen', 'gabisa', 'ngatasin', '']</t>
  </si>
  <si>
    <t>['telkomsel', 'emng', 'keren']</t>
  </si>
  <si>
    <t>['membantu', 'bangettt', '']</t>
  </si>
  <si>
    <t>['puas', 'mudah']</t>
  </si>
  <si>
    <t>['telkomsel', 'sinyal', 'butut', 'banget', 'kayak', 'dlu', 'bagus', 'knp', 'sumpah', 'kedepan', 'sinyal', 'diperbaiki', 'pindah', 'plis', 'liat', 'ulasan', 'ksihan', 'sudab', 'membeli', 'memuaskan', '']</t>
  </si>
  <si>
    <t>['aplikasi', 'bagus', 'promonya', 'lumayan']</t>
  </si>
  <si>
    <t>['hotoffer', 'telkomsel', 'tipu', 'tolong', 'layanan', 'sisa', 'pulsa', 'habis', 'pasang', 'paket', 'dibilang', 'sisa', 'pulsa', 'mencukupi', 'aneh', 'telkomsel', '']</t>
  </si>
  <si>
    <t>['sinyal', 'jaringannya', 'drop', 'ayo', 'bumn', 'sinyal', 'jaringan', 'internet', 'kencengin', 'stabilin', 'tambun', 'selatan', 'kabupaten', 'bekasi', '']</t>
  </si>
  <si>
    <t>['', 'kasih', 'bintang', 'dlu', 'sinyal', 'udh', 'lancar', 'kasih', 'bintang', '']</t>
  </si>
  <si>
    <t>['tolong', 'jaringan', 'jelek', 'kedepan', 'tolong', 'sinyalnya', 'diperbaiki', 'napa', 'paket', 'ajh', 'gua', 'isi', 'mahal', 'ajah', 'jelek', '']</t>
  </si>
  <si>
    <t>['aplikasinya', 'disempurnakan', 'aksesnya', 'susah', 'masuk', '']</t>
  </si>
  <si>
    <t>['pengguna', 'telkomsel', 'suka', 'telkomsel', 'jaringan', 'kuat', 'tingkatkan', 'promo', 'thanks']</t>
  </si>
  <si>
    <t>['telkomsel', 'bapuk', 'banget', 'jaringannya', 'mahal', 'doang']</t>
  </si>
  <si>
    <t>['sumpah', 'udah', 'ketiga', 'kalinya', 'pulsaku', 'kepotong', 'kuotaku', 'gaje', 'sumpah', 'nyari', 'untung', 'gini', '']</t>
  </si>
  <si>
    <t>['harganya', 'susah', 'sinyal', 'kuota', 'gb', 'ngga', 'dibeli', 'loading', '']</t>
  </si>
  <si>
    <t>['subhanallah', 'memakai', 'jaringan', 'telkomsel', 'jaringan', 'silang', 'pulsa', 'tersedot', 'alasan', 'signal', 'jeleknya', 'harga', 'paket', 'mahal', 'streaming', 'main', 'game', 'internet', 'tersedot', 'pulsa', 'terganggu', 'tertutama', 'daring', 'terima', 'kasih', 'semoga', 'suram']</t>
  </si>
  <si>
    <t>['lumayan', 'jaringan', 'stabilnya']</t>
  </si>
  <si>
    <t>['tingkatkan', 'kualitas', 'signal', 'tarifnya', 'tertinggi', 'operator']</t>
  </si>
  <si>
    <t>['aplikasi', 'mempermudah', 'pengguna', 'telkomsel', 'terimakasih', 'telkomsel']</t>
  </si>
  <si>
    <t>['beli', 'paket', 'mahal', 'jaringannya', 'sesuai', 'serasa', 'duit', 'kek', 'buang', 'permasalahan', 'jaringan']</t>
  </si>
  <si>
    <t>['pulsa', 'rb', 'internet', 'gb', 'pakai', 'internetan', 'habis', 'duluan', 'pulsanya', 'tinggal', '']</t>
  </si>
  <si>
    <t>['koneksi', 'lelet', 'paket', 'mahal', 'kualitas', 'lemah', '']</t>
  </si>
  <si>
    <t>['telkomsel', 'jaringanya', 'bagus', 'aplikasinya', 'fitur', 'kegunaan']</t>
  </si>
  <si>
    <t>['tolong', 'jaringan', 'kota', 'tasikmalaya', 'jawa', 'barat', 'diperbaiki', 'jelek', '']</t>
  </si>
  <si>
    <t>['woyy', 'kuota', 'unlimited', 'udah', 'paket', 'internet', 'utama', 'nasional', 'tolong', 'telkomsel', 'tercinta', 'konsumen', 'darah', 'dahhh', 'perbaiki', '']</t>
  </si>
  <si>
    <t>['sinyal', 'internet', 'sebagus', 'paket', 'internet', 'bermain', 'game', 'streaming', 'lag', 'kota', '']</t>
  </si>
  <si>
    <t>['lemot', 'buka', 'menu', 'telk']</t>
  </si>
  <si>
    <t>['kasi', 'bintang', 'karna', 'app', 'membantu', 'setidak', 'cek', 'saldo', 'pulsa', 'data']</t>
  </si>
  <si>
    <t>['pembelian', 'paket', 'mudah']</t>
  </si>
  <si>
    <t>['paket', 'combo', 'mahal', 'total', 'giganya', 'bedakan', 'kartu', '']</t>
  </si>
  <si>
    <t>['kntl', 'nipu', 'kuota', 'pas', 'internet', 'pulsa', 'ngentod', 'pas', 'beli', 'kuota', 'pulsa', 'mencukupi', 'saldo', 'miliki', 'melebihi', 'harga', 'kuota', 'ganti', 'jaringan', 'babi', 'emg', '']</t>
  </si>
  <si>
    <t>['beli', 'kuota', 'asiiik']</t>
  </si>
  <si>
    <t>['aplikasinya', 'mantap']</t>
  </si>
  <si>
    <t>['ngisi', 'pulsa', 'paket', 'internet', 'mudah']</t>
  </si>
  <si>
    <t>['plis', 'deh', 'lucu', 'banget', 'udah', 'beli', 'paket', 'internet', 'paket', 'internet', 'udah', 'aktif', 'internet', 'pulsa', 'kepake', 'paket', 'internet', 'dipake', 'pulsa', 'abis', 'lucu', '']</t>
  </si>
  <si>
    <t>['tolong', 'ijin', 'tambahan', 'pemakaian', 'pulsa', 'kehilangan', 'pulsa', 'seharga', 'sadari']</t>
  </si>
  <si>
    <t>['error', 'beli', 'notifikasi', 'beli', 'pulsa', 'sia', 'gara']</t>
  </si>
  <si>
    <t>['ayolah', 'telkomsel', 'knp', 'sinyal', 'jelek', 'pdhl', 'bagus', 'nge', 'game', 'siang', 'mending', 'ngelag', 'bet', 'tolong', 'diperbaiki']</t>
  </si>
  <si>
    <t>['mahal', 'sinyal', 'hilang']</t>
  </si>
  <si>
    <t>['promo', 'disney', 'ilang']</t>
  </si>
  <si>
    <t>['aplikasi', 'bersat', 'aplksi', 'lncar']</t>
  </si>
  <si>
    <t>['mantab', 'banget', 'signalnya']</t>
  </si>
  <si>
    <t>['kdang', 'suka', 'eror', 'app']</t>
  </si>
  <si>
    <t>['jaringan', 'jelek', '']</t>
  </si>
  <si>
    <t>['mantaffff', '']</t>
  </si>
  <si>
    <t>['mahal', 'jaringan', 'lelet', 'tolol']</t>
  </si>
  <si>
    <t>['sinyal', 'internet', 'telkomsel', 'jekel', 'banget', 'daerah', 'ciputat', 'jengkel', 'sakit', 'hati', 'sinyal', 'internet', 'telkomsel', 'jelek', 'bintang', 'kasih', 'komentar', 'bales', 'telkomsel', 'suruh', 'hubungi', 'kontak', 'center', 'via', 'sosial', 'media', 'perotes', 'kemana', 'perubahan', 'buruk', 'kualitas', 'internet']</t>
  </si>
  <si>
    <t>['kasih', 'murah']</t>
  </si>
  <si>
    <t>['promo', 'paket', 'beli', 'paket', 'mendadak', 'sinyalnya', 'bosok', 'fix', 'beralih', '']</t>
  </si>
  <si>
    <t>['paket', 'internet', 'mahal', 'kembalikan', 'paket', 'unlimited', 'beli', 'paket', 'unlimited', 'bingung', 'beli', '']</t>
  </si>
  <si>
    <t>['jaringan', 'parah', 'super', 'lelet', 'kouta', 'bnyak', 'jaringan', 'tetangga', 'murah', 'lancar', 'telkomsel', 'mahal', 'jaringan', 'super', 'lelet']</t>
  </si>
  <si>
    <t>['paket', 'ditawarkan', 'telkomsel', 'skrg', 'menarik', 'mahal', '']</t>
  </si>
  <si>
    <t>['kuota', 'multimedia', 'menonton', 'youtube', '']</t>
  </si>
  <si>
    <t>['menyesal', 'pelanggan', 'kartu', 'hallo', 'layanan', 'customer', 'via', 'robot', 'sekalinya', 'operator', 'balesan', 'balas', 'ngisi', 'data', 'balas', 'email', 'kacau', 'pembayaran', 'mahal', 'koneksi', 'akhlak']</t>
  </si>
  <si>
    <t>['', 'pengguna', 'kasih', 'bintang', 'kali', 'bagus', 'bintang', 'see', 'kesemua', 'grop', '']</t>
  </si>
  <si>
    <t>['diinstal', 'minggu', 'sampe', 'skrg', 'pas', 'buka', 'apk', 'langsung', 'muncul', 'memuat', 'halaman', 'coba', 'trus', 'kyk', 'loading', 'mulu', 'tolong', 'solusinya', 'udh', 'ksh', 'kesan', 'bagus', '']</t>
  </si>
  <si>
    <t>['pengguna', 'puluhan', 'mahal', 'beli', 'kuota', 'unlimited', 'max', 'pengguna']</t>
  </si>
  <si>
    <t>['lelet', 'kebangetan', '']</t>
  </si>
  <si>
    <t>['jaringan', 'telkomsel', 'ancurrr', 'harga', 'mahal', 'pelayanan', 'buruk', '']</t>
  </si>
  <si>
    <t>['jaringan', 'parah', 'bagus', '']</t>
  </si>
  <si>
    <t>['woii', 'pulsa', 'nggak', 'dipake', 'kepotong', 'nggak', 'langganan', 'rbt', 'kesedot', 'pulsanya', 'pengen', 'ganti', 'provider', 'deh']</t>
  </si>
  <si>
    <t>['aplikasi', 'menarik']</t>
  </si>
  <si>
    <t>['mantap', 'bos', 'jaringan', 'setabil', 'bangettt', 'pertahan', 'bos', '']</t>
  </si>
  <si>
    <t>['unlimited', 'sinyalnya', 'jelek', 'banget', 'nonton', 'youtube', 'gabisa', 'donwload', 'game', 'gabisa', 'maen', 'game', 'lag', 'parah', 'ayolah', 'perbaiki', 'sinyal', '']</t>
  </si>
  <si>
    <t>['keluhan', 'konsumen', 'telkomsel', 'jaringan', 'lelet', 'harga', 'paketnya', 'jujur', 'ditempatkan', 'udah', 'pindah', 'exist', '']</t>
  </si>
  <si>
    <t>['', 'daerah', 'tower', 'megah', 'menjulang', 'boss', 'sayang', 'jaringan', 'mengecewakan', 'merugikan', 'pengguna', 'kartu', 'salah', 'satunya', 'percaya', 'cek', 'kelokasi', 'tolong', 'boss', 'kerjasama', '']</t>
  </si>
  <si>
    <t>['aplikasih', 'membantu']</t>
  </si>
  <si>
    <t>['tingkatkan', 'kualitas', 'sinyal', 'telkomsel']</t>
  </si>
  <si>
    <t>['ngelag', 'sinyalnya', '']</t>
  </si>
  <si>
    <t>['beli', 'sim', 'card', 'aplikasi', 'dana', 'terpotong', 'tanggal', 'september', 'sim', 'cardnya', 'diikhlasin', 'hehehe']</t>
  </si>
  <si>
    <t>['butuh', 'paket', 'murah']</t>
  </si>
  <si>
    <t>['rugikan', 'kode', 'verifikasi', 'masuk', 'bayar', 'blokir', 'bukti', 'pembayaran', 'dikirim', 'konfirmasi', 'bank', 'kirim', 'pelayanan', 'lamban', 'sekelas', 'telkomsel', '']</t>
  </si>
  <si>
    <t>['', 'bohong', 'donglot', 'apikasi', 'bonggggg', 'haj', '']</t>
  </si>
  <si>
    <t>['pulsa', 'berkurang', '']</t>
  </si>
  <si>
    <t>['memanjakan', 'pelanggan', 'pokoknya', 'siiippp', '']</t>
  </si>
  <si>
    <t>['tampilan', 'menu', 'aplikasi', 'udah', 'sisa', 'saldo', 'berkurang', 'perlahan', 'disetiap', 'habis', 'beli', 'paket', 'kombo', 'sesuai', 'paket', 'ambil', 'buka', 'aplikasi', 'mesti', 'nyedot', 'pulsa', 'jarang', 'klaim', 'bonus', 'cek', 'harian', 'tgl', 'nov', 'nambah', 'pulsa', 'ribu', 'beli', 'paket', 'combo', 'taunya', 'sisa', 'habis', 'beli', 'paket', 'saldo', '']</t>
  </si>
  <si>
    <t>['jaringan', 'sebagus', 'suka', 'gangguan', 'trus']</t>
  </si>
  <si>
    <t>['apk', 'bagus', 'ngpain', 'liat', 'kebawah', '']</t>
  </si>
  <si>
    <t>['jeleknya', 'buka', 'layar', 'putih', 'error', 'bisanya', 'hapus', 'data', 'buka', 'perumahan', 'telkom', 'gini', 'aplikasi', '']</t>
  </si>
  <si>
    <t>['jaringan', 'kya', 'cob', 'udh', 'beli', 'mahal', 'pketan', 'rb', 'sebulan', 'jaringan', 'kaya', 'kartu', 'trnama', 'maen', 'ajh', 'ngfreze', 'mlu', 'gerak', 'ping', 'merah', 'trus', 'skali', 'bagus', 'kaya', 'lampu', 'merah', 'abis', 'ijo', 'kuning', 'ambis', 'merah', 'lagy', 'bngt', 'udh', 'bner', 'kya', 'lampu', 'merah', 'bagus', 'maen', 'game', 'lancar', 'hrga', 'pketan', 'sesuai', 'kualitas', 'boz', '']</t>
  </si>
  <si>
    <t>['', 'jalan', 'bener', 'cuk', 'gudange', 'orang', 'pelo', '']</t>
  </si>
  <si>
    <t>['mempermudah', 'mengakses', 'sarana', 'prasarana', 'aplikasi', 'pulsa', 'paket', 'internet']</t>
  </si>
  <si>
    <t>['mudah', 'mengecek', 'data', '']</t>
  </si>
  <si>
    <t>['kesini', 'menyedihkan', 'pelanggan', 'telkomsel', 'bertahun', 'signalnya', 'stabil', 'tinggal', 'jakarta', 'signal', 'bar', 'lelucon', 'gimana', '']</t>
  </si>
  <si>
    <t>['paket', 'data', 'kesini', 'mahal']</t>
  </si>
  <si>
    <t>['sinyal', 'lemot', 'harga', 'paket', 'mahal', 'mending', 'provider', 'laen', 'kuota', 'gede', 'murah', 'sinyal', 'kenceng']</t>
  </si>
  <si>
    <t>['trima', 'kasih', 'memunculkan', 'paket', 'unlinmited', 'maxnya', 'ganti', 'kartu', 'makek', 'telkomsel']</t>
  </si>
  <si>
    <t>['pelayanan', 'mantap']</t>
  </si>
  <si>
    <t>['suka', 'kalianlah', 'provider', 'pengguna', 'pengguna', '']</t>
  </si>
  <si>
    <t>['sinyal', 'telkomsel', 'gangguan', 'kacau', 'tolong', 'sinyal', 'internet', 'perkuat']</t>
  </si>
  <si>
    <t>['jaringannya', 'bagus', '']</t>
  </si>
  <si>
    <t>['woy', 'beli', 'paket', 'swadaya', '']</t>
  </si>
  <si>
    <t>['oke']</t>
  </si>
  <si>
    <t>['tekomsel', 'dobol', 'koyok', 'entut', 'paket', 'mahal', 'sinyal', 'melarat', 'tinggal', 'pasuruan', 'kota', 'main', 'game', 'kalah', 'akibat', 'sinyal', 'stabil', '']</t>
  </si>
  <si>
    <t>['knpa', 'telkomsel', 'terkadang', 'susah', 'tlfon', 'pulsa', 'tlfon', 'ngga', '']</t>
  </si>
  <si>
    <t>['jaringan', 'terbaik']</t>
  </si>
  <si>
    <t>['', 'telkomsel', 'mantap', 'pokok']</t>
  </si>
  <si>
    <t>['jelek', 'buka', 'apk', 'offline', 'beli', 'paket', 'data', 'kartunya', 'udah', 'paket', 'murah', 'hilangkan', 'langganan', 'truss', '']</t>
  </si>
  <si>
    <t>['ngelag', 'main', 'game']</t>
  </si>
  <si>
    <t>['aplikasi', 'bagus', 'sayang', 'harga', 'paket', 'internet', 'mahal', 'murahin', 'dikit', 'ngapa']</t>
  </si>
  <si>
    <t>['apl', 'babi', '']</t>
  </si>
  <si>
    <t>['tolong', 'developer', 'telkom', 'come', 'mengambil', 'pulsa', 'enaknya', 'ambil', 'rupiah', 'puluhan', 'ribu', 'bru', 'beli', 'pulsa', 'rb', 'msk', 'blom', 'masang', 'paket', 'blom', 'apain', 'udh', 'tinggal', 'rb', 'nggak', 'ngotak', 'ngambilnya', 'beli', 'pulsa', 'uang', 'susah', 'payah', 'cari', 'usaha', 'bsa', 'pelanggan', 'bsa', 'kartu', 'sebelah', 'mikir']</t>
  </si>
  <si>
    <t>['sinyal', 'telkomsel', 'lemot', 'ampunnn', 'ayo', 'donk', 'perfomanya', 'kya', 'dlu', 'lemot', 'bingit', '']</t>
  </si>
  <si>
    <t>['keren', 'deh', 'jaringannya', 'kuat', 'baget']</t>
  </si>
  <si>
    <t>['puas', 'belanja', 'hemat', 'harga']</t>
  </si>
  <si>
    <t>['dikirim', 'pulsa', 'abahnya', 'masuk', 'download', 'apk', 'tolong', 'bantuan', 'pulsa', 'masuk']</t>
  </si>
  <si>
    <t>['jaringan', 'telkomsel', 'tolong', 'perbaikin', 'sampe', 'kecewa']</t>
  </si>
  <si>
    <t>['log', 'log', '']</t>
  </si>
  <si>
    <t>['bagus', 'mudah', 'sukses']</t>
  </si>
  <si>
    <t>['isi', 'pulsa', 'data', 'udh', 'dimatiin', 'wifi', 'paket', 'sms', 'pulsa', 'sisa', 'kek', 'gini', 'sumpah', 'jengkel', 'banget', 'payaaahhhhhhhh', 'alhasil', 'uninstal', 'deh', 'mytekomselnya', 'bye', 'byeee', '']</t>
  </si>
  <si>
    <t>['keren', 'banget', 'aplikasi', 'aman']</t>
  </si>
  <si>
    <t>['coba', 'bintang']</t>
  </si>
  <si>
    <t>['udh', 'jringannya', 'jelek', 'beli', 'datanyapun', 'mahal', '']</t>
  </si>
  <si>
    <t>['kurangi', 'bintangnya', 'parah', 'udah', 'jam', 'jaringan', 'hilang']</t>
  </si>
  <si>
    <t>['jaringannyaaa', 'parah', 'dibener', 'benerin', 'mending', 'ganti', 'provider', 'diharapin', 'telkomsel']</t>
  </si>
  <si>
    <t>['menu', 'lengkap', 'mudah', 'diaplukasikan', 'cepat', 'pokoknya', 'top', 'markotop', 'dahhhhh', '']</t>
  </si>
  <si>
    <t>['memudahkan', 'pengguna', 'setia']</t>
  </si>
  <si>
    <t>['jaringan', 'data', 'jelek', 'mahal', 'berfungsinya', 'pusat', 'pengaduan']</t>
  </si>
  <si>
    <t>['slalu', 'pakai', 'simpati', 'puluhan', 'sekeluarga', 'moga', 'jaringan', 'tingkat', 'signal', '']</t>
  </si>
  <si>
    <t>['bagus', 'sinyal', 'kuat', 'kali', 'kasih', 'harga', 'promo', 'rb']</t>
  </si>
  <si>
    <t>['semoga', 'promo', 'paket', 'kuota', 'nomer', 'muncul']</t>
  </si>
  <si>
    <t>['kestabilan', 'internet', 'tolong', 'diperbaiki', 'layanan', 'konsumen', 'diutamakan']</t>
  </si>
  <si>
    <t>['layak', 'bintg', '']</t>
  </si>
  <si>
    <t>['menyesal', 'berlangganan', 'perdana', 'telkomsel', 'dipakai', 'biaya', 'bayar', 'paket', 'mahal', 'jaringannya', 'tidk', 'perkondisikan', 'sunggu', 'menyesal', 'perusahaan', 'telkomsel']</t>
  </si>
  <si>
    <t>['kemudahan', 'pling', 'kecewa', 'login', 'susah', 'warna', 'putih', 'kosong']</t>
  </si>
  <si>
    <t>['telkomsel', 'sinyal', 'buruk', 'kalah', 'provider', 'murah', 'mahal', 'doang', 'kualitas', 'murahan', 'not', 'recommended']</t>
  </si>
  <si>
    <t>['pulsa', 'suka', 'habis', 'tolong', 'bantu', '']</t>
  </si>
  <si>
    <t>['jaringan', 'sampah', 'paket', 'doang', 'menang', 'mahal', 'kiualitas', 'kalah', 'harga', 'klen', 'sampah', 'jaringan', 'klen', 'taik', 'sekira', 'senang', 'klen', 'ama', 'emang', 'kaya', 'gitu', 'jaringan', 'sampah', 'makan', 'klen', 'taik', '']</t>
  </si>
  <si>
    <t>['sinyalnya', 'ancur']</t>
  </si>
  <si>
    <t>['paket', 'games', 'pubg', 'ngak']</t>
  </si>
  <si>
    <t>['tingkatkan', 'kualitas', 'sinyal']</t>
  </si>
  <si>
    <t>['rugi', 'beli', 'telkomsel', 'sinyalnya', 'buruk', 'habis', 'update', 'masuk', 'tulisan', 'update', 'gabisa', 'masuk', 'ganti', 'krtu']</t>
  </si>
  <si>
    <t>['uda', 'mahal', 'lemot', 'bangke', 'nyesel']</t>
  </si>
  <si>
    <t>['mahal', 'doang', 'jaringanya', 'kayak', 'hantu', 'menghilang']</t>
  </si>
  <si>
    <t>['signal', 'udah', 'daerah', 'pinggir', 'kota', 'pedesaan', 'alangkah', 'baiknya', 'ditingkatkan']</t>
  </si>
  <si>
    <t>['mytelkomsel', 'membantu', 'mengecek', 'penggunaan', 'pulsa', 'kuota', 'menawarkan', 'promo', '']</t>
  </si>
  <si>
    <t>['tolong', 'diperbaiki', 'jaringan', 'sunyal', 'jelek', 'banget', 'kesal', 'jaringan', 'telkomsel', 'dihandalkan', 'harga', 'murah', 'jaringan', 'lelet', 'kayak', 'siput', 'mohon', 'diperbaiki', 'dog', 'pig', 'ghost', '']</t>
  </si>
  <si>
    <t>['jelek', 'signalnya', 'jelek']</t>
  </si>
  <si>
    <t>['kadang', 'apk', 'suka', 'aneh']</t>
  </si>
  <si>
    <t>['bermampat']</t>
  </si>
  <si>
    <t>['cuih', 'paket', 'mahal', 'jaringan', 'kek', 'ampas']</t>
  </si>
  <si>
    <t>['telkomsel', 'mengecewakan', 'harga', 'mahal', 'kualitas', 'nol', 'lelet', 'luarbiasa', 'telkomsel', 'sialan']</t>
  </si>
  <si>
    <t>['waahh', 'terima', 'kasih', 'telkomsel', '']</t>
  </si>
  <si>
    <t>['jaringan', 'nomer', 'indonesia', 'leg', 'seh', 'buka', 'link', 'susah', 'lawak', 'bos', 'jaringan', 'nomer', 'indonesia', 'awokawok', 'canda']</t>
  </si>
  <si>
    <t>['paket', 'ekonomis', 'cuman', 'sebentar', 'perhitungan', 'kuota', 'cepat', 'abis', 'fitur', 'pembagian', 'kuota', 'fitur', 'jebakan', 'potong', 'pulsa', 'jelek']</t>
  </si>
  <si>
    <t>['pokok', 'mantull', 'app']</t>
  </si>
  <si>
    <t>['udh', 'ngisi', 'paket', 'tpi', 'paket', 'masuk', '']</t>
  </si>
  <si>
    <t>['jaringan', 'telkomsel', 'hancur', 'tolong', 'perbaiki', 'jaringannya', 'min', 'kuotanya', 'deres', 'banget', 'habisnya', 'min', 'terima', 'kasih']</t>
  </si>
  <si>
    <t>['gimana', 'sinyalnya', 'gini', 'ngelegg', 'trus', 'kek', 'gini', 'trs', 'mending', 'pindah', 'nyesel', 'pakek', 'telkom', 'mahal', 'doang', 'enak', 'banget']</t>
  </si>
  <si>
    <t>['suka', 'ngebug', 'kalim', 'login', 'harian', 'bad', 'bad', 'bad']</t>
  </si>
  <si>
    <t>['', 'jaringan', 'pegunungan', 'tolong', 'perbaiki']</t>
  </si>
  <si>
    <t>['prosesnya', 'cepat']</t>
  </si>
  <si>
    <t>['udah', 'mahal', 'mahal', 'beli', 'kuota', 'game', 'dipake', 'ajg', '']</t>
  </si>
  <si>
    <t>['kouta', 'doang', 'mahal', 'mati', 'lampu', 'jaringan', 'hilang', '']</t>
  </si>
  <si>
    <t>['gua', 'telkomsel', 'buruk', 'smartfren', 'gua', 'benci', 'telkomsel']</t>
  </si>
  <si>
    <t>['keseingan', 'eror', 'ganti', 'provider', 'main', 'game', 'signal', 'hilang', 'paket', 'udah', 'mahal', 'jaringan', 'kagak']</t>
  </si>
  <si>
    <t>['paketan', 'gratiss']</t>
  </si>
  <si>
    <t>['aplikasi', 'cepat', 'respon', 'terimakasih']</t>
  </si>
  <si>
    <t>['maaf', 'telkomsel', 'bintang', 'kurangi', 'jaringannya', 'buruk', 'akses', 'aplikasi', 'mytelkomsel', 'lambat', 'jaringan', 'binasa']</t>
  </si>
  <si>
    <t>['pokoknya', 'suka', 'aplikasinya', 'bagus', 'mudah', '']</t>
  </si>
  <si>
    <t>['mudahan', 'hadiah', 'telkomsel']</t>
  </si>
  <si>
    <t>['app', 'bagus']</t>
  </si>
  <si>
    <t>['kuota', 'internet', 'dipisah', 'pisah', 'kegunaannya', 'kuota', 'utama', 'kuota', 'chat', 'terima', 'kasih']</t>
  </si>
  <si>
    <t>['semoga', 'tmbh', 'berkembang', 'menyesuaikan', 'dngn', 'jaman', 'perbaiki', 'labuan', 'bajo']</t>
  </si>
  <si>
    <t>['mudah', 'ribet', '']</t>
  </si>
  <si>
    <t>['bagus', 'promo', 'murah', '']</t>
  </si>
  <si>
    <t>['jelek', 'jaringannya', 'rugi', 'beli', 'telkomsel', 'udah', 'mahal', 'jelek', 'payah', 'jaringanya', 'payah', 'perkerjaan', 'terhambat']</t>
  </si>
  <si>
    <t>['tgl', 'nov', 'melaui', 'dial', 'aplikasi', 'pulsa', 'rp', 'membeli', 'paket', 'mingguan', 'gb', 'rp', 'setatus', 'pulsa', 'mencukupi', 'telkomsel', 'telkomsel', 'info', 'hoax', 'paket', 'mingguan', 'beli', 'gb', 'rb', 'diakses', 'via', 'sms', 'aktif', 'paket', 'mingguan', 'gb', 'rp', '']</t>
  </si>
  <si>
    <t>['habis', 'isi', 'pulsa', 'pilih', 'paket', 'udah', 'habis', '']</t>
  </si>
  <si>
    <t>['aplikasi', 'jelek', 'coba', 'tukar', 'dapet', 'kuota', 'internet', 'kumpulin', 'poin', 'udah', 'ikt', 'ketipu', '']</t>
  </si>
  <si>
    <t>['tolong', 'hapus', 'penawaran', 'utang', 'pulsa', 'darurat', 'pusing', 'penjual', 'pulsa', 'beli', 'pulsa', 'rb', 'langsung', 'kesedot', 'utang', 'pulsa', 'rb', 'alhasil', 'habis', 'pulsa', 'sms', 'telkomsel', 'lambat', 'berkelahi', 'pelanggan', '']</t>
  </si>
  <si>
    <t>['jaringan', 'suka', 'ilang', 'musim', 'hujan', '']</t>
  </si>
  <si>
    <t>['beli', 'paket', 'internet', 'berlaku', 'tanggal', 'kemarin', 'motif', 'sms', 'tgl', 'paketan', 'habis', 'maksudnya', 'gimana', 'sampe', 'cok']</t>
  </si>
  <si>
    <t>['aplikasi', 'bagus', 'membantu', '']</t>
  </si>
  <si>
    <t>['parah', 'signal', 'telkomsel', 'dlu', 'kemana', 'sinyal', 'mantabb', 'skarang', 'parah', 'banget']</t>
  </si>
  <si>
    <t>['sinyal', 'wilayah', 'bandar', 'kedung', 'mulyo', 'jombang']</t>
  </si>
  <si>
    <t>['sinyal', 'tolong', 'perbaiki', 'ngelag', 'truss', 'knp', 'bagus', 'ngelag']</t>
  </si>
  <si>
    <t>['semoga', 'amanah']</t>
  </si>
  <si>
    <t>['bagus', 'cocok', 'doandload']</t>
  </si>
  <si>
    <t>['mudah', 'beli', 'paket', 'aplikasi', 'terima', 'kasih', 'telkomsel']</t>
  </si>
  <si>
    <t>['informasi', 'mantab', 'mytelkomsel', '']</t>
  </si>
  <si>
    <t>['mudah', 'penggunaan', 'monitor', 'pulsa', 'data']</t>
  </si>
  <si>
    <t>['isi', 'pulsa', 'langsung', 'kesedot', 'gimana', 'pengen', 'beli', 'kuota', 'pulsa', 'habis', '']</t>
  </si>
  <si>
    <t>['appnya', 'bagus', 'cmn', 'signalnya', 'ngga', 'sekenceng', 'beli', 'paket', 'notif', 'gangguan', 'sistem', 'plus', 'kemana', 'ilangnya', 'paketan', 'bln', '']</t>
  </si>
  <si>
    <t>['nice', 'aplikasi', 'alhamdulillah', '']</t>
  </si>
  <si>
    <t>['bergunan']</t>
  </si>
  <si>
    <t>['keren', 'memudahkan', 'banget', '']</t>
  </si>
  <si>
    <t>['mudah', 'bagus']</t>
  </si>
  <si>
    <t>['paketnya', 'kadang', 'berubah', 'muncul', '']</t>
  </si>
  <si>
    <t>['bagus', 'mempermuda', 'akses']</t>
  </si>
  <si>
    <t>['tolong', 'kualitas', 'sinyal', 'jaga', 'kaya', 'gini', 'mending', 'indosat']</t>
  </si>
  <si>
    <t>['kasih', 'lbih', 'murah', 'ksih', '']</t>
  </si>
  <si>
    <t>['repot', 'beli', 'paket', 'berlangganan']</t>
  </si>
  <si>
    <t>['transaksi', 'mudah', 'simpel']</t>
  </si>
  <si>
    <t>['telkomsel', 'beli', 'paket', 'internet', 'harga', 'mahal', 'banget', 'coba', 'kaya', 'murah', 'murah', 'tolong', 'deliycekin', 'dibatasi', 'terimakasih', '']</t>
  </si>
  <si>
    <t>['aplikasi', 'terkadang', 'terhenti', 'kuota', 'daily', 'check', 'mengakses', 'internet', 'non', 'paket', 'pulsa', 'berkurang']</t>
  </si>
  <si>
    <t>['parah', 'banget', 'jaringannya', 'yach', 'lola', 'mahal']</t>
  </si>
  <si>
    <t>['bru', 'nyoba', 'nie']</t>
  </si>
  <si>
    <t>['huuuh', 'lemot', 'buka', 'apk', 'sinyal', 'jelek']</t>
  </si>
  <si>
    <t>['pulsa', 'gada', 'data', 'ilang', 'hadehh']</t>
  </si>
  <si>
    <t>['harga', 'kualitas', 'rendah', 'kecewa', 'jaringan', 'telkomsel']</t>
  </si>
  <si>
    <t>['harga', 'paket', 'mahal', 'jaringannya', 'aneh', 'ilang', 'mahal', 'jaringannya', 'berantakan']</t>
  </si>
  <si>
    <t>['apknya', 'bagus']</t>
  </si>
  <si>
    <t>['diinstal', 'update', 'koq', 'dibuka', 'gimana', 'disuruh', 'perbarui', 'sdk', 'klik', 'dibuka', '']</t>
  </si>
  <si>
    <t>['jaringan', 'buruk', 'paket', 'gb', 'masak', 'buka', 'google', 'lemot', 'error', 'jaringannya', 'operator', 'im', 'jaringan', 'harga', 'paket', 'menjanjikan']</t>
  </si>
  <si>
    <t>['update', 'software', 'android', 'versi', 'google', 'pixel', 'aplikasi', 'telkomsel', 'buka', 'coba', 'uninstal', 'instal', 'ulang', 'download']</t>
  </si>
  <si>
    <t>['kalinya', 'pakai', 'telkomsel', 'bagus', 'speed', 'jelek', 'bagusnya', 'daerah', 'baureno', 'bojonegoro']</t>
  </si>
  <si>
    <t>['aplikasi', 'gblog', 'lemot', 'buang', 'efisien', 'data', 'jalan', 'speed', 'mbps', 'kaya', 'download', 'kelar', 'buka', 'banget', 'perbaiki', '']</t>
  </si>
  <si>
    <t>['bagus', 'tpi', 'suka', 'nyedot', 'pls', 'gmana', 'kuota', 'dapet', 'sms', 'trs', 'sdg', 'akses', 'internet', 'tarif', 'non', 'paket', 'yuk', 'beli', 'paket', 'internet', 'tsel', 'tsel', 'pls', 'kepotong', 'bintang', 'dlu', 'blm', 'tangagaapan', '']</t>
  </si>
  <si>
    <t>['lihat', 'promo', 'gb', 'pencet', 'tulisan', 'promo', 'ditemukan', 'niat', 'nggak', 'kasih', 'promo']</t>
  </si>
  <si>
    <t>['bagus', 'membantu', 'kdang', 'suka', 'susah', 'banget', 'masuk', 'aplikasi']</t>
  </si>
  <si>
    <t>['makasih', 'kasih', 'promo', 'beli', 'kouta', 'gb', 'rb', 'kasih', 'promo', 'mytelkomsel', 'sukses', 'mytelkomsel', '']</t>
  </si>
  <si>
    <t>['membantu', 'promo']</t>
  </si>
  <si>
    <t>['kali', 'kegiatan', 'kota', 'telkomsel', 'mengudara']</t>
  </si>
  <si>
    <t>['segini', '']</t>
  </si>
  <si>
    <t>['pulsa', 'membeli', 'paket', 'internet', 'gagal', 'alasan', 'pulsa', 'mencukupi', 'kau', '']</t>
  </si>
  <si>
    <t>['mantap', 'pelayanannya', 'kiranyablbhbdi', 'tingkatkan', 'lbh']</t>
  </si>
  <si>
    <t>['nglag', 'nglag', 'jaringan', 'telkomsel', 'sinyal', 'fix', 'nj', 'ng', 'duid', 'jan', 'sewa', 'doang']</t>
  </si>
  <si>
    <t>['signal', 'kuat', 'provinsi', 'sulawesi', 'utara', 'promosi', 'promosi', 'murah', 'pulsa', 'data', 'kuota', 'internet', '']</t>
  </si>
  <si>
    <t>['lumayan', 'membantu', 'makasih', 'tsel', '']</t>
  </si>
  <si>
    <t>['hai', 'admin', 'aplikasi', 'telkomsel', 'susah', 'buka', 'download', 'sisa', 'kuota', 'beli', 'paket', 'tlg', 'tingkatkan', 'admin', '']</t>
  </si>
  <si>
    <t>['jarang', 'promo', 'paket']</t>
  </si>
  <si>
    <t>['telkomsel', 'jaringan', 'jelek', 'banget', 'tolong', 'donk', 'perbaiki', 'jaringan', 'pelanggan', 'telkomsel', 'nyaman', 'kartu', 'telkomsel', '']</t>
  </si>
  <si>
    <t>['tolong', 'diperhatikan', 'diwaktu', 'musim', 'hujan', 'ketrobelan', 'trim', '']</t>
  </si>
  <si>
    <t>['', 'memuat', 'halaman', 'maaf', 'keaalahan', 'sistem', 'kemarin', 'gitu', 'min', '']</t>
  </si>
  <si>
    <t>['kecewa', 'beli', 'kuota', 'telkomsel', 'bayar', 'gopay', 'gopay', 'kepotong', 'kuota', 'masuk']</t>
  </si>
  <si>
    <t>['', 'ngumpuli', 'poin', 'tukar', 'pulsa', 'paketan', 'telkomsel', 'emng', 'kartu', 'pelit']</t>
  </si>
  <si>
    <t>['mantap', 'terima', 'kasih', 'telkomsel']</t>
  </si>
  <si>
    <t>['utama', 'berbenah', 'pesaing', 'munculkan', 'pelayanan', '']</t>
  </si>
  <si>
    <t>['mudah', 'mudahan', 'berhasil']</t>
  </si>
  <si>
    <t>['bintang', 'telkomsel', 'anjjj', 'ng', 'udah', 'duit', 'paket', 'pakai', 'chat', 'respon', '']</t>
  </si>
  <si>
    <t>['harga', 'paket', 'data', 'telkomsel', 'mahal']</t>
  </si>
  <si>
    <t>['', 'telkomsel', 'mantap', 'mantap']</t>
  </si>
  <si>
    <t>['mantap', 'berkualitas']</t>
  </si>
  <si>
    <t>['telkomsel', 'bagus', 'pelayanan']</t>
  </si>
  <si>
    <t>['spesial']</t>
  </si>
  <si>
    <t>['memudahkan', 'pengcekan', 'pulsa', 'kuota']</t>
  </si>
  <si>
    <t>['menukarkan', 'poin', 'pulsa', 'telkomsel']</t>
  </si>
  <si>
    <t>['diperbaiki', 'kek', 'paket', 'gamemax', 'telkom', 'masak', 'paket', 'game', 'nggak', 'game', 'cuman', 'login', '']</t>
  </si>
  <si>
    <t>['kartu', 'mahal', 'jaringan', 'ilang', 'ilangan', 'maketin', 'susah', 'koneksi', 'tlol']</t>
  </si>
  <si>
    <t>['', 'apk']</t>
  </si>
  <si>
    <t>['aplikasi', 'meras', 'pulsa', 'rakyat', 'pulsa', 'hangus', 'pembelian', 'apapun', 'kuotanya', 'mahal', 'mahal', 'banget', 'klaim', 'bonus', 'pakai', 'pulsa', 'pulsanya', 'kunci', 'kepakai', 'sengaja', 'saran', 'sediain', 'fitur', 'kunci', 'pulsa', 'pulsa', 'kepakai', 'sengaja']</t>
  </si>
  <si>
    <t>['thank', 'you', 'telkomsel', 'dapet', 'kouta', 'internet', 'lokal', 'gratis', '']</t>
  </si>
  <si>
    <t>['mohon', 'jaringan', 'dipercepat']</t>
  </si>
  <si>
    <t>['bagus', 'fitur']</t>
  </si>
  <si>
    <t>['tampilannya', 'susah', 'hafal', 'nyari', 'paket', 'beli', 'susah']</t>
  </si>
  <si>
    <t>['internet', 'stabil', 'wilayah', 'desa', 'tegalmlati', 'kec', 'petarukan', 'kab', 'pemalang', 'minggu', 'bermain', 'mobile', 'legend', 'signal', 'putus', 'putus', '']</t>
  </si>
  <si>
    <t>['akses', 'cepat']</t>
  </si>
  <si>
    <t>['bagus', 'knp', 'yaa', 'qlo', 'kuota', 'habis', 'beli', 'data', 'pakai', 'wifi', 'pakai', 'hotspot', 'temen', 'tolong', 'perbaiki']</t>
  </si>
  <si>
    <t>['alhamdulillah', 'mempermudah', 'dlm', 'pembelian', 'paket', 'telkomsel', '']</t>
  </si>
  <si>
    <t>['cepat', 'memudahkan', 'transaksi']</t>
  </si>
  <si>
    <t>['semoga', 'bangkrut', 'sistem', 'paket', 'data', 'mahal']</t>
  </si>
  <si>
    <t>['aplikasi', 'keren', 'mudah']</t>
  </si>
  <si>
    <t>['apk', 'bermanfaat']</t>
  </si>
  <si>
    <t>['sinyal', 'internet', 'nge', 'drop']</t>
  </si>
  <si>
    <t>['aplikasi', 'update', 'buruk', '']</t>
  </si>
  <si>
    <t>['telkomsel', 'jaringan', 'mmg', 'mantaaaap', '']</t>
  </si>
  <si>
    <t>['sinyal', 'plus', 'benefitnya']</t>
  </si>
  <si>
    <t>['gua', 'apk', 'pas', 'gua', 'isi', 'pulsa', 'pulsa', 'abis', 'gua', 'nyalain', 'data', 'saran', 'gua', 'apk', 'lang', 'sung', 'gua', 'hapus', 'download', 'nyesel', 'apk', 'gua', 'kasih', 'bintang', 'sebenar', 'kasih', 'bintang', 'kasih', 'bintang', 'posting', '']</t>
  </si>
  <si>
    <t>['tolong', 'tingkatkan', 'kualitas', 'jaringan', 'bagus', 'buffering']</t>
  </si>
  <si>
    <t>['', 'ngerti', 'ngisi']</t>
  </si>
  <si>
    <t>['membantu', 'pengecekan', 'sisa', 'paket', 'data', 'beli', 'paket', 'data', 'mudah']</t>
  </si>
  <si>
    <t>['kartu', 'harganya', 'paketannya', 'berbeda', 'kartu', 'harga', 'promo', 'menarik']</t>
  </si>
  <si>
    <t>['kecewa', 'telkomsel', 'tua', 'jaringan', 'lelet', 'kali', 'pdhl', 'didaerah', 'bagus', 'banget', 'sorry', 'banget', 'komen', 'kek', 'gini', 'caper']</t>
  </si>
  <si>
    <t>['', 'love', 'telkomsel', 'suka', 'suka', '']</t>
  </si>
  <si>
    <t>['jelek', 'bener']</t>
  </si>
  <si>
    <t>['', 'suka', 'pakai', 'telkosel', 'banya', 'hadiah']</t>
  </si>
  <si>
    <t>['bonus', 'pulsa', 'ribu', 'pakai', 'kasih', 'bonus', 'hangus', 'bonus', '']</t>
  </si>
  <si>
    <t>['beli', 'paket', 'combo', 'sakti', 'membeli', 'paket', 'murah', 'aneh', 'emg', 'uang', 'dikasih', 'pilihan', '']</t>
  </si>
  <si>
    <t>['alhamdulillah', 'telkomsel']</t>
  </si>
  <si>
    <t>['dapet', 'undian']</t>
  </si>
  <si>
    <t>['bandit', 'pulsa', 'kuota', 'trlah', 'habis', 'direspon', 'keluhan', 'pelanggan', '']</t>
  </si>
  <si>
    <t>['uograde', 'andro', 'hilang', 'coba', 'instal', 'ulang', 'not', 'support']</t>
  </si>
  <si>
    <t>['jaringan', 'internetnya', 'kadang', 'down']</t>
  </si>
  <si>
    <t>['jelek', 'jaringannya']</t>
  </si>
  <si>
    <t>['jaringan', 'taii', 'udah', 'mahal', 'mahal', 'beli', 'kuota', 'jaringan', 'babii']</t>
  </si>
  <si>
    <t>['aplikasi', 'yanh', 'lengkap']</t>
  </si>
  <si>
    <t>['oke', 'lahh', 'sangt', 'bermanfaat', 'simpell', 'beli', 'pket']</t>
  </si>
  <si>
    <t>['mudah', 'pembelian', 'paket', 'internet', 'diapk', '']</t>
  </si>
  <si>
    <t>['', 'paket', 'internet', 'diperpanjang', 'otomatis', 'jeli', 'pas', 'paket', 'internet', 'pulsa', 'tergerus', 'cepat', 'diperpanjang', 'otomatis', 'perpanjangan', 'pas', 'otomatis', 'memperpendek', 'berlaku', 'paket']</t>
  </si>
  <si>
    <t>['aplikasi', 'keren', 'masi', 'gangguan', 'masi', 'maaf', 'semudah', 'fergusoo', 'ngasi', 'kuota', 'gratis', 'please', 'butuh', 'niii']</t>
  </si>
  <si>
    <t>['beli', 'internet']</t>
  </si>
  <si>
    <t>['apk', 'bagus', 'banget', 'sumpah']</t>
  </si>
  <si>
    <t>['bagus', 'mudah', 'bonusnya']</t>
  </si>
  <si>
    <t>['telkom', '']</t>
  </si>
  <si>
    <t>['mempermudah', 'kebutuhan', 'internet', '']</t>
  </si>
  <si>
    <t>['harga', 'paket', 'internet', 'mahal']</t>
  </si>
  <si>
    <t>['telkomsel', 'down', 'pket', 'dibeli', 'habis', 'pulsanya']</t>
  </si>
  <si>
    <t>['sya', 'kecewa', 'sma', 'telkomsel', 'msa', 'iya', 'pulsa', 'sya', 'kesedot', 'sya', 'berlangganan', 'sma', 'laen', 'pencet', 'link', 'att', 'daftar', 'onps', 'dll', 'sya', 'isi', 'pulsa', 'seminggu', 'isi', 'kuota', 'tpi', 'knapa', 'pulsa', 'sya', 'pakai', 'top', 'pulsa', 'ilang', 'sya', 'mhn', 'tlng', 'perbaiki', 'ganti', 'pulsa', 'sya', 'ratusan', 'ribu', 'kembalikan', 'tlng', 'lakh', 'kmi', 'bli', 'pulsa', 'pkek', 'uang', 'lokh', 'pakek', 'daun', 'gampang', 'cri', 'duit', 'mikir', 'donk', 'udh', 'hidup', 'susah', 'mlh', 'persusah', 'sma', 'klian']</t>
  </si>
  <si>
    <t>['telkomsel', 'parah', 'udahlah', 'sinyal', 'lemot', 'paket', 'data', 'habis', 'potong', 'pulsa', 'pulsa', 'ribu', 'cek', 'parah', 'banget', 'makan', 'nyiksa', 'orang', 'makan', 'kenyang', '']</t>
  </si>
  <si>
    <t>['coba', 'ikutan', 'poin', 'udian', 'rejeki', 'undian', 'karna', 'rejeki', '']</t>
  </si>
  <si>
    <t>['kuota', 'internet', 'sedot', 'kuota', 'internet', 'contac', 'cuman', 'isinya', 'follow', 'tpi', 'kagak', 'kelar', '']</t>
  </si>
  <si>
    <t>['smoga', 'kdepannya']</t>
  </si>
  <si>
    <t>['membantu', 'mudah']</t>
  </si>
  <si>
    <t>['bagus', 'kondisi', 'perbanyak', 'area', 'pantai']</t>
  </si>
  <si>
    <t>['nggk', 'daftar', 'paket', 'telkomsel', 'pdahal', 'pulsa', 'pelanggan', 'puas', '']</t>
  </si>
  <si>
    <t>['kendala', 'beli', 'kuota', 'sampe', 'pulsa', 'masuk', 'udah', 'lemot', 'maintenance', 'sinyal', 'pilih', 'kali', 'beli', 'pulsa', 'masuk', 'slow', 'respon', 'udah', 'langganan', 'bagus', 'jelek', '']</t>
  </si>
  <si>
    <t>['telkomsel', 'anjing', 'jaringan', 'jancuk', 'paket', 'mahal', 'jaringan', 'kayak', 'taik', 'anjing', '']</t>
  </si>
  <si>
    <t>['kouta', 'dikit', 'hargany', 'mahal']</t>
  </si>
  <si>
    <t>['menukar', 'poin', 'kuota', 'gb', 'pulsa', 'ambil', 'tukar', 'poin', 'ehh', 'poin', 'berkurang', 'pulsa', 'berkurang', 'berisaya', 'kejelasan']</t>
  </si>
  <si>
    <t>['telkomsel', 'gini', 'isi', 'pulsa', 'kesedot', 'habis', 'ngisi', 'udah', 'habis', 'paket', 'data', 'dimatikan', 'wifi', 'pemberitahuan', 'akses', 'internet', 'non', 'paket', 'alhasil', 'pulsa', 'kesedot', 'sia', 'sia', 'gimana', 'habis', 'isi', 'pulsa', 'rugi', '']</t>
  </si>
  <si>
    <t>['', 'promo', 'murah', 'tambahin', 'donxs', '']</t>
  </si>
  <si>
    <t>['bagus', 'banget', 'pokoknya', '']</t>
  </si>
  <si>
    <t>['gampang', 'cepat', 'sinyal', 'fulk']</t>
  </si>
  <si>
    <t>['telkomsel', 'kyk', 'taik', 'jaringan', 'mna', 'paket', 'mahal', 'ganti', 'provider', 'males', 'pakek', 'telkomsel']</t>
  </si>
  <si>
    <t>['menarik', '']</t>
  </si>
  <si>
    <t>['jaringan', 'telkomsel', 'kayak', 'taik', 'jaringan', 'telkomsel', 'tolong', 'sel', 'perbaiki']</t>
  </si>
  <si>
    <t>['telkonsel', 'nge', 'game', 'busuk', 'banget', 'sinyalnya', 'beli', 'paket', 'lancar', 'hlo', 'mohon', 'game', 'hiburan', 'sinyal', 'busuk', 'seneng', 'pusing', 'nge', 'game', 'game', 'lancar', 'lancar', 'game', 'meresahkan', 'kota', 'bagus', 'bedanya', 'kartu', '']</t>
  </si>
  <si>
    <t>['isi', 'pulsa', 'beli', 'kouta', 'gb', 'rbu', 'sisa', 'pakai', 'aplikasi', 'mytelkomsel', 'aman', 'msa', 'puksa', 'bsa', 'sisa', 'perak', 'bber', 'aje', 'uda', 'chat', 'veronica', 'hga', 'males', 'beli', 'kouta', 'pkai', 'wifi', 'aje', 'aekrang', 'pke', 'tnya', 'hilang', 'kjadian', 'jam', 'brpa', 'bilng', 'liat', 'konputer', 'jga', 'pulsa', 'kta', 'ambil', 'ape', 'kirim', 'sms', 'ptong', 'mslah', 'dri', 'operator', 'kirim', 'msa', 'pulsa', 'potong', 'nmanye', 'maling', 'pulsa', 'kaya', 'mpu', 'bli', 'pulsa', 'aje', 'pulsa', 'org', 'ambilin', '']</t>
  </si>
  <si>
    <t>['sinyal', 'jelek']</t>
  </si>
  <si>
    <t>['pulsa', 'sisaan', 'beli', 'kuota', 'hilang', 'hilang', 'ngga', 'telkomsel', 'ngga', 'kaya', 'akis', 'segel', 'pulsa', 'otomatis']</t>
  </si>
  <si>
    <t>['membantu', 'terima', 'kasih', 'telkomsel']</t>
  </si>
  <si>
    <t>['lancar', 'lancar']</t>
  </si>
  <si>
    <t>['matilampu', 'hujan', 'sinyalnya', 'jelek', '']</t>
  </si>
  <si>
    <t>['sinyal', 'simpati', 'kualitas', 'putus', 'putus', 'los', 'conection', 'tolonglah', 'perbaiki', '']</t>
  </si>
  <si>
    <t>['kecewa', 'telkomsel', 'menawarkan', 'kartu', 'hallo', 'pascabayar', 'situ', 'tawarkan', 'paket', 'rb', 'limited', 'bohong', 'trus', 'bermasalah', 'transaksi', 'isi', 'pls', 'isi', 'isi', 'rb', 'telkomsel', 'kaya', 'kebijakan', 'merugikan', 'nasabah', 'mengunakan', 'operator', 'telkomsel', 'daerah', 'kwitang', 'senen', 'jakarta', 'pusat', 'jaring', 'jelek', 'parah', 'jaringan']</t>
  </si>
  <si>
    <t>['boss', 'mahalnya', 'paket', 'kau', 'jual', 'jelek', 'jaringan', 'kau', 'makan', 'riba', 'jan', 'telampau', 'boss', 'untung', 'telkomsel', 'jaringan', 'klau', 'telkomsel', 'mahal', 'kau', 'jual', 'paket']</t>
  </si>
  <si>
    <t>['aplikasi', 'mencret']</t>
  </si>
  <si>
    <t>['simple']</t>
  </si>
  <si>
    <t>['pulsa', 'kesedot', 'abis', 'gara', 'lupa', 'perpanjangan', 'paket']</t>
  </si>
  <si>
    <t>['paket', 'kuata', 'cepat', 'berubah', 'ubah', '']</t>
  </si>
  <si>
    <t>['', 'faedahnya', 'beli', 'paket', 'kuota', 'migrasi', 'lte', 'ngapain', 'paket', 'kuota', 'pakai', 'udah', 'lte', 'sim', 'card', 'urus', 'lte', '']</t>
  </si>
  <si>
    <t>['promonya', 'harga', 'merakyat', 'ditunggu']</t>
  </si>
  <si>
    <t>['', 'mahal', '']</t>
  </si>
  <si>
    <t>['beli', 'paket', 'susah', 'ampun', 'gara', 'koneksi', 'hilang', 'mantap', 'telkomsel', 'skrg', 'parah']</t>
  </si>
  <si>
    <t>['tertera', 'promo', 'ceria', 'dibeli', 'keterangan', 'diproses', 'dial', 'keterang', 'tunggu', 'notifikasi', 'penggunaan', 'eamang', 'ngak', 'promonya', 'engak', 'jamgan', 'tampilkan', 'aplikasi', 'telkomsel', 'kayak', 'gini', 'kecewa', '']</t>
  </si>
  <si>
    <t>['jaringan', 'telkomsel', 'kesini', 'buruk', 'kali', 'sinyalnya', 'kacau', 'pindah', 'sebelah', 'buruk', 'buruk', 'parah']</t>
  </si>
  <si>
    <t>['mohon', 'diperbaiki', 'dikeluarin', 'aplikasi', 'login', 'ulang']</t>
  </si>
  <si>
    <t>['sinyal', 'lemot', 'mahal', 'doang', 'lemot', 'mending', 'provider', 'sisa', 'gb', 'lemot', 'banget', 'payah', 'mendingan', 'indosat']</t>
  </si>
  <si>
    <t>['kualitas', 'lumayan']</t>
  </si>
  <si>
    <t>['turun', 'bintang', 'sinyal', 'hancur', 'parah', 'kaya', 'dlu', 'hancuuur']</t>
  </si>
  <si>
    <t>['mytelkomsel', 'emang', 'memuaskan', 'penuh', 'promonya', 'goodluck', 'mytekomsel']</t>
  </si>
  <si>
    <t>['sinyal', 'bangsad']</t>
  </si>
  <si>
    <t>['bli', 'pulsa', 'link', 'gopay']</t>
  </si>
  <si>
    <t>['udah', 'bagus', 'paket', 'internet', 'combo', 'sakti', 'hilang', 'paket', 'mahal', '']</t>
  </si>
  <si>
    <t>['semoga', 'sya', 'pemenangnya']</t>
  </si>
  <si>
    <t>['paketan', 'trus', 'paketan', 'ganjil', 'trus', 'nominal', '']</t>
  </si>
  <si>
    <t>['paket', 'mahal', 'jaringan', 'kayak', 'babi', 'udh', 'jaringan', 'kayak', 'kntol']</t>
  </si>
  <si>
    <t>['lumayan', 'bgus', 'tingkatkan', 'suka', 'gagal', 'loading']</t>
  </si>
  <si>
    <t>['harga', 'murah', 'proses', 'cepat', 'mantaap']</t>
  </si>
  <si>
    <t>['aplikasi', 'bagus', 'mengontrol', 'pemakaian']</t>
  </si>
  <si>
    <t>['knpa', 'buka', 'aplikasi', 'telkomsel', 'lemotnya', 'ketulungan', 'parah', 'bikes']</t>
  </si>
  <si>
    <t>['puas', 'pelayanan', 'aplikasi', 'mendaftar', 'kouta', 'memkai', 'coin', 'kumpulkan', 'bermasalah', 'tolong', 'fix']</t>
  </si>
  <si>
    <t>['loading', 'berat', 'gagal', 'masuk', 'aktivasi', 'ulang', '']</t>
  </si>
  <si>
    <t>['mohon', 'maaf', 'telkomsel', 'jaringan', 'buruk', 'ganti', 'kartu', 'terimakasih', 'menemani', '']</t>
  </si>
  <si>
    <t>['paketan', 'internet', 'kesini', 'mahal', '']</t>
  </si>
  <si>
    <t>['tolong', 'perbaiki', 'jaringan', 'internet', 'telkomsel', 'perumahan', 'pura', 'bojonggede', 'kabupaten', 'bogor', 'kecamatan', 'tajurhalang', 'kelurahan', 'tajurhalang']</t>
  </si>
  <si>
    <t>['ngga', 'jaringan', 'ngadat']</t>
  </si>
  <si>
    <t>['tolong', 'gangguannya', 'udh', 'ilang', 'pulsa', 'ngeganggu', 'sumpah', 'gini', 'mending', 'ngisi', 'kartu']</t>
  </si>
  <si>
    <t>['pakett', 'murahin', 'wooy']</t>
  </si>
  <si>
    <t>['memudahkan', 'berkomunikasi']</t>
  </si>
  <si>
    <t>['trims', 'membantu']</t>
  </si>
  <si>
    <t>['produk', 'mahal', 'buruk', 'sinyal', 'serba', 'mahal', 'promo', 'khusus', 'mahasiswa', 'buruk', 'produk', 'manasih', 'elu', '']</t>
  </si>
  <si>
    <t>['sinyalnya', 'ancur', 'kontrakan', 'bandara', 'jelekkk', 'bagusan', 'sinyal', 'kartu', 'tri', 'kartu', 'mahal', '']</t>
  </si>
  <si>
    <t>['kuota', 'mahal', 'jringan', 'smakin', 'buruk']</t>
  </si>
  <si>
    <t>['parah', 'sinyal', 'telkomsel', 'minggu', 'bener', 'udah', 'kuota', 'mahal', 'jaringan', 'parah', 'area', 'metro', 'lampung', '']</t>
  </si>
  <si>
    <t>['telkomsel', 'lelet', 'jaringan', 'parah', '']</t>
  </si>
  <si>
    <t>['', 'penukaran', 'poin', 'data', 'harian', 'dpt', 'ditukarkan', 'isi', 'pulsa', 'lgi', 'syarat', 'penukaran', 'poin', 'undian', 'dpt', 'hadiah', 'kalangan', 'jaringan', 'telkomsel', 'lemah', 'wilayah', 'sulawesi', 'selatan', 'kota', 'palopo', 'paketan', 'pulsa', 'data', 'tawarkan', 'terbilang', 'mahal', 'upgrade', 'donk', 'kalangan', 'menengah', 'nikmati', 'pengguna', 'kota', 'palopo', 'sul', 'sel']</t>
  </si>
  <si>
    <t>['sisa', 'kuota', 'gb', 'dpt', 'notif', 'sms', 'paket', 'habis', 'otomatis', 'langsung', 'internetan', 'mengecewakan']</t>
  </si>
  <si>
    <t>['dahl', 'nyesel', 'gua', 'habis', 'habisan', 'beli', 'pulsa', 'taunya', 'sinyal', 'kek', 'gini', 'main', 'game', 'susah', 'kuotanya', 'mahal', 'kek', 'gini', 'mending', 'ganti', 'kartu']</t>
  </si>
  <si>
    <t>['jaringan', 'delay', 'pulsa', 'kepotong', 'pakai', 'aktivasi', 'paket', 'kadang', 'aktif', 'lengkap', 'derita', 'telkomtod', '']</t>
  </si>
  <si>
    <t>['telkomsel', 'jaringan', 'susah', 'banget', 'pakek', 'telkomsel', 'udh', 'jaringan', 'susah', 'banget', 'sumpah']</t>
  </si>
  <si>
    <t>['make', 'kartu', 'telkomsel', 'promo', 'kuota', 'mahal', 'temen', 'promo', 'gb', 'pulsa', '']</t>
  </si>
  <si>
    <t>['ngga', 'redem', 'poin', '']</t>
  </si>
  <si>
    <t>['mahal', 'sinyalny', 'lemot']</t>
  </si>
  <si>
    <t>['berfungsi']</t>
  </si>
  <si>
    <t>['bagus', 'mudah', 'penggunaannya']</t>
  </si>
  <si>
    <t>['lelet', 'walapun', 'kuota', 'pulsanya', 'habis', 'pesan', 'akses', 'kuota', 'non', 'paket', 'beli', 'paket', 'mending', 'kaya', 'aplikasi', 'axis', 'lock', 'pulsanya', '']</t>
  </si>
  <si>
    <t>['mytelkomsel', 'the', 'best', 'suka', 'pakel', 'aplikasi', 'katna', 'memudahkan', 'membeli', 'kuota', 'cek', 'kuota', 'jga', 'membeli', 'pulsa']</t>
  </si>
  <si>
    <t>['mudah', 'pembelian', 'ribet', 'harga', 'terjangkau', 'bnyak', 'pilihan', 'paketnya']</t>
  </si>
  <si>
    <t>['bagus', 'sekaliiiiii']</t>
  </si>
  <si>
    <t>['bagus', 'mudah', 'paketin', 'data', 'top', 'pokok', '']</t>
  </si>
  <si>
    <t>['jaringan', 'beres']</t>
  </si>
  <si>
    <t>['ditahun', 'sinyal', 'telkomsel', 'jelek', 'banget', 'bagus', 'aplikasi', 'update', 'pelayanan', 'jaringannya', 'jelek', 'mending', 'alih', 'sinyal', 'mantap', 'telkomsel', '']</t>
  </si>
  <si>
    <t>['puluhan', 'pengguna', 'telkomsel', 'terang', 'kesini', 'kecewa', 'bagus', 'mancing', 'konsumen', 'gangguan', 'sinyal', 'suka', 'ilang', 'beli', 'paket', 'aplikasi', 'beli', 'paket', 'beli', 'paket', 'situ', 'aplikasinya', 'respon', 'keluhan', 'balesnya', 'bae', 'bae', 'aje', '']</t>
  </si>
  <si>
    <t>['knpah', 'paket', 'syah', 'mahal']</t>
  </si>
  <si>
    <t>['harganya', 'sultan', 'jaringan', 'kaya', 'harganya', 'murah', 'meriah']</t>
  </si>
  <si>
    <t>['ayo', 'lbh', 'lag', 'min', '']</t>
  </si>
  <si>
    <t>['harga', 'paket', 'kuota', 'mahal', 'boros', 'sosial', 'media', 'lainya', 'jaringan', 'drop', 'setabil']</t>
  </si>
  <si>
    <t>['beli', 'paket', 'beli', 'eror', 'apalah', 'seru', '']</t>
  </si>
  <si>
    <t>['jaringan', 'telkomsel', 'bagus', 'susah', 'main', 'game', 'ngelag', 'jam', 'malam', 'sinyal', 'pas', 'main', 'game', 'jaringan', 'eror', 'tolong', 'min', 'perbaiki', 'kualitas', 'jaringannya']</t>
  </si>
  <si>
    <t>['aplikasi', 'bagus', 'lodingnya', 'hapus', 'instal', 'bagus', 'persi', 'dri']</t>
  </si>
  <si>
    <t>['update', 'andoid', 'diinstal']</t>
  </si>
  <si>
    <t>['kecewa', 'lemot', 'jaringan', 'kayak', 'siput', 'bumn', 'bersandar', 'kondisi', 'nyaman', 'perusahaan', 'swasta', 'pecatin', 'kgk', 'berinovasi', '']</t>
  </si>
  <si>
    <t>['baguss', 'dann', 'murahh', 'ngapain', 'bego', 'liat', 'liat', 'emangnya', 'ganteng', 'gitu', 'kebawahh', 'mauu', 'loo', 'liatin', 'akuu', 'kann', 'udah', 'bilahh', 'baguss', 'dann', 'murahh', 'loo', '']</t>
  </si>
  <si>
    <t>['semoga', 'skian', 'hadiahnya', 'bonusnya', 'alloh', 'aminn', 'robb', 'aminn', '']</t>
  </si>
  <si>
    <t>['payah', 'angin', 'hujan', 'dapet', 'notif', 'akses', 'internet', 'tarif', 'non', 'paket', 'paket', 'gue', 'knp', 'tarif', 'non', 'paket', 'udah', 'paket', 'mahal', 'pesekian', 'detik', 'udah', 'kepotong', 'ribu', 'saldo', 'gue', 'tolong', 'donk', 'bener', 'jng', 'mahal', 'doank', 'kualitas', 'tingkatkan', '']</t>
  </si>
  <si>
    <t>['sinyal', 'internet', 'telkomsel', 'parah', 'khusus', 'minggu', 'parah', 'bnget', 'gini', 'trus', 'pindah', 'sebelah']</t>
  </si>
  <si>
    <t>['berguna', 'mudah', 'terimakasih', 'telkomsel']</t>
  </si>
  <si>
    <t>['kesini', 'catat', 'bet', 'sinyalnya']</t>
  </si>
  <si>
    <t>['jaringan', 'mantap']</t>
  </si>
  <si>
    <t>['nice', 'sngat', 'berguna']</t>
  </si>
  <si>
    <t>['mahal', 'please', '']</t>
  </si>
  <si>
    <t>['pengen', 'diskon', 'murah']</t>
  </si>
  <si>
    <t>['penyakit', 'sesek', 'nafas', 'nunggu', 'selesai', 'download', 'video', 'durasi', 'detik', 'kuota', 'telkomsel', 'akses', 'internet', 'telkomsel', 'lemot', 'provider', 'terpaksa', 'ganti', 'sikuning', 'sesek', 'nafas', 'hilang', 'aksesnya', 'super', 'cepat']</t>
  </si>
  <si>
    <t>['kasih', 'paket', 'murah']</t>
  </si>
  <si>
    <t>['kek', 'korupsi', 'mulu', 'telkomsel', 'ngisi', 'pulsa', 'slalu', 'ptong', 'rupiah', 'terpaksa', 'hrus', 'ngisi', 'hadehh', 'bener', '']</t>
  </si>
  <si>
    <t>['maju', 'telkomsel']</t>
  </si>
  <si>
    <t>['kecewa', 'pulsa', 'ditarik', 'bonus', 'nelpon', 'pulsa', 'diambil', 'tolong', 'diperbaiki', 'telkomsel']</t>
  </si>
  <si>
    <t>['sinyalnya', 'kacau', 'tagihan', 'sesuai', 'kwalitas', 'sinyal', 'bandwith']</t>
  </si>
  <si>
    <t>['telkomsel', 'lelet', 'terkhususnya', 'nusa', 'tenggara', 'barat', 'tepatnya', 'kota', 'bima', 'parah', 'signal', 'seimbang']</t>
  </si>
  <si>
    <t>['apk', 'bagus', 'promo', 'murah']</t>
  </si>
  <si>
    <t>['parah', 'kualitas', 'jaringan', 'telkomsel', 'udah', 'sperti', 'provider', 'bgus', 'sinyal', 'kota', 'tnggal', 'kepinggir', 'parah', 'habis', 'puasny', 'pkai', 'internet', 'kartu', 'telkomsel', 'mohon', 'perbaiki', 'layanan', 'negara', 'sprti', 'kualitas', 'bintang', 'kualitas', 'sinyal', '']</t>
  </si>
  <si>
    <t>['coba', 'teruss']</t>
  </si>
  <si>
    <t>['mohon', 'telkomsel', 'segara', 'memperbaiki', 'jaringan', 'lemot', 'stabil', 'konsumen', 'rugikan', 'kecewa', 'kualitas', 'internet', 'jelek', 'jaringan', 'telkomsel', 'gratis', 'cepat', 'normalkan', 'trimakasih']</t>
  </si>
  <si>
    <t>['', 'android', 'install', 'breee', 'update', 'support', 'android', '']</t>
  </si>
  <si>
    <t>['berilah', 'terbaik']</t>
  </si>
  <si>
    <t>['otomatis', 'pilih', '']</t>
  </si>
  <si>
    <t>['telkomsel', 'idiot', 'beli', 'paket', 'game', 'main', 'game', 'telkomsel', 'idiot']</t>
  </si>
  <si>
    <t>['allah', 'maha', 'hamba', 'allah', 'maha', 'adil', 'terbaik', 'hamba', '']</t>
  </si>
  <si>
    <t>['gadak', 'otak', 'telkomsel', 'pulak', 'tukar', 'aktif', 'kemarin', 'beli', 'aktif', 'smpe', 'skrng', 'berubah', 'aktif', 'beli', 'paket', 'telkomsel', 'kali', 'uda', 'mahal', 'mentiko', 'pulak']</t>
  </si>
  <si>
    <t>['ngelus', 'dada', 'pas', 'liat', 'paketan', 'bulanan', 'rb', 'paketan', 'cocok', 'cma', 'gb', 'rb', 'sebulan', 'sedih', 'telkomsel', 'bgni', 'tolong', 'bgni', '']</t>
  </si>
  <si>
    <t>['mengambil', 'penyimpanan', 'cek', 'nomer', 'kuota', 'pas', 'cek', 'penyimpanan', 'gb', 'penyimpanan']</t>
  </si>
  <si>
    <t>['telkomsel', 'lawannya', '']</t>
  </si>
  <si>
    <t>['klaim', 'program', 'dialy', 'check', 'voucher', 'diskon', 'membeli', 'paket', 'maxstream', 'vidio', 'seharga', 'pulsa', 'blum', 'kompensasi', 'pulsa', '']</t>
  </si>
  <si>
    <t>['tolong', 'jaringan', 'diluar', 'jawa', 'parah', 'banget', 'jaringan', 'terluas', 'tercepat', 'telkomsel', 'jaringannya', 'hilang', 'muncul', 'lokasi', 'sinyalnya', 'kendalanya', 'seringkali', 'kuota', 'datanya', 'hilang', 'ter', 'disconnect', 'kendala', 'muncul', 'selang', 'menit', 'ter', 'disconnect', 'menggangu', 'nyaman', 'telkomsel', 'tolong', 'responnya', '']</t>
  </si>
  <si>
    <t>['jaringan', 'telkomsel', 'diperbaiki', '']</t>
  </si>
  <si>
    <t>['sinyalnya', 'sakit', 'kepala', '']</t>
  </si>
  <si>
    <t>['telkomsel', 'lelet', '']</t>
  </si>
  <si>
    <t>['main', 'game', 'mobile', 'legend', 'jaringannya', 'ilang', 'jaringan', 'berubah', 'ubah', '']</t>
  </si>
  <si>
    <t>['dunwload', 'bintang', 'ajj', 'dlu', 'entar', 'misalkn', 'enk', 'pke', 'tambh', 'lgi', 'bintanya']</t>
  </si>
  <si>
    <t>['signal', 'internet', 'jelek', 'lemot', 'mengganggu', 'perbaiki', 'kinerja']</t>
  </si>
  <si>
    <t>['kalah', 'jelek', 'ama', 'tri', 'banyakan', 'lag', 'lag', 'jarang', 'lag', 'lag', 'menit', 'lag', 'mulu', 'ampe', 'nangis', 'pas', 'meet', 'lag', 'parah', 'pas', 'main', 'lag', 'parah', 'karna', 'jelekan', 'tri', 'yaudah', '']</t>
  </si>
  <si>
    <t>['bagusan', 'versi']</t>
  </si>
  <si>
    <t>['susah', 'login', 'berulang', 'kali', 'eror', 'mulu']</t>
  </si>
  <si>
    <t>['assalamualaikum', 'mohon', 'telkomsel', 'jaringan', 'internet', 'gangguan', 'terimakasih']</t>
  </si>
  <si>
    <t>['jaringan', 'luas', 'bagus']</t>
  </si>
  <si>
    <t>['cepat', 'singkat']</t>
  </si>
  <si>
    <t>['kuota', 'mahal', 'lemot', 'kayak', 'wifi', 'indihome']</t>
  </si>
  <si>
    <t>['aplikasinya', 'bagus', 'minusnya', 'kadang', 'pas', 'dibuka', 'suka', 'loadingnya']</t>
  </si>
  <si>
    <t>['buruk', 'smuanya', 'mahal']</t>
  </si>
  <si>
    <t>['nice', 'sukses', 'sel', '']</t>
  </si>
  <si>
    <t>['pulsa', 'relatif', 'murah', 'harapan', 'paket', 'data', 'murah', 'harga', 'bersahabat']</t>
  </si>
  <si>
    <t>['sinyal', 'jelek', 'kayak', 'epep', 'pas', 'main', 'game', 'ping', 'ngotak']</t>
  </si>
  <si>
    <t>['maaf', 'tolong', 'perbaiki', 'jaringan', 'internet', 'telkomsel', 'wilayah', 'kota', 'bengkulu', 'susah', 'banget', 'sinyal', 'kartu', 'telkomsel', '']</t>
  </si>
  <si>
    <t>['fitur', 'aplikasi', 'telkomsel', 'bagus', 'promo', 'perbanyak', 'ditingkatkan', 'sinyal', 'wilayah']</t>
  </si>
  <si>
    <t>['kartu', 'sejuta', 'umat', '']</t>
  </si>
  <si>
    <t>['jancoook', 'telkomsel', 'nggak', 'jaringan', 'nggak', 'wifi', 'jancook', 'bayar', 'mahal', 'jaringan', 'jancook']</t>
  </si>
  <si>
    <t>['aplikasi', 'emang', 'bagus', 'jaringan', 'bagus', 'pengguna', 'telkomsel', 'mengeluh', 'data', 'mahal', 'mohon', 'perbaiki']</t>
  </si>
  <si>
    <t>['kecewa', 'telkomsel', 'isi', 'pulsa', 'kesedot', 'pdhal', 'paket', 'paket', 'kuota', 'sya', 'jrang', 'sya', 'akrif', 'karna', 'sya', 'sring', 'pakai', 'wifi', 'aktifkan', 'data', 'selulernya', 'pulsa', 'sya', 'dikit', 'dikit', 'kesedot', 'rupiah', 'tolong', 'perbaiki', 'keluhan', 'bagus', 'kecewa', 'pemakai', 'telkomsel', '']</t>
  </si>
  <si>
    <t>['ribet', 'akun', 'mama', 'logout', 'isi', 'pulsa', 'susah', '']</t>
  </si>
  <si>
    <t>['jaringan', 'ngen', '']</t>
  </si>
  <si>
    <t>['skrg', 'beli', 'paket', 'malam', 'udh', 'gimana', 'telkomsel', 'parah']</t>
  </si>
  <si>
    <t>['smg', 'promonya']</t>
  </si>
  <si>
    <t>['mantap', 'pokonamah']</t>
  </si>
  <si>
    <t>['buruk', 'aplikasinya', 'update', 'diupdate', 'lemot', 'beli', 'kuota', 'kuota', 'dibandingkan', 'kuota', 'beli', 'kuota', 'deskripsi', 'kuota', 'entertainment', 'jaringan', 'kenceng', '']</t>
  </si>
  <si>
    <t>['mudah', 'membeli', 'paket', 'data', 'pulsa', 'hadiahnya']</t>
  </si>
  <si>
    <t>['follow', 'lordzz', 'follback', 'yoo']</t>
  </si>
  <si>
    <t>['apk', 'mempermudah', 'pelanggan', 'setia', 'telkomsel']</t>
  </si>
  <si>
    <t>['sinyalnya', 'msh', 'bagus']</t>
  </si>
  <si>
    <t>['bgs', 'aplikasinya', 'memudahkan', 'beli', 'paket', 'data', 'dll', 'bln', 'beli', 'paket', 'data', 'udah', 'tulisan', 'cek', 'koneksi', 'ulangi', 'transaksi', 'mnt', 'sampe', 'berkali', 'ulangin', 'beli', 'knpa', 'paket', 'unlimitedmax', 'skrng', 'situ']</t>
  </si>
  <si>
    <t>['game', 'iniiii', 'kek', 'kon', '']</t>
  </si>
  <si>
    <t>['sinyalmu', 'nggenahno', 'sek', 'sinyal', 'elek', 'rego', 'selangit', 'sinyal', 'gampang', 'hilang', 'sak', 'karepmu', 'dewe', 'harga', 'sesuai', 'kualitas', 'konsumen', 'nomer', 'dompetmu']</t>
  </si>
  <si>
    <t>['terima', 'kasih', 'aplikasi', 'kerena', 'memudahkan', 'prodok', 'telkomsel', 'membeli', 'paket', 'murah', '']</t>
  </si>
  <si>
    <t>['bagus', 'mudah', 'ngetik', 'ribet']</t>
  </si>
  <si>
    <t>['tarif', 'mahal', 'kualitas', 'murahan', 'jaringan', 'internet', 'hilang', 'mending', 'pindah', 'operator', 'sebelah', 'telepon', 'respon', 'minim']</t>
  </si>
  <si>
    <t>['paket', 'multimedia', 'susah', 'dipake', 'kuota', 'gede', 'udah', 'kecepatan', 'kaya', 'paket', 'internet', 'kadang', 'dipake', 'jaringan', 'suka', 'loading', '']</t>
  </si>
  <si>
    <t>['jaringan', 'jelek', 'paket', 'unlimited']</t>
  </si>
  <si>
    <t>['aplikasi', 'monyet', 'bsa', 'jaringan', 'telkomsel', 'wifi', 'gua', 'kenceng', 'bsa', 'ngebuka', 'setan', 'emang', 'kuota', 'gua', 'abis', 'gmna', 'paketin', 'gua', 'nyalain', 'data', 'nnti', 'kesedot', 'pulsanya', 'njenk']</t>
  </si>
  <si>
    <t>['kadang', 'jaringan', 'lemot']</t>
  </si>
  <si>
    <t>['login', 'susah', 'banget', 'kacau', 'banget', 'ahk', 'apl', '']</t>
  </si>
  <si>
    <t>['signal', 'bagus', 'lancar', 'jaya', 'saran', 'kurangin', 'harga', 'quotanya', 'mahal', 'dibandingkan', 'provider', 'tolong', 'harganya', 'disesuaikan', 'terjangkau', 'lapisan', 'masyarakat', 'menengah', 'terimakasih']</t>
  </si>
  <si>
    <t>['sinyal', 'lumayan', 'sayang', 'beli', 'paket', 'combo', 'sakti', 'rb', 'kouta', 'gb', 'unlimited', 'utama', 'habisnya', 'seminggu', 'udah', 'abis', 'zoom', 'kuat', 'langsung', 'maksa', 'beli', 'kouta', 'bener', 'sisa', 'zoom', 'sinyal', 'internet', 'susah', '']</t>
  </si>
  <si>
    <t>['membantu', 'terimakasi', 'telkomsel']</t>
  </si>
  <si>
    <t>['dasar', 'penipu', 'nyedot', 'pulsa']</t>
  </si>
  <si>
    <t>['tolong', 'sediakan', 'android', 'versi', 'terbaru', 'download']</t>
  </si>
  <si>
    <t>['mantap', 'memuaskan']</t>
  </si>
  <si>
    <t>['jaringannya']</t>
  </si>
  <si>
    <t>['ngerti']</t>
  </si>
  <si>
    <t>['info', 'produk', 'unggulan', 'telkomsel', 'bagus', 'program', 'promo', 'pengguna', 'kartu', 'telkomsel', 'disayangkan', 'aplikasi', 'lambat', 'dioperasikan', '']</t>
  </si>
  <si>
    <t>['telkomsel', 'keren', 'kali']</t>
  </si>
  <si>
    <t>['mekin', 'jelek', 'sinyal', 'orang', 'main', 'game', 'sinyal', 'jelek', 'awak', 'udah', 'main', 'sinyal', 'hijau', 'kuning', 'setabil', 'kesen', 'and', 'emosi', 'geram', 'nye']</t>
  </si>
  <si>
    <t>['tsel', 'notif', 'internet', 'habis', 'pulsa', 'habis', 'dimakan', 'provider', 'paket', 'internet', 'habis', 'akses', 'putus', 'memakan', 'pulsa', 'sampe', 'terkesan', 'sengaja', 'sengaja', 'sengaja', 'ngaku', '']</t>
  </si>
  <si>
    <t>['paket', 'mahal', 'jaringan', 'busuk', 'bermain', 'game', 'online', 'lancar', 'tolonglah', 'perbagus', 'jaringan', 'mengejar', 'uang', 'tolong', 'perbagus', 'kualitas', 'jaringan', 'internet', 'papua', '']</t>
  </si>
  <si>
    <t>['tolong', 'telkomsel', 'agung', 'menguasai', 'langit', 'bumi', 'jaringan', 'papua', 'tepatnya', 'daerah', 'kabupaten', 'keerom', 'tolong', 'perbagus', 'jaringan', 'busuk', 'paket', 'mahal', 'kualitas', 'internet', 'kaya', 'sampah', 'bermain', 'game', 'online', 'nyaman', 'perbagus', 'tolong', 'paket', 'mahal', '']</t>
  </si>
  <si>
    <t>['suka', 'curi', 'pulsa', 'sya', 'kemari', 'sya', 'belli', 'pulsa', 'bru', 'sebgia', 'sya', 'pke', 'sebagiannya', 'ambil', 'trus', 'slalu', 'tertulis', 'ktax', 'pembyarn', 'rb', 'plsa', 'blum', 'byar', 'padahl', 'kubarah', 'mlhan', 'bkn', 'tpi', 'rbu', 'pulsa', 'ambil', 'bru', 'isi', 'plsa', 'rb', 'lngsung', 'makan', 'rb', 'pulsaku', 'gila', 'benner', 'emosi', 'daftarnya', 'kuota', 'internet', 'mahal', 'lgi']</t>
  </si>
  <si>
    <t>['telkomsel', 'susah', 'berhenti', 'langganan', 'paket', 'sengaja', 'dipersulit', 'berhenti', 'langganan', 'paket', 'melanggar', 'undang', 'undang', 'nomor', 'perlindungan', 'konsumen']</t>
  </si>
  <si>
    <t>['sinyal', 'jelek', 'harga', 'mahal']</t>
  </si>
  <si>
    <t>['mantap', 'serius', '']</t>
  </si>
  <si>
    <t>['paket', 'special', 'gb', 'udah', 'ngga', 'macem', 'langganan', 'pas', 'moment', 'kuota', 'abis', 'terpaksa', 'beli', 'ketengan', 'trus', 'isi', 'pulsa', 'beli', 'udah', 'ngga', 'alias', 'hilang', 'paket', 'specialnya']</t>
  </si>
  <si>
    <t>['sinyal', 'telkomsel', 'jelek']</t>
  </si>
  <si>
    <t>['aplikasi', 'membantu', 'pokonya', 'good', 'apk']</t>
  </si>
  <si>
    <t>['', 'banget', 'keren', 'hadiahnya']</t>
  </si>
  <si>
    <t>['', 'geming', 'adik', '']</t>
  </si>
  <si>
    <t>['kagak', 'jaringan', 'ngelek', 'buka', 'google', 'nonton', 'youtube', 'lancar', 'gua', 'nonton', 'youtube', 'gua', 'buka', 'google', 'baca', 'komik', 'google']</t>
  </si>
  <si>
    <t>['murah', 'oke']</t>
  </si>
  <si>
    <t>['aplikasinya', 'bagus', 'buka', 'oppo', 'reno', '']</t>
  </si>
  <si>
    <t>['harga', 'paket', 'internet', 'termahal']</t>
  </si>
  <si>
    <t>['telkomsel', 'sinyal', 'terkuat', 'sinyal', 'internet', 'susahnya', 'poll', 'plosok', 'susah', 'sinyal', 'internet', 'hedewwwhh', 'permainan', '']</t>
  </si>
  <si>
    <t>['aplikasi', 'membantu', 'suka', 'buka', 'aplikasi', 'berat', 'banget', '']</t>
  </si>
  <si>
    <t>['mengambil', 'paket', 'darurat']</t>
  </si>
  <si>
    <t>['udah', 'menurun', 'sinyalnya', 'telkomsel', 'udah', 'kebiasa', 'paket', 'ditelkomsel', 'worth', 'paketnya', 'udah', 'mahal', 'ditambah', 'sinyalnya', 'ilang', 'ilangan']</t>
  </si>
  <si>
    <t>['kasih', 'promo', 'donk', 'telkomsel', '']</t>
  </si>
  <si>
    <t>['kasi', 'coba']</t>
  </si>
  <si>
    <t>['buruk', 'telkomsel', 'jaringannya', 'kedepan', 'buruk', 'mending', 'uninstal']</t>
  </si>
  <si>
    <t>['jaringan', 'lag', 'ngak', 'make']</t>
  </si>
  <si>
    <t>['bagus', 'layanan']</t>
  </si>
  <si>
    <t>['knp', 'buruk', 'sinyal', 'simpati', 'mahalnya', 'doank', 'kualitas', 'ngk', 'bobrok', '']</t>
  </si>
  <si>
    <t>['bonus', 'undian', '']</t>
  </si>
  <si>
    <t>['rekomendasi', 'aplikasi', 'bgs', 'kejelasan', 'bahasa', 'informasi', 'customer', 'service', 'lumayan', 'membantu', 'jaringannnya', 'error', '']</t>
  </si>
  <si>
    <t>['promosi', 'terjangkau']</t>
  </si>
  <si>
    <t>['bagus', 'mudah', 'menang', 'hadiah']</t>
  </si>
  <si>
    <t>['telkomsel', 'bnyak', 'nelpon', 'bnyak', 'sms', 'mengganggu', 'kenyamanan', 'blokir', 'masuk']</t>
  </si>
  <si>
    <t>['hilang', 'jaringan', 'daerah', 'sulsel', 'narik', 'data', 'bru', 'sore', '']</t>
  </si>
  <si>
    <t>['harganya']</t>
  </si>
  <si>
    <t>['pengguna', 'telkomsel', 'udah', 'jaringan', 'telkomsel', 'mengecewakan', 'tinggal', 'medan', 'jaringannya', 'sungguh', 'memalukan', 'harapkan', 'perbaikan', 'jaringan', '']</t>
  </si>
  <si>
    <t>['saran', 'telkomsel', 'tolong', 'tingkat', 'kwalitas', 'jaringan', 'sepadan', 'kouta', 'mahal', 'kwalitas', 'jaringan', 'lemot']</t>
  </si>
  <si>
    <t>['telkomsel', 'jaringan', 'main', 'game', 'ping', 'merah', 'kuat', 'main', 'game', 'jaringannya']</t>
  </si>
  <si>
    <t>['internet', 'lancar', '']</t>
  </si>
  <si>
    <t>['smga', 'hadiah']</t>
  </si>
  <si>
    <t>['meningkatkan', 'jaringan']</t>
  </si>
  <si>
    <t>['jaringan', 'internet', 'telkomsel', 'lelet', 'tolong', 'perbaiki', 'bagus', 'sinyalnya', 'kuat', 'lelet', 'terima', 'kasih', 'perhatiannya']</t>
  </si>
  <si>
    <t>['mudahin', 'dikit']</t>
  </si>
  <si>
    <t>['semangkin', 'jelek', 'jaringannya']</t>
  </si>
  <si>
    <t>['aplikasi', 'manta', 'memudah', 'pelanggan', 'pengguna', 'telkomsel']</t>
  </si>
  <si>
    <t>['jaringan', 'lelet', 'harga', 'kuota', 'mahal', 'rugi', 'pakek', 'tsel']</t>
  </si>
  <si>
    <t>['jaringan', 'normal']</t>
  </si>
  <si>
    <t>['semoga', 'hadiah', 'nilainya']</t>
  </si>
  <si>
    <t>['telkomsel', 'koneksinya', 'kek', 'ampas', '']</t>
  </si>
  <si>
    <t>['membeli', 'paket', 'koneksi', 'sya', 'bagus', 'pulsa', 'rp', 'tba', 'sisa', 'paket', 'jdi', 'kebeli', 'pulsa', 'kenak', 'potong', 'aplikasi', 'waras', '']</t>
  </si>
  <si>
    <t>['aplikasi', 'lemoooot']</t>
  </si>
  <si>
    <t>['perbaiki', 'layanan', 'kusus', 'jaringan']</t>
  </si>
  <si>
    <t>['aplikasinya', 'membantu']</t>
  </si>
  <si>
    <t>['promo', 'nelpon', 'hilang']</t>
  </si>
  <si>
    <t>['hadirkan', 'telkomsel', 'promo', 'termurah', 'hadiah', 'menarik']</t>
  </si>
  <si>
    <t>['signal', 'oke', 'jam', 'suka', 'down', 'stabil', 'ditingkatkan', 'dehh', '']</t>
  </si>
  <si>
    <t>['paket', 'suka', 'axis', 'berpaedah', 'tolong', 'tiru']</t>
  </si>
  <si>
    <t>['menyenangkan']</t>
  </si>
  <si>
    <t>['jaringannya', 'stabil', 'ruangan', 'ruangan', 'telkomsel', 'pembelian', 'pulsa', 'langsung', 'poin', 'poinnya', 'ditukarkan', 'hadiah', 'menarik', '']</t>
  </si>
  <si>
    <t>['telkomsel', 'bosok', 'sinyal', 'dirumah', 'udh', 'paketan', 'mahal', 'sulit', 'diakses', 'rumah', 'perkotaan']</t>
  </si>
  <si>
    <t>['tolong', 'orang', 'telkomsel', 'gunungkidul', 'ngrasain', 'sinyal', 'enak', '']</t>
  </si>
  <si>
    <t>['min', 'adain', 'fitur', 'set', 'scurity', 'level', 'pulsa', 'terpotong']</t>
  </si>
  <si>
    <t>['mantab', 'semgoga', 'promo', 'murah', 'harga', 'kuotanya', '']</t>
  </si>
  <si>
    <t>['beli', 'kuota', 'ketengan', 'berkurang', 'kuota', 'utama', 'kali', 'berkali', 'kali', 'kompensasi', 'mending', 'beli', 'kuota', 'utamanya', 'beli', 'kuota', 'ketengan', 'dipakai', 'kuota', 'utamanya', '']</t>
  </si>
  <si>
    <t>['paket', 'unli', 'hilang']</t>
  </si>
  <si>
    <t>['membanty']</t>
  </si>
  <si>
    <t>['apk', 'bagus', '']</t>
  </si>
  <si>
    <t>['mantap', 'mudah', 'joss', 'tenan', 'pokoknya']</t>
  </si>
  <si>
    <t>['parah', 'sinyal', 'bagus', 'hancur', 'pembelajaran', 'daring', 'meningkatkan', 'kualitasnya', 'harga', 'paket', 'ditambah', 'rp', 'dimana', 'yok', 'belik', 'pulsa', 'terpaksa', 'isi', 'pulsa', 'rp', 'bener', 'bener', 'mengganggu', 'kuota', 'internet', 'pulsa', 'dipotong', 'rp', 'akses', 'internet', 'non', 'paket', '']</t>
  </si>
  <si>
    <t>['mahal', 'yaa', 'paketannya']</t>
  </si>
  <si>
    <t>['siyal', 'dipake', 'ngilang']</t>
  </si>
  <si>
    <t>['fleksibel', 'memudahkan']</t>
  </si>
  <si>
    <t>['suka', 'promo', 'paketnya']</t>
  </si>
  <si>
    <t>['masuk', 'aplikasi', 'dihapus', 'masuk', '']</t>
  </si>
  <si>
    <t>['kadang', 'kadang', 'ribet', 'aplikasinya', 'update', 'update']</t>
  </si>
  <si>
    <t>['aplikasi', 'keren', '']</t>
  </si>
  <si>
    <t>['kouta', 'ketengan', 'video', 'call', 'keterangan', 'penjelasannya']</t>
  </si>
  <si>
    <t>['coba', 'choy']</t>
  </si>
  <si>
    <t>['bagus', 'eyyy', 'membantu']</t>
  </si>
  <si>
    <t>['applikasi', 'membantu', 'upaya', 'pelayanan', 'telkomsel']</t>
  </si>
  <si>
    <t>['lumayan', 'bagus', 'klaim', 'hadiah', 'login', 'harian', 'beli', 'pketan', 'pakai', 'wallet', 'pernh', 'saldo', 'pulsa', 'tolong', 'perbaiki', 'dapet', 'pengguna', 'wallet']</t>
  </si>
  <si>
    <t>['kartu', 'jelek', 'telkomsel', 'telkomsel', 'enak', 'mahal', 'mahal', 'tpi', 'ancur', '']</t>
  </si>
  <si>
    <t>['liat', 'promo']</t>
  </si>
  <si>
    <t>['jaringan', 'terluas', 'mantapp', 'untk', 'diperkotaan', 'didesa', 'jaringan', 'tiadak', 'stabil', 'jarak', 'mter', 'nohon', 'dipebaiki', 'ditindak', 'lanjuti', 'kal', 'bar', 'kec', 'kakap', 'desa', 'sungai', 'rengas']</t>
  </si>
  <si>
    <t>['pokoknya', 'kuota', 'lancar', 'cepat', 'banget', 'kemaren', 'makek', 'telkomsel', 'cepet', 'nggak', 'kayak', 'indosat', 'kuota', 'kek', 'gini', 'kalok', 'makeknya', 'kasih', 'gratisan', 'kayak', 'bonus', 'gb', 'saranku']</t>
  </si>
  <si>
    <t>['kesini', 'paketan', 'mytelkomsel', 'mahal', 'kenaikan', 'harganya', 'membeli', 'paket', 'beli', 'harganya', 'berbeda', 'rb', 'tolong', 'penjelasannya', 'min', 'terkait', 'kenaikan', 'harga', 'mahal', 'kenaikan', 'harganya', '']</t>
  </si>
  <si>
    <t>['telkomsel', 'kuota', 'internet', 'gb', 'pulsa', 'terpotong', 'rupiah', 'alasan', 'pulsa', 'terpakai', 'penggunaan', 'internet', 'gunanya', 'kuota', 'tersisa', 'sia', 'donk', 'keep', 'pulsa', 'gini']</t>
  </si>
  <si>
    <t>['', 'jaringan', 'telkomsel', 'susah', 'ssah', 'ampun', 'jaringan', 'bertahun', 'tlg', 'perbaiki', 'kmi', 'rugi', 'trus', 'bli', 'koata', 'sdah', 'coba', 'melaporkan', 'email', 'telkomsel', 'mending', 'ganti', 'kartu']</t>
  </si>
  <si>
    <t>['check', 'programnya', 'gangguan', 'sinyal', 'harga', 'kartu', 'peningkatan', 'kualitasnya']</t>
  </si>
  <si>
    <t>['beli', 'paket', 'ceria', 'rb', 'potong', 'internetan', 'paket', 'internet', 'sampe', 'rb', 'pulsa', 'udh', 'kepotong', 'beli', 'paket', 'ceria', 'parah', 'telkomsel']</t>
  </si>
  <si>
    <t>['mantaaapp', 'mudah', 'beli', 'paket', 'data']</t>
  </si>
  <si>
    <t>['ilang', 'mulu', 'barusan', 'beli', 'kartu', 'korupsi', 'mulu']</t>
  </si>
  <si>
    <t>['telkomsel', 'kaga', 'beda', 'kartu', 'tetangga', 'sinyal', 'katroo', 'malu', 'telkomsel', 'sinyal', 'lek', 'rajin', 'update', 'ush', 'bls', 'kirim', 'mail', 'bwt', 'ngejelasin', 'krna', 'butuh', 'penjelasan', 'butuh', 'bukti', 'sinyal', 'telkomsel', 'bagus', 'kaya', 'thn', 'ngomong', 'krna', 'pelanggan', 'pelanggan', 'kemaren', 'sore', 'bukti', 'kaya', 'sinyal', 'telkomsel', '']</t>
  </si>
  <si>
    <t>['harga', 'mahel', 'jaringan', 'bangsat', '']</t>
  </si>
  <si>
    <t>['paket', 'blm', 'habis', 'harian', 'unlimited', 'ketentuan', 'disana', 'bingung', 'dehh', 'nikmatin']</t>
  </si>
  <si>
    <t>['paketan', 'mahal', 'sinyal', 'bagus', 'sampek', 'sinyal', 'bagus', 'keluhan', 'customer', 'nomor', 'masak', 'buka', 'google', 'bet', 'game', 'jelek', 'bet', 'sinyalmu', 'benerin', 'makek', 'telkomsel', 'kek', 'taikk', 'bintang', 'sinyal', 'bagusin']</t>
  </si>
  <si>
    <t>['mantap', 'membantu', 'hargax']</t>
  </si>
  <si>
    <t>['ahhh', 'dasar', 'setan', 'telkomsel', 'permudah', 'layanan', 'nyusahin', 'pelanggan', 'donlot', 'gampang', 'masuk', 'susah', 'kampreet', 'smua']</t>
  </si>
  <si>
    <t>['memudahkan', 'memilih', 'bertransaksi', 'paket', 'data']</t>
  </si>
  <si>
    <t>['', 'membantu', 'mempermudah', 'pembelian', 'pengecekan', 'paket', 'data']</t>
  </si>
  <si>
    <t>['tingkatkan', 'sinyal']</t>
  </si>
  <si>
    <t>['layanan', 'terburuk', 'sejarah', 'tekomsel', 'sinya', 'hilang', 'misi', 'buang', 'laut', 'kecewa', 'payah', 'download', 'aplikasi', 'telkomsel']</t>
  </si>
  <si>
    <t>['', 'kasih', 'bintang', 'yaa']</t>
  </si>
  <si>
    <t>['gua', 'saranin', 'telkomsel', 'jaringannya', 'parah', 'provider', 'lainya', 'bagus']</t>
  </si>
  <si>
    <t>['promo', 'pakai']</t>
  </si>
  <si>
    <t>['paten', 'semoga', 'telkomsel', 'pelayanan', 'bagus', 'konsumen', 'pande', 'telkomsel']</t>
  </si>
  <si>
    <t>['smoga', 'bgs', 'kedepanx']</t>
  </si>
  <si>
    <t>['taekkk', 'telkomsell', 'kayak', 'paket', 'mahal', 'mahal', 'beli', 'diatas', 'giliran', 'main', 'game', 'sinyal', 'hilang', 'hilang', 'th', 'pakai', 'telkomsel', 'mending', 'pindah', 'provaider']</t>
  </si>
  <si>
    <t>['baiklah', 'cepat', 'respon']</t>
  </si>
  <si>
    <t>['semoga', 'amnah', '']</t>
  </si>
  <si>
    <t>['jelek', 'bonusnya']</t>
  </si>
  <si>
    <t>['banyakin', 'promonya']</t>
  </si>
  <si>
    <t>['aplikasi', 'membantu', 'bagus']</t>
  </si>
  <si>
    <t>['telkomsel', 'jaringan', 'stabil', 'lingkungan', 'sayangnya', 'harga', 'kuotanya', 'mahalnya', 'kebangetan', 'pelajar', 'berat', 'banget', 'cek', 'nambah', 'combo', 'saktinya', 'tolong', 'telkomsel', 'kasih', 'harga', 'wajar', 'ditambah', 'memberatkan', 'pelajar', 'penghasilan', '']</t>
  </si>
  <si>
    <t>['pakai', 'telkomsel', 'enak']</t>
  </si>
  <si>
    <t>['lemot', 'lte', 'internetan', 'lemot', 'kasih', 'bintang', 'semoga', 'cepat', 'perbaiki', 'terimakasi', 'seminggu', 'internetan', 'wifi', 'kakak']</t>
  </si>
  <si>
    <t>['paket', 'mahal']</t>
  </si>
  <si>
    <t>['information', 'akses', 'internet']</t>
  </si>
  <si>
    <t>['kasih', 'bintang', 'duluya', 'lihat', 'hasil', 'bagus', 'tambahin']</t>
  </si>
  <si>
    <t>['mudah', 'mirah']</t>
  </si>
  <si>
    <t>['aplikasinya', 'bagus', 'banget']</t>
  </si>
  <si>
    <t>['aplikasi', 'bagus', 'suka', 'tolong', 'perbanyak', 'promo']</t>
  </si>
  <si>
    <t>['bagus', 'simpel']</t>
  </si>
  <si>
    <t>['bagus', 'banget', '']</t>
  </si>
  <si>
    <t>['', 'telkomsel', 'cek', 'kota']</t>
  </si>
  <si>
    <t>['paket', 'data', 'mahal', 'pusat', 'bantuan', 'layani', 'robot', 'belajar', 'indosat', 'pelayanan', 'costumer', 'the', 'best']</t>
  </si>
  <si>
    <t>['pls', 'telkomsel', 'coba', 'deh', 'mode', 'lock', 'pulsa', 'sedot', 'isi', 'pulsa', 'trus', 'paket', 'habis', 'kelupaan', 'hidup', 'data', 'pulsaku', 'hilang', 'selebihnya', 'bagus', 'mode', 'lock', 'pulsa', 'ksih', 'bintang', '']</t>
  </si>
  <si>
    <t>['telkomsel', 'mudah']</t>
  </si>
  <si>
    <t>['aplikasi', 'isi', 'kede', 'dtk', 'isi', 'ngk', 'isi', 'otomatis', 'segitu']</t>
  </si>
  <si>
    <t>['serius', 'ngebantu', 'banget', 'beli', 'paket', 'data', 'karna', 'murah', 'isi', 'ulang', 'pulsa', 'gamasuk', 'isinya', 'via', 'shopeepay', 'saldoku', 'udah', 'kepotong', 'pulsanya', 'gamasuk', 'kutungguin', 'udah', 'masuk', '']</t>
  </si>
  <si>
    <t>['tolonglah', 'telkomsel', 'paket', 'omg', 'omg', 'sedot', 'paket', 'lokalnya', 'kah', 'omg', 'buka', 'youtube', 'tolong', 'perbaiki', '']</t>
  </si>
  <si>
    <t>['pembelian', 'paket', 'beli', 'kuota', 'intertet', 'pulsa', 'habis', 'termakan', 'apk', 'pdhl', 'paket', 'masuk']</t>
  </si>
  <si>
    <t>['lgi', 'covid', 'kuota', 'naikin', 'bljr', 'gmn', 'klw', 'kuota', 'mahal', '']</t>
  </si>
  <si>
    <t>['membantu', 'pulsa', 'kuota']</t>
  </si>
  <si>
    <t>['the', 'best', 'pokokn', 'mah', 'telkomsel', '']</t>
  </si>
  <si>
    <t>['tolong', 'diperbaiki', 'kualitas', 'jaringan', 'daerah', 'kota', 'ternate', 'maluku', 'utara', '']</t>
  </si>
  <si>
    <t>['perselancaran', 'dunia', 'maya', 'internet', 'bagus', 'cepat', 'banding', 'tetangga', 'sebelah', 'kebijaksanaan', 'jasa', 'tarif', 'murah', 'dlm', 'harga', 'biaya', 'penggunaan', 'internet', 'dlm', 'pemakaian', 'youtube', 'borosnya', 'kuota', 'kran', 'air', 'buka', 'habis', 'tolonglah', 'irit', 'pemakai', 'jasa', 'layanan', 'telkomselmu', 'hehehe', 'mksh', 'bnyk', '']</t>
  </si>
  <si>
    <t>['jaringanya', 'jelek']</t>
  </si>
  <si>
    <t>['terima', 'kasih', 'mytelkomsel']</t>
  </si>
  <si>
    <t>['pulsa', 'sisa', 'terpotong', 'internet', 'harian', 'paket', 'data', 'aktif', 'sebulan', 'kali', 'sisa', 'pulsa', 'habiiiiss', 'tersedot', 'aneh', 'donk', 'beli', 'paket', 'internet', 'nelp', 'sms', '']</t>
  </si>
  <si>
    <t>['terkadang', 'susah', 'diakses']</t>
  </si>
  <si>
    <t>['sebolmnya', 'prabayar', 'aman', 'aman', 'pascabayar', 'dirugikan', 'terusan', 'migrasi', 'kartu', 'halo', 'telkomsel', 'maunyesel']</t>
  </si>
  <si>
    <t>['gara', 'gara', 'bagus']</t>
  </si>
  <si>
    <t>['pakai', 'telkomsel', 'kuota', 'irit', 'banget']</t>
  </si>
  <si>
    <t>['aplikasi', 'bgus', 'bnget']</t>
  </si>
  <si>
    <t>['qualiti', 'kontrol', 'kasih', 'pelanggan', 'sekelas', 'telkomsel', 'aplikasi', 'kayak', 'zonk', 'loadingnya', 'banget', 'masuk', 'aplikasi', 'jaringan', 'full', 'jakarta', 'coba', 'klw', 'daerah', 'pengguna', 'langsung', 'banting', '']</t>
  </si>
  <si>
    <t>['cari', 'media', 'kuota', 'unlimited', 'berfungsi', 'lancar', 'kena', 'minggu', 'kuota', 'utama', 'terpotong', 'unlimited', 'youtube', 'twitter', 'berfungsi', 'coba', 'lapor', 'admin', 'menyalahkan', 'pelanggan', 'menganggap', 'sistem', 'kecewa', '']</t>
  </si>
  <si>
    <t>['terimakasih', 'pelayanan', 'terbaik']</t>
  </si>
  <si>
    <t>['', 'daerah', 'kec', 'cimaung', 'desa', 'pasirhuni', 'sinyal', 'telkomsel', 'hilang', 'yach', 'jangkauan']</t>
  </si>
  <si>
    <t>['beli', 'mahal', 'ngelag']</t>
  </si>
  <si>
    <t>['main', 'nonton', 'cepet', 'telkomsel', 'pastinya']</t>
  </si>
  <si>
    <t>['udah', 'bulanan', 'kartu', 'dapet', 'promo', 'murah', 'mlh', 'seribu', 'beli', 'pulsa', 'kebuang', 'ribu', 'datanya', 'dunyalakan', 'mohon', 'harganya', 'dinormlakan', 'ribu', 'ttep', 'ribu', '']</t>
  </si>
  <si>
    <t>['apl', 'kasinya', 'bagus', 'mudah', 'dijalankan', 'membantu', '']</t>
  </si>
  <si>
    <t>['harga', 'paket', 'internetnya', 'beda', 'beda', 'nomor', 'mahal', 'engga', 'murah', '']</t>
  </si>
  <si>
    <t>['tagihan', 'sebulan', 'kartu', 'blokir', 'tagihan', 'begok', 'udh', 'blokir', 'permanen', 'kartu', 'ngasih', 'tagihan', '']</t>
  </si>
  <si>
    <t>['beli', 'unlimited', 'youtub', 'youtub', 'berkurang', 'paket', 'reguler', '']</t>
  </si>
  <si>
    <t>['error', 'kuota', 'keambil', 'kuota', 'utama', '']</t>
  </si>
  <si>
    <t>['bagus', 'bermanfaat']</t>
  </si>
  <si>
    <t>['direkomendasikan']</t>
  </si>
  <si>
    <t>['coba', 'rubahblg', 'gmn', 'kuota', 'multimedia', 'terpakai', 'kuota', 'utama', 'abis']</t>
  </si>
  <si>
    <t>['paket', 'cuy', 'skrng', 'gitu', 'semoga', 'orang', 'ngasih', '']</t>
  </si>
  <si>
    <t>['buruk', 'pas', 'batas', 'tgl', 'quota', 'berahir', 'jam', 'malam', 'langsung', 'nyedot', 'pulsa', 'peringatan', 'anjim', 'pulsa', 'langsung', 'tersedot', 'ribu', 'parah', 'parah', 'boros', 'mahal', 'quota', 'bangke']</t>
  </si>
  <si>
    <t>['lelet', 'parah', 'sinyalnya', '']</t>
  </si>
  <si>
    <t>['knp', 'kuota', 'belajar', 'kepake', 'pas', 'buka', 'gmeet', 'zoom', 'clasroom', 'knp', 'kepake', 'kuotanya', '']</t>
  </si>
  <si>
    <t>['pencerahan', 'berlanganan', 'hallo', 'telkomsel', 'semenjak', 'laut', 'full', 'buln', 'pkai', 'hallo', 'telkomel', 'tagihan', 'bulanya', 'pkai', 'data', 'tagihan', 'pkai', 'data', 'karna', 'sinyal', 'laut', 'lepas', 'coba', 'pendapat', 'trima', 'kasih', '']</t>
  </si>
  <si>
    <t>['selalau', 'cepat']</t>
  </si>
  <si>
    <t>['suka', 'banget', 'cepet']</t>
  </si>
  <si>
    <t>['its', 'oke', 'ribet']</t>
  </si>
  <si>
    <t>['mudah', 'penggunaanya', 'promonya']</t>
  </si>
  <si>
    <t>['hati', 'pakai', 'paket', 'telkomsel', 'buka', 'facebook', 'bilangin', 'kouta', 'habis', 'bnyak', 'suruhnya', 'beli', 'paket', 'darurat', 'rbu', 'klu', 'salah', 'pencet', 'kebeli', 'tinggal', 'potong', 'pulsa', 'isi', 'pulsa']</t>
  </si>
  <si>
    <t>['terbantu', 'tingkatkan', 'kwalitas', 'telkomsel']</t>
  </si>
  <si>
    <t>['upgrade', 'kartu', 'halo', 'memiliki', 'sinyal', 'prioritas', 'kenyataannya', 'lemot', '']</t>
  </si>
  <si>
    <t>['postingan', 'kemana', '']</t>
  </si>
  <si>
    <t>['mytelkomsel', 'rugi', 'pokokny', 'downlod', 'aplikasi', 'mudah', 'cepat', 'beli', 'cek', 'pulsa', 'data', '']</t>
  </si>
  <si>
    <t>['', 'beli', 'hotstar']</t>
  </si>
  <si>
    <t>['murahin', '']</t>
  </si>
  <si>
    <t>['aplikasi', 'susah', 'dibuka', 'pulsa', 'mendadak', 'kesedot', '']</t>
  </si>
  <si>
    <t>['memudahkan', 'berhubungan', 'telkomsel']</t>
  </si>
  <si>
    <t>['maaf', 'kak', 'kuota', 'internet', 'aktif', 'dikenakan', 'bea', '']</t>
  </si>
  <si>
    <t>['loading', 'masuknya', 'masuk']</t>
  </si>
  <si>
    <t>['klaim', 'kouta', 'daily', 'check', 'jumat', 'pagi', 'nov', 'senin', 'nov', 'terima', 'pulsa', 'poin', 'terpotong', 'lapor', 'call', 'center', 'kali', 'absen', 'hilang', 'ditutup', 'aplikasinya', 'buka', 'kouta', 'voucher', 'disc', 'hilang', 'tuyul', 'aplikasinya', 'kecewa', 'telkomsel', '']</t>
  </si>
  <si>
    <t>['sambungan', 'data', 'lemot', 'kadang', 'jengkel', 'digoyang', 'lemot', '']</t>
  </si>
  <si>
    <t>['mohon', 'aplikasi', 'ringankan', 'aplikasi', 'lola', 'buka']</t>
  </si>
  <si>
    <t>['telkomsel', 'udah', 'kayak', 'kartu', 'beli', 'aktif', 'saran', 'memperpanjang', 'aktif', 'biaya', 'hasil', 'pemakain', 'pulsa', 'karna', 'membuatnya', 'beda', 'kartu', 'kartu', '']</t>
  </si>
  <si>
    <t>['bagus', 'sekalia', 'aplikasi', 'check', 'dpt', 'bonus']</t>
  </si>
  <si>
    <t>['paaraah', 'bener', 'pulsa', 'ribu', 'dipake', 'bentar', 'beli', 'paket', 'shopee', 'langsung', 'ludes', 'parah', 'bener', 'pulsa', 'ludes', 'duluan', 'paket', 'sempet', 'kebeli', 'pas', 'dibeli', 'habis', 'pulsa', '']</t>
  </si>
  <si>
    <t>['murah', 'skli', '']</t>
  </si>
  <si>
    <t>['tingkatkan', 'pelayanan', 'internet', 'jooss']</t>
  </si>
  <si>
    <t>['mahal', 'jaringan', 'kadang', 'busuk', 'untung', 'kartu', 'bertahun', 'ganti', 'jdi', 'males', 'bututtt']</t>
  </si>
  <si>
    <t>['mudahan', 'undian', 'telkomsel', 'kasih', 'bintang', '']</t>
  </si>
  <si>
    <t>['berharap', 'undian', 'telkomsel', 'dikartu']</t>
  </si>
  <si>
    <t>['', 'bnr', 'beli', 'kuota', 'ketengan', 'youtube', 'hr', 'dipakai', '']</t>
  </si>
  <si>
    <t>['paket', 'data', 'kemendikbud', 'aplikasi', 'sosmed', 'dll', '']</t>
  </si>
  <si>
    <t>['bagus', 'terjamin', '']</t>
  </si>
  <si>
    <t>['stabil', 'turun', 'cape', 'nahan', 'emosi', 'signal', 'hilang', 'lemah', 'apun', 'kadang', 'malu', 'transaksi', 'cepat', 'main', 'game', 'menangnya', 'macetnya', 'parah', 'pokoknya', 'sial', 'memecat', 'penanggung', 'udah', 'pecat', 'gaji', 'kerja', 'becus', 'kerasaan', 'pematang', 'bandar', 'kabupaten', 'simalungun', 'sumatera', 'utara', '']</t>
  </si>
  <si>
    <t>['assalamualaikum', 'telkomse', 'merubah', 'penukaran', 'poin', 'pulsa', 'penukaran', 'kode', 'diperbanyak', 'pilihan', 'sekian', 'terimakasih']</t>
  </si>
  <si>
    <t>['tingkatkan', 'kwalitas', 'internet', 'nys']</t>
  </si>
  <si>
    <t>['knpa', 'apk', 'lemot', 'berat', 'butuh', 'terbukanya', '']</t>
  </si>
  <si>
    <t>['lues', 'mahal', 'yaa', '']</t>
  </si>
  <si>
    <t>['mempermudah', 'fungsi']</t>
  </si>
  <si>
    <t>['mahal', 'sinyal', 'buruk']</t>
  </si>
  <si>
    <t>['beli', 'paket', 'gagal', 'bonus', 'promo', 'hub', 'call', 'center', 'tetep', 'hasil', 'please', '']</t>
  </si>
  <si>
    <t>['masuk', 'ribet', 'kyk', 'bima', 'kode', 'otp']</t>
  </si>
  <si>
    <t>['makasih', 'telkomsel', 'kouta', 'gratis']</t>
  </si>
  <si>
    <t>['mantap', 'terimakasih', 'telkomsel']</t>
  </si>
  <si>
    <t>['mantap', 'iwa']</t>
  </si>
  <si>
    <t>['aplikasi', 'bagus', 'sngt', 'mmbantu']</t>
  </si>
  <si>
    <t>['ngdain', 'poin', 'tukar', 'poin', 'telkomsel', 'gue', 'numpuk', 'kuota', 'combo', 'sakti', 'max', 'ktanya', 'akses', 'youtub', 'tiktok', 'buka', 'youtup', 'mna', 'kuota', 'internet', 'abis', 'duluan', 'sdangkan', 'kuota', 'multi', 'media', 'uttuh', 'emosi', '']</t>
  </si>
  <si>
    <t>['hebat', 'sinyal', 'internet', 'kuat']</t>
  </si>
  <si>
    <t>['bagus', 'sinyalnya', '']</t>
  </si>
  <si>
    <t>['kasihan', 'promo', 'mahal', 'tsel']</t>
  </si>
  <si>
    <t>['aplikasi', 'bagus', 'ayo', 'download', 'teman', 'langsung', 'kasih', 'bintang', 'lho', 'juta', 'orang', 'memakai', 'aplikasi', 'mytelkomsel']</t>
  </si>
  <si>
    <t>['membantu', 'simple']</t>
  </si>
  <si>
    <t>['mudah', 'dijangkau', 'dihampir', 'pelosok', 'negeri', '']</t>
  </si>
  <si>
    <t>['suka', 'aplikasi', 'arno', 'sulawesi']</t>
  </si>
  <si>
    <t>['', 'tingkatkan', 'suka', 'telkomsel']</t>
  </si>
  <si>
    <t>['apk', 'bagus', 'berguna', 'pengguna', 'telkomsel']</t>
  </si>
  <si>
    <t>['kuota', 'gb', 'simcard', 'artikel', 'feronica', 'mejengkelkan', 'saran', 'tolong', 'tampakan', 'kolom', 'kuota', 'mohon', 'jawabanya', 'faham']</t>
  </si>
  <si>
    <t>['aplikasi', 'akun', 'nomer', 'terpasang', 'perangkat', 'berbeda', 'miliki', 'aplikasi', 'akun', 'nomer', 'membingungkan', 'menemukan', 'cepat', 'salah', 'akun', 'nomer', 'terpasang', 'perangkat', 'maksud', 'disebabkan', 'akun', 'nomer', 'ditampilkan', 'angka', 'sulit', 'hafal', 'opsi', 'nama', 'pengganti', 'opsi', 'tambahan', 'keterangan', 'papan', 'menu', '']</t>
  </si>
  <si>
    <t>['pelanggan', 'setia', 'telkomsel', 'smoga', 'telkomsel', 'memasyrkat', 'pelosok', 'desa']</t>
  </si>
  <si>
    <t>['bener', 'butuh', 'beli', 'quota', 'buka', 'sampah', '']</t>
  </si>
  <si>
    <t>['taon', 'make', 'telkomsel', 'kartu', 'udah', 'taon', 'pke', 'terdaftar', 'akun', 'taon', 'jaringan', 'telekomsel', 'kaya', 'taikk', 'beli', 'paket', 'mahal', 'ehh', 'dapet', 'kwalitas', 'jaringan', 'lbh', 'jelek', 'pnya', 'smartfren', 'tgl', 'tngah', 'kota', 'brsa', 'kaya', 'dlem', 'goa', 'puncak', 'bukitnya', 'doraemon', 'aduan', 'prnh', 'respon', 'opratornya', 'bantu', 'aduan', 'blng', 'sayakan', 'ikan', 'urusan', 'lapangan', '']</t>
  </si>
  <si>
    <t>['jaringan', 'telkomsel', 'sumpah', 'jelek', 'banget', 'sampe', 'sampe', 'beli', 'kartu', 'cadangan', 'internetan', 'harga', 'kuota', 'mahal', 'tpi', 'sesuai', 'kualitasnya', 'pelanggan', 'xxxxxx']</t>
  </si>
  <si>
    <t>['paket', 'ribu']</t>
  </si>
  <si>
    <t>['masuk', 'susah', 'susah', 'gampang']</t>
  </si>
  <si>
    <t>['sinyal', 'kek', 'anjj', 'telkom']</t>
  </si>
  <si>
    <t>['alhamdulillah', 'harga', 'paket', 'kuota', 'internet', 'terjangkau', 'kalangan', 'terimakasih', 'telkomsel', '']</t>
  </si>
  <si>
    <t>['telkomsel', 'bagus', 'bnr', 'sinyal', 'tolong', 'diperkuat']</t>
  </si>
  <si>
    <t>['semoga', 'kedepannya', 'paket', 'combo', 'saktinya', 'murah', 'lgi', 'harga', 'tetep', 'stabil']</t>
  </si>
  <si>
    <t>['keren', 'jaringan', 'nyah', 'main', 'game']</t>
  </si>
  <si>
    <t>['and', 'bagus']</t>
  </si>
  <si>
    <t>['poin', 'telkomsel', 'ratusan', 'tukar', 'paket', 'data', 'menu', 'tukar', 'paket', '']</t>
  </si>
  <si>
    <t>['min', 'skarang', 'lgi', 'paket', 'murah', 'sperti', 'paket', 'internet', 'ceria', 'trus', 'paket', 'bulananx', 'tolong', 'dimurahin', 'banyakin', 'bonus', 'internetx', 'selanjutx', 'biarkan', 'bintang', 'bicara', 'telkomsel', 'nice', '']</t>
  </si>
  <si>
    <t>['bagus', 'istimewa']</t>
  </si>
  <si>
    <t>['', 'perusahaan', 'kasi', 'murah', 'dikit', 'napa']</t>
  </si>
  <si>
    <t>['puas', 'pke', 'tsel', 'sinyalnya', 'kuat', 'dmn']</t>
  </si>
  <si>
    <t>['banyakin', 'promo', 'meriahnya']</t>
  </si>
  <si>
    <t>['semoga', 'mytelkomsel', 'promo', 'menarik']</t>
  </si>
  <si>
    <t>['kasih', 'bintang', 'paketan', 'ambil', 'berlangganan', 'paketan', 'rb', 'ekstra', 'unlimited', 'lantas', 'kemanankan', 'paketan', 'mahal', 'mahal', 'beli', 'paket', 'seenak', 'kaliaan', 'hilangkan', 'paketan']</t>
  </si>
  <si>
    <t>['sms', 'pemberitahuan', 'akses', 'internet', 'tarif', 'non', 'paket', 'berbeda', 'paket', 'internet', 'buka', 'aplikasi', 'nyedot', 'pulsa', 'pas', 'cek', 'paket', 'internet', 'pulsa', 'hilang', 'ludes', 'kemana']</t>
  </si>
  <si>
    <t>['knpa', 'pket', 'unlimitite', 'nggk', 'lgi', '']</t>
  </si>
  <si>
    <t>['membantu', 'bagus', 'bintang', 'telkomsel']</t>
  </si>
  <si>
    <t>['semoga', 'apliksi', 'membantu']</t>
  </si>
  <si>
    <t>['kasih', 'bintang', 'udh', 'bagus', 'normal', 'jaringan', 'data', 'internetnya', 'kasih', 'bintang', '']</t>
  </si>
  <si>
    <t>['aplikasi', 'membantu', 'pengguna', 'telkomsel', 'fitur', 'program', 'bagus', 'user', 'telkomsel', 'makasih', 'telkomsel', 'aneh', 'minggu', 'status', 'data', 'gb', 'bonus', 'check', 'pulsa', 'kepotong', 'seiring', 'pemakaian', 'data', 'daily', 'check', 'hank', 'aplikasi']</t>
  </si>
  <si>
    <t>['good']</t>
  </si>
  <si>
    <t>['kacauuuu', 'pulsa', 'kesedotttt', 'trssss']</t>
  </si>
  <si>
    <t>['pemula', 'mohon', 'maklumi', '']</t>
  </si>
  <si>
    <t>['jaringan', 'gangguan', 'aplikasi', 'telkomsel', 'terbaru']</t>
  </si>
  <si>
    <t>['sukses', 'sel', 'paket', 'murah']</t>
  </si>
  <si>
    <t>['selamat', 'telkomsel', 'paketnya', 'mahal', 'jaringannya', 'ngelek', 'update', 'perubahan', '']</t>
  </si>
  <si>
    <t>['berguna', 'cek', 'pulsa', 'paket', 'pembelian', 'paket']</t>
  </si>
  <si>
    <t>['paketan', 'kuata', 'doang', 'mahal', 'signal', 'mah', 'super', 'buruk']</t>
  </si>
  <si>
    <t>['hallo', 'telkomsel', 'knpa', 'sinyal', 'jaringan', 'ilang', 'ilangan', 'tinggal', 'bekasi', 'sinyal', 'bagus', 'kouta', 'pilihan', 'pengguna', 'kartu', 'telkomsel', 'menggiurkan', 'pengguna', 'pilihan', 'dikit', 'mahal', 'contohnya', 'temen', 'kartu', 'telkomsel', 'pakainya', 'bayar', 'pulsa', 'rb', 'gb', 'pelanggan', 'setia', 'telkomsel', 'pemakaian', 'bayar', 'rb', 'dapet', 'gb', '']</t>
  </si>
  <si>
    <t>['kedepannya', 'kuat', 'sinyalnya', '']</t>
  </si>
  <si>
    <t>['cocok', 'mudah', 'mudahan', 'murah', 'harga', 'paket', 'kota', 'semoga', 'sukses', 'kedepannya', '']</t>
  </si>
  <si>
    <t>['jaringan', 'buruk', 'kayak', 'main', 'pubg', 'koneksi', 'hilang', 'main', 'merah', 'bayar', 'mahal', 'beda', 'murah']</t>
  </si>
  <si>
    <t>['pelayanan', 'merugikan', 'pelanggan', 'paket', 'data', 'mahal', 'jaringan', 'hdspa', 'hubungi', 'telkomsel', 'gubris', 'alasan', 'alasan', 'kecewa']</t>
  </si>
  <si>
    <t>['jaringannya', 'kaga', 'jalan']</t>
  </si>
  <si>
    <t>['knp', 'app', 'dibuka', 'buka', 'hrs', 'hapus', 'data', 'login']</t>
  </si>
  <si>
    <t>['mahal', 'harga', 'kuotanya', '']</t>
  </si>
  <si>
    <t>['aplikasi', 'lemot', '']</t>
  </si>
  <si>
    <t>['gila', 'pulsa', 'ilang', 'mulu', 'ntah', 'knapa']</t>
  </si>
  <si>
    <t>['jaringan', 'lancar', 'jaringan', 'jelek', 'lambat', 'harga', 'doang', 'mahal', 'efektivitas', 'internet', 'busuk', 'lambat', 'keong', 'bagus', 'cari', 'pekerja', 'kek', 'bagusin', 'sinyalnya', 'harganya', 'doang', 'mahal', '']</t>
  </si>
  <si>
    <t>['ngelag', 'jaringan', 'mahalnya', 'doang', 'sepadan', 'kualitas', 'jaringannya', 'tolong', 'ditingkat', 'omongan', 'belaka', 'tolong', 'costumer', 'ngeluh', 'bot', '']</t>
  </si>
  <si>
    <t>['sinyal', 'bagus', 'lelet', '']</t>
  </si>
  <si>
    <t>['ayolahh', 'telkomsel', 'sebenernya', 'kartunya', 'bagus', 'lemot']</t>
  </si>
  <si>
    <t>['loopers', 'terima', 'kasih', 'isi', 'ulang', 'aktifkan', 'paket', 'spesialmu', 'harga', 'rb', 'dicoba', 'nggak', 'pakai', 'sms', 'mendadak', 'kompatibel', 'banget', 'habis', 'ngapain', 'dikabari', 'berulang', 'ulang']</t>
  </si>
  <si>
    <t>['telkomsel', 'top', 'banget']</t>
  </si>
  <si>
    <t>['', 'bangat']</t>
  </si>
  <si>
    <t>['mantap', 'kasih', 'bintang']</t>
  </si>
  <si>
    <t>['bagus', 'mahal', '']</t>
  </si>
  <si>
    <t>['mantap', 'beli', 'kuota', 'murah']</t>
  </si>
  <si>
    <t>['seneng', 'banget', 'telkomsel', 'membantu', 'murah', 'harga', 'datanya', 'tolong', 'kartu', 'jaringan', 'terima', 'kasih', 'telkomsel']</t>
  </si>
  <si>
    <t>['kcewa', 'jaringan', 'terluas', 'buka', 'intrnet', 'lemot', 'tlong', 'dprbaikin', 'dplosok', 'telkomsel', 'internet', 'lemot']</t>
  </si>
  <si>
    <t>['oke', 'suka', 'apl', '']</t>
  </si>
  <si>
    <t>['tolong', 'perbaiki', 'kekurang', 'teransaksi', 'pembelian', 'paket', '']</t>
  </si>
  <si>
    <t>['hargany', 'mahal', 'sinyal', 'kayak', 'mode', 'gratis', 'nge', 'game', 'liat', '']</t>
  </si>
  <si>
    <t>['harga', 'mahal', 'sinyal', 'miskin', '']</t>
  </si>
  <si>
    <t>['kesini', 'lambat', 'kecewa', 'udh', 'banget', 'kartu', 'orng', 'main', 'game', 'susah', 'kesini', 'ancur', 'telkomsel', 'beli', 'paket', 'mahal', 'bsa', 'karna', 'jaringannya', 'ilang', 'trus']</t>
  </si>
  <si>
    <t>['sinyal', 'bener', 'telkom', 'jaringan', 'terluas', 'ganti', 'kartu']</t>
  </si>
  <si>
    <t>['tolong', 'telkomsel', 'jaringan', 'tercepat', 'terluas', 'desa', 'sinyal', 'jelek', 'disaat', 'sibuk', 'sinyal', 'jelek', 'knp', 'pakek', 'sinyalnya', 'bagus', 'tolong', 'telkomsel', 'jaringan', 'didesa', 'perbagus', 'percepat', 'didesa', 'kesibukan', 'orang', 'kota', 'kesibukan', '']</t>
  </si>
  <si>
    <t>['gausah', 'jual', 'kuota', 'internet', 'min', 'mending', 'tlp', 'sms', 'lancar']</t>
  </si>
  <si>
    <t>['mudah', 'aman']</t>
  </si>
  <si>
    <t>['aplikasi', 'bagus', 'sekaliiii']</t>
  </si>
  <si>
    <t>['paket', 'kuota', 'mahal', 'tpi', 'jaringan', 'busuk', 'sesuai', 'harga', '']</t>
  </si>
  <si>
    <t>['paelayanan']</t>
  </si>
  <si>
    <t>['jaringan', 'jaringan', 'jam', 'siang', 'sampe', 'malam', 'gabisa', 'akses', 'internet', 'karenakan', 'jaringan', 'telkomsel', 'hilang', 'daerah', 'sungai', 'puting', 'kalimantan', 'selatan', 'haduhhh']</t>
  </si>
  <si>
    <t>['bersangkutan', 'telkom', 'jelek', 'udah', 'minggu', 'karna', 'tower', 'sisini', 'mati', 'toral', 'tolong', 'perbaiki', 'lokasi', 'bengkulu', 'curup', 'desa', 'blitar', 'muka', '']</t>
  </si>
  <si>
    <t>['aplikasi', 'memudahkan', 'pengguna', 'telkomsel', 'mantap', 'jiwa', '']</t>
  </si>
  <si>
    <t>['telkomsel', 'sanagat', 'bagus']</t>
  </si>
  <si>
    <t>['tolong', 'tsl', 'pesan', 'ngurangin', 'pulsa', 'tolong', 'perhatikan', 'event', 'apapun', 'chat', 'bola', 'masuk', 'pulsa', 'potng', 'gimana']</t>
  </si>
  <si>
    <t>['download', 'kasih', 'segini']</t>
  </si>
  <si>
    <t>['paket', 'internet', 'omg', 'menghilang', 'paket', 'internet', '']</t>
  </si>
  <si>
    <t>['jujur', 'kali', 'kecewa', 'layanan', 'tsel', 'naroh', 'lantai', 'jaringan', 'suka', 'hilang', 'kedengarannga', 'emang', 'sepele', 'ngotak', 'dikit', 'gitu', 'doang', 'serius', 'banget', 'baperan', 'operator', 'pindah', 'operator', 'operator', 'jaringan', 'terbaik', 'namanya', 'tinggal', 'pelosok', 'daerah', 'terpencil', 'terisolir']</t>
  </si>
  <si>
    <t>['emosi', 'doang', 'darah', 'bener', 'beli', 'paket', 'combo', 'sakti', 'unlimited', 'kuota', 'utama', 'abis', 'kuota', 'multimedia', 'dipake', 'browser', 'lemotnya', 'ampun', 'kadang', 'kuota', 'multimedia', 'browsing', 'tolong', 'kebijakan', 'bner', 'memanjakan', 'pengguna', 'setia', 'telkomsel', 'bisanya', 'ngasih', 'tarif', 'mahal', '']</t>
  </si>
  <si>
    <t>['beda', 'kartu', 'temen', 'paket', 'sakti']</t>
  </si>
  <si>
    <t>['berharap', 'kedepannya', 'sukses', 'harga', 'paket', 'murah', '']</t>
  </si>
  <si>
    <t>['buruk', 'jaringanya', 'ditempatku', 'payaaaaaaaahhhhhhhhh']</t>
  </si>
  <si>
    <t>['kuota', 'habis', 'nonton', 'youtube', 'lemot', '']</t>
  </si>
  <si>
    <t>['aplikasinya', 'bagus', 'dsn', 'membantu', '']</t>
  </si>
  <si>
    <t>['app', 'bagus', 'sinyal', 'jelek', 'banget', 'tolong', 'optimalkan', 'sinyalny', 'thanks', '']</t>
  </si>
  <si>
    <t>['semoga', 'membantu']</t>
  </si>
  <si>
    <t>['sinyal', 'suka', 'ilang', 'internet', 'patah', 'sya', 'ganti', 'lebel', 'kepercayaan', 'sya', 'jdi', 'ilang', 'sma', 'simpati', 'suolusi', 'perbaiki', 'sinyal', 'internet']</t>
  </si>
  <si>
    <t>['bln', 'aktifkan', 'kouta', 'aplikasi', 'bahasa', 'cek', 'koneksi', 'pdhl', 'koneksi', 'bagus', 'kesalahannya', 'dmna', '']</t>
  </si>
  <si>
    <t>['provinsi', 'nusa', 'tenggara', 'timur', 'kabupaten', 'manggarai', 'barat', 'desa', 'bangka', 'telkomsel', 'terhormat', 'mengalami', 'gangguan', 'koneksi', 'internet', 'mepunya', 'koneksi', 'internet', 'koneksi', 'internet', 'susah', 'mengakses', 'internet', 'mengeluh', 'menyelesaikan', 'tugas', 'tugas', 'berhubungan', 'internet', 'tolong', 'perhatikan', 'semoga', 'tuan', 'tuan', 'telkomsel', 'mengembalikan', 'kondisi', '']</t>
  </si>
  <si>
    <t>['mantap', 'telkomsel', 'beda', 'kuotanya', 'murah', 'jaringany', 'luas', 'internet', 'lancar', 'jaya']</t>
  </si>
  <si>
    <t>['terimakasih', 'memperbaiki', 'kualitas', 'aplikasi', 'puas', 'hasil', 'terima', 'aplikasi', 'telkomsel', '']</t>
  </si>
  <si>
    <t>['osah', 'mahal', 'paketannya', 'mbak', 'kak', 'tukang', 'kartu', 'sinyal', 'masi', 'jelek', 'sumpah', 'layanan', 'mengecewakan', 'perbaikin', 'sinyalnya', 'wilaya', 'sumatra', 'selatan', 'tepanya', 'musi', 'rawas']</t>
  </si>
  <si>
    <t>['', 'telkomsel', 'ngentod', 'jaringan', 'tolong', 'percepat', 'paket', 'mahal', 'jaringan', 'kek', 'babi']</t>
  </si>
  <si>
    <t>['harga', 'paket', 'mahal']</t>
  </si>
  <si>
    <t>['membantu', 'pengguna', 'kartu', 'telkomsel']</t>
  </si>
  <si>
    <t>['', 'aplikasi', 'pakai', 'online', 'kuota', 'habis', 'gunanya', 'membeli', 'kuota', 'pulsa', 'tersisa', 'aplikasi', 'pulsa', 'rb', 'membeli', 'kuota', 'harga', 'rb', 'iya', 'nggak', 'sisa', 'pulsa', 'mencukupi', 'itukan', 'aneh', 'kayak', 'meras', 'pulsa', 'rakyat']</t>
  </si>
  <si>
    <t>['nomor', 'paketan', 'unlimited', 'murah', 'gitu', 'suami', 'pilihan', 'rb', 'rb', 'rb', 'ratusan', 'ribu', 'pengen', 'beli', 'rb', 'beli', 'rb', 'kuota', 'bnyk', 'mubazir', 'trpakai', 'beda', 'gituh', 'pilihan', 'paket', 'why', 'why', '']</t>
  </si>
  <si>
    <t>['paketnya', 'mahal', 'nyeselsaya', 'belinya']</t>
  </si>
  <si>
    <t>['beli', 'paket', 'games', 'sinyal', 'rugi']</t>
  </si>
  <si>
    <t>['tolong', 'telkomsel', 'jaringan', 'kawasan', 'baturaden', 'dibenerin', 'mendung', 'sinyal', 'ilang', 'jaringan']</t>
  </si>
  <si>
    <t>['pulsa', 'kesedot', 'aktifin', 'paket', 'darurat', 'kirim', 'keluhan', 'email', 'terselesaikan', 'parah', 'telkomsel']</t>
  </si>
  <si>
    <t>['mempermudah', 'cari', 'paketan']</t>
  </si>
  <si>
    <t>['maaf', 'nich', 'penilaiannya', 'rubah', 'kesini', 'jaringannya', 'lelet']</t>
  </si>
  <si>
    <t>['pengguna', 'kartu', 'telkomsel', 'data', 'internetnya', 'habis', 'lupa', 'memnutup', 'data', 'internet', 'pulsa', 'jngan', 'potong', 'sendri', 'kali', 'habis', 'pulsa', 'lupa', 'mematikan', 'data', 'internet', '']</t>
  </si>
  <si>
    <t>['kenpa', 'bener', 'hilang', 'pulsa', 'blm', 'digunain', '']</t>
  </si>
  <si>
    <t>['mempermudah', 'proses', 'pembelian', 'pilihan', 'internet']</t>
  </si>
  <si>
    <t>['aplikasi', 'mantap', 'banget']</t>
  </si>
  <si>
    <t>['terimakasih', 'telkomsel', 'smoga', 'sukses', 'jaya']</t>
  </si>
  <si>
    <t>['lelet', 'jaringan', 'tsel', 'buta', 'game', 'parah']</t>
  </si>
  <si>
    <t>['alhamdulillah', 'melancarkan']</t>
  </si>
  <si>
    <t>['kadang', 'ngebug', 'beli', 'kuota', 'masuk', 'kuotanya']</t>
  </si>
  <si>
    <t>['mantab', 'mugo', 'mobil', 'motor', '']</t>
  </si>
  <si>
    <t>['suka', 'telkomsel', 'membantu', 'mempermudah', 'belanja', 'beli', 'paket', '']</t>
  </si>
  <si>
    <t>['kesel', 'bos', 'aktif', 'habis', 'sampe', 'ditelponin', 'operator', 'kayak', 'pinjol', 'telkomsel', 'udah', 'telkomsel', '']</t>
  </si>
  <si>
    <t>['aplikasi', 'bagus', 'bangetttt', 'isi', 'pulsa', 'tmn', 'beli', 'kuota', 'udah', 'banget', 'beli', 'kuotanya', 'apk', 'enak', 'beli', 'kuotany', 'konter', 'poin', 'event', 'hadiah', 'mnarikkm', 'terimakasih', 'mytelkomsel', '']</t>
  </si>
  <si>
    <t>['beli', 'mahal', 'mahal', 'trus', 'main', 'game', 'susah', 'main', 'woy', 'jarintannya', 'tolong', 'dibenerin', 'cuman', 'main', 'game', 'kayak', 'download', 'gile', 'lemot', 'banget']</t>
  </si>
  <si>
    <t>['aplikasi', 'bgus']</t>
  </si>
  <si>
    <t>['lihat', 'keluhan', 'ngeluh', 'sinyal', 'telkomsel', 'memburuk', 'pelanggan', 'berharap', 'pelanggan', 'telkomsel', 'kondisi', 'jaringan', 'menyerah', 'setia', '']</t>
  </si>
  <si>
    <t>['bermanfaat', '']</t>
  </si>
  <si>
    <t>['sangan', 'promo', 'telkomsel']</t>
  </si>
  <si>
    <t>['mempermudah', 'pembelian', 'paket', 'internet']</t>
  </si>
  <si>
    <t>['mengganggu', 'peggudaan', 'data', 'paket', 'habis', 'mepet', 'paket', 'tolong', 'perbaiki', 'karna', 'merugikan', 'orang', 'sengaja', 'beli', 'paket', 'paket', 'multimedia', 'kadang', 'pakai']</t>
  </si>
  <si>
    <t>['jaringan', 'internet', 'wilayah', 'jelek', 'banget', 'pindah', 'operator', 'nomer', 'udah', 'kartu', 'hallo', 'menyesal', 'banget', '']</t>
  </si>
  <si>
    <t>['suka', 'pembelian', 'paket', 'terimakasih']</t>
  </si>
  <si>
    <t>['banget', 'puas', 'make', 'kartu', 'may', 'telkomsel', 'sampe', 'skrang', 'mahal', 'puas']</t>
  </si>
  <si>
    <t>['sumpah', 'aplikasi', 'gajelas', 'paket', 'murah', 'incar', 'pas', 'isi', 'pulsa', 'ilang', 'paketnya', 'gila', 'curang', 'bngt']</t>
  </si>
  <si>
    <t>['jaringan', 'telkomsel', 'memprihatinkan', 'jaringan', 'stabil', 'untk', 'nonton', 'yotube', 'macet', 'tolong', 'perhatikan', 'lokasi', 'jln', 'lintas', 'timur', 'muaro', 'jambi', 'kec', 'sekernan', 'jambi', '']</t>
  </si>
  <si>
    <t>['bermasalah', 'deteksi', 'lokasi', 'terkadang', 'paket', 'disediakan', 'telkomsel', 'hilang', 'lokasi', 'terdeteksi', 'indonesia', '']</t>
  </si>
  <si>
    <t>['beli', 'paket', 'combo', 'sakti', 'pulsa', 'kepotong', 'paket', 'data', 'nda', 'masuk', 'gimana']</t>
  </si>
  <si>
    <t>['sebulan', 'minggu', 'beli', 'paket', 'telkomsel', 'transaksi', 'selesai', 'habis', 'pulsa', 'kena', 'potongan', 'ribuan', 'puluhan', 'kali', 'transaksi', 'berkurang', 'pulsa', 'mala', 'tolong', 'perbaiki']</t>
  </si>
  <si>
    <t>['sinyal', 'taik', 'jng', 'beli', 'telkomsel']</t>
  </si>
  <si>
    <t>['telkomsel', 'bangkrut', 'gimana', 'jaringan', 'jelek', 'putar', 'kiriman', 'video', 'mb', 'lelet', 'kaya', 'keong', 'buka', 'tutup', 'mode', 'pesawat', 'hadee', 'kalao', 'nomer', 'usaha', 'udah', 'buang', 'kelaut', 'kartu']</t>
  </si>
  <si>
    <t>['kaka', 'tolong', 'diperhatikan', 'rumah', 'sleman', 'kecamatan', 'gamping', 'daerah', 'sinyalnya', 'stabil', 'banget', '']</t>
  </si>
  <si>
    <t>['jaringan', 'penuh', 'sinyal', 'jelek', 'ngelek', 'loading', 'mulu', 'parah', 'telkomsel', 'pindah', 'provider', 'ajja', 'mendingan', 'rekomendasi', 'deh', '']</t>
  </si>
  <si>
    <t>['beli', 'paket', 'youtube', 'unlimited', 'kuota', 'utama', 'berkurang', 'nonton', 'youtube', 'ribet', 'twitter', 'intinya', 'beli', 'kuota', 'unlimited', 'youtube', 'terpakai', 'kuota', 'utama', 'terkuras', 'kecewa', 'make', 'telkomsel', 'gapernah', 'bener']</t>
  </si>
  <si>
    <t>['semoga', 'terbaikk']</t>
  </si>
  <si>
    <t>['susah', 'menghubungi', 'customer', 'servicenya']</t>
  </si>
  <si>
    <t>['widih', 'apk', 'bagus', 'banget', '']</t>
  </si>
  <si>
    <t>['bagus', 'perbanyak', 'diskon']</t>
  </si>
  <si>
    <t>['apkikasi', 'berat', 'makan', 'qwota', 'internet', 'gag', 'stabil']</t>
  </si>
  <si>
    <t>['bagus', 'ngisi', 'kuota', 'murah']</t>
  </si>
  <si>
    <t>['membantu', 'dlm', 'belanjaan', 'repot', 'lgi', 'akomodasi']</t>
  </si>
  <si>
    <t>['memudahkan', 'mengaktifkan', 'paket']</t>
  </si>
  <si>
    <t>['telkomsel', 'instal', 'google', 'pixel', '']</t>
  </si>
  <si>
    <t>['kecewa', 'aplikasinya', 'pulsa', 'ilang']</t>
  </si>
  <si>
    <t>['akui', 'telkomsel', 'provider', 'terbaik', 'indonesia', 'terbaik', 'didaerah', 'tinggal', 'perekonomiannya', 'dibawah', 'harga', 'paket', 'ditawarkan', 'terbilang', 'mahal', 'kuota', 'harga', 'paket', 'murah', 'sejalan', 'uud', 'mencerdaskan', 'kehidupan', 'bangsa', 'terimakasih', '']</t>
  </si>
  <si>
    <t>['udh', 'mahal', 'isi', 'paketan', 'susah', 'telkomsel']</t>
  </si>
  <si>
    <t>['meng', 'nyesel', '']</t>
  </si>
  <si>
    <t>['dibiarin', 'pakek', 'telkomsel', 'rugi', 'udah', 'beli', 'kuota', 'mahal', 'lemot', 'bngeeeeettttttttt', 'tolong', 'samakan', 'teorikan', 'fakta']</t>
  </si>
  <si>
    <t>['jaringan', 'telkomsel', 'lokasi', 'kadang', 'kadang', 'buruk', '']</t>
  </si>
  <si>
    <t>['kesini', 'telkomsel', 'paket', 'data', 'mahal', 'sinyal', 'buruk', 'daerah', 'jawa', 'timur', 'kabupaten', 'blitar', 'area', 'desa', 'tolong', 'perbaiki', 'pengguna', 'senang', 'kualitas', 'sinyal', 'tolong', 'banget', '']</t>
  </si>
  <si>
    <t>['bagus', 'membantu', 'jaringan', 'telkomsel', 'banget', 'ancur', 'ngga', 'buka', 'internet']</t>
  </si>
  <si>
    <t>['jelek', 'sinyal', 'full', 'jaringan', 'jelek', 'gini', 'udah', 'beli', 'paket', 'mahal', 'desa', 'sinyalnya', 'bagus', 'kota', 'bagus', 'kecewa']</t>
  </si>
  <si>
    <t>['paket', 'ketengan', 'sosmed', 'memakai', 'kuota', 'utama', 'rugi', 'mohon']</t>
  </si>
  <si>
    <t>['beli', 'kuota', 'gb', 'gb', 'unlimited', 'gb', 'habis', 'jaringan', 'lemot', 'dirumah', 'sinyal', 'penuh', '']</t>
  </si>
  <si>
    <t>['bagus', 'aplikasi', 'mudah', 'cek', 'isi', 'pulza']</t>
  </si>
  <si>
    <t>['bermanfaat', 'mudah', 'pahami', 'orang', 'awam', '']</t>
  </si>
  <si>
    <t>['th', 'telkomsel', 'kali', 'kebelakang', 'bener', 'gedek', 'jaringannya', '']</t>
  </si>
  <si>
    <t>['maaf', 'kasih', 'bintang', 'sbg', 'konsumen', 'wajarkan', 'bnding', 'provider', 'mnrt', 'harga', 'paketnya', 'diatas', 'indo', 'sayang', 'speed', 'internetnya', 'dibawah', 'indo', '']</t>
  </si>
  <si>
    <t>['aplikasi', 'terburuk', 'sejarah', 'pulsa', 'hilang', '']</t>
  </si>
  <si>
    <t>['tolong', 'pulau', 'jawa', 'khusus', 'pulau', 'sumatra', 'jaringan', 'telkomsel', 'perbaiki', 'ngambil', 'untungnya', 'buktikan', 'kalaw', 'jaringan', 'telkomsel', 'terbaik']</t>
  </si>
  <si>
    <t>['', '']</t>
  </si>
  <si>
    <t>['paket', 'game', 'max', 'suka', 'murah']</t>
  </si>
  <si>
    <t>['paketan', 'doang', 'mahal', 'jaringan', 'muter', 'mulu']</t>
  </si>
  <si>
    <t>['jaringan', 'telkomsel', 'busuk', 'kota', 'gede']</t>
  </si>
  <si>
    <t>['loading', 'suka', 'sulit', 'bukanya', 'jaringan', 'stabil', 'kesel', '']</t>
  </si>
  <si>
    <t>['mohon', 'pulsa', 'tipis', 'kasih', 'promo', 'jagan', 'mahal', 'mahal']</t>
  </si>
  <si>
    <t>['kualitas', 'sinyal', 'tangan', 'hutan']</t>
  </si>
  <si>
    <t>['hallo', 'telkomsel', 'cerita', 'meminjam', 'paket', 'darurat', 'harga', 'trus', 'kemaren', 'mengisi', 'pulsa', 'pulsa', 'terambil', 'melunasi', 'hutang', 'pembelian', 'pulsa', 'pulsa', 'terambil', 'melunasi', 'hutang', 'mengalami', 'kerugian', 'mohon', 'kembalikan', 'min', '']</t>
  </si>
  <si>
    <t>['betapa', 'agung', 'namamu', 'provider', 'ternama', 'bumi', 'sang', 'telkomsel', 'bertahun', 'kesetiaanku', 'dirimu', 'kualitasmu', 'tercurah', 'robot', 'veronica', 'setia', 'mendengarkan', 'arah', 'sejalan', 'terimakasih', 'terucap', 'terdalam', 'diiringi', 'paket', 'data', 'tiada', 'keseimbangan', 'bandrol', 'tertera', 'kuota', 'kebanggan', 'dompetku', 'kesedihan', 'indikator', 'smartphoneku', 'salam', 'bar', 'indikator', 'kadang']</t>
  </si>
  <si>
    <t>['turunkan', 'harga', 'paketan']</t>
  </si>
  <si>
    <t>['tolong', 'sinyal', 'perbaiki']</t>
  </si>
  <si>
    <t>['paketan', 'mahal']</t>
  </si>
  <si>
    <t>['jangam', 'naikkan', 'harganya']</t>
  </si>
  <si>
    <t>['sekrang', 'sinyal', 'dirumah', 'ngelek', 'pdahal', 'mah', 'kaga', 'namanya', 'ngelek', 'tolong', 'donk', 'benarkan', 'btw', 'rumah', 'tangerang', 'selatan', 'buaran', 'indah', '']</t>
  </si>
  <si>
    <t>['puass', 'bngett', 'tlkom', '']</t>
  </si>
  <si>
    <t>['tolong', 'produk', 'paket', 'internetnya', 'permurah']</t>
  </si>
  <si>
    <t>['aplikasi', 'berguna', 'banget', 'deh', 'brp', 'isi', 'pulsa', '']</t>
  </si>
  <si>
    <t>['', 'jugalah', 'cuman', 'orientasi', 'sales', 'marketing', 'tsel', 'promo', 'harga', 'buka', 'harga', 'itukan', 'kebohongan', 'disengaja', '']</t>
  </si>
  <si>
    <t>['aplikasi', 'terbaru', 'berat', 'lelet', 'jaringan', 'telkomsel', 'jawa', 'lemot', '']</t>
  </si>
  <si>
    <t>['harga', 'kualitas', 'sesuai', 'kesini', 'parah']</t>
  </si>
  <si>
    <t>['provider', 'indonesia', 'telkomsel', 'bedain', 'paket', 'internet', 'paket', 'multimedia', 'wkwkwkwkwk', 'paket', 'youtube', 'makan', 'internet', 'paket', 'youtubenya', 'adem', 'ayem', 'wkwkwkwkwk', 'bodoh', 'sistemnya']</t>
  </si>
  <si>
    <t>['bagus', 'sinyal', 'buruk']</t>
  </si>
  <si>
    <t>['paket', 'mahal', 'kulitas', 'internet', 'kedip', 'kedip', 'terpaksa', 'pakai', 'telkomsel', 'daerah', 'towernya', '']</t>
  </si>
  <si>
    <t>['bagus', 'amplikasi', 'telkomsel']</t>
  </si>
  <si>
    <t>['mohon', 'diperiksa', 'aplikasi', 'telkomsel', 'menukar', 'poin', 'rewards', 'hadiah', 'check', 'paket', 'kuota', 'internet', 'kuotanya', 'masuk', 'binggung', 'mohon', 'periksa', 'aplikasinya', 'terima', 'kasih', '']</t>
  </si>
  <si>
    <t>['promo', 'beragam']</t>
  </si>
  <si>
    <t>['kecepatan', 'data', 'unlimited', 'perhatikan', 'perbaiki', 'data', 'unlimited', 'pakai', 'browsing', 'nyaman', 'mutasi', 'kartu', 'hallo']</t>
  </si>
  <si>
    <t>['gua', 'beli', 'unlimited', 'youtube', 'tpi', 'kuota', 'gua', 'kesedot', 'gmana', 'telkomsel', '']</t>
  </si>
  <si>
    <t>['udah', 'beli', 'paket', 'aplikasi', 'mytelkomsel', 'kali', 'beli', 'maaf', 'gangguan', 'sistem', 'cek', 'koneksi', 'ulangi', 'transaksi', 'menit', 'yakaliii', 'udh', 'suruh', 'nunggu', 'menit', 'muluuu', 'saranin', 'pelanggan', 'kecewa', 'solusi', 'ganti', 'operator', 'bnyak', 'paket', 'murah', 'telkomsel', 'telkomsel', 'terimakasih', '']</t>
  </si>
  <si>
    <t>['membantu', 'berkomunikasi', '']</t>
  </si>
  <si>
    <t>['semangat', 'banget', 'buka', 'playsore', 'ngasih', 'bintang', 'aplikasi', 'lemot', 'lelet', 'malu', 'malu', 'provider', 'terbaik', 'indonesia', 'saran', 'masukan', 'malu', '']</t>
  </si>
  <si>
    <t>['', 'suka', 'penggunaanx', 'gampang', 'mudah', 'dimengerti']</t>
  </si>
  <si>
    <t>['promo', 'gila', 'puas', 'simpati']</t>
  </si>
  <si>
    <t>['signal', 'sebagus', 'dlu', 'isi', 'pulsa', 'habis', 'pdhl', 'tagihan', 'apapun', 'otp', 'gmn', 'telkomsel', 'kemana', 'pulsa', 'customer', 'service', 'bantu', 'what', 'dpt', 'info', 'counter', 'pulsa', 'rumah', 'urus', 'gerai', 'suruh', 'ganti', 'pascabayar', 'males', 'jdnya', 'aplikasi', 'update', 'blum', 'seminggu', 'uda', 'mnt', 'update', 'update', 'persulit', '']</t>
  </si>
  <si>
    <t>['asli', 'tukar', 'poin', 'hadiah', 'beneran', 'beneran', 'bagus', 'banget', 'telkomsel']</t>
  </si>
  <si>
    <t>['isi', 'paket', 'kuota', 'internet', 'gb', 'tanggal', 'kosong', 'pulsa', 'nol', 'rupiah', 'kuota', 'data', 'diluar', 'rumah', 'dirumah', 'pakai', 'wifi', 'pakai', 'doang', 'gimana', 'telkomsel', '']</t>
  </si>
  <si>
    <t>['beli', 'gift', 'pembayaran', 'gopay', 'saldo', 'kepotong', 'kuota', 'masuk', 'beli', 'pembayaran', 'dana', 'saldo', 'kepotong', 'lagu', 'kuota', 'masuk', 'sekolah', 'anak', '']</t>
  </si>
  <si>
    <t>['lancar', 'tergantung', 'cuaca', 'sdkt', 'lelet', 'byk', '']</t>
  </si>
  <si>
    <t>['', 'daerah', 'sinyalnya', 'buruk', 'bar', 'stuck', 'bar', 'mulu', 'heran', 'paketnya', 'murah', 'dapet', 'ribu', 'giga', 'sinyal', 'kek', 'gitu', 'worth', '']</t>
  </si>
  <si>
    <t>['pakek', 'sinyalnya', 'kayak', 'taik']</t>
  </si>
  <si>
    <t>['paket', 'swadaya', 'telp', 'all', 'operator', 'menit', 'pakai', 'telp', 'coba', 'perbaiki']</t>
  </si>
  <si>
    <t>['msuk', 'aplksi', 'telkomsel', 'slu', 'gagal', 'hrs', 'mlai', 'ulang', 'hps', 'data', 'aplikasi', 'payah', 'usia', 'telkomsel', 'aplikasi', 'jelek', 'sinyal', 'jelek', '']</t>
  </si>
  <si>
    <t>['paket', 'internetnya', 'mahal', 'sinyalnya', 'jelek', 'musim', 'hujan', 'sinyalnya', 'hilang', 'sesuai', 'biaya', 'dikeluarkan', 'berlangganan', 'telkomsel', 'suka', 'telkomsel']</t>
  </si>
  <si>
    <t>['mahal', 'pulsanya', 'bumn']</t>
  </si>
  <si>
    <t>['telkomseeelll', 'tolong', 'benahi', 'sinyal', 'disiniiiii', 'desa', 'simpang', 'pematang', 'kabupaten', 'mesuji', 'sinyal', 'lemooooottttt', 'ampuuuunn', 'paket', 'tingkatin', 'harganya', 'kualitas', 'kualitaaassss', 'muter', 'kya', 'komedi', 'putar', 'ampuuunnn', 'benahi', 'duluuuu', 'tolong', 'laaahhh', 'rugi', 'rugi', 'tauk', '']</t>
  </si>
  <si>
    <t>['telkomsel', 'paket', 'data', 'mahal', 'jaringan', 'kek', 'ajg', 'babi', 'asw', 'lahh', 'taik']</t>
  </si>
  <si>
    <t>['isi', 'paketan', 'sampe', 'suruh', 'tunggu', 'sampe', 'gmn', 'orang', 'butuh', 'paketan', 'uang', 'beli', 'paketan', 'gara', 'hrs', 'menunggu', 'tolong', 'orang', 'kondisi', 'tambahan', 'persulit', 'gangguan', 'solusinya', 'orang', 'hrs', 'suruh', 'tunggu', 'berhari', 'pelayanan', 'telkomsel', 'memuaskan', 'kecewa', 'pelayanan', '']</t>
  </si>
  <si>
    <t>['sistem', 'sibuk', 'nukar', 'poin']</t>
  </si>
  <si>
    <t>['terimakasih', 'telkomsel', 'menghadirkan', 'promo', 'diskon', 'menarik']</t>
  </si>
  <si>
    <t>['telkomsel', 'pencuri', 'isi', 'pulsa', 'pasang', 'paket', 'data', 'ambil', 'pulsa', 'rupiah', 'riwayat', 'transaksi', 'akses', 'internet', 'rupiah', 'kuota', 'data', 'operator', 'sebelah', 'sim', 'trik', 'telkom', 'pas', 'beli', 'paket', 'data', 'pulsa', 'mencukupi', 'pembelian', 'paket', 'data', 'silahkan', 'isi', 'ulang', 'licik', 'telkomsel', 'suruh', 'isi', 'pulsa', 'data', 'operator', 'sebelah', '']</t>
  </si>
  <si>
    <t>['sinyal', 'ilang', 'mulu', '']</t>
  </si>
  <si>
    <t>['apk', 'kntl', 'aplikasi', 'daily', 'check', 'makan', 'pulsa', 'poin', 'poin', 'kumpul', 'poin', 'sampa', 'kuota', 'gb', 'ajg', 'skali', 'modal', 'telkomsel', 'parahh', 'asli', 'trik', 'marketing', 'manis', 'menipu', 'konsumen', 'taekk']</t>
  </si>
  <si>
    <t>['telkomsel', 'taik', 'kali', 'isi', 'pulsa', 'sedot', 'ambil', 'pulsa', 'darurat', '']</t>
  </si>
  <si>
    <t>['aplikasi', 'bagu']</t>
  </si>
  <si>
    <t>['payah', 'jaringannya', 'paket', 'rb', 'perbulan', 'ttp', 'berasa', 'paket', 'unlimited', 'rb', 'mati', 'lampu', 'jaringan', 'mati', 'lucu', 'pdhl', 'tinggal', 'bsd', 'serpong']</t>
  </si>
  <si>
    <t>['menu', 'bantuan', 'keluhan', 'permasalahan', 'konsumen', 'membantu', 'responsif', 'cepat', 'tanggap', 'wajarlah', 'namanya', 'bicara', 'sistem', 'kadang', 'tergantung', 'sinyal', 'server', 'operator', 'melayaninya', 'standbay', 'melek', 'teknologi', 'indonesia', 'melek', '']</t>
  </si>
  <si>
    <t>['butuh', 'perbaikan', 'bug', 'top', 'tulisan', 'berhasil', 'muncul', 'uang', 'hangus', 'good']</t>
  </si>
  <si>
    <t>['lengkap', 'informasi', 'kartuku']</t>
  </si>
  <si>
    <t>['signal', 'lemot', 'internetan', 'tinggal', 'dijakarta', 'berasa', 'kaya', 'dipedalaman']</t>
  </si>
  <si>
    <t>['nggak', 'niat', 'adain', 'paket', 'ketengan', 'paksa', 'woii', 'masak', 'paket', 'data', 'berkurang', 'udah', 'beli', 'ketengan']</t>
  </si>
  <si>
    <t>['kuota', 'gamemax', 'jaringannya', 'buruk', '']</t>
  </si>
  <si>
    <t>['suka', 'eror', 'sinyalnya', 'jeleknya', 'banget']</t>
  </si>
  <si>
    <t>['paket', 'mahal', 'cuman', 'krna', 'cma', 'telkomsel']</t>
  </si>
  <si>
    <t>['sii', 'telkomsel', 'udah', 'seminggu', 'jaringan', 'lemot', 'putus', 'stabil', 'kekuatan', 'sinyal', 'lemah', 'mahal', 'ayolah', 'telkomsel', 'kayak', 'gini', 'pakek', 'telkomsel', 'karna', 'percaya', 'nyaman', 'kek', 'gini', 'udah', 'seminggu']</t>
  </si>
  <si>
    <t>['paket', 'mahal', 'sinyal', 'memuaskan', 'lemoottt']</t>
  </si>
  <si>
    <t>['keren', 'aplikasinya', 'diperingan', 'memory', 'tampilan', 'aplikasinya', 'malas', 'update', 'pelayanannya', 'sukses', 'telkomsel']</t>
  </si>
  <si>
    <t>['ksni', 'buruk', 'sinyal', 'tolong', 'perbaikk']</t>
  </si>
  <si>
    <t>['mudah', 'membantu']</t>
  </si>
  <si>
    <t>['bagus', 'paket', 'bgi']</t>
  </si>
  <si>
    <t>['nyaman', 'mantap']</t>
  </si>
  <si>
    <t>['daerah', 'nanggewer', 'tarikolot', 'bogor', 'kartu', 'sinyalnya', 'melempem', 'hilang', 'kemana', 'mohon', 'diperhatikan', '']</t>
  </si>
  <si>
    <t>['knp', 'sinyal', 'internet', 'telkomsel', 'jelek', 'daerahku', 'udh', 'minggu', 'pembetulan', 'paket', 'whatshap', 'susah', 'rugi', 'beli', 'paket', 'tolong', 'bossq', 'perbaiki', 'pelangan', 'puas', 'kasih', 'bintang', 'dech']</t>
  </si>
  <si>
    <t>['paket', 'combo', 'unlimited', 'mahal', 'sedangan', 'tmn', 'sya', 'murah', 'harga', 'lipat', 'beda', '']</t>
  </si>
  <si>
    <t>['bagus', 'aplikasinya', 'sngat', 'membntu']</t>
  </si>
  <si>
    <t>['fungsi', 'berjalan']</t>
  </si>
  <si>
    <t>['aplikasi', 'mytelkomsel', 'berguna']</t>
  </si>
  <si>
    <t>['jaringan', 'ditempat', 'gangguan', 'mohon', 'dipeebaiki', 'lambat', 'kayak', 'keong', 'berak']</t>
  </si>
  <si>
    <t>['bagus', 'tanks']</t>
  </si>
  <si>
    <t>['beli', 'paket', 'pulsa', 'mendownload', 'telkomsel', '']</t>
  </si>
  <si>
    <t>['sinyal', 'game', 'hilang', 'hilang']</t>
  </si>
  <si>
    <t>['woi', 'jaringan', 'bermasalah', 'diperbaiki', 'cepat', 'ndak', 'ngerusak', 'kesenangan', 'org']</t>
  </si>
  <si>
    <t>['jaringan', 'oke', 'dimanapun', 'koneksi', 'internet', 'stabil']</t>
  </si>
  <si>
    <t>['tolong', 'admin', 'tukar', 'poin', 'voucer', 'berhasil', 'paket', 'cek', 'nggak', 'internetan', 'nga', 'tolong', 'konfirmasiya', '']</t>
  </si>
  <si>
    <t>['jaringan', 'leleeeeeet', '']</t>
  </si>
  <si>
    <t>['jelek', 'jaringan', 'apk', 'habis', 'perbarui', 'kecewa']</t>
  </si>
  <si>
    <t>['pas', 'bermasalah', 'modal', 'maaf', 'kompensasi', 'apapun', 'pelanggan', 'coba', 'provider', 'luas', 'jangkauannya', 'buang', 'semoga', 'kedepan', 'provider', 'memperluas', 'jaringannya', 'ganti', 'provider', 'udah', 'capek', 'telkomsel', 'ngelag', 'kuota', 'khusus', 'dipake', 'fitur', 'kuotanya', 'dipake', 'telat', 'detik', 'aktivasi', 'paket', 'pulsa', 'puluhan', 'ribu', 'hilang', 'huh', 'cepet', 'ganti']</t>
  </si>
  <si>
    <t>['kali', 'pakek', 'telkomsel', 'game', 'ngelag', 'mending', 'ganti', 'udah', 'pakek', 'telkomsel', 'sumpah', 'kecewa']</t>
  </si>
  <si>
    <t>['signal', 'buruk', 'wilayah', '']</t>
  </si>
  <si>
    <t>['membaca', 'postingan', 'orang', 'ragu', 'apk', 'sumpah', 'ragu', 'banget', 'ragu', 'akau', 'ragu', 'ragu', 'menyelimutiku', 'ragu', 'ragu', 'ragu', 'ragu', 'keraguan', 'mebuat', 'ragu', 'ragu', 'seraguragunya']</t>
  </si>
  <si>
    <t>['serba', 'dimudahkan', '']</t>
  </si>
  <si>
    <t>['sinyal', 'telkomsel', 'ngeleg', 'banget', 'kuota', 'isi', 'kemaren', 'tlg', 'dibantu', '']</t>
  </si>
  <si>
    <t>['kemarin', 'pagi', 'beli', 'kuota', 'internet', 'seharga', 'apk', 'kuota', 'masuk', 'saldo', 'terkurang', 'mohon', 'penjelasannya', '']</t>
  </si>
  <si>
    <t>['maaf', 'tolong', 'perbaiki', 'sinyal', 'jaringan', 'kesini', 'jaringan', 'sinyalnya', 'jelek', 'makasihh']</t>
  </si>
  <si>
    <t>['telkomsel', 'susah', 'buka']</t>
  </si>
  <si>
    <t>['sanggat', 'bagus', 'memuaskan']</t>
  </si>
  <si>
    <t>['gimana', 'telkomsel', 'beli', 'paket', 'game', 'bia', 'login', 'doang', 'nggak', 'main', 'tolong', 'perbaiki', '']</t>
  </si>
  <si>
    <t>['', 'pemakai', 'tahunan', '']</t>
  </si>
  <si>
    <t>['telkomsel', 'sinnyal', 'sampah', 'perkotaan', 'lambat', 'apalgi', 'pedesaan', 'nggak', 'sinyal', 'skali', 'paket', 'mahal', 'sinyal', 'jelek', 'isi', 'paket', 'internet', 'telkomsel', 'gnti', 'ama', 'tri', 'axis', 'lbih', 'bgus', 'sinyalny', 'dri', 'pda', 'tlkomsel', 'ayo', 'tinggalkan', 'telkomsel', 'pindah', 'kartu', 'sampah']</t>
  </si>
  <si>
    <t>['bagus', 'dowload']</t>
  </si>
  <si>
    <t>['kasi', 'gratis', '']</t>
  </si>
  <si>
    <t>['', 'taya']</t>
  </si>
  <si>
    <t>['operator', 'nyedot', 'pulsa', 'pelanggan', '']</t>
  </si>
  <si>
    <t>['paket', 'naekin', 'dikit', 'tod', 'udah', 'bener', 'lempeng', 'ribet', 'jing', '']</t>
  </si>
  <si>
    <t>['aplikasi', 'bagus', 'simpel', 'bermanfaat', '']</t>
  </si>
  <si>
    <t>['beli', 'paket', '']</t>
  </si>
  <si>
    <t>['sungguh', 'membantu']</t>
  </si>
  <si>
    <t>['tolong', 'jaringannya', 'perkencang', 'lemot']</t>
  </si>
  <si>
    <t>['telkomsel', 'jaringan', 'beres', 'mahal', 'jaringan', 'kayak', 'siput', 'lelet', '']</t>
  </si>
  <si>
    <t>['promonya', 'ngk', 'percaya', '']</t>
  </si>
  <si>
    <t>['nukar', 'koin', 'data', 'gagal', 'mulu', 'males', 'make', 'kartu', 'telkom']</t>
  </si>
  <si>
    <t>['terkadang', 'sinyal', 'buruk', 'stabil']</t>
  </si>
  <si>
    <t>['mantap', 'isi', 'ulang', 'ribet']</t>
  </si>
  <si>
    <t>['paket', 'internet', 'mahal', 'browsing', 'muter', 'koyok', 'keong', 'mohon', 'diperbaiki', 'didaerah', 'taman', 'sda', 'internet', 'simpati', 'makasih']</t>
  </si>
  <si>
    <t>['mantap', 'sampe', 'marahin', 'emak']</t>
  </si>
  <si>
    <t>['pulsa', 'kepotang', 'transaksinya', 'udah', 'kaya', 'maling', '']</t>
  </si>
  <si>
    <t>['jaringan', 'internet', 'telkomsel', 'bermutu', 'lemot', 'beli', 'paket', 'mahal', 'kualitas', 'jaringan', 'kualitasnya', 'edge']</t>
  </si>
  <si>
    <t>['telkomsel', 'jelek', 'bapuk', 'banget', 'signalnya', 'error', 'mahal', 'doang', 'wkwkw']</t>
  </si>
  <si>
    <t>['berkali', 'isi', 'pulsa', 'keambil', 'pdhall', 'wifi']</t>
  </si>
  <si>
    <t>['aplikasi', 'bagus', 'telkomsel', 'sinyalnya', 'ancur', 'coba', 'bertahan', 'telkomsel', 'semoga', 'perbaikan', '']</t>
  </si>
  <si>
    <t>['puas', 'kartu', 'telkomsel']</t>
  </si>
  <si>
    <t>['sinyalnya', 'telkomsel', 'parah', 'bangetttttttttt', 'leleeeetttttttttt', 'lemooootttttttt', 'khusus', 'wilayah', 'oki', 'sumsel', 'memuakkan', 'coba', 'kontrol', 'njirrr', 'sop', 'bayar', 'paketnya', 'gratis', 'warga', 'oki', 'desa', 'mari', 'ganti', 'kartu', 'pakai', 'telkomsel', '']</t>
  </si>
  <si>
    <t>['telkomsel', 'isi', 'pulsa', 'nominal', 'potong', 'pulsa', 'darurat', 'isi', 'rb', 'habis', 'potong', 'pulsa', 'darurat', 'isi', 'rb', 'habis', 'potong', 'pulsa', 'darurat', 'test', 'isi', 'rb', 'potong', 'pulsa', 'darurat', 'penasaran', 'isi', 'pulsa', 'rb', 'potong', 'ngutang', 'pulsa', 'daruratnya', 'balikin', 'pulsa', '']</t>
  </si>
  <si>
    <t>['jaringan', 'kaya', 'babi', 'lemot', 'banget', 'pending', 'kesini', 'ngga', 'sok', 'provider', 'jaringan', 'putus', 'nyesel', 'gua', 'beli', 'mahal', 'kualitas', 'jaringan', 'ampas']</t>
  </si>
  <si>
    <t>['bye', 'bye', 'telkomnyet']</t>
  </si>
  <si>
    <t>['jaringan', 'batas', 'mantap', '']</t>
  </si>
  <si>
    <t>['brapa', 'pengguna', 'indihome', 'kartu', 'hallo', 'banget', 'stiap', 'tanggal', 'jatoh', 'tempo', 'slalu', 'eror', 'slama', 'unsur', 'sengajaan', 'smua', 'pelanggan', 'indihome', 'karto', 'hallo', 'kena', 'dena', 'orang', 'dena', 'kali', 'orang', 'brapa', 'pengguna', 'telkomsel', 'berjuta', 'orang', 'mengambil', 'untungan', 'kah', 'stiap', 'denda']</t>
  </si>
  <si>
    <t>['paketan', 'mahal', 'jaringan', 'ilang', 'udah', 'gitu', 'ilangnya', 'bete', 'push', 'rank', 'mobil', 'legend', 'perbaikin', 'kualitas', 'jaringannya', '']</t>
  </si>
  <si>
    <t>['mempermudah', 'urusan']</t>
  </si>
  <si>
    <t>['kerenn', 'paketan', 'combo', 'sakti', 'kartu', 'muraahhh', 'bangeetttt', '']</t>
  </si>
  <si>
    <t>['cape', 'telkomsel', 'beli', 'pulsa', 'aktifin', 'data', 'tetep', 'kesedot', 'gitu', 'beli', 'pulsa', 'aktifin', 'paket', 'susah', 'rekomendasi', '']</t>
  </si>
  <si>
    <t>['koutanya', 'harganya', 'mahal', 'udah', 'koutanya', 'dibagi', '']</t>
  </si>
  <si>
    <t>['lancar', 'jaringan', '']</t>
  </si>
  <si>
    <t>['sinyalnya', 'joss', 'cuaca', 'mendung']</t>
  </si>
  <si>
    <t>['', 'tolong', 'turunkan', 'harganya']</t>
  </si>
  <si>
    <t>['internetnya', 'mahal', 'harganya']</t>
  </si>
  <si>
    <t>['unlimited', 'youtube', 'sedot', 'kuota', 'utama', 'sampe', 'abis', 'dasar', 'paok']</t>
  </si>
  <si>
    <t>['sinyal', 'jelek', 'kali', 'cem', 'telkom', 'gajelas']</t>
  </si>
  <si>
    <t>['aplikasi', 'bagus', 'dapt', 'kuota', 'grtis']</t>
  </si>
  <si>
    <t>['recommended', 'apl', 'mytelkomsel']</t>
  </si>
  <si>
    <t>['suka', 'unlimitedmax', 'kecepatannya', 'buruk', 'kuota', 'utama', 'habis', 'unlimitedmax', '']</t>
  </si>
  <si>
    <t>['apk', 'bagus', 'layanan', 'ditingkatkan']</t>
  </si>
  <si>
    <t>['masuk', 'kuota', 'gimana', 'telkomsel']</t>
  </si>
  <si>
    <t>['kartu', 'doang', 'mahal', 'kualitas', 'nggak', 'sinyalnya', 'suka', 'hilang', '']</t>
  </si>
  <si>
    <t>['efektif', 'efisien']</t>
  </si>
  <si>
    <t>['bagus', 'sinyalnya', 'dimana']</t>
  </si>
  <si>
    <t>['bagus', 'pelayanan', 'pelanggan']</t>
  </si>
  <si>
    <t>['pokoknya', 'lengkap', 'top', 'markotop', 'aplikasi', 'membantu', 'terima', 'kasih']</t>
  </si>
  <si>
    <t>['terima', 'kasih', 'telkomsel', 'memudahkan', 'warga', 'indonesia', 'aktif', 'kartu', 'aktif', 'paketan', 'tenggang', 'kartu', 'telkomsel', '']</t>
  </si>
  <si>
    <t>['terimakasih', 'telkomsel', 'aplikasiny', 'bagus', 'banget', 'promo']</t>
  </si>
  <si>
    <t>['telkomsel', 'gimana', 'gajelas', 'banget', 'jaringan', 'hilang', 'ngeselin', 'beli', 'paketan', 'mahal', 'jaringannya', 'dapet', 'setara', 'harga', 'kecewa', 'banget', 'beli', 'telkomsel', 'klk', 'kek', 'gini', 'trs', 'tolong', 'perbaikin', 'jaringan', 'gajelas', 'kek', 'gini', 'ngelag', 'mulu']</t>
  </si>
  <si>
    <t>['mudah', 'pengoperasiannya', 'membantu']</t>
  </si>
  <si>
    <t>['aplikasi', 'berat', 'banget', 'bukanya', 'kayak', 'game', 'online', 'berat', 'cek', 'pulsa', 'doang']</t>
  </si>
  <si>
    <t>['udh', 'berthun', 'pke', 'telkosel']</t>
  </si>
  <si>
    <t>['kuota', 'gratis', 'beli', 'paket', 'bulanan', 'lumayan', 'makasih', 'telkomsel']</t>
  </si>
  <si>
    <t>['telkomsel', 'parah', 'jaringan', 'normal', 'main', 'game', 'parah', 'banget', 'udah', 'beli', 'kouta', 'mahal', 'mahal', 'main', 'game', 'greget', 'banget', 'jaringan', 'telkomsel', 'kacau', 'parah', 'nyesel', 'pakek', 'kartu', 'seluler', '']</t>
  </si>
  <si>
    <t>['rusak', 'jaringannya', 'main', 'higss', 'domino', 'jringanya', 'kelompok', 'kompak', 'dirugikan', 'jaringan', 'menyesal', 'membeli', 'kouta', 'telkomsel', 'mendingan', 'beli', 'kartu', 'bagus', '']</t>
  </si>
  <si>
    <t>['telkomsel', 'bapuk', 'banget', 'jaringan', 'hilang', 'aneh', 'pkonya']</t>
  </si>
  <si>
    <t>['jgan', 'mahal']</t>
  </si>
  <si>
    <t>['sukses', 'telkomsel']</t>
  </si>
  <si>
    <t>['bagus', 'banget', 'telkomsel', 'kirim', 'kuota', 'saudara', 'fiturnya', 'harga', 'fixkan', 'bentar', 'berubah']</t>
  </si>
  <si>
    <t>['kau', 'telkomsel', 'sial', 'bayar', 'mahal', 'internet', 'kek', 'babi']</t>
  </si>
  <si>
    <t>['kali', 'bonus', 'monetary', 'telkomsel', 'dipakai', 'telepon', 'sms', 'telkomselkan', 'pulsa', 'habis', 'terpakai', 'rupiah', 'monetarynya', 'terpakai', 'expired', 'bonus', 'tipu', 'kemarin', 'monetary', 'exp', 'biaya', 'telpon', 'sms', 'dibebankan', 'paket', 'pulsa', 'reguler', 'pelayanan', 'buruk', 'bertanggung', '']</t>
  </si>
  <si>
    <t>['coba', 'kasi', 'bintang', '']</t>
  </si>
  <si>
    <t>['diem', 'perkotaan', 'jaringan', 'kaya', 'goa']</t>
  </si>
  <si>
    <t>['inii', 'gimana', 'beli', 'paket', 'apk', 'gabisa', 'gangguan', 'lho', 'gabisa', 'beli', 'paket', 'apk', 'sayang', 'uang', 'uda', 'beli', 'gabisa', 'paketin', '']</t>
  </si>
  <si>
    <t>['bagus', 'butuh', 'improve', 'integrasinya', 'penyedia', 'metode', 'pembayaran', 'coba', 'transaksi', 'salah', 'dompet', 'digital', 'aplikasi', 'freeze', 'sayang', 'banget', '']</t>
  </si>
  <si>
    <t>['telkomsel', 'bodoh']</t>
  </si>
  <si>
    <t>['pulsa', 'terpotong', 'pesan', 'masuk', 'sdg', 'akses', 'internet', 'tarif', 'non', 'paket', 'yuk', 'beli', 'paket', 'internet', 'tsel', 'tsel', 'mengaktifkan', 'data', 'wifi', 'jelass', 'tolong', 'donk', 'diperbaikin', 'pelayanannya', 'terimkasih', '']</t>
  </si>
  <si>
    <t>['promo', 'murah', 'mahal']</t>
  </si>
  <si>
    <t>['paketan', 'gamemax', 'pakai', 'login', 'game', 'tolong', 'kasih', 'penjelasannya', 'telkomsel', '']</t>
  </si>
  <si>
    <t>['masak', 'sinyal', 'ngelag', 'mulu', 'dahului', 'penyedia', 'layanan', 'internet']</t>
  </si>
  <si>
    <t>['kuota', 'doang', 'mahal', 'internet', 'lelet', '']</t>
  </si>
  <si>
    <t>['paket', 'mahal', 'karu', 'menerima', 'panggilan']</t>
  </si>
  <si>
    <t>['membantu', 'matapp', 'bangett']</t>
  </si>
  <si>
    <t>['', 'coba', '']</t>
  </si>
  <si>
    <t>['jaringan', 'hilang', 'game', 'video', 'berhenti', 'kouta', 'utama', 'gb']</t>
  </si>
  <si>
    <t>['semoga', 'membantu', 'informasi', 'telkomsel']</t>
  </si>
  <si>
    <t>['coba', 'paket']</t>
  </si>
  <si>
    <t>['boros', 'internet', 'kasih', 'bintang', 'dlu', 'dch', 'irit', 'bru', 'full', 'star']</t>
  </si>
  <si>
    <t>['bru', 'coba', '']</t>
  </si>
  <si>
    <t>['kadang', 'menjengkelkan', '']</t>
  </si>
  <si>
    <t>['', 'thn', 'telkomsel']</t>
  </si>
  <si>
    <t>['tolong', 'perbaiki', 'data', 'internet', 'proble', 'data', 'internet', 'terimakasih']</t>
  </si>
  <si>
    <t>['aplknya', 'membantu', 'kerennnnnn', '']</t>
  </si>
  <si>
    <t>['pulsa', 'terpotong']</t>
  </si>
  <si>
    <t>['tolong', 'dikampung', 'tower', 'susah', 'sinyalnya']</t>
  </si>
  <si>
    <t>['tingkatkan', 'performanya', 'banyakin', 'promonya', '']</t>
  </si>
  <si>
    <t>['bintang', 'dicabut', 'kesini', 'signalnya', 'parah', '']</t>
  </si>
  <si>
    <t>['harga', 'mahal', 'doang', 'kualitas', 'sinyal', 'buruk', 'full', 'ngirim', 'lemottttt', '']</t>
  </si>
  <si>
    <t>['busuk', 'maling', 'pulsa']</t>
  </si>
  <si>
    <t>['tiket', 'keluhan', 'pulsa', 'masuk', 'diproses']</t>
  </si>
  <si>
    <t>['pokoknya', 'terbaik']</t>
  </si>
  <si>
    <t>['layanan', 'kayak', 'taikk']</t>
  </si>
  <si>
    <t>['kouta', 'habis', 'isiin', 'pulsa', 'jadiin', 'paket', 'kouta', 'apk', 'telkom', 'pulsa', 'terpotong', 'dijadiin', 'pulsa', 'kouta', 'bukanya', 'paket', 'kouta', 'seharian', 'ngisi', 'jam', 'malam', 'habis', 'jam', 'malam', 'seharian', 'jam', 'malam', 'malam', 'ketemu', 'malam', 'seharian', 'udah', 'mahal']</t>
  </si>
  <si>
    <t>['pulsanya', 'kesedot', 'beli', 'paket', 'apapun', 'kuota', 'internet', 'pulsanya', 'kesedot', 'nyesel', 'gua', 'beli', 'pulsa', 'gitu', 'mah', '']</t>
  </si>
  <si>
    <t>['jaringan', 'tsel', 'jelek', 'banget', 'pakai', 'tsel', 'mending', 'tri', '']</t>
  </si>
  <si>
    <t>['paket', 'mahalnya', 'jaringan', 'lemot', 'jaringan', 'hilang', 'kadang', 'kadang', 'doang', 'maunya', 'kartu', 'teman', 'sampek', 'hancur', 'hpnya', 'banting', 'gara', 'kartu', 'sim', 'kaga', 'nyesel', 'beli', 'paket', 'mahal', 'bagusan', 'sinyal', 'kartu', 'sebelah', 'paket', 'murah', 'meriah', 'trus', 'gini', 'sampek', 'pelanggan', 'telkomsel', 'pindah', 'kartu', 'liat', 'ulasan', 'udah', 'mari', 'pindah', 'kartu', 'kayanya', 'telkomsel', 'udah', 'layak', 'pakek']</t>
  </si>
  <si>
    <t>['sinyal', 'lemot', 'suka', 'ambil', 'pulsa', 'orang', 'harganya', 'mahal', 'tolong', 'diperbaiki', 'kualitas', 'sinyal', 'ambil', 'pulsa']</t>
  </si>
  <si>
    <t>['baguss', 'bagus', 'cepet', 'banget', 'kesedot', 'pulsa', 'kuota', 'gatau', 'knp', 'pdhl', 'jarang', 'megang', 'kalini', 'sadar', 'tolong', 'poin', 'telkomsel', 'diubah', 'menukar', 'kuota', 'undian', 'voucher', 'kak']</t>
  </si>
  <si>
    <t>['', 'telkomsel', 'terbaikk']</t>
  </si>
  <si>
    <t>['mantap', 'banget', 'jaringan', 'harga', 'paket', 'usahakan', 'mahal', 'mahal', 'bos', '']</t>
  </si>
  <si>
    <t>['parah', 'parah', 'parah', 'jaringannya', 'sebagus', '']</t>
  </si>
  <si>
    <t>['telkomsel', 'aneh', 'beli', 'kuota', 'tanggal', 'dimasukinnya', 'tanggal', 'telkomtoll']</t>
  </si>
  <si>
    <t>['top', 'pulsa', 'kasih', 'penjelasan']</t>
  </si>
  <si>
    <t>['lumayan', 'bagus', 'cuman', 'lbih', 'dintingkat']</t>
  </si>
  <si>
    <t>['', 'coba', 'dlu']</t>
  </si>
  <si>
    <t>['paketan', 'doang', 'mahal', 'koneksi', 'kek', 'jaman', 'batu']</t>
  </si>
  <si>
    <t>['sinyal', 'telkomsel', 'jeblok', 'dirumah', 'mekar', 'jaya', 'perum', 'kencana', 'asri', 'muaro', 'jambi', 'kalah', 'axus', 'mohon', 'diperbaiki', 'yak']</t>
  </si>
  <si>
    <t>['suah', 'login', 'lemot']</t>
  </si>
  <si>
    <t>['membutuhkan']</t>
  </si>
  <si>
    <t>['kirim', 'pulsa']</t>
  </si>
  <si>
    <t>['buka', 'aplikasi', 'telkomsel', 'suara', 'notifikasi', 'mengganggu', 'dimatikan', 'pengaturan', 'otomatis', 'hidup', 'nomor', 'mesti', 'dicek', 'repot', 'deh', '']</t>
  </si>
  <si>
    <t>['pertahankan', 'unlimited', 'max', 'harga', 'terjangkau']</t>
  </si>
  <si>
    <t>['smg', 'lbh', 'bagus', 'fitur']</t>
  </si>
  <si>
    <t>['', 'display', 'promo', 'kuota', 'aps', 'gabisa', 'beli', 'hadehh']</t>
  </si>
  <si>
    <t>['cepat', 'murah', 'berkualitas']</t>
  </si>
  <si>
    <t>['karna', 'menguasai', 'gaptek']</t>
  </si>
  <si>
    <t>['membantu', 'aplikasi', 'log', 'out', 'masuk', 'link', 'eror', 'mudah', 'kode', 'kirim', 'pesan', 'whatsapp']</t>
  </si>
  <si>
    <t>['knp', 'telkomsel', 'pulsa', 'hilang', 'kmna', 'pdahal', 'kuota', 'internet', 'msh', 'bnyak', 'pelanggan', 'setia', 'telkomsel', 'thn', 'kesini', 'telkomsel', 'mngecewakan', '']</t>
  </si>
  <si>
    <t>['giliran', 'kuota', 'habis', 'isi', 'aplikasi', 'dibuka', 'giliran', 'kuota', 'lumayan', 'salah', 'pencet', 'dikit', 'aplikasinya', 'langsung', 'kebuka', 'dimana', 'letak', 'kemudahannya', '']</t>
  </si>
  <si>
    <t>['hati', 'hati', 'telkomsel', 'bayar', 'terblokir', 'pelayanan', 'buruk', 'lambat', '']</t>
  </si>
  <si>
    <t>['aplikasi', 'membantu', 'banget', 'mantap']</t>
  </si>
  <si>
    <t>['butuh', 'internet', 'video', 'iflik', 'apapun', 'tolong', 'harganya', 'pisah', 'satukan', 'thks']</t>
  </si>
  <si>
    <t>['bagus', 'mantap', 'cuman', 'dipermudah', 'pembelian', 'pulsa', 'via', 'mbanking', 'telkomsel', 'aneh', 'pke', 'telkomsel', 'kuota', 'mahal', 'udh', 'gtu', 'kuota', 'orgtua', 'pke', 'kartu', 'kuota', 'harga', 'murah', 'aneh', 'banget', 'mohon', 'perbaiki', 'bli', 'kartu']</t>
  </si>
  <si>
    <t>['keren']</t>
  </si>
  <si>
    <t>['kuota', 'multimedia', 'simpati', 'terpakai', 'main', 'youtube', 'kuota', 'multimedia', 'telkomsel', 'kayak', 'ambil', 'kuota', 'multimedia', 'ngambil', 'kuota', 'utamanya', 'diambil', 'ngambil', 'kuota', 'utamanya', '']</t>
  </si>
  <si>
    <t>['apk', 'bagus', 'bermanfaat']</t>
  </si>
  <si>
    <t>['ksih', 'dl', 'bntang', 'mang', 'bgus', 'ksih', '']</t>
  </si>
  <si>
    <t>['otak', 'babi', 'ngelag', 'paham', 'keluhan', 'pemakai', 'telkomsel', 'gini', 'trus', 'doain', 'telkomsel', 'laku']</t>
  </si>
  <si>
    <t>['fungsi', 'kebutuhan', 'internet', 'memuaskan', 'promo', 'internet', 'murah', 'smoga', 'segi', 'kebutuhan', 'internet', '']</t>
  </si>
  <si>
    <t>['sinyal', 'jelek', 'banget', 'recommend', 'banget', 'telkomsel', 'udah', 'mahal', 'wkwkwkwk']</t>
  </si>
  <si>
    <t>['paket', 'masuk', 'masuk', 'pulsa', 'respon', '']</t>
  </si>
  <si>
    <t>['telkomsel', 'lengkap', 'terpercaya']</t>
  </si>
  <si>
    <t>['puas', 'tpi', 'knpa', 'harganya', 'tll', 'mahak', 'pket', 'hri', '']</t>
  </si>
  <si>
    <t>['telkomsel', 'sinyal', 'hancur', 'biki', 'males', 'telkomsel']</t>
  </si>
  <si>
    <t>['harga', 'paketannya', 'mahal', 'mahal', 'sesuai', 'kualitasnya', '']</t>
  </si>
  <si>
    <t>['telkomsel', 'parah', 'banget', 'skrg', 'kemarin', 'beli', 'kuota', 'rb', 'gb', 'lemooooottt', 'paraaahhh', 'gabiazanya', '']</t>
  </si>
  <si>
    <t>['telkomsel', 'aneh', 'kuota', 'gb', 'internetnya', 'motong', 'pulsa', 'kecewa']</t>
  </si>
  <si>
    <t>['perbaiki', 'jaringan', 'klen']</t>
  </si>
  <si>
    <t>['praktis', 'cepat']</t>
  </si>
  <si>
    <t>['apk', 'bgus', '']</t>
  </si>
  <si>
    <t>['best', 'mantap', 'semoga', 'mobil']</t>
  </si>
  <si>
    <t>['kuota', 'data', 'habis', 'pulsa', 'telpon', 'tersedot', 'berhenti', 'pulsa', 'telpon', 'terpakai', 'internet', '']</t>
  </si>
  <si>
    <t>['pelayanan', 'online', 'cepat', 'langsung', 'diterima']</t>
  </si>
  <si>
    <t>['najis', 'harga', 'paket', 'berubah', 'lipat', 'monopoli', 'kerjjaan']</t>
  </si>
  <si>
    <t>['', 'suka', 'aplikasi']</t>
  </si>
  <si>
    <t>['lambat']</t>
  </si>
  <si>
    <t>['paket', 'internet', 'paginya', 'data', 'internet', 'matikan', 'pulsa', 'kepotong', 'ludes', 'tolong', 'perbaikannya', '']</t>
  </si>
  <si>
    <t>['pemakaian', 'kuota', 'memperhatikan', 'paket', 'internet', 'habis', '']</t>
  </si>
  <si>
    <t>['', 'naek', 'harga', 'paket', 'turun', '']</t>
  </si>
  <si>
    <t>['membntu', '']</t>
  </si>
  <si>
    <t>['sinyal', 'buruk', 'parah', 'hujan', 'parah']</t>
  </si>
  <si>
    <t>['mantul', 'mantap', '']</t>
  </si>
  <si>
    <t>['bapuk', 'sinyalnya', 'mahal', 'doank']</t>
  </si>
  <si>
    <t>['menyenangkan', 'semoga', 'hadiah']</t>
  </si>
  <si>
    <t>['', 'perbanyak', 'promonya', 'langganan', 'terjaga']</t>
  </si>
  <si>
    <t>['bagus', 'banget', 'apk', 'bos', 'sayang', 'kupon']</t>
  </si>
  <si>
    <t>['merekomendasikan']</t>
  </si>
  <si>
    <t>['koneksi', 'stabil', 'not', 'good', '']</t>
  </si>
  <si>
    <t>['kecewa', 'telkomsel', 'sinyal', 'turun', 'lemot', 'banget', 'area', 'kota', 'telkomsel', 'kalah', 'kesini', 'turun', 'tolong', 'kasih', 'penjelasan', 'konsumen', 'penjelasan', 'ngaoain', 'telkomsel', 'mending', 'ganti', 'kartu', 'rugikan', 'like', 'gaes']</t>
  </si>
  <si>
    <t>['telkomsel', 'semoga', 'segi', 'apapun', 'harga', 'murah', 'memerhatikan', 'konsumen', '']</t>
  </si>
  <si>
    <t>['bintangnya', 'gue', 'kasih', 'karna', 'sesuai', 'sinyalnya', 'niat', 'ngasih', 'cuman', 'sekelas', 'surabaya', 'sinyalnya', 'jelek', 'banget', 'kesini', 'hancur', 'layanannya', 'telkomsel', 'dlu', 'skrg', 'slogan', 'loe', 'kebalik', 'makasih', 'thn', 'menemaniku', '']</t>
  </si>
  <si>
    <t>['sungguh', 'membantu', '']</t>
  </si>
  <si>
    <t>['intinya', 'kecewa', 'lemot', 'aplikasi', 'mytelkomsel', 'upgrade', 'harga', 'diatas', 'provider', 'telkomsel', 'gagal', 'mengemban', 'kepercayaan', 'pelanggan', 'auto', 'pindah', 'murah']</t>
  </si>
  <si>
    <t>['', 'komen', 'pokoknya', 'terbaik', 'telkomsel']</t>
  </si>
  <si>
    <t>['minus', 'banget', 'sinyalnya', 'parah', 'banget', 'jam', 'barapapun', 'ping', 'ngejump', 'main', 'game', 'diatas', 'jam', 'gabisa', 'nerima', 'sms']</t>
  </si>
  <si>
    <t>['semoga', 'bruntung']</t>
  </si>
  <si>
    <t>['mantap', 'kasih', 'bintang', '']</t>
  </si>
  <si>
    <t>['beli', 'kuota', 'mahal', 'jaringan', 'lemot', 'ampun', 'bar', 'sinyal', 'tertulis', 'tpi', 'aslinya', 'lemot', 'parah', 'tolong', 'perbaiki', 'lemot', 'kacau', 'pokok', 'bintang', 'telkomsel', 'bintang', 'minus', 'kasih', 'alasan', 'peningkatan', 'jaringan', 'halaahhhh', 'bct', 'doang', 'peningkatan', 'jaringan', 'gitu', 'lemot', 'giliran', 'review', 'telegram', 'gercep', 'kondisi', 'sinyal', 'jelek']</t>
  </si>
  <si>
    <t>['parah', 'paket', 'mahal', 'jaringan', 'selogan']</t>
  </si>
  <si>
    <t>['cepat', 'mudah']</t>
  </si>
  <si>
    <t>['kalu', 'berlangganan', 'tambahin', 'promonya', 'simpati', 'pelit']</t>
  </si>
  <si>
    <t>['vrsi', 'blank', 'buka', 'stack', 'gambar', 'putih', 'masuk', 'telkomsel', 'regrestrasi', 'masuk', 'lancar', 'masuk', 'seterus', '']</t>
  </si>
  <si>
    <t>['permudah', 'pengguna']</t>
  </si>
  <si>
    <t>['terbesar', 'terbaik']</t>
  </si>
  <si>
    <t>['jaringan', 'burik', 'lemot']</t>
  </si>
  <si>
    <t>['program', 'membantu']</t>
  </si>
  <si>
    <t>['pengguna', 'telkomsel', 'ampe', 'sayangnya', 'gangguan', 'tolong', 'atasi', 'merugikan', 'dampak', 'gangguan', 'sinyal', 'error']</t>
  </si>
  <si>
    <t>['tolong', 'telkomsel', 'parah', 'sinyal', 'rumah', 'sinyal', 'jam', 'malam', 'youtube', 'loading', 'mati', 'game', '']</t>
  </si>
  <si>
    <t>['sedih', 'bgtzz', 'sumpah', 'faham', 'telkomsel', 'ganti', 'berkali', 'kali', 'krna', 'nomer', 'cepet', 'hangus', 'udh', 'isi', 'pulsa', 'teruss']</t>
  </si>
  <si>
    <t>['telkomsel', 'udah', 'minggu', 'jaring', 'telkomsel', 'lemot', 'udah', 'pakai', 'telkomsel', 'tolong', 'diperbaiki', 'customer', 'pindah']</t>
  </si>
  <si>
    <t>['maaf', 'kasih', 'bintang', 'karna', 'sistem', 'telkom', 'baguss', 'sistem', 'notif', 'masi', 'lambat', 'sampe', 'pulsa', 'kepotong', 'tolong', 'telkom', 'tolong', 'perbaiki', 'kesalahan', 'nyaa', 'karna', 'cape', 'pulsa', 'kepotong', 'terima', 'kasih']</t>
  </si>
  <si>
    <t>['beli', 'paket', 'gb', 'ditelan', 'paket', 'kemendikbud', 'kesentuh', 'samsek', 'udh', 'jaringan', 'jelek', 'pemisahan', 'paket', 'sengaja', 'dipersulit', 'telkomsel', 'recommended', '']</t>
  </si>
  <si>
    <t>['update', 'telkomsel', 'sinyal', 'lag', 'pulsa', 'isap', 'alahh']</t>
  </si>
  <si>
    <t>['stabil']</t>
  </si>
  <si>
    <t>['membantu', 'memuaskan']</t>
  </si>
  <si>
    <t>['apk', 'membantu', 'paket', 'internet', 'murah', 'weee', 'kalin', 'ngk', 'download', 'nyesel', 'kau', '']</t>
  </si>
  <si>
    <t>['harga', 'paket', 'datanya', 'jaringan', 'jelek', 'ganti', 'kartu', 'telkomsel', 'betulkan', 'jaringan', 'jaringan', 'jelek', 'naikin', 'harga', 'paket', 'kali', 'wadefak', 'men', '']</t>
  </si>
  <si>
    <t>['aplikasi', 'waya', 'waya', 'super', 'lelet', '']</t>
  </si>
  <si>
    <t>['assalamualaikum', 'wrwb', 'alhamdulillah', 'guru', 'pandemi', 'menikmati', 'pulsa', 'kemendikbud', 'promo', 'mengisi', 'data', 'mengisinya', 'hoax', 'sms', 'berbunyi', 'selamat', 'kuota', 'kemendikbud', 'trimakasih', 'telkomsel', 'semoga', 'pengiriman', 'lancar']</t>
  </si>
  <si>
    <t>['kadang', 'eror']</t>
  </si>
  <si>
    <t>['tingkatkan', 'pelayanan', 'telkomsel', 'konsumen']</t>
  </si>
  <si>
    <t>['koneksi', '']</t>
  </si>
  <si>
    <t>['suka', 'telcomsel']</t>
  </si>
  <si>
    <t>['coba', 'yadi', 'kasi', 'bintang']</t>
  </si>
  <si>
    <t>['upgrade', 'paketnya', 'heran', '']</t>
  </si>
  <si>
    <t>['mahal', 'paket', 'nelponnya', 'improvement', 'nggak', 'sinyal', 'lelet', 'nyedot', 'uang', 'pengguna', 'top', 'isi', 'kolom', 'ulasan', 'dominasi', 'bintang', 'smp', 'pakai', 'provider', 'bagus', 'merosot', 'good', 'job', 'klau', 'jawa', 'dominasi', 'ngg', 'make', 'btw', 'ngerti', 'unlimited', 'ngga', 'berbatas', 'embel', 'embel', 'pemakaian', 'wajar', 'unlimited', 'namanya', '']</t>
  </si>
  <si>
    <t>['sinyal', 'nyah', 'jelek', 'tolong', 'benerin', 'gimana', 'udah', 'minggu', 'sinyal', 'nyah', 'kaya', 'gini', 'kecewa', 'sinyal', 'nyah', 'ginih']</t>
  </si>
  <si>
    <t>['telkomsel', 'sumpah', 'bego', 'banget', 'cok', 'lag', 'ilang', 'apus', 'operator', 'gapapa', 'keseringan', 'pikirin', 'gimane', 'ngeluh', 'udah', 'tugas']</t>
  </si>
  <si>
    <t>['keren', 'bonusnya', 'harga', 'lbh', 'murah']</t>
  </si>
  <si>
    <t>['beli', 'kouta', 'eror', 'mulu', 'udah']</t>
  </si>
  <si>
    <t>['pulsa', 'utama', 'berkurang', '']</t>
  </si>
  <si>
    <t>['memuaskan', 'karang', 'telkomsel', 'kartu', 'simpati']</t>
  </si>
  <si>
    <t>['mudah', 'dimengerti']</t>
  </si>
  <si>
    <t>['sangan', 'senang', 'memakai', 'telkomsel']</t>
  </si>
  <si>
    <t>['telkomsel', 'kalimantan', 'super', 'parah', 'trouble', 'jam', 'jam', 'sampain', 'jam', 'yoh', 'kasih', 'bintang']</t>
  </si>
  <si>
    <t>['oiii', 'tolong', 'diperbaiki', 'kuota', 'paketin', 'langsung', 'habis', 'pulsa', 'kesedot', '']</t>
  </si>
  <si>
    <t>['hem', 'sinyal', 'taiiiii']</t>
  </si>
  <si>
    <t>['bagus', 'blehlah', 'irit', 'thanks']</t>
  </si>
  <si>
    <t>['jaringan', 'jelek', 'bangat', 'udah', 'kartunya', 'mahal']</t>
  </si>
  <si>
    <t>['apl', 'membantu', 'trimakasihh', 'mytelkomsel']</t>
  </si>
  <si>
    <t>['jaringan', 'lemot', 'kasar', '']</t>
  </si>
  <si>
    <t>['maaf', 'jaringan', 'ngelek', 'yaa', 'udah', 'beli', 'paket', 'mahal', 'ngelek', 'nonton', 'story', 'susah', 'min', 'jaringannya', 'kek', 'gini', 'yaa', 'harga', 'paket', 'turun', 'laaa', 'jaringan', 'nggak', 'bagus', 'nonton', 'story', 'ngelek']</t>
  </si>
  <si>
    <t>['gua', 'udah', 'download', 'masukk']</t>
  </si>
  <si>
    <t>['mudahan', 'hadiah', 'telkomsel', 'amin', 'allah']</t>
  </si>
  <si>
    <t>['pulsa', 'terpotong', 'kuota', 'habis', 'terkadang', 'jaringan', 'eror', 'suka', 'fast', 'respon', 'pembayaran', 'mudah', 'bot', 'asik', 'ramah']</t>
  </si>
  <si>
    <t>['telkomsel', 'jaringannya', 'memburuk', 'paketnya', 'mahal', 'dri', 'pling', 'bgus', 'jaringannya', 'sesuai', 'harganya']</t>
  </si>
  <si>
    <t>['cepat', 'proses']</t>
  </si>
  <si>
    <t>['sya', 'kasih', 'bintang', 'sya', 'aplkai', 'semoga', 'aplkai', 'membantu']</t>
  </si>
  <si>
    <t>['trust', 'maju', 'berharap', 'jaringan', 'terbaik', 'perluas', 'jaringan', '']</t>
  </si>
  <si>
    <t>['mantap', 'sesuai', 'harga', 'paketnya']</t>
  </si>
  <si>
    <t>['telkomsel', 'burik', 'kualitas', 'signalnya', 'pas', 'maen', 'game', 'ngeleg', 'mohon', 'penjelasan', '']</t>
  </si>
  <si>
    <t>['sinyal', 'gampang', 'ilang']</t>
  </si>
  <si>
    <t>['tingkatkan', '']</t>
  </si>
  <si>
    <t>['jaringan', 'telkomsel', 'trbaik']</t>
  </si>
  <si>
    <t>['berguna', 'membantu']</t>
  </si>
  <si>
    <t>['telkomsel', 'tolong', 'kalimantan', 'seruyan', 'susah', 'jaringan', 'nge', 'game', 'bentar', 'bentar', 'hilang', 'ngelag', 'macem', 'tolong', 'perbaiki', 'sekian', 'terima', 'kasih']</t>
  </si>
  <si>
    <t>['kalu', 'signal', 'tingkatkan', 'daerah', 'bagus']</t>
  </si>
  <si>
    <t>['harga', 'kuotanya', 'mahal', 'mahal', 'ditambah', 'sinyalnya', 'hancur', 'bisnis', 'jual', 'beli', 'onlinepun', 'terkendala', 'provider', 'sumpah', 'menggerutu', 'hati', '']</t>
  </si>
  <si>
    <t>['puas', 'banget', 'jaringan', 'eror']</t>
  </si>
  <si>
    <t>['paket', 'ekstra', 'unlimeted', 'hilang', 'nyaman', 'ekstra', 'unlimeted', 'hmm', 'kecewa', 'telkomsel']</t>
  </si>
  <si>
    <t>['tolong', 'yaaaaa', 'sinyalnya', 'dibagusin', 'gara', 'telkomsel', 'sinyalnya', 'gangguan', 'gabisa', 'mabar', 'kebo', 'cepetan', 'barang', 'cepet', 'bagusin', 'sinyalnya', 'isi', '']</t>
  </si>
  <si>
    <t>['sinyal', 'parah', 'maen', 'game', 'buka', 'olshop', 'gara', 'jaringan', 'indihome', 'jelek', 'telkomsel', 'blm', 'indihome', 'jaringan', 'telkomsel', 'bagus', 'mskipun', 'puncak', 'gunung', 'bapug', 'gini', 'udh', 'puluhan', 'pke', 'telkomsel', 'kali', 'parah', 'tolong', 'diperbaiki', 'jaringan', 'kasih', 'bintang', 'kecewa']</t>
  </si>
  <si>
    <t>['telekomsel', 'namanya', 'gada', 'kuota', 'auto', 'nyedot', 'pulsa', 'izin']</t>
  </si>
  <si>
    <t>['telkomsel', 'jaringannya', 'kayak', 'buburr', 'lembekk', 'banget']</t>
  </si>
  <si>
    <t>['pulsa', 'paketan', 'internet', 'telkomsel', 'penawaran', 'paket', 'internet', 'murah', 'kuota', 'isi', 'pulsa', 'beli', 'paketan', 'internet', 'tawaran', 'paketannya', 'hilang', 'dibeli', '']</t>
  </si>
  <si>
    <t>['woooooiiiiiiiii', 'perbaiki', 'jaringan', 'secepat', 'jaringan', 'lemah', 'cuaca', 'sok', 'gampang', 'naikin', 'harga', 'kuota', 'kuota', 'ampas', 'jual', 'harga', 'emas']</t>
  </si>
  <si>
    <t>['telkomsell', 'pepekkk', 'gblkkkk', 'bikinn', 'orng', 'emosii', 'anjjj']</t>
  </si>
  <si>
    <t>['mahal', 'doang', 'sinyal', 'burung']</t>
  </si>
  <si>
    <t>['telkomsel', 'parah', 'didaerah', 'surabaya', 'utara', 'seminggu', 'jaringan', 'nge', 'leg', 'parah', 'min', 'pencinta', 'game', 'online', 'kecewa', 'lancar', '']</t>
  </si>
  <si>
    <t>['kartu', 'telkomsel', 'prabayar', 'saranin', 'beralih', 'kartu', 'halo', 'sinyalnya', 'nambah', 'jelek', 'kuotanya', 'mahal', 'menyesal', 'beralih', 'kartu', 'halo', 'prabayar']</t>
  </si>
  <si>
    <t>['memudahkan', 'aktivitas', 'kegiatan', 'mobile', 'dimanapun', 'terima', 'kasih', 'mytelkomsel']</t>
  </si>
  <si>
    <t>['app', 'telkomsel', 'membantu', 'man', 'tul', '']</t>
  </si>
  <si>
    <t>['ngak', 'download', 'aplikasi', '']</t>
  </si>
  <si>
    <t>['kasih', 'rating', 'rendah', 'respon', 'telkomsel', 'keluhan', 'alhamdulillah', 'udah', 'proses', 'keluhan', 'telkomsel', 'saran', 'telkomsel', 'percepat', 'respon', 'pelanggan', 'sekin', 'terima', 'kasih']</t>
  </si>
  <si>
    <t>['bagus', 'paket', 'ditawarkan', 'murah', '']</t>
  </si>
  <si>
    <t>['kasih', 'bintang', 'dlu', 'promo', 'telkomsel', 'blm', 'merata', 'murahnya', 'tukar', 'point', 'paket', 'gb', 'pakai', 'pulsa', 'pulsa', 'trus', 'take', 'and', 'give', 'konsumen', 'rajin', 'check', 'tuker', 'pakai', 'pulsa', 'okee', 'tks', 'telkomselll']</t>
  </si>
  <si>
    <t>['skrang', 'telkomsel', 'mkin', 'mngecewakn']</t>
  </si>
  <si>
    <t>['tolong', 'jaringan', 'telkomsel', 'kondisikan', 'emang', 'jaringan', 'enak', '']</t>
  </si>
  <si>
    <t>['semoga', 'kedepannya', 'fitur', 'menarik', 'isi', 'pulsa', 'poin', 'poin', 'tukar', 'pulsa', 'paket', 'data', 'dll', '']</t>
  </si>
  <si>
    <t>['pelanggan', 'kog', 'mahal', 'harga', 'paket', 'datanya']</t>
  </si>
  <si>
    <t>['kartu', 'busuk', 'sampah', 'paketan', 'mahal', 'sinyal', 'ngelag', 'sesuai', 'gua', 'beli', 'paket', 'ribu', 'hapus', 'tlkom', 'dri', 'muka', 'bumi', 'krtu', 'busuk', 'kek', 'gni', 'najis']</t>
  </si>
  <si>
    <t>['aplikasi', 'kntl', 'byk', 'eror', 'lelet']</t>
  </si>
  <si>
    <t>['suka', 'pelayanan', 'apk', 'mytelkomsel']</t>
  </si>
  <si>
    <t>['sinyal', 'kuat', 'pelosok']</t>
  </si>
  <si>
    <t>['penipu', 'ajg', 'link', 'rusak', 'ngen']</t>
  </si>
  <si>
    <t>['bagusih', 'suka', 'nyedotin', 'pulsa', 'kuota', 'isi', 'ditarik', 'nyesel', 'download']</t>
  </si>
  <si>
    <t>['telkomsel', 'knpa', 'sinyal', 'jelek', 'kemarin', 'ganti', 'telkom', 'sinyalnya', 'jelek', 'coba', 'beli', 'paket', 'telkomsel', 'bagus', 'jelek', 'bet', 'sinyalnya', 'maen', 'enak', 'enak', 'lag', 'parah', '']</t>
  </si>
  <si>
    <t>['kendala', 'silaturahmi', 'jalan']</t>
  </si>
  <si>
    <t>['membuka', 'jaringan', 'internet', 'cepat']</t>
  </si>
  <si>
    <t>['tingkatkan', 'promonya', 'peminat']</t>
  </si>
  <si>
    <t>['jaringan', 'terbusuk', 'coba', '']</t>
  </si>
  <si>
    <t>['gimana', 'top', 'sistem', 'sibuk', 'nonton', 'persib', 'persija', 'top', 'telkomsel', 'gimna', '']</t>
  </si>
  <si>
    <t>['pepeklah', 'kau', 'anjeng', 'gara', 'gara', 'kau', 'gua', 'lost', 'streak', 'babi', 'pdhl', 'kuota', 'sinyal', 'busuk', 'bujang', 'inam', 'kau', 'macul', 'gunung', 'babi', '']</t>
  </si>
  <si>
    <t>['paket', 'doang', 'mahal', 'jaringan', 'kek', 'siput', '']</t>
  </si>
  <si>
    <t>['telkomsel', 'skrng', 'eror', 'cerita', 'gini', 'guakan', 'unlimitide', 'youtube', 'gua', 'nonton', 'youtube', 'kuota', 'internet', 'gua', 'berkurang', 'tolong', 'telkomsel', 'perbaiki', '']</t>
  </si>
  <si>
    <t>['ceritanya', 'beli', 'paket', 'aktif', 'kuota', 'cek', 'besok', 'internetan', 'pakai', 'pulsa', 'bercanda', '']</t>
  </si>
  <si>
    <t>['coba']</t>
  </si>
  <si>
    <t>['okeeeeeeeeeeeeee', 'bangeeetttt']</t>
  </si>
  <si>
    <t>['menari', 'membantu']</t>
  </si>
  <si>
    <t>['aneh', 'gua', 'beli', 'paket', 'game', 'mobile', 'legends', 'main', 'tolong', 'bantu', '']</t>
  </si>
  <si>
    <t>['beli', 'paket', 'internet', 'pulsa', 'aktif', 'mytelkosel', 'udah', 'kuota', 'gb', 'pas', 'samsek', 'pas', 'cek', 'kuota', 'smsnya', 'memiliki', 'kuota', 'cek', 'status', 'paket', 'mytelkomsel', 'tsel', 'info', 'tsel', 'gimana', 'pulsa', 'udah', 'sedot']</t>
  </si>
  <si>
    <t>['sinyal', 'jelak', 'harga', 'mahal']</t>
  </si>
  <si>
    <t>['bintang', 'ampe', 'jaringannya', 'normal', 'ilang', 'ilang', 'mulu', 'sinyalnya']</t>
  </si>
  <si>
    <t>['lag', 'knp', '']</t>
  </si>
  <si>
    <t>['selamat', 'ulang', 'min', '']</t>
  </si>
  <si>
    <t>['memudahkan', 'orang', '']</t>
  </si>
  <si>
    <t>['beli', 'kuota', 'unlimites', 'khusus', 'youtube', 'instagram', 'kasi', 'pulsa', 'kepotong', 'apk', 'youtube', 'apk', 'koneksi', 'dibuka', 'apk', 'pulsa', 'berkurang', 'kaya', 'aplikasi', 'browser', 'game', 'dll', 'apk', 'jaringan', 'dibuka', 'kuota', 'utama', 'beli', 'kuota', 'khusus', 'bagus', 'apk', 'kadang', 'koneksi', 'jaringan', 'lanjay']</t>
  </si>
  <si>
    <t>['woiiii', 'sinyalnya', 'jelek', 'banget', '']</t>
  </si>
  <si>
    <t>['apk', 'mantep']</t>
  </si>
  <si>
    <t>['paket', 'sakti', 'mahal', 'beda', 'paket', 'sakti', '']</t>
  </si>
  <si>
    <t>['kota', 'ancur', 'jaringanya', 'update', 'ngk', '']</t>
  </si>
  <si>
    <t>['jaringan', 'ngelag', 'bermasalah', 'sinyal', 'full', 'berkali', 'kontak', 'custcare', 'respon', 'perubahan', 'mending', 'beralih', 'operator']</t>
  </si>
  <si>
    <t>['lag', 'banget', 'anjg']</t>
  </si>
  <si>
    <t>['telkomsel', 'jancokkkk', 'sinyal', 'ngelek', 'kek', 'bangsattt']</t>
  </si>
  <si>
    <t>['menyukai', 'fiturnya', 'hadiah', 'terjangkau', 'kualitas', 'bagus', 'tinggal', 'desa']</t>
  </si>
  <si>
    <t>['jaringan', 'kau', 'betulin', 'min']</t>
  </si>
  <si>
    <t>['pulsa', 'kesedot', 'mulu', 'kuota', 'masi', 'bergiga', 'giga', 'plis', '']</t>
  </si>
  <si>
    <t>['mahal', 'murah']</t>
  </si>
  <si>
    <t>['bagus', 'bangattt']</t>
  </si>
  <si>
    <t>['telkomsel', 'sinyalnya', 'jelek', 'mahalnya', '']</t>
  </si>
  <si>
    <t>['mmbantu', 'apk']</t>
  </si>
  <si>
    <t>['membantu', 'mempermudah']</t>
  </si>
  <si>
    <t>['', 'mantap', 'rekomendasi']</t>
  </si>
  <si>
    <t>['aplikasi', 'mytelkomsel', 'bgs', 'skli']</t>
  </si>
  <si>
    <t>['dungu', 'dungu', 'sinyal', 'emosi', 'kehari', 'bego', 'sinyalnya', 'dlu', 'kaya', 'gini', 'asem']</t>
  </si>
  <si>
    <t>['kesusahan', 'jaringan', 'internet']</t>
  </si>
  <si>
    <t>['puas', 'beli', 'paket', 'gampang', 'murah']</t>
  </si>
  <si>
    <t>['bagus', 'kebalikannya', '']</t>
  </si>
  <si>
    <t>['memudah', 'masyarakat', 'belanja', 'internet']</t>
  </si>
  <si>
    <t>['kasi', 'promo', 'murah']</t>
  </si>
  <si>
    <t>['sinyal', 'mantap', 'harganya', 'mahal']</t>
  </si>
  <si>
    <t>['', 'mudah', 'promonya']</t>
  </si>
  <si>
    <t>['suka', 'aplikasinya', 'hilang', 'paket', 'unlimited', 'kalu', 'kasi', 'paket', 'unlimited']</t>
  </si>
  <si>
    <t>['bagus', 'potongan', '']</t>
  </si>
  <si>
    <t>['suka', 'pakai', 'telkomsel']</t>
  </si>
  <si>
    <t>['sngat', 'berguna', '']</t>
  </si>
  <si>
    <t>['veronika']</t>
  </si>
  <si>
    <t>['tingkatkan', 'sesuai', 'menu']</t>
  </si>
  <si>
    <t>['skrg', 'beli', 'paket', 'kouta', 'telkomsel', 'mahal', 'cepet', 'habisnya', 'boross', 'pdhal', 'jarang', 'dpke', 'liat', 'sosmed', 'tiktok', 'dll', '']</t>
  </si>
  <si>
    <t>['kaga', 'top', 'game', 'free', 'fire', 'mobile', 'legends', 'please', 'top', 'kasih', 'bintang']</t>
  </si>
  <si>
    <t>['harga', 'kuota', 'dibeli', 'harganya', 'udah', 'murah', 'udah', 'mahal', '']</t>
  </si>
  <si>
    <t>['beli', 'paket', 'youtobe', 'menyedot', 'pulsa', 'internet', 'kesini', 'aplikasi', 'dipakai', 'transaksi']</t>
  </si>
  <si>
    <t>['beli', 'paket', 'combo', 'sakti', 'unlimited', 'you', 'tube', 'games', 'pakai', 'paket', 'reguler', 'abis', 'reguler', 'kuota', 'youtubenya', 'percumaa', 'nunggu', 'paket', 'regulernya', 'abis', 'dipakai', 'kuota', 'youtubenya', '']</t>
  </si>
  <si>
    <t>['sinyal', 'hilang', 'buffering', 'ngelag', 'chatingan', 'jamkot', 'telkomsel', 'kaya', 'dikit', 'dikit', 'sinyal', 'hilang', 'pulsa', 'kesedot', 'kayak', 'kntl', '']</t>
  </si>
  <si>
    <t>['', 'transaksi', 'berhasil', 'pulsa', 'terpotong', 'njir', 'rugiii']</t>
  </si>
  <si>
    <t>['', 'bintang', 'beli', 'paket', 'keteranganya', 'telkomsel', 'gangguan', 'sorry', 'hapus', 'app', 'kesini', 'parah', '']</t>
  </si>
  <si>
    <t>['paket', 'gb', 'napa', 'tambahin', 'jdi']</t>
  </si>
  <si>
    <t>['kualitas', 'jaringan', 'bagus', 'daerahku', 'kuota', 'internet', 'murah']</t>
  </si>
  <si>
    <t>['kota', 'yape']</t>
  </si>
  <si>
    <t>['berikanlah', 'paket', 'internet', 'murah', 'meriah', 'menikmati', 'internet', 'degan', 'puas', 'nyaman']</t>
  </si>
  <si>
    <t>['sngt', 'pulsa', 'skrng', 'brp', 'install', 'aplikasi', 'telkomsel', '']</t>
  </si>
  <si>
    <t>['telkomsel', 'sinyal', 'telkomsel', 'bagus', 'sinyal', 'jelek', 'main', 'game', 'susah', 'afk', 'mulu', 'gue', 'gue', 'beli', 'paket', 'internet']</t>
  </si>
  <si>
    <t>['menukar', 'poin', 'telkomsel', '']</t>
  </si>
  <si>
    <t>['apk', 'bagus', 'hebat', 'hebat']</t>
  </si>
  <si>
    <t>['signal', 'sel', 'jelek', '']</t>
  </si>
  <si>
    <t>['appk', 'baguss']</t>
  </si>
  <si>
    <t>['jaringan', 'buruk', 'kartu', 'udah', 'edge', 'bangkrut', 'indosat', 'berlomba', 'memperbaiki', 'jaringan', 'telkompret', 'buruk', 'jaringanya', 'sialan', '']</t>
  </si>
  <si>
    <t>['beli', 'paket', 'youtube', 'unlimited', 'dikonsumsi', 'paket', 'utama', 'data', 'utama', 'seboros', 'seakan', 'paket', 'unlimited', 'youtube', 'cukan', 'akal', 'akalan', 'paket', 'unlimited', 'tolong']</t>
  </si>
  <si>
    <t>['bug', 'apk', 'telkomsel', 'kayak', 'beli', 'paket', 'gagal', 'gangguan', 'pulsa', 'mlh', 'berkurang', 'beli', 'paket', 'tolong', 'diperbaiki']</t>
  </si>
  <si>
    <t>['pokoknya', 'mantap']</t>
  </si>
  <si>
    <t>['sinyal', 'koneksi', 'internet', 'kartu', 'gsm', 'telkomsel', 'hallo', 'depok', 'jabar', 'wil', 'kec', 'cipayung', 'lelet', 'quota', 'apk', 'muter', 'loading', 'teruus', 'ancuur']</t>
  </si>
  <si>
    <t>['promo', 'promo', 'mingguan', 'minggu', 'seminggu', 'tekor']</t>
  </si>
  <si>
    <t>['telkomsel', 'andalan', 'indonesia', 'timur', 'tumpah', 'darah', 'indonesia']</t>
  </si>
  <si>
    <t>['tolong', 'paket', 'internet', 'telkomsel', 'murah', 'kalah', 'saing', 'jaringan']</t>
  </si>
  <si>
    <t>['pulsa', 'banget', 'terpotong', 'mengaktifkan', 'data', 'telkomsel', 'admin', 'gapunya', 'kuota', 'internet', 'aktif', 'emang', 'dipakai', 'internetan', 'nomornya', 'aktifkan', 'kuota', 'internet', 'provider', 'ter', 'aneh', 'kecewa', 'banget']</t>
  </si>
  <si>
    <t>['jaringan', 'buruk', 'menjelang', 'sore', 'tolong', 'perbaiki', 'gini', 'trs', 'byk', 'pindah', 'provider']</t>
  </si>
  <si>
    <t>['pelanggan', 'telkomsel', 'semoga', 'maju', 'jaya', 'sukses']</t>
  </si>
  <si>
    <t>['beli', 'paket', 'unlimited', 'nyedot', 'pulsa', 'aneh']</t>
  </si>
  <si>
    <t>['iya', 'kasih', 'bintang']</t>
  </si>
  <si>
    <t>['aplikasi', 'bagus', 'bermanfaat', 'brbagai', 'fitur', 'dalamnya', 'aplikasinya', 'berat', 'loadingnya', 'pas', 'dibuka', 'muncul', 'white', 'screen', 'diupdate', 'memecahkan', 'mensiasatinya', 'bongkar', 'pasang', 'aplikasi', 'mytelkomsel', 'minimal', 'kali', 'lakukan', 'muncul', 'sarannya', 'mohon', 'aplikasinya', 'diperbaiki', 'loadingnya', 'ringan', 'cepat', 'terima', 'kasih', '']</t>
  </si>
  <si>
    <t>['makasih', 'udah', 'mebatu']</t>
  </si>
  <si>
    <t>['aplikasi', 'lambat', 'refresh']</t>
  </si>
  <si>
    <t>['kga', 'sinyal', 'aga', 'bagus', 'beli', 'kuota', 'sampe', 'ratusan', 'ribu', 'tetep', 'ajah', 'sinyal', 'buruk', 'emng', 'kaga', 'sinyal', 'bagus', 'bangkrutin', 'ajah', 'telkomsel']</t>
  </si>
  <si>
    <t>['', 'telkomsel', 'complain', 'hirauin', 'padalan', 'uda', 'taun', 'make', 'ngelek', 'maklumin', 'tpi', 'perubahan', 'say', 'good', 'bye', 'telkomsel']</t>
  </si>
  <si>
    <t>['malu', 'ama', 'aperator', 'jaman', 'plim', 'jadul', 'sampe', 'jaringan', 'lek', 'papa', 'akun', 'udah', 'hancur', 'mksih']</t>
  </si>
  <si>
    <t>['aplikasi', 'ribet']</t>
  </si>
  <si>
    <t>['telkomsel', 'ngelag', 'bet', 'ngntd', 'perbaiki', 'sinyal', 'nglg', 'mulu', 'ktny', 'udh', 'diperbarui', 'bukanny', 'buruk', 'tolong', '']</t>
  </si>
  <si>
    <t>['poko', 'mantap', 'deh', 'aplikasi', '']</t>
  </si>
  <si>
    <t>['puki', 'sial', 'paket', 'mahal', 'jaringan', 'jelek', 'tolo']</t>
  </si>
  <si>
    <t>['beli', 'pulsa', 'beli', 'paket', 'data', 'selang', 'sehari', 'pulsa', 'berkurang', 'min', '']</t>
  </si>
  <si>
    <t>['sinyal', 'kuat']</t>
  </si>
  <si>
    <t>['tolong', 'singal', 'telkomsel', 'perbaiki', 'kayaknya', 'gangguan', 'daerah', 'desa', 'sarimulya', 'kecamatan', 'kotabaru', 'kab', 'karawang', 'mohon', 'diperbaiki']</t>
  </si>
  <si>
    <t>['aplikasi', 'sngt', 'bagus', 'murah']</t>
  </si>
  <si>
    <t>['aplikasi', 'berguna']</t>
  </si>
  <si>
    <t>['tarik', 'rekpon', 'otp', 'pulsa', 'ambil']</t>
  </si>
  <si>
    <t>['telkomsel', 'signalnya', 'bagus', '']</t>
  </si>
  <si>
    <t>['angga', 'koeya', 'mantap']</t>
  </si>
  <si>
    <t>['mahal', 'udah', 'sangup', 'beli', 'pakit', 'jaringan', 'lelet', 'hidup', 'dikampung', 'imang', 'susah', '']</t>
  </si>
  <si>
    <t>['', 'yak', 'sinyal', 'telkomsel', 'amburadul', 'kagak', 'stabil', 'udah', 'harga', 'kuota', 'mahal', 'kesini', 'amburadul', '']</t>
  </si>
  <si>
    <t>['jlk', 'fitur', 'pengunci', 'pulsa']</t>
  </si>
  <si>
    <t>['update', 'versi', 'jaringan', 'lemot', '']</t>
  </si>
  <si>
    <t>['telkomsel', 'eror', 'jaringannya', 'aplikasinya']</t>
  </si>
  <si>
    <t>['tolong', 'sinyalnya', 'parah', 'banget', 'jualan', 'keganggu', 'isi', 'jaringan', 'tolong', 'harga', 'uda', 'mahal', 'jaringan', 'stabil', 'ilang', 'kesel']</t>
  </si>
  <si>
    <t>['aplikasi', 'berat', 'error', '']</t>
  </si>
  <si>
    <t>['sinyal', 'jelek', 'yaa', 'full', 'data', 'muter', 'mohon', 'diperkuat', 'jaringannya', 'terimakasih']</t>
  </si>
  <si>
    <t>['paket', 'mya', 'murah']</t>
  </si>
  <si>
    <t>['belasan', 'telkomsel', 'ahir', 'mengecewakan', 'paket', 'quota', 'aktif', 'pulsa', 'utama', 'disedot', 'sampe', 'abis', '']</t>
  </si>
  <si>
    <t>['akses', 'beli', 'data', 'mudah', 'mantap']</t>
  </si>
  <si>
    <t>['maaf', 'maaf', 'kemajuan', 'jaringan', 'lelet', 'paket', 'mahal']</t>
  </si>
  <si>
    <t>['telkomsel', 'buruk', 'qoutanya', 'mahal', 'internetnya', 'buruk']</t>
  </si>
  <si>
    <t>['jaringan', 'bermasalah', 'stabil', 'kualitas', 'sinyal', 'buruk', '']</t>
  </si>
  <si>
    <t>['', 'pengguna']</t>
  </si>
  <si>
    <t>['telkomsel', 'tolong', 'perbaikannya', 'menghambat', 'pekerjaan', 'sya', 'beli', 'paketan', 'uang', 'udh', 'berkurang', 'paketan', 'blm', 'masuk', 'udh', 'blgnya', 'nunggu', 'jam', 'ditungguin', 'jam', 'blm', 'tlp', 'sambungin', 'muter', 'muter', 'komplain', 'kesiapa', 'mohon', 'maaf', 'bintang', 'kasih', 'tolong', 'direspon', 'makasih']</t>
  </si>
  <si>
    <t>['perusahaan', 'provider', 'jaringan', 'niat', 'jelek', 'sinyal', 'diem', 'kota', 'kabupaten', 'kesel', 'gini', 'mending', 'pindah', 'kartu', 'deh']</t>
  </si>
  <si>
    <t>['sinyal', 'digame', 'lag', 'besok', 'ganti', 'lgi']</t>
  </si>
  <si>
    <t>['stu', 'hadiah', 'menukar', 'poin', 'telkomse']</t>
  </si>
  <si>
    <t>['aplikasi', 'keren', 'bagus', 'diperbanyak', 'bonusnya']</t>
  </si>
  <si>
    <t>['mantap', 'kali', 'aplikasi']</t>
  </si>
  <si>
    <t>['bagus', 'ribet']</t>
  </si>
  <si>
    <t>['omg', 'mahal', 'gaes', 'pandemi', 'kek', 'gini', 'ampun']</t>
  </si>
  <si>
    <t>['tingkatkan', 'jaringan', 'pelosok', 'daerah', 'terpencil', 'indonesia', 'melek', 'informasi', '']</t>
  </si>
  <si>
    <t>['tolong', 'perbaiki', 'sinyal', 'kota']</t>
  </si>
  <si>
    <t>['top', 'kuota', 'internet', 'telkomsel', 'beli', 'kuota', 'kuotanya', 'dibagi', 'kuota', 'internet', 'kuota', 'sosmed', 'apalah', 'pakai', 'sekedar', 'saran', 'namanya', 'kuota', 'internet', 'mestinya', 'dipakai', 'internetan', 'dibeda', 'sosmed', 'apalah', 'kuning', 'jual', 'kuota', 'internet', 'kuota', 'utamanya', 'dipakai', 'internetan', 'khan', 'efektif', 'coba', 'telkomsel', 'jual', 'paket', 'kuota', 'internet', 'laku', '']</t>
  </si>
  <si>
    <t>['lemot', 'sinyal', 'susah', 'kaya', 'dlu', 'telkomsel', 'bagus']</t>
  </si>
  <si>
    <t>['nomor', 'hangus', 'aktif', 'untung', 'pekerjaan']</t>
  </si>
  <si>
    <t>['blajar', 'menggunakanya', 'bagus', 'kasi', 'bintang', '']</t>
  </si>
  <si>
    <t>['harga', 'mahal', 'kualitas', 'murahan', 'enak', 'im', 'sinyal', 'titik', 'stabil', 'kenceng', 'nonton', 'ditambah', 'murah', 'harga', 'paket', 'telkomsel', 'jahanam', 'mahal', 'sinyal', 'penuh', 'stabil', 'cuuuiiiiihhh']</t>
  </si>
  <si>
    <t>['dimana', 'sinyal', 'ampass']</t>
  </si>
  <si>
    <t>['mahal', 'idak', 'cak', 'loop']</t>
  </si>
  <si>
    <t>['telkomsel', 'the', 'best', 'always', 'the', 'best', 'sinyalnya', 'lancar', 'pas', 'cuaca', 'buruk', 'bermasalah', 'sebentar', 'mantapp', 'thank', 'you', 'telkomsel', 'semoga', 'sukses', 'tolong', 'program', 'paket', 'internet', 'murah', '']</t>
  </si>
  <si>
    <t>['udah', 'kesekian', 'kalinya', 'beli', 'kuota', 'udah', 'sukses', 'pembayaran', 'saldo', 'kepotong', 'kuota', 'masuk', 'emang', 'nominalnya', 'pas', 'kepepet', 'kayak', 'gini', 'ribet', 'tolong', 'diperbaiki', 'sistemnya', '']</t>
  </si>
  <si>
    <t>['promonya', 'donk', 'tingkat', 'member', 'gold', 'dapet', 'promo']</t>
  </si>
  <si>
    <t>['krtu', 'kon', 'lllllll', 'kartu', 'bngst', 'harga', 'kuota', 'mahal', 'jaringan', 'ganti', 'pemilik', 'saham', 'bosss', 'sanggup', 'enak', 'main', 'game', 'sinyal', 'hilang', 'mati', 'lampu', 'bkn', 'gangguan', 'rutinitas', 'menang', 'nama', 'doang', 'kekuatan', 'sinyal', 'jelek', 'nyesal', 'kartu', 'jaringan', 'sungguh', 'mengecewakan', '']</t>
  </si>
  <si>
    <t>['paket', 'telkomsel', 'nomer', 'mahal', 'engga', 'ngotak', 'daerah', 'rumah', 'buruk', 'sinyalnya', 'beli', 'paket', 'mahal', 'kepepet', 'urusan', 'kerja', 'rumah', 'tolong', 'paketannya', 'normal', 'normal', 'ajah', 'waras', 'mahal', 'kebangetan', 'beda', 'nomer', 'telkom', 'aneh', 'mah', '']</t>
  </si>
  <si>
    <t>['unlimited']</t>
  </si>
  <si>
    <t>['jaringan', 'stabil', 'cuaca', 'mendung', 'langsung', 'lemot', 'terkait', 'perbaikilah', 'suapaya', 'kebutuhan', 'konsumen', 'terpenuhi', 'jaringan', '']</t>
  </si>
  <si>
    <t>['paket', 'sgant', 'bermanfaat', 'krena', 'kuota', 'internet', 'sya', 'mnikmati', 'gratis', 'nelpon', '']</t>
  </si>
  <si>
    <t>['heleh', 'paket', 'mahal', 'gny', 'jelek']</t>
  </si>
  <si>
    <t>['mantap', 'bermanfaat', '']</t>
  </si>
  <si>
    <t>['memudahkan', 'pelanggan', 'terima', 'kasih', 'telkomsel']</t>
  </si>
  <si>
    <t>['paket', 'mahal', 'jaringan', 'kek', 'siput', 'lelet', 'hadeehhh', 'paket', 'doank', 'mahal', '']</t>
  </si>
  <si>
    <t>['telkomsel', 'top', 'deh', '']</t>
  </si>
  <si>
    <t>['mudah', 'memuaskan', 'konsumen']</t>
  </si>
  <si>
    <t>['isi', 'pulsa', 'beli', 'paket', 'viu', 'langsung', 'tersisa', 'rupiah', 'mohon', 'pencerahannya', 'min', 'beli', 'paket', 'pulsa', 'disedot', 'kepake', 'data', 'kuota', 'data', 'ngerti', 'banget', 'ngalamin', 'kek', 'gini', '']</t>
  </si>
  <si>
    <t>['telkomsel', 'udah', 'tunduk', 'naga', 'bro', 'banget', 'jaringan', 'telkomsel', 'kemarin', 'digigit', 'hiu', 'ntr', 'digigit', 'naga', 'emang', 'gunanya', 'telkomsel']</t>
  </si>
  <si>
    <t>['bintang', 'mengalami', 'kenaikan', 'harga', 'paket', 'sakti', 'ribu', 'ribu', 'mengalami', 'harga', 'normal', 'sakti', 'ribu', 'ribu', 'ribu', '']</t>
  </si>
  <si>
    <t>['capek', 'banget', 'beli', 'jenis', 'paket', 'internet', 'omg', 'lemot', 'menghubungi', 'nggknpernah', 'respon', 'ganti', 'kartu', 'gini']</t>
  </si>
  <si>
    <t>['maaf', 'kaks', 'bantu', 'knap', 'ambil', 'paket', 'darurat', 'bayar', 'isi', 'udh', 'berhasil', 'bayar', 'isi', 'kepotong', 'habis', 'besokny', 'isi', 'pulsa', 'hilang', 'habis', 'ambil', 'paket', 'darurat', 'tolong', 'bantuannya', 'kak', 'kalaw', 'gini', 'mending', 'ush', 'telkomsel', 'kecewa', 'berat', 'uang', 'tabungan', 'cape', 'uang', 'jajan', 'giniin', 'telkomsel', 'kecewa']</t>
  </si>
  <si>
    <t>['menang', 'undian', 'bos', 'pelanggan', '']</t>
  </si>
  <si>
    <t>['lumayan', 'telkomsel']</t>
  </si>
  <si>
    <t>['pesan', 'telkomsel', 'game', 'google', 'loading']</t>
  </si>
  <si>
    <t>['suka', 'aplikasi', 'telkomsel', 'semoga', 'telkomsel', 'maju']</t>
  </si>
  <si>
    <t>['terimakasih', 'bantuannya', 'telkomsel', 'kelancaran', 'sinyalnya', 'losestreak', 'mengikuti', 'turnamen', 'mobile', 'legend']</t>
  </si>
  <si>
    <t>['suda', 'update', 'msih', 'ngebug']</t>
  </si>
  <si>
    <t>['buset', 'hujan', 'petir', 'sinyal', 'ilang', 'terusss']</t>
  </si>
  <si>
    <t>['harganya', 'ngotak', 'apk', 'fiturnya', 'koruptor', 'doang', 'beli']</t>
  </si>
  <si>
    <t>['mantap', 'telkomsel', 'murah', 'mantap']</t>
  </si>
  <si>
    <t>['bagus', 'paket', 'combo', 'murah']</t>
  </si>
  <si>
    <t>['tolong', 'telkomsel', 'jaringan', 'perbaiki', 'knp', 'jaringannya', 'jelek']</t>
  </si>
  <si>
    <t>['keren', 'beli', 'ovo', 'pulsanya', 'langsung', 'masuk', '']</t>
  </si>
  <si>
    <t>['jaringan', 'internet', 'lambat', 'semenjak', 'muncul', 'telkomsel', 'terbaik', 'hah', '']</t>
  </si>
  <si>
    <t>['tolong', 'jaringan', 'jawa', 'perhatikan', 'jaringan', 'terluas', 'tercepat', 'pusat', 'kota', 'keterangan', 'kuota', 'pelajar', 'aplikasi', 'youtube', 'pas', 'jalankan', 'aplikasinya', 'pulsa', 'berkurang', 'titik', 'kecewa', 'telkomsel', '']</t>
  </si>
  <si>
    <t>['discord', 'diblokir', 'telkomsel', 'dibuka', 'temen', 'kartu', 'tsel', 'buka', 'discord', 'kemarin', '']</t>
  </si>
  <si>
    <t>['login', 'susah', 'kode', 'verifikasi', 'kadaluwarsa', 'sms', 'gimana', 'seribet', 'apk', '']</t>
  </si>
  <si>
    <t>['kecewa', 'telkomsel', 'buruk', 'sinyalnya', 'paket', 'mahal', 'kualitas', 'sinyal', 'jelek', '']</t>
  </si>
  <si>
    <t>['aplikasi', 'menyebalkan', 'emosi', 'udah', 'mahal', 'banget', 'paketnya', 'hadeh', 'contoh', 'sebelah', 'donk', 'aplikasi', 'bagus', 'murah', 'paketnya', '']</t>
  </si>
  <si>
    <t>['', 'beli', 'paket', 'data', 'mytelkomsel', 'jam', 'paketan', 'terima', 'saldo', 'dipotong', 'paket', 'data', 'diterima', 'grapari', 'tetep', 'nerima', 'paket', 'datanya', 'tlp', 'diputer', 'panggilan', 'otomatis', 'pulsa', 'udah', 'hbz', 'tlp', 'nyambung', 'coba', 'chat', 'veronica', 'sampe', 'ber', 'jam', 'balasan', 'helloo', 'telkomsel', 'gimana', 'kabar', 'keluhan', '']</t>
  </si>
  <si>
    <t>['hai', 'telkomsel', 'gara', 'bacotin', 'publik', 'ngelag', 'war', 'perbaiki', 'ngawur', 'jaringannya', 'kadang', 'hilang', 'asik', 'bermain', 'game', 'ngetod', 'ppk']</t>
  </si>
  <si>
    <t>['berat', 'load', 'kadang', 'error', 'pas', 'beli', 'kuota', 'check', '']</t>
  </si>
  <si>
    <t>['perluas', 'jaringannya']</t>
  </si>
  <si>
    <t>['kasih', 'bintang', 'harga', 'paket', 'mahal', 'ribu', 'kouta', 'tolong', 'telkomsel', 'turun', 'harga', 'paket', 'tolong', 'turun', 'harga', 'paket', 'sebanding', 'pulsa', 'beli', '']</t>
  </si>
  <si>
    <t>['kode', 'vocher', 'telkomsel', 'ditukar', 'sistem', 'sibuk', 'mulu', 'udh', 'jam', 'tpi', 'msih', 'tukar', 'orang', 'butuh', 'kuota', 'internet', '']</t>
  </si>
  <si>
    <t>['murah', 'paket', 'data']</t>
  </si>
  <si>
    <t>['beli', 'paket', 'youtube', 'kuota', 'utama', 'kepakai', 'habis', 'habis', 'kuota', 'utama', 'pakai', 'paket', 'youtube', 'hadeh', 'telkomsel', 'kesini', 'bener']</t>
  </si>
  <si>
    <t>['tolong', 'penjelasannya', 'knapa', 'harga', 'paketan', 'telkomsel', 'berbeda', 'teman', 'pengguna', 'telkomsel', 'kebapa', 'punyaku', 'mahal', 'ketimbang', 'temenku', 'beli', 'paketan', 'pembayaran', 'pulsa', 'telkomsel']</t>
  </si>
  <si>
    <t>['telkomsen', 'burikkk', 'harga', 'mahal', 'sinyal', 'burik', 'bangkrut']</t>
  </si>
  <si>
    <t>['mudah', 'aplikasi', 'berjalanlancar', '']</t>
  </si>
  <si>
    <t>['tolong', 'telkomsel', 'benerin', 'jaringannya', 'skrng', 'siang', 'menjelang', 'sore', 'suka', 'hilang', 'hilang', 'sinyal', 'padahl', 'seblumnya', 'kyk', 'gini', 'kyk', 'gini', 'mending', 'ganti', 'kartu']</t>
  </si>
  <si>
    <t>['telkomsel', 'melayani', 'keluhan', 'membeli', 'kuota', 'via', 'bayar', 'digital', 'saldo', 'berkurang', 'paketan', 'diaktifkan', 'dipakai', 'menerima', 'notifikasi', 'telkomsel', 'saldo', 'berkurang', 'sesuai', 'harga', 'paketan', 'tsb', 'mohon', 'ditindaklanjuti', 'tolong', 'aktifkan', 'paketan', 'minimal', 'kembalikan', 'saldo', 'dikeluarkan', 'pembelian', 'paket', 'berusaha', 'menghubungi', 'via', 'veronica', 'gmail']</t>
  </si>
  <si>
    <t>['dear', 'telkomsel', 'sinyal', 'stabil', 'perbaikan', 'jaringan']</t>
  </si>
  <si>
    <t>['', 'setia', 'telkomsel']</t>
  </si>
  <si>
    <t>['', 'telkomsel', 'sangt', 'bngus', 'jangkauan', 'luan', 'internet', 'mna', 'msuk']</t>
  </si>
  <si>
    <t>['aplikasi', 'mytelkomsel', 'bagus', 'mudah', 'event', 'menari', 'ayoo', 'download', 'rasakan']</t>
  </si>
  <si>
    <t>['setuju', 'baraqallah', 'amien']</t>
  </si>
  <si>
    <t>['gini', 'kesini', 'telkomsel', 'pulsa', 'habis', 'gitu', 'paket', 'aktif', 'hilang', 'gitu', 'poin', 'beli', 'pulsa', 'parah', 'waras', 'main', '']</t>
  </si>
  <si>
    <t>['aplikasinya', 'mudah', 'murah', 'harga', 'quotanya']</t>
  </si>
  <si>
    <t>['internet', 'telkomsel', 'kesini', 'lelet', 'pelanggan', 'kecewa', 'mending', 'pindah', 'provider', 'murah', 'bagus']</t>
  </si>
  <si>
    <t>['banyakin', 'promo', 'diskon']</t>
  </si>
  <si>
    <t>['knpa', 'telkomsel', 'lemot', 'banget', 'pelanggan', 'telkomsel', 'lho', 'telkomsel', '']</t>
  </si>
  <si>
    <t>['paket', 'doang', 'mahal', 'sinyal', 'buruk', 'bosqu']</t>
  </si>
  <si>
    <t>['jaman', 'bahula', 'telkomsel', 'sllu', 'diunggulkn', 'jaringan', 'tpi', 'kesini', 'kalah', 'saing', 'lokasi', 'tower', 'tlonglah', '']</t>
  </si>
  <si>
    <t>['tolong', 'telkomsel', 'buatin', 'fitur', 'kunci', 'pulsa', 'kaya', 'operator', 'tetangga', 'pulsa', 'nggak', 'ilang']</t>
  </si>
  <si>
    <t>['nelpon', 'mahal']</t>
  </si>
  <si>
    <t>['cepat', 'layanan']</t>
  </si>
  <si>
    <t>['membantu', 'kuota', 'tersisa', 'aktif', 'harga', 'jenis', 'paket', 'promo', 'menarik', 'sayangnya', 'habis', 'aktifnya', 'harga', 'jenis', 'paket', 'sesuai', 'kebutuhan']</t>
  </si>
  <si>
    <t>['suport', 'android', 'kah', '']</t>
  </si>
  <si>
    <t>['kasih', 'bintang', 'minus', 'kasih', 'bintang', 'minus', 'deh', 'berguna', 'useless', '']</t>
  </si>
  <si>
    <t>['telkomsel', 'banget']</t>
  </si>
  <si>
    <t>['kemarin', 'chat', 'apk', 'keluhan', 'pembelian', 'kuota', 'tanggapi', 'suruh', 'tunggu', 'jam', 'konfirmasi', 'hubungi', 'jam', 'hubungi', 'butuh', 'kepastian', 'kuota', 'internetnya', 'dibutuhkan', 'kecewa', 'tanggapan', 'customer', 'servicenya', 'kaya', 'gini', 'pindah', '']</t>
  </si>
  <si>
    <t>['telkomsel', 'ikutan', 'jelek', 'kek', 'jaringan', 'kartu', 'sebelah', 'gini', 'kemarin', 'jaringan', 'telkomsel', 'jelek', 'ikutan', 'praktikum', 'gagal', 'tolong', 'diperbaiki', 'jaringannya', 'telkomsel', 'daerah', 'kelesa', 'riau', '']</t>
  </si>
  <si>
    <t>['telkomsel', 'ngecewain', 'bngt', 'isiin', 'trs', 'kartu', 'pulsa', 'aktifnya', 'abis', 'internet', 'kartu', 'tpi', 'koq', 'pulsa', 'telkomsel', 'kesedot', 'trs', 'jls', 'kartu', 'telkomsel', 'cmn', 'trima', 'telpon', 'doang', 'udah', 'tahunan', 'ganti', 'nmr', 'tpi', 'kesini', 'beres', 'telkomsel']</t>
  </si>
  <si>
    <t>['semoga', 'bagus', 'jaringan', 'telkomsel']</t>
  </si>
  <si>
    <t>['mantap', 'moga', 'juara']</t>
  </si>
  <si>
    <t>['alhamdulillah', 'aplikasi', 'beli', 'paket', 'murah']</t>
  </si>
  <si>
    <t>['sinyal', 'wilayah', 'perbagus', 'berniat', 'memperbagus', 'sinyal', 'setia', 'pindah', 'kartu', 'udah', 'mahal', 'sinyal', 'jelek', 'ngak', 'memuaskan']</t>
  </si>
  <si>
    <t>['paket', 'sisa', 'gb', 'pulsa', 'sisa', 'ribu', 'pas', 'buka', 'apk', 'gmeet', 'pulsa', 'keambil', 'sisanya', 'jdi', 'ribu', 'gunanya', 'beli', 'paket', 'bertahun', 'make', 'telkomsel', 'tolong', 'pulsa', 'keambil', '']</t>
  </si>
  <si>
    <t>['paket', 'data', 'mahal', 'jaringan', 'internet', 'buruk', 'lelet', 'ampun', 'malam', 'lancar', 'koneksi', 'jam', 'segitu', 'doang', 'lancar', 'wktu', 'org', 'tidur', 'tolol', 'aktifitas', 'internet', 'pagi', 'sore', 'terganggu', 'kartu', 'pelayanan', 'buruk', 'bandingkan', 'kartu', 'mending', 'sperti', 'kartu', 'sinyal', 'kadang', 'suka', 'hilang', 'koneksi', 'stabil', 'pelosok', 'desa', 'skalipun']</t>
  </si>
  <si>
    <t>['', 'kasih', 'bintang', 'dlu', 'telkomsel', 'karna', 'jaringan', 'buruk', 'masuk', 'telkomsel', 'ribet', 'banget', 'berharap', 'secepatnya', 'jaringannya', 'terimakasih', '']</t>
  </si>
  <si>
    <t>['benerin', 'jaringan', 'tidur', 'mulu', 'lol']</t>
  </si>
  <si>
    <t>['sinyal', 'telkom', 'sekrg', 'bsa', 'ngapa', 'ngapain', '']</t>
  </si>
  <si>
    <t>['telkomsel', 'paket', 'giganet', 'beda', 'harga']</t>
  </si>
  <si>
    <t>['cepat']</t>
  </si>
  <si>
    <t>['', 'knp', 'hri', 'jelek', 'jaringan', 'telkomsel', 'pindah', 'operator', 'perbaiki', 'jaringan', 'pelangan', 'telkomsel', 'kecewa', 'berat', 'trs', 'jaringan', 'telkomsel', 'jelek', 'baget', '']</t>
  </si>
  <si>
    <t>['maap', 'sistem', 'sibuk', 'gitu', 'samapi', 'aktifitas', 'terhbat', '']</t>
  </si>
  <si>
    <t>['top', 'kayak', 'bisanya']</t>
  </si>
  <si>
    <t>['udah', 'kecewa', 'telkom', 'telkomsel', 'provider', 'bobrok', 'sedunia']</t>
  </si>
  <si>
    <t>['please', 'jajaran', 'telkomsel', 'kuota', 'utama', 'habis', 'terhubung', 'akses', 'internet', 'pribadi', 'kecewa', 'pulsa', 'habis', 'sekejap', 'akses', 'kuota', 'habis', 'otomatis', 'potong', 'pulsa', 'gtu', 'kaya', 'layanan', 'kartu', 'kuota', 'habis', 'akses', 'internet', 'langsung', 'terputus', 'pengguna', 'batasan', 'pekaian', 'beli', 'paket', 'dipotong', '']</t>
  </si>
  <si>
    <t>['telkomsel', 'beres', 'beres', 'paketan', 'masi', 'lemot']</t>
  </si>
  <si>
    <t>['jaringan', 'telkomsel', 'susah']</t>
  </si>
  <si>
    <t>['promo', 'sampah', 'kin']</t>
  </si>
  <si>
    <t>['promo', 'dibesarkan', 'kualitas', 'signal', 'jaringan', 'koneksi', 'internet', 'diperbaiki', 'buruk', 'tinggal', 'pelosok', 'pedesaan', 'pegawainya', 'tolol', 'makan', 'gaji', 'buta', '']</t>
  </si>
  <si>
    <t>['praktis', '']</t>
  </si>
  <si>
    <t>['parah', 'app', 'crypto', 'semalem', 'engga', 'buka', 'merugi', '']</t>
  </si>
  <si>
    <t>['sinyalnya', 'ganti', 'operator', 'sebelah', 'pakai', 'telkomsel', 'puas']</t>
  </si>
  <si>
    <t>['telkomsel', 'sinyalnya', 'bapuk', 'knp', 'nggk', 'pindah', 'saham']</t>
  </si>
  <si>
    <t>['tolong', 'keluhan', 'direspon', 'pembelian', 'paket', 'metode', 'pembayaran', 'shoope', 'pay', 'menunggu', 'jam', 'menerima', 'kuotanya']</t>
  </si>
  <si>
    <t>['beres', 'koneksi', 'internet', 'telkomsel', 'ping', 'turun', 'buka', 'aplikasi', 'lelet', 'tanggapan', 'keluhan', 'balas', 'boot', 'mengecewakan', 'keluhan', 'perubahan', '']</t>
  </si>
  <si>
    <t>['mahal', 'ajaa']</t>
  </si>
  <si>
    <t>['telkomsel', 'gangguan', 'isi', 'voucher', 'ngga', 'munculnya', 'maaf', 'sistem', 'sibuk', 'gitu', 'mohon', 'penjelasan']</t>
  </si>
  <si>
    <t>['beli', 'paketan', 'udah', 'nunggu', 'jam', 'masuk', 'masuk', 'sms', 'notifikasi', 'sistem', 'sibuk', 'harga', 'paket', 'mahal', 'pelayanan', '']</t>
  </si>
  <si>
    <t>['pulsa', 'kesedot']</t>
  </si>
  <si>
    <t>['promo', 'telkomsel', 'menarik', '']</t>
  </si>
  <si>
    <t>['jaringannya', 'allahhh', 'lemottt', 'sekaliii', '']</t>
  </si>
  <si>
    <t>['jaringan', 'daerah', 'kabupaten', 'toba', 'jelek', 'baget', 'tolong', 'perbaiki', '']</t>
  </si>
  <si>
    <t>['harga', '']</t>
  </si>
  <si>
    <t>['lemot', 'simpel']</t>
  </si>
  <si>
    <t>['sinyal', 'ilang', 'pulihnya', 'tolong', 'jaringan', 'lbh', 'diperbaiki', 'trimakasih', 'berharap', 'telkomsel', 'lbh', 'jaringannya', 'karna', 'pengguna', 'telkomsel']</t>
  </si>
  <si>
    <t>['daftar', 'tautan', 'linknya', 'valid', 'kadaluarsa', 'udah', 'kali', 'veronika', 'ngebantu', 'pusing']</t>
  </si>
  <si>
    <t>['jeleka', 'sinyala', 'ajj', 'baguss']</t>
  </si>
  <si>
    <t>['tolong', 'kualitas', 'jaringannya', 'diperbaiki', 'ngak', 'sesuai', 'harganya', 'udah', 'belli', 'mahal', 'kualitas', 'jaringannya', 'lemot']</t>
  </si>
  <si>
    <t>['jaringan', 'tanggal', 'nov', 'jelek']</t>
  </si>
  <si>
    <t>['mohon', 'maaf', 'knp', 'telkomsel', 'turun', 'kualitasnya', 'sinyal', 'ilang', 'pembukaan', 'aplikasi', 'nglag', 'harga', 'udah', 'mahal', 'kuota', 'tambahan', 'kadang', 'dipakai', 'penggunaan', 'kuota', 'tetep', 'kuota', 'utama', '']</t>
  </si>
  <si>
    <t>['hadiah', 'menarik', 'terima', 'kasih', '']</t>
  </si>
  <si>
    <t>['operator', 'nakal', 'suka', 'mencuri', 'uang', 'pulsa', 'diam', 'diam', 'tersisa', 'hati', 'hati', 'operator', 'beres', 'dilaporkan', 'pengadilan', 'diberantas', 'mafianya']</t>
  </si>
  <si>
    <t>['apk', 'bagus', 'membantu', 'bnget']</t>
  </si>
  <si>
    <t>['sinyal', 'kacau', 'dibikin', 'ngelag', 'jalan', 'buka', 'browser', 'dibikin', 'lancar', 'tolong', 'benerin', 'jaringan', 'keluhan', 'masuk', 'udah', 'weyy', '']</t>
  </si>
  <si>
    <t>['sinyalnya', 'kaut', '']</t>
  </si>
  <si>
    <t>['jaringan', 'lemot', 'parah', 'paketan', 'mahalin', 'jaringan', 'urus', 'beli', 'paketan', 'mahal', 'jaringan', 'lemot', 'buka', 'google', 'susah']</t>
  </si>
  <si>
    <t>['sinyal', 'sampah', 'busuk', '']</t>
  </si>
  <si>
    <t>['jaringan', 'dimana', 'good', 'point']</t>
  </si>
  <si>
    <t>['jelass', 'mahal', 'doang', 'keluhan', 'layanin', 'ama', 'bot', 'doang', 'koneksi', 'lola', 'kayanya', 'kesini', 'telkomsel', 'jelek']</t>
  </si>
  <si>
    <t>['paket', 'papua', 'termahal', 'indonesia', 'adil', '']</t>
  </si>
  <si>
    <t>['gangguran', 'kehilangan', 'job', 'gara', 'gara', 'tod']</t>
  </si>
  <si>
    <t>['jaringan', 'mantaaaaaffs']</t>
  </si>
  <si>
    <t>['kali', 'beli', 'pulsa', 'lwat', 'telkomsel', 'dana', 'terpotong', 'pulsa', 'ngk', 'masuk', 'ngk', 'kejelasan', 'penyekesaian', 'lempar', 'pelanggan', 'muak', '']</t>
  </si>
  <si>
    <t>['hancuuur', 'jaringan', 'simpati', 'udh', 'andalan', 'semalam', 'sinyal', 'parah']</t>
  </si>
  <si>
    <t>['berguna', 'mendesak']</t>
  </si>
  <si>
    <t>['', 'kesini', 'jaringan', 'telkomsel', 'buruk', 'kecewa', 'pengguna', 'ditahun', 'telkomsel', 'mengecewakan', 'semoga', 'kedepannya', 'diperbaiki', 'terimakasih', '']</t>
  </si>
  <si>
    <t>['sinyal', 'ilang', 'ilang', 'ngeleg', 'kuota', 'unlimited', 'harapkan', 'semoga', 'bagus', 'ganti', 'kartu', 'ajhlah']</t>
  </si>
  <si>
    <t>['lumayan', 'terkadang', 'suka', 'hilang', 'signal', 'daerah']</t>
  </si>
  <si>
    <t>['menukar', 'poin', 'menu', 'menukar', 'poin']</t>
  </si>
  <si>
    <t>['udah', 'seminggu', 'sinyal', 'telkomsel', 'lelet', 'kenceng', 'sistem', 'jaringan', 'meledak', 'jawa', 'barat', 'tolong', 'secepatnya', 'dibenahi', 'kali', 'gangguan', 'sinyal', '']</t>
  </si>
  <si>
    <t>['mengecewakan', 'beli', 'paket', 'kuota', 'telkomsel', 'pembayaran', 'via', 'dana', 'transaksi', 'sukses', 'kuota', 'masuk', 'laporan', 'tunggu', 'hasil', 'nihil', 'refund', 'uang', 'dana', 'bnr', 'tanggung', 'thn', '']</t>
  </si>
  <si>
    <t>['hancur', 'jaringan', 'telkomsel', 'paket', 'mahal', 'serba', 'lelet', '']</t>
  </si>
  <si>
    <t>['kartu', 'beliin']</t>
  </si>
  <si>
    <t>['gua', 'kecewa', 'sma', 'telkomsel', 'scan', 'voucer', 'kgak', 'buatin', 'msa', 'hrus', 'ketik', 'papan', '']</t>
  </si>
  <si>
    <t>['perusahaan', 'merakyat', 'perhitungan', 'profit', 'sistem', 'zonanisasi', 'adil', 'sensasi', 'specta', 'konsumen', 'dukungan', 'spektakuler', 'menang', 'kebangetan', '']</t>
  </si>
  <si>
    <t>['jaringan', 'sibuk', 'jaringan', 'sibuk', 'lelelt', 'tolol', 'telkomsel', 'ngak', 'layanin', 'pelanggan', 'asuuu']</t>
  </si>
  <si>
    <t>['perasaan', 'gimana', 'kemarin', 'sore', 'buka', 'game', 'doang', 'internet', 'tolong', 'benerin']</t>
  </si>
  <si>
    <t>['beli', 'paket', 'omg', 'gb', 'terpotong', 'paket', 'datanya', 'masuk', 'disuruh', 'tunggu', 'jam', 'jam', 'hubungi', 'respon', 'menunggu', 'menerus', 'kebijakan', 'mohon', 'bantuannya', 'paket', 'omg', 'gb', 'mahal', 'uang', 'jajan', 'masuk', 'pulak', 'kecewa', 'telkomsel']</t>
  </si>
  <si>
    <t>['sya', 'edit', 'ulasan', 'mngecewakan', 'bbrpa', 'wktu', 'and', 'now', 'telkomsel', 'lbih', 'paket', 'promo', 'murahx', 'internet', 'spesial', 'harga', 'kuota', 'miring', 'murahx', 'banget', 'rbu', 'thanks', 'provider', 'semoga', 'jaringan', 'internetx', 'area', 'pelosok', 'tingkatkan', 'lgi', 'kecepatan', 'mbps', 'jga', 'lbih', 'lgi', 'thanks', 'again', '']</t>
  </si>
  <si>
    <t>['tolong', 'jaringannya', 'perbaiki', 'jellas', 'jringannya', 'simpati', 'simpati', 'udh', 'stabilll', 'planggan', 'simpati', 'simpati', 'simpati', 'udh', 'jellek', 'jaringannya', 'kayak', 'sampah']</t>
  </si>
  <si>
    <t>['maaf', 'telkomsel', 'error', 'banget', 'yaa', 'download', 'video', 'kb', 'banget', 'gara', 'telat', 'ngumpulin', 'tugas', 'paket', 'masi', 'sisa', 'gb', 'gini', 'rusak', 'telkomsel']</t>
  </si>
  <si>
    <t>['internet', 'cepat', 'kuota', 'disney', 'hotstar', 'mubazir', 'mending', 'jadiin', 'kuota', 'reguler', '']</t>
  </si>
  <si>
    <t>['', 'isinya', 'bot', 'doang', 'membantu', 'keluhan', '']</t>
  </si>
  <si>
    <t>['buka', 'google', 'muncul', '']</t>
  </si>
  <si>
    <t>['lumayan', 'membantu']</t>
  </si>
  <si>
    <t>['hancur', 'hancur', 'hancur', 'hancur', 'kualitas', 'jaringan', 'hancur', 'beli', 'paket', 'data', 'uang', 'gratisan', 'bossss', '']</t>
  </si>
  <si>
    <t>['kuota', 'unlimitid', 'youtubenya', 'gaguna', 'pengen', 'akses', 'unlimitied', 'youtube', 'kuota', 'utama', 'giliran', 'udah', 'kuota', 'utama', 'kuota', 'utamanya', 'kuota', 'unlimitied', 'youtubenya', 'ngeakses', 'youtube', 'kuota', 'utamanya', 'plis', 'plane', 'pengen', 'nabung', 'ganti', 'kartu', 'ancur', 'gegara', 'duitnya', 'beli', 'kuota', 'telkosmerls', '']</t>
  </si>
  <si>
    <t>['makasih', 'data', 'terhubung', 'komputer', 'kuota', 'aktif']</t>
  </si>
  <si>
    <t>['bermutu', 'ksni', 'sinyal', 'gajelass', 'ganti', 'indosat']</t>
  </si>
  <si>
    <t>['jaringan', 'daerah', 'bermasalah', 'pln', 'mati', 'tower', 'tower', 'berfungsi', 'sinyal', 'internet', 'hilang', 'berjejak', 'dirut', 'telkomtol', 'harap', 'sigap', 'alasan', 'kepala', 'gigit', 'hiu']</t>
  </si>
  <si>
    <t>['jelek', 'internet', 'lemot', 'paket', 'kuota', 'sebanding', 'harga', 'kualita', 'nollllll']</t>
  </si>
  <si>
    <t>['bintang', 'habis', 'data', 'pulsa', 'berkurang', 'dikuras', 'habis', 'amankan', 'pulsa', 'habis', 'paketan', 'datanya', '']</t>
  </si>
  <si>
    <t>['mao', 'ngisi', 'kuota', 'voucher', 'sistem', 'sibuk', 'mulu', 'gajelas']</t>
  </si>
  <si>
    <t>['tingkatkan', 'kualitas', 'koneksinya', '']</t>
  </si>
  <si>
    <t>['', 'sumpah', 'aplikasi', 'kuota', 'unlimited', 'jaringan', 'kaya', 'coba']</t>
  </si>
  <si>
    <t>['harga', 'mahal', 'sebanding', 'kualitas']</t>
  </si>
  <si>
    <t>['jaringan', 'busuk', 'semenjak', 'kebijakan', 'kuota', 'kemendikbud', 'berbayar', 'ancur', 'sinyalnya', 'ngerusak', 'perjalanan', 'bisnis', 'kuota', 'unlimited', 'ancur', 'jaringan', 'menjijik', 'pke', 'telkampret', 'skrng']</t>
  </si>
  <si>
    <t>['bbrp', 'sinyal', 'internet', 'kabur', '']</t>
  </si>
  <si>
    <t>['kualitasnya', 'ditingkatkan']</t>
  </si>
  <si>
    <t>['jaringan', 'telkomsel', 'lemot', 'kuota', 'internet']</t>
  </si>
  <si>
    <t>['signal', 'tlkomsel', 'smakin', 'hncur']</t>
  </si>
  <si>
    <t>['gunanya', 'monetary', 'gajelas', 'bet', 'ganiat', 'kasih', 'cashback', 'gausah', 'gitu', 'deh', 'orang', 'kecewe', 'begooo']</t>
  </si>
  <si>
    <t>['aplikasi', 'best', 'cek', 'sisa', 'pulsa', 'kuota', 'kuis', '']</t>
  </si>
  <si>
    <t>['telkomsel', 'raport', 'merah', 'kualitas', 'internet', 'hancur', 'kuota', 'battery', 'boros', 'loading', 'hasil', 'semalam', 'apilkasi', 'buka', 'belasan', 'pelanggan', 'mengecewakan', '']</t>
  </si>
  <si>
    <t>['mlm', 'pulsa', 'terpotong', 'paket', 'games', 'paket', 'blm', 'masuk', 'pulsa', 'uda', 'potong', 'sms', 'maaf', 'permintaan', 'proses', 'penambahan', 'kapasitas', 'tolong', 'kembalikan', 'plsa', '']</t>
  </si>
  <si>
    <t>['knp', 'paket', 'beli', 'pulsa', 'hangus', '']</t>
  </si>
  <si>
    <t>['semoga', 'jaringan', 'telkomsel', 'lancarkan']</t>
  </si>
  <si>
    <t>['taik', 'telkomsel', 'maaf', 'sistem', 'sibuk', 'taiklah', 'orang', 'beli', 'mahal', 'mahal', 'diaktifin', 'sinyal', 'lemot', 'hallajh', 'kasih', 'bintang', 'bgus', 'tmbh', '']</t>
  </si>
  <si>
    <t>['udh', 'nmbh', 'bgus', 'ntr', 'ksih', 'bintng']</t>
  </si>
  <si>
    <t>['kasih', 'bintang', 'paket', 'data', 'paket', 'nelpon', 'mahal', 'mahal', 'kasih', 'bintang', 'telkomsel', 'mahal', 'tolong', 'bantu', 'telkomsel', '']</t>
  </si>
  <si>
    <t>['sinyal', 'terkuat']</t>
  </si>
  <si>
    <t>['telkomsel', 'lemot', 'banget', 'buka', 'web', 'susah']</t>
  </si>
  <si>
    <t>['tingkatkan']</t>
  </si>
  <si>
    <t>['telkomsel', 'tolonglah', 'sinyal', 'jaringannya', 'perbaiki', 'nonton', 'ama', 'drakor', 'online', 'lancar', 'giliran', 'game', 'merah', 'mulu', 'maksudnya', 'sinyal', 'liat', 'apapun', 'maksudnya', 'tolong', 'aplikasi', 'doang', 'perbaiki', 'performa', 'jaringan', 'perbaiki', 'bayar', 'lunas', 'beli', 'kuota', 'tolonglah', '']</t>
  </si>
  <si>
    <t>['woy', 'telkomsel', 'kemaren', 'beli', 'paket', 'internet', 'pembayaran', 'dana', 'pembayaran', 'berhasil', 'paket', 'masuk', 'udah', 'sehari', 'masuk', 'paket', 'lapor', 'respon', 'bot', 'hadehhh', 'udah', 'mah', 'jaringan', 'super', 'lemot', 'paket', 'mahal', 'nyolong', 'dana', 'woy', 'balikin', 'dana', 'setan', 'emosi', 'kemaren', 'orang', 'tugas', 'udah', 'butuh', 'kuota', 'curi', 'dana', 'ngent']</t>
  </si>
  <si>
    <t>['simpati', 'payah', 'paketnya', 'harga', 'gila', 'paket', 'internet', 'habis', 'sosmed', 'ngk']</t>
  </si>
  <si>
    <t>['memudahkan', 'membeli', 'pulsa', 'langsung', 'mbak', 'veronika', 'terimakasih', 'telkomsel']</t>
  </si>
  <si>
    <t>['mantap', 'promo']</t>
  </si>
  <si>
    <t>['', 'telkomsel', 'didunia', 'internet', 'terimakasih', 'telkomsel']</t>
  </si>
  <si>
    <t>['suka', 'pelayanan', 'telkomsel']</t>
  </si>
  <si>
    <t>['bohong']</t>
  </si>
  <si>
    <t>['jaringan', 'payah', 'seering', 'lemot', 'paketan', 'mahal', 'seimbang', 'donk', 'kualitas', 'kuantitas']</t>
  </si>
  <si>
    <t>['semoga', 'usahanya', 'sukses', 'aamiin']</t>
  </si>
  <si>
    <t>['membantu', 'terimah', 'kasi', 'telkomsel', 'sukses', '']</t>
  </si>
  <si>
    <t>['paketan', 'beli', 'gaada', 'layanan', 'harga', 'payah']</t>
  </si>
  <si>
    <t>['telkomsel', 'dev', 'korupsi', 'kah', 'maen', 'crypto', 'lelet', 'auto', 'ganti', 'perdana', 'kaya', 'gini', 'teknisi', 'telkomsel', 'tolong', 'diperbaiki', 'secepatnya', 'telkomsel', 'menangani', 'pengguna', 'telkomsel', 'pengeluaran', 'jt', 'sebulan', 'auto', 'pindah', '']</t>
  </si>
  <si>
    <t>['gangguan']</t>
  </si>
  <si>
    <t>['bagus', 'banget', 'app', 'sgt', 'memudahkan']</t>
  </si>
  <si>
    <t>['isi', 'mahal', 'paket', 'unlimited', 'nambah', 'bonus', 'jaringan', 'lemot']</t>
  </si>
  <si>
    <t>['terbantu', 'aplikasi', 'telkomsel']</t>
  </si>
  <si>
    <t>['paketan', 'gacha', 'random', 'pengguna', 'ganti', 'kartu', 'tetep', 'dapet', 'paketan', 'mahal', 'paketan', 'udah', 'langganan', 'beli', 'dinaikin', 'harganya', 'menyedihkan', 'sinyal', 'bagus', 'dikota']</t>
  </si>
  <si>
    <t>['sumpah', 'kecewa', 'parah', 'telkomsel', 'harga', 'mahal', 'sinyal', 'jelek', 'imbang', 'mahal', 'jarusnya', 'bagus', 'jelek', 'uang', 'beli', 'paket', 'internet', 'segitu', 'mahalnya', 'dikemanain', '']</t>
  </si>
  <si>
    <t>['lambat', 'loading', 'aplikasi', 'membuka']</t>
  </si>
  <si>
    <t>['mengecewakan', 'beli', 'paket', 'data', 'saldo', 'dipotong', 'kuota', 'masuk', 'tlp', 'suruh', 'nunggu', 'jam', 'blm', 'masuk', 'dtlp', 'suruh', 'nunggu', 'jam', 'dicancel', 'menyandera', 'hak', 'konsumen', 'nilainya', 'bintang', 'rate', 'ttp', 'tb', 'komen', 'bagus', 'pdhl', 'pengakuan', 'gangguan', 'buzzer', 'kah', '']</t>
  </si>
  <si>
    <t>['app', 'mytelkomsel', 'super', 'lemot', 'salahkan', 'ram', 'ponsel', 'ganti', 'ram', 'sebel', '']</t>
  </si>
  <si>
    <t>['telkomsel', 'jaringan', 'terlemot', 'kalah', 'skrg', 'untung', 'daftar', 'wallet', 'pakai', 'telkomsel', 'hadeuh', 'sya', 'ganti', 'kuota', 'data', 'mahal', 'hasilnya', 'nol']</t>
  </si>
  <si>
    <t>['mendukung', 'kerja', 'pendidikan']</t>
  </si>
  <si>
    <t>['kasih', 'saran', 'semu', 'member', 'telkomsel', 'mending', 'pindah', 'provider', 'telkomsel', 'harga', 'paket', 'internet', 'mahal', 'sesuai', 'kualitas', 'jaringan', 'busuk', 'murah', 'lelet', 'wajar', 'harga', 'mahal', 'sinyal', 'busuk', '']</t>
  </si>
  <si>
    <t>['nanya', 'gimana', 'signal', 'internet', 'kb', 'mohon', 'dikasih', 'solusinya']</t>
  </si>
  <si>
    <t>['kek', 'gini', 'kali', 'telkomsel', 'parah', 'paket', 'makan', 'pulsa', 'kek', 'ppq']</t>
  </si>
  <si>
    <t>['kartu', 'mahal', 'dibanding', 'kartu', 'pajetanx', 'mahal', 'dangan', 'kuota']</t>
  </si>
  <si>
    <t>['mudah', 'bagus', 'berguna', 'banget', '']</t>
  </si>
  <si>
    <t>['parah', 'beli', 'paket', 'gangguan', 'tunggu', 'menit', 'pas', 'dicoba', 'kecewa', 'main', 'lelet', 'terpaksa', 'uni', 'baca', 'selengkapnya']</t>
  </si>
  <si>
    <t>['memudahkan', 'menentukan', 'pihan']</t>
  </si>
  <si>
    <t>['coba', 'yaa', 'kasi', 'bintang', 'dlu']</t>
  </si>
  <si>
    <t>['beli', 'kuota', 'games', 'dapet', 'bonus', 'diamons', 'pas', 'beli', 'dapet', 'diamons', 'link', 'susah', 'buka', '']</t>
  </si>
  <si>
    <t>['coba', 'sinyalnya', 'perbaiki', 'btsnya', '']</t>
  </si>
  <si>
    <t>['admin', 'komentar', 'pelanggan', 'pakai', 'bahasa', 'manusia', 'paket', 'internet', 'bnyk', 'sinyal', 'buruk', 'memakai', 'pulsa', 'buruk', 'sinyal', 'memakai', 'pulsa', 'komentar', 'bnyk', 'min', 'tindak', 'musti', 'bahasa', 'admin', 'mudeng', '']</t>
  </si>
  <si>
    <t>['beli', 'paket', 'internet', 'lapor', 'srh', 'nunggu', 'jam', 'saldo', 'terpotong', 'sampe', 'skr', 'paket', 'internet', 'diterima', 'kecewa', '']</t>
  </si>
  <si>
    <t>['udah', 'telkomsel', 'berubah', 'pelayanan', 'laporan', 'email', 'blm', 'balesan', 'lbh', 'jam', 'numpuk', 'laporan', 'lbh', 'dperbaiki', 'menang', 'mahal', 'doank', 'mah', 'unggul', 'pesaing', '']</t>
  </si>
  <si>
    <t>['', 'telkomsel', 'aplikasi', 'bagus', 'mantap']</t>
  </si>
  <si>
    <t>['kuota', 'gada', 'murah']</t>
  </si>
  <si>
    <t>['', 'perbanyak', 'promonya', '']</t>
  </si>
  <si>
    <t>['mudah', 'han', 'mendapt', 'hadia', 'banyk', 'menukar', 'poin', 'sya', 'bissmilah', '']</t>
  </si>
  <si>
    <t>['aplikasi', 'mytelkomsel', 'bagus', '']</t>
  </si>
  <si>
    <t>['semoga', 'sukses', 'slalu']</t>
  </si>
  <si>
    <t>['', 'maksimal', 'makenya']</t>
  </si>
  <si>
    <t>['kecewa', 'paket', 'nelpon', 'masuk', 'membutuhkan', 'provider']</t>
  </si>
  <si>
    <t>['speed', 'download', 'kuota', 'malam', 'hancur']</t>
  </si>
  <si>
    <t>['udah', 'data', 'udh', 'msuk', 'sms', 'telkomsel', 'udh', 'datanya', 'trus', 'cek', 'kterangan', 'memiliki', 'kuota', 'tolonglah', 'pnjelasannya', 'gmna', '']</t>
  </si>
  <si>
    <t>['maaf', 'kasih', 'bintang', 'pusing', 'daftar', 'telkomsel', 'susah', 'banget', 'sms', 'telat', 'trus', 'masuk', 'pas', 'regis', 'kadaluarsa', '']</t>
  </si>
  <si>
    <t>['sekrang', 'sinyal', 'tlkomsel', 'speed', 'internet', 'jelek', 'pindah', 'kartu', 'jelek', 'gni', 'kuota', 'bnyk', 'lelet', 'gni', 'browsing']</t>
  </si>
  <si>
    <t>['malam', 'nov', 'telkomsel', 'buka', 'aplikasi', 'dana', 'tolong', 'diperbaiki', 'boss', '']</t>
  </si>
  <si>
    <t>['manfaat']</t>
  </si>
  <si>
    <t>['bagus', 'lancar']</t>
  </si>
  <si>
    <t>['isi', 'data', 'aplikasi', 'telkomsel', 'kapok', 'kepotong', 'uangnya', 'data', 'masuk', 'mnta', 'bantuan', 'robot', 'skli', 'operator', 'suruh', 'nunggu', 'jam', 'menunggu', 'jam', 'lgy', 'suruh', 'nunggu', 'lgy', 'jam', 'seklas', 'telkomsel', 'pelyanan', 'kaya', 'aplikasi', 'anak', 'kemarrn', 'kapok', 'brlngganan', 'kli', 'balikin', 'uang', '']</t>
  </si>
  <si>
    <t>['jaringan', 'macem', 'gb', 'taou', 'ngelek', 'kaya']</t>
  </si>
  <si>
    <t>['', 'ajh']</t>
  </si>
  <si>
    <t>['mahal', 'paketnya']</t>
  </si>
  <si>
    <t>['giman', 'telkomsel', 'maki', 'kesini', 'jelek', 'siyal', 'lolanya', 'mita', 'ampun', 'main', 'games', 'sampe', 'leg', 'bangat', '']</t>
  </si>
  <si>
    <t>['gangguan', 'bngst']</t>
  </si>
  <si>
    <t>['sinyal', 'bagus', 'perbaiki', 'daerah', 'kota', 'ampel', 'sinyal', 'kadang', 'hilang', 'terimakasih', '']</t>
  </si>
  <si>
    <t>['', 'telkomsel', 'mantap', 'keren', 'semoga', 'kedepan', 'maju', '']</t>
  </si>
  <si>
    <t>['berbeda', 'harga', 'paket', 'nomor', 'nomor', 'sayaa', 'paketan', 'mahal', 'berlangganan']</t>
  </si>
  <si>
    <t>['pembohongan', 'tarif', 'paket', 'infoin', 'sms', 'paket', 'murah', 'pas', 'paketin', 'harganya', 'ngelonjak', 'iklannya', 'kadang', 'risih']</t>
  </si>
  <si>
    <t>['bintang', 'akn', 'berbicara', '']</t>
  </si>
  <si>
    <t>['suka', 'telokomsel']</t>
  </si>
  <si>
    <t>['mantap', 'pertahankan']</t>
  </si>
  <si>
    <t>['', 'kerampokan', 'pulsa', 'dipaketin', 'ceria', 'jam', 'pulsa', 'diambil', 'catatan', 'tarif', 'internet', 'non', 'paket', 'buktinya', 'semoga', 'cepet', 'bangkrut', 'perusahaan', 'jujur', '']</t>
  </si>
  <si>
    <t>['terimakasih', 'mendengarkan', 'keluhan', 'pelanggan', 'informasi', 'bonus', 'semoga', 'ditingkatkan', 'cek', 'pemakaian', 'data', 'pulsa', 'terhubung', 'tks']</t>
  </si>
  <si>
    <t>['pilihan', 'kuota', 'mudah', 'kartu', 'telkomsel']</t>
  </si>
  <si>
    <t>['sumpah', 'super', 'kecewa', 'jaringan', 'telkomsel', 'memburuk', 'udh', 'paket', 'datanya', 'mahal', 'jaringannya', 'super', 'lemot', '']</t>
  </si>
  <si>
    <t>['promo', 'mudah', 'isi', 'pulsa', 'pembayaran']</t>
  </si>
  <si>
    <t>['sinyal', 'buruk', 'karang', 'ciledug', 'tangerang', 'banten', '']</t>
  </si>
  <si>
    <t>['bagus', 'banget', 'saran', 'jaringan', 'aga', 'bagus', 'banyakin', 'pembelian', 'promo', 'kuota', 'kak', '']</t>
  </si>
  <si>
    <t>['poin', 'jajan', 'linkaja', 'jdnya', 'tukar', 'poin', 'deh']</t>
  </si>
  <si>
    <t>['beli', 'kuota', 'shoppypey', 'masuk']</t>
  </si>
  <si>
    <t>['mudah', 'penggunaannya', 'simpel']</t>
  </si>
  <si>
    <t>['minn', 'tolongg', 'dongg', 'adain', 'lock', 'pulsa', 'kumpulin', 'beli', 'paket', 'ambil', 'teruss', 'lahh', 'kuotanya', 'tolongg', 'minn', 'kaya', 'tetangga', 'gituu', 'thnk', 'minn']</t>
  </si>
  <si>
    <t>['pulsa', 'suka', 'kepotong', 'konyen', 'apapun', 'kuota', 'pakai', 'operator', 'sebelah', 'aneh', '']</t>
  </si>
  <si>
    <t>['mantap', 'aplikasix', 'ribet']</t>
  </si>
  <si>
    <t>['bener', 'bener', 'harga', 'kuota', 'mahal', 'jaringannya', 'kenceng', 'mlh', 'kadang', 'lemot', 'banget', 'kota', 'tinggalnya', 'bumn', 'bangkrut', 'tolong', 'jaringannya', 'ditingkatkan', '']</t>
  </si>
  <si>
    <t>['good', 'paketan', 'murah', 'banget']</t>
  </si>
  <si>
    <t>['sampah', 'jaringan']</t>
  </si>
  <si>
    <t>['operator', 'bagus', '']</t>
  </si>
  <si>
    <t>['telkomsel', 'beli', 'paket', 'data', 'mahal', 'tqpi', 'lemot', 'jaringan', 'lag', 'haduhhh', 'mengecewakannnnnnnnnnnnnnnnnnn']</t>
  </si>
  <si>
    <t>['data', 'pulsa', 'disedot']</t>
  </si>
  <si>
    <t>['bagus', 'banget', 'mahal', 'ampiun', 'blik', 'paketan', 'internet', 'gb', 'ribu', 'mahal', 'banget', 'gb', 'ribu', 'ampun']</t>
  </si>
  <si>
    <t>['poin', 'kasih', 'hadiahnya', 'makan', 'sma', 'jga', 'telkomnyet', 'menipu', 'masyarakat', 'gangguan', 'trus', 'kli', 'telkomnyet', 'setabil', 'sinyal', 'internetnya', 'harga', 'kuota', 'doang', 'mahal', 'kerusakan', 'perbaiki', '']</t>
  </si>
  <si>
    <t>['paketan', 'mahal', 'sinyal', 'stabil']</t>
  </si>
  <si>
    <t>['tsel', 'promogopay', 'pas', 'bayar', 'cashbacknya', 'kali', 'wkwkwk']</t>
  </si>
  <si>
    <t>['updet']</t>
  </si>
  <si>
    <t>['pulsa', 'berkurang', 'pulsa', 'lumayan', 'daily', 'cek', 'data', 'udah', 'gitu', 'tanggal', 'november', 'telkomsel', 'buka', 'kecewa', 'telkomsel', 'udah', 'kagak', 'install', 'aplikasi', 'kombetebel', 'android', 'tolong', 'cepat', 'perbaikin', 'pelayanannya', 'curang', 'pelanggan', 'unistall', '']</t>
  </si>
  <si>
    <t>['kuota', 'lag', 'beli', 'kuota', 'gb', 'harga', 'buka', 'discord', 'rating', 'bintang', 'kasih', 'rating']</t>
  </si>
  <si>
    <t>['jaringan', 'bagus', 'dipondok', 'gede', 'bekasi']</t>
  </si>
  <si>
    <t>['turunin', 'bintangnya', 'buka', 'aplikasi', 'login', 'ulang', 'nga', 'dibuka', 'gada', 'updetan', 'app', 'aneh']</t>
  </si>
  <si>
    <t>['telkomsel', 'ksini', 'parah', 'banget', 'sinyalnya', 'pengguna', 'telkomsel', 'pinta', 'operator', 'tolong', 'tingkatkan', 'kwalitasnya', 'donk', '']</t>
  </si>
  <si>
    <t>['mengalami', 'gangguan', 'pembelian', 'pelayanan', 'aplikasi', 'dihapus', 'playstore', 'teknisi', 'diganti', 'kecewa', 'iklan', 'spam', 'mengganggu', 'konsumen', 'diaplikasi', 'berdampak', 'aplikasi', 'masukan', 'sampah', 'spam', 'dibuka', 'aplikasi']</t>
  </si>
  <si>
    <t>['paket', 'mahal', 'promo', 'kartu', '']</t>
  </si>
  <si>
    <t>['halo', 'telkomsel', 'menggunakn', 'jaringan', 'telkomsel', 'bertahun', 'pelayanan', 'jaringan', 'berubah', 'stabil', 'kelancaran', 'streaming', 'bermain', 'game', 'moba', 'biaya', 'paket', 'berat', '']</t>
  </si>
  <si>
    <t>['diskon', 'paket', 'data', 'murah', 'mahal', 'gitu', 'sinyal', 'bar', 'sinyal', 'full', 'jaringan', 'kelas', 'diskon', 'putus', 'nyambung', 'stabil', 'konek', 'nglawak', 'kerjaannya', 'unggul', 'mahal']</t>
  </si>
  <si>
    <t>['apk', 'lelet', 'perbaiki', 'lahi']</t>
  </si>
  <si>
    <t>['bagu']</t>
  </si>
  <si>
    <t>['gangguan', 'simpati', 'paket', 'datanya', 'turun', 'sinyalnya', 'didaerah', 'surabaya', 'barat', '']</t>
  </si>
  <si>
    <t>['sinyal', 'parah', 'game', 'online', 'apapun', 'kasih', 'lancar', 'nge', 'game', 'masuk', 'aplikasi', 'laporan', 'aplikasi', 'membutuhkan', 'menit']</t>
  </si>
  <si>
    <t>['proses', 'pembelajaran', '']</t>
  </si>
  <si>
    <t>['kesini', 'lemot', 'beli', 'paket', 'data', '']</t>
  </si>
  <si>
    <t>['telkomsel', 'sukses']</t>
  </si>
  <si>
    <t>['yes', 'memudahkan']</t>
  </si>
  <si>
    <t>['pelayanan', 'tingkatkan', 'nelpon', 'oprator']</t>
  </si>
  <si>
    <t>['pinjaman', 'saldo', 'pulsa', 'rb', 'tolong', 'tingkatkan']</t>
  </si>
  <si>
    <t>['desa', 'kota', 'jaringan', 'burik', 'telkomsel', 'tutup', 'gulung', 'tikar', 'mahal', 'doang', 'jaringan', 'burik', 'kesel', 'njng']</t>
  </si>
  <si>
    <t>['gimana', 'udah', 'jam', 'lemot', 'tinggal', 'jakarta', 'barat', 'parah', '']</t>
  </si>
  <si>
    <t>['ambil', 'duitnya', 'boros', 'banget', 'beli', 'paket', 'pulsa', 'nyadar', 'paket', 'abis', 'pulsa', 'ambil', 'ambilnya', 'alias', 'rugi', 'rban']</t>
  </si>
  <si>
    <t>['bagus', 'harap', 'pengguna', 'telpon', 'bkn', 'internet', 'paket', 'telpon', 'mahal', 'era', 'internet', 'paketan', 'telpon', 'mahal', '']</t>
  </si>
  <si>
    <t>['paketan', 'mahal', 'nyesel', 'telkomsel', '']</t>
  </si>
  <si>
    <t>['telkomsel', 'anjjing', 'jaringan', 'kayak', 'taik', 'udh', 'paket', 'mahal', 'jaringan', 'kayak', 'taik', 'tinggal', 'pedalaman', 'udah', 'pindah', 'kartu', 'anak', 'bangsa', 'indonesia', 'meresahkan', 'telkomsel']</t>
  </si>
  <si>
    <t>['', 'mkin', 'lma', 'jaringan', 'mkin', 'kaga', 'jlas', 'mahal', 'doang', 'lemot', 'mati', 'heran', 'pelayanan', 'mkin', 'lma', 'mkin', 'karuan', '']</t>
  </si>
  <si>
    <t>['cocok', 'apl', 'buatku', 'makasih', 'mengadakan', 'apl']</t>
  </si>
  <si>
    <t>['puas', '']</t>
  </si>
  <si>
    <t>['telkomsel', 'memuaskan', 'mending', 'tutup', 'ajh', 'udah', 'teknologi', 'berkembang', 'sinyal', 'bagus', 'down', 'teros', 'download', 'app', 'nunggu', 'jam', 'dahlah', 'mati', 'kek']</t>
  </si>
  <si>
    <t>['mohon', 'bantuan']</t>
  </si>
  <si>
    <t>['menyesal', 'beralih', 'halo', 'telkomsel', 'ditelpon', 'telkomsel', 'menganti', 'kartu', 'halo', 'katannya', 'sinyalnya', 'kenyang', 'kenyataannya', 'sinyallnya', 'buruk', 'tolong', 'balikan', 'kartuku', 'simpati']</t>
  </si>
  <si>
    <t>['aplikasi', 'gagal', 'susah', 'diakses']</t>
  </si>
  <si>
    <t>['telkomsel', 'tolong', 'perbaiki', 'sinyalnya', 'sinyal', 'telkomsel', 'bentar', 'bentar', 'buruk', 'susah', 'sinyalnya', 'harga', 'paket', 'internet', 'kondisi', 'sinyal', 'buruk', 'tolong', 'sinyalnya', 'telkomsel', 'perbaiki', 'kayak', 'gini', 'terima', 'kasih']</t>
  </si>
  <si>
    <t>['mudah', 'isi', 'kuota', '']</t>
  </si>
  <si>
    <t>['apk', 'berat', 'game', 'turbo', 'mendeteksi', 'game']</t>
  </si>
  <si>
    <t>['mahal', 'doang', 'lelet', 'asw']</t>
  </si>
  <si>
    <t>['tsel', 'lelet', 'tsel', 'uda', 'beres', 'besok', 'beralih', 'woii', 'mengalami', 'lelet', 'besok', 'belalih', 'paket', 'uda', 'beres', 'tsel', 'gara', 'gara', 'tsel', 'kenamarah', 'beres', 'uda', 'tobat', 'bah', '']</t>
  </si>
  <si>
    <t>['telkom', 'jelek', 'parah', 'sinyalnya', 'tipuan', 'cok', 'tetep', 'lemot', 'udah', 'mahal', 'sinyalnya', 'jelek', 'masak', 'paket', 'data', 'gb', 'masuk', 'dll', 'jaringan', 'bener', 'telkom', 'kecewa', 'ngga', 'parah', 'telkom']</t>
  </si>
  <si>
    <t>['jaringan', 'telkomsel', 'bagus', '']</t>
  </si>
  <si>
    <t>['parah', 'telkomsel', 'sinyalnya', 'lemot', 'halooo', 'tolong', 'rajin', 'bayar', 'lemot', 'telkomsel']</t>
  </si>
  <si>
    <t>['harga', 'kuota', 'oke', 'kualitas', 'koneksinya', 'peningkatan', '']</t>
  </si>
  <si>
    <t>['oke', 'jaringan', 'kemudahan', 'pembayaran', '']</t>
  </si>
  <si>
    <t>['parah', 'kuota', 'nyedot', 'pulsa']</t>
  </si>
  <si>
    <t>['top', 'markotop', 'tingkatkan', 'kelancaran', 'sinyal', 'dimanapun', '']</t>
  </si>
  <si>
    <t>['harga', 'paket', 'mahal', 'jaringan', 'buruk', 'buka', 'game', 'kouta', 'udah', 'internet', 'lemot', 'paket', 'mahal', 'taik']</t>
  </si>
  <si>
    <t>['mlm', 'sinyal', 'parah', 'lemod']</t>
  </si>
  <si>
    <t>['ber', 'manpat']</t>
  </si>
  <si>
    <t>['migrasi', 'halo', 'telkomsel', 'kasih', 'bintang']</t>
  </si>
  <si>
    <t>['', 'bintang', 'membantu']</t>
  </si>
  <si>
    <t>['makasih', 'membantu', 'kembangkan', '']</t>
  </si>
  <si>
    <t>['woy', 'sinyal', 'dibenerin', 'paket', 'dimahalin']</t>
  </si>
  <si>
    <t>['gila', 'emang', 'telkomsel', 'pulsa', 'hilang', 'hilang', 'bonus', 'gaji', 'gede', 'karna', 'nyedot', 'pulsa', 'haram', 'ksh', 'bintang', 'baca', '']</t>
  </si>
  <si>
    <t>['lelet', 'sinyal', 'internet']</t>
  </si>
  <si>
    <t>['jaringan', 'ilang', 'ngelag', 'mahal', 'doang', 'ngelag']</t>
  </si>
  <si>
    <t>['telkomsel', 'aplikasi', 'android', 'versi', 'android', 'android', 'udah', 'download', 'aplikasi']</t>
  </si>
  <si>
    <t>['parah', 'kualitas', 'telkomsel', 'jaringan', 'stabil', 'layanan', 'jaringannya', 'jelek']</t>
  </si>
  <si>
    <t>['bantu', 'hadia', 'boss']</t>
  </si>
  <si>
    <t>['coba', 'paket', 'gratisan', 'minggu', 'poin', 'ngumpulin']</t>
  </si>
  <si>
    <t>['lelet', 'beli', 'paket', 'mahal', 'lelet', 'game', 'susah', 'merah', 'menyusahkan']</t>
  </si>
  <si>
    <t>['membantu', 'pembelian']</t>
  </si>
  <si>
    <t>['terima', 'kasih', 'telkomsel', 'hadiah', 'kupon', 'undian', 'uang', 'jutaan', 'mobil', 'motor']</t>
  </si>
  <si>
    <t>['sinyalnya', 'jelek', 'telkomsel', 'kaya', 'katro']</t>
  </si>
  <si>
    <t>['telkomsel', 'anjenkxs', 'sinyal', 'kayak', 'djemboet', 'thuruxs', '']</t>
  </si>
  <si>
    <t>['mantap', 'suka']</t>
  </si>
  <si>
    <t>['busukk', 'sinyal', 'main', 'game', 'lemot', 'sinyal', 'ilang', 'ilangan', '']</t>
  </si>
  <si>
    <t>['telkomsel', 'parah', 'kualitas', 'jaringan', 'harga', 'paket']</t>
  </si>
  <si>
    <t>['kesini', 'jaringan', 'telkomsel', 'ancur', 'buka', 'web', 'susah', 'ampun', 'paketan', 'mahal', 'bukanya', 'kesini', 'buruk', 'bagus', 'indosat', 'skrang']</t>
  </si>
  <si>
    <t>['apk', 'telkomsel', 'kartunya', 'telkomsel', 'lemot', 'sinyal', 'kluar', 'skali', 'mahal', 'gini']</t>
  </si>
  <si>
    <t>['banga', 'jdi', 'pemilik', 'kartu', 'telskomsel']</t>
  </si>
  <si>
    <t>['mntap', 'hemat', 'kouta']</t>
  </si>
  <si>
    <t>['tekomsel', 'jaringannya', 'ngak', 'bagus', 'tolong', 'diperbaiki', 'jaringannya', 'ngak', 'orang', 'kecewa', 'paket', 'dijual', 'murah', 'giliran', 'dibeli', 'sesuai', 'aplikasi', 'telkomsel']</t>
  </si>
  <si>
    <t>['malam', 'telkomsel', 'oke', 'parahnya', 'mahal', 'beli', 'sinyal', 'muter', '']</t>
  </si>
  <si>
    <t>['semoga', 'harga']</t>
  </si>
  <si>
    <t>['semenjak', 'upgrade', 'kartu', 'halo', 'sinyal', 'parah']</t>
  </si>
  <si>
    <t>['suka', 'pelayanan', 'telkomsel', 'top', '']</t>
  </si>
  <si>
    <t>['mantap', 'ragukan', 'untk', 'jaringan', 'dimana', 'sllu', 'sinyal', 'bagus', 'maju', 'trs', 'telkomsel', '']</t>
  </si>
  <si>
    <t>['telkomsel', 'tiada', 'lawan', 'dijamin', 'maaaaaaaaannnntttaaaaaaaapp', '']</t>
  </si>
  <si>
    <t>['harga', 'mahal', 'jaringan', 'kayak', 'hutan']</t>
  </si>
  <si>
    <t>['knpa', 'telkomsel', 'egk', 'selancar', 'kyak', 'dlu', 'jaringan', 'lelet', 'mnta', 'bantuan', 'pas', 'tdak', 'pulsa', 'pinjam', 'paket', 'nlfon', 'telkomsel', 'egk', 'klau', 'hutang', 'pas', 'ngisi', 'pulsa', 'langsung', 'potong', '']</t>
  </si>
  <si>
    <t>['harga', 'mahal', 'kualitas', 'jaringan', 'ngedukung', 'ngelag', 'malem', 'kecepatan', 'same', 'kb', 'dtk', 'buka', 'tiktok', 'lancar', 'diliran', 'nge', 'lag', 'heran']</t>
  </si>
  <si>
    <t>['jlk', 'kek', 'muka', '']</t>
  </si>
  <si>
    <t>['jaringan', 'buruk', 'jujur', 'kecewa']</t>
  </si>
  <si>
    <t>['kemahalan', 'mao', 'naek', 'haji', 'cepet', 'wkwkwk']</t>
  </si>
  <si>
    <t>['jaringan', 'asw', '']</t>
  </si>
  <si>
    <t>['mantap', 'praktis', 'memuaskan']</t>
  </si>
  <si>
    <t>['sungguh', 'jaringan', 'ngeleg', 'gua', 'main', 'game', 'jaringan', 'down', 'sunggu', 'amaps', 'ampas', 'banget', 'kabar', 'gabung', 'mapas', 'mampos', 'bodoh', 'males', 'gua', 'telkom', 'udah', 'mahal', 'kualitas', 'ampas', 'mending', 'beli', 'kartu', 'ampas', 'murah', 'mahal', 'ampas', '']</t>
  </si>
  <si>
    <t>['telkomsel', 'sehat', 'kesini', 'jaringannya', 'jelek', 'bagus', 'gimana', 'karyawannya', 'kerja', 'kah', 'makan', 'gaji', 'buta', 'mengeluh', 'jaringan', 'jelek', 'tindakan', 'telkomsel', 'sehat', '']</t>
  </si>
  <si>
    <t>['internet', 'lemot', 'gini', 'trs', 'pdhl', 'tarif', 'mahal', '']</t>
  </si>
  <si>
    <t>['bantu', 'tukar', 'poin', 'pulsa', 'bgai', 'mna', 'dri', 'coba', 'ngk', 'ketemu', '']</t>
  </si>
  <si>
    <t>['gmn', 'ngisi', 'paket', 'data', 'apk', 'tlkmsel', 'rb', 'susah', 'masuk', 'nelp', 'suruh', 'nunggu', 'jam', 'sore', 'dpt', 'sms', 'paket', 'aktif', 'pas', 'nyalain', 'paket', 'data', 'kesedot', 'smua', 'pulsa', 'regulernya', 'bukanmaen']</t>
  </si>
  <si>
    <t>['pelanggan', 'setia', 'kirain', 'dpet', 'bonus', 'kuota', 'tpi', 'pketnya', 'hadeew', '']</t>
  </si>
  <si>
    <t>['telkom', 'kek', 'ta', 'bedaa', 'ama', 'dluuu', 'kecewaa', 'sihhh']</t>
  </si>
  <si>
    <t>['sinyal', 'jelekkkkkkkkkkkkkkk']</t>
  </si>
  <si>
    <t>['busuk', 'telkomsel', 'kecewa', 'paketan', 'mahal', 'jaringan', 'jelek']</t>
  </si>
  <si>
    <t>['siiiip', 'ckup', 'membantu']</t>
  </si>
  <si>
    <t>['telkomsel', 'paket', 'gamesmax', 'mencakup', 'game', 'free', 'fire', 'mobile', 'legend', 'arena', 'valor', 'shellfire', 'ragnarok', 'pas', 'coba', 'main', 'game', 'free', 'fire', 'lelet', 'sinyal', 'bagus', 'kayak', 'pas', 'main', 'mobile', 'legend', 'sinyalnya', 'bagus', 'mulu', 'tolong', 'perbaiki', '']</t>
  </si>
  <si>
    <t>['paket', 'telkomsel', 'mahal', 'kuotanya', 'cepet', 'abis', '']</t>
  </si>
  <si>
    <t>['sinyal', 'taik', 'penurunan', 'kecepatan', 'sinyal', 'buruk']</t>
  </si>
  <si>
    <t>['', 'tolong', 'perbaiki', 'sinyalnya', 'youtube', 'lancar', 'dll', 'google', 'game', 'lelet', 'padahl', 'tolong', 'perbaiki', 'kenyamanan', 'pemakai']</t>
  </si>
  <si>
    <t>['mudah', 'beli', 'pulsa']</t>
  </si>
  <si>
    <t>['aplikasi', 'cacat', 'link', 'akses', 'untk', 'masuk', 'terkirim', '']</t>
  </si>
  <si>
    <t>['sukses', 'jaya', 'telkomsel']</t>
  </si>
  <si>
    <t>['anak', 'babi', 'paket', 'game', 'game', 'asssu']</t>
  </si>
  <si>
    <t>['kartu', 'mahal', 'jaringan', 'nelpon', 'susah', 'sinyal', 'putus', 'maen', 'game', 'online', 'susah', 'klw', 'nilai', 'rate', 'bagus', 'sesuaikan', 'konsumen', 'sesuaikan', 'kualitas', 'emosi', 'gua', 'kasih', 'bintang', 'itupun', 'gua', 'ikhlas', 'krna', 'post', 'klw', 'ngasi', 'bintang', 'jls', 'kartu', 'mahal', 'kajol', 'lancar', 'kagak', 'perbaikilah', 'telkomsel', '']</t>
  </si>
  <si>
    <t>['telkomsel', 'jelek', 'jaringan', 'internetnya', 'youtube', 'video', 'streaming', '']</t>
  </si>
  <si>
    <t>['penilaian', 'minus', 'kasih', 'minus', 'jaringan', 'telkomtol']</t>
  </si>
  <si>
    <t>['mengalami', 'gangguan', 'telkomsel', 'lemot']</t>
  </si>
  <si>
    <t>['', 'allah', 'robby', 'peralihan', 'tekomsel', 'telkomsel', 'hallo', 'jaringan', 'kusut', 'bngt', 'kuota', 'kembalikan', 'telkomsel', 'paket', 'kembalikan', 'pekerjaan', 'berantakan', '']</t>
  </si>
  <si>
    <t>['murahin', 'dikit', 'faket']</t>
  </si>
  <si>
    <t>['jaringan', 'sumpah', 'jelek', 'sihhh', 'gigit', 'hiu', 'kabel', 'bintang', 'kasi', 'bintang', 'gini', 'auto', 'pindah', 'operator', 'kayaknya', '']</t>
  </si>
  <si>
    <t>['nyaman', 'telkomsel', 'sinyalnya', 'main', 'main', 'dmn', 'bagus', 'skrg', 'kecewa', 'kmrn', 'beli', 'paket', 'sakti', 'langsung', 'ludes', 'hitungan', 'menit', 'dipake', 'trs', 'beli', 'voucher', 'skrg', 'kuota', 'dipake']</t>
  </si>
  <si>
    <t>['internet', 'kek', 'babii']</t>
  </si>
  <si>
    <t>['paket', 'mahal', 'sinyal', 'bukanya', 'bagus', 'bapukkkk', 'banget', 'parah', 'jakarta', 'sinyal', 'gimana', 'daerah', 'dipertahanin', 'kartu', 'karna', 'males', 'ganti', 'yaampun', 'telkomsel', 'kenapapa', 'jaringan', 'ilang', 'mulu', '']</t>
  </si>
  <si>
    <t>['pengguna', 'telkomsel', 'keluhan', 'telkomsel', 'aplikasi', 'mytelkomsel', 'koneksi', 'stabil', 'perubahan', 'jaringan', 'kendala', 'jaringan', 'kecepatannya', 'lambat', 'internet', 'tanggal', 'detailnya', 'data', 'gamemax', 'orang', 'bermain', 'games', 'mobile', 'legends', 'menggu']</t>
  </si>
  <si>
    <t>['coba', 'bagus', 'bintangnya']</t>
  </si>
  <si>
    <t>['kasih', 'bintang', 'full', 'stars', 'update', 'mohon', 'perbulan', 'optimal', 'update', 'version', 'month', 'saran', 'ucapkan', 'lebihnya', 'mohon', 'maaf', 'terimakasih', '']</t>
  </si>
  <si>
    <t>['mengecewakan', 'kualitas', 'jaringan', 'stabil', 'kaya', 'paketan', 'ekonomis', 'customer', 'kartu', 'hallo']</t>
  </si>
  <si>
    <t>['kayak', 'taik', 'buka', 'telkomsel', 'payah', 'ppq', 'nyarik', 'unag', 'klen', 'babi', 'trus', 'updet', 'bukak', 'udah', 'jaringan', 'lelet', '']</t>
  </si>
  <si>
    <t>['sinyal', 'bnerin', 'woi', 'bayar', 'woi']</t>
  </si>
  <si>
    <t>['mbk', 'mas', 'gimana', 'suruh', 'masuk', 'imel', 'tolong', 'diperbarui', 'donggg']</t>
  </si>
  <si>
    <t>['respon', 'genah', 'keluhan', 'transaksi', 'sukses', 'dana', 'kepotong', 'paket', 'internetnya', 'beli', 'app', 'telkomsel', 'dana', 'potong', 'paket', 'internet', 'nongol', 'duit', 'disedekah', 'sedekah', 'ngeselin', 'kali', 'suruh', 'nunggu', 'jam', 'woy', 'woy']</t>
  </si>
  <si>
    <t>['sinyalll', 'jelek', 'abis', 'kuotane']</t>
  </si>
  <si>
    <t>['telkomyet', 'bener', 'sinyal', 'deket', 'jalan', 'tol', 'deket', 'pantura', 'sluntap', 'sluntup', 'kaya', 'ingusnya', 'situ', 'malu', 'ama', 'provider', 'malu', 'nama', 'kualitas', 'jongkok']</t>
  </si>
  <si>
    <t>['telkomsel', 'sinyal', 'kuat', 'daerah', 'pujorahayu', 'tubaba', 'mohon', 'perbaiki']</t>
  </si>
  <si>
    <t>['jaringan', 'telkomsel', 'kayak', 'pepek', '']</t>
  </si>
  <si>
    <t>['kemudahan', 'disaat', 'genting', 'kemudahan', 'akses', 'pembelian', 'paket', 'internet', 'butuhkan']</t>
  </si>
  <si>
    <t>['kecewa', 'sinyal', 'sungguh', 'sungguh', 'jelek', 'emosi', 'sampe', 'banting', 'gegara', 'sinyal', 'tulisan', 'lemot', 'salam', 'banyumas', 'jawa', 'hidup', 'kota', 'berasa', 'hidup', 'hutan', 'sinyal', 'jelek', '']</t>
  </si>
  <si>
    <t>['kuota', 'mahal', 'sinyal', 'lawak', 'telkom', '']</t>
  </si>
  <si>
    <t>['telkomsel', 'jaringannya', 'lemot', 'kesel', 'mkin', 'ksini', 'mkin', 'jlek', 'telkomsel', 'hrga', 'pketx', 'mhal', '']</t>
  </si>
  <si>
    <t>['signal', 'lemot', 'aplikasi', 'loading', 'trs', 'pngn', 'diupdate', 'parah', 'signal', 'love', 'loading', 'telkomsel', 'beli', 'data', 'udh', 'pelanggan', 'setia', 'lbh', '']</t>
  </si>
  <si>
    <t>['josshhhh', 'pokoknya']</t>
  </si>
  <si>
    <t>['isi', 'pulsa', 'paket', 'diemin', 'menit', 'otw', 'kerumah', 'pas', 'cek', 'nyampe', 'rumah', 'ilang', 'pulsanya', 'hmm', 'ikhlas', 'gimana', 'iklhas', 'gimana', 'please', 'profesional', 'telkomsel', '']</t>
  </si>
  <si>
    <t>['gini', 'udah', 'beli', 'paket', 'unlimited', 'youtube', 'dipakai', 'buka', 'youtube', 'habis', 'kuota', 'utamanya', '']</t>
  </si>
  <si>
    <t>['tolong', 'kondisi', 'jaringan', 'ngelek', 'bayar', 'mahal', 'ampun', 'jaringan', 'dibikin', 'ngelek', '']</t>
  </si>
  <si>
    <t>['jaringan', 'daerah', 'telkomsel']</t>
  </si>
  <si>
    <t>['alah', 'jaringan', 'paketnya', 'mahal', 'emang', 'bener']</t>
  </si>
  <si>
    <t>['pulsa', 'ilang', 'nelpon', 'idupin', 'data', 'nyesel', 'banget', 'pakek', 'kartu', '']</t>
  </si>
  <si>
    <t>['telkomsel', 'mantap', '']</t>
  </si>
  <si>
    <t>['', 'kasih', 'bintang', 'tambahkan', 'smoga', 'telkomsel', '']</t>
  </si>
  <si>
    <t>['bobrok', 'sinyal', 'mengecewakan', 'pelanggan', 'remehkan', 'pelanggan', 'kejayaan', 'pelanggan']</t>
  </si>
  <si>
    <t>['solusi', 'pulsa', 'ambil', 'pas', 'isi', 'pulsa', 'langsung', 'belikan', 'paket', 'internet', 'malam', 'bro', 'gitu', 'biarin', 'pulsa', 'habis']</t>
  </si>
  <si>
    <t>['aplikasi', 'berat', 'sinyal', 'jelek']</t>
  </si>
  <si>
    <t>['bagusss']</t>
  </si>
  <si>
    <t>['logo', 'doang', 'jelek', 'kualitas', 'filosofi', 'logo', 'hha']</t>
  </si>
  <si>
    <t>['kecewa', 'membuka', 'aplikasi', 'ngeleg', 'apk', 'berhenti', 'untk', 'masuk', 'beranda', 'membutuhkan', 'lumayan']</t>
  </si>
  <si>
    <t>['aangat', 'bangga', 'pelanggan', 'setia', 'telkomsel']</t>
  </si>
  <si>
    <t>['tertipu', 'marketing', 'telkomsel', 'mnghubungi', 'menawarkan', 'migrasi', 'kartu', 'hallo', 'jiwa', 'marketingnya', 'programnya', 'pnambahan', 'extra', 'kuota', 'seandainya', 'habis', 'sblum', 'aktif', 'internet', 'beliau', 'mnjawab', 'lantangnya', 'kuota', 'unlimited', 'seandainya', 'kuota', 'utama', 'habis', 'dipakai', 'apapun', 'recordnya', 'direkam', 'buka', 'aplikasi']</t>
  </si>
  <si>
    <t>['signal', 'down', 'knp', '']</t>
  </si>
  <si>
    <t>['tolong', 'oerbaiki', 'jaringan', 'bos', 'suka', 'ganguan', 'napa', '']</t>
  </si>
  <si>
    <t>['sinyal', 'hilang', 'tolong', 'perbaiki', 'wilayah', 'jaksel', 'kampung', 'ok', 'ajah', 'kota', 'mlh', 'sinyal', 'hilang', 'mulu', '']</t>
  </si>
  <si>
    <t>['payah', 'nian', 'skr', 'telkomsel']</t>
  </si>
  <si>
    <t>['update', 'udah', 'kyk', 'minum', 'obat', 'kualitas', 'nihil', 'loading', 'lambat', 'bentr', 'eror', '']</t>
  </si>
  <si>
    <t>['mahal', 'sinyal', 'buruk', 'perusahaan', 'milik', 'negara', 'gini', 'hadeh', 'korup', 'entar', 'diluar', 'kang', 'bakso', '']</t>
  </si>
  <si>
    <t>['sinyal', 'promo', 'dana', 'harga', 'paket', 'beli', 'nambah', 'mahal', 'kasihanin', 'kuliah', 'zoom', 'paket', 'pemerintah', 'bln', 'dikasi', '']</t>
  </si>
  <si>
    <t>['ampas', 'kasih', 'harga', 'mahal', 'kasih', 'kualitas']</t>
  </si>
  <si>
    <t>['sinyal', 'pengguna', 'harga', 'mahal', 'beli', 'paket', 'tpi', 'koneksi', 'kalah', 'indosat']</t>
  </si>
  <si>
    <t>['woiiiiiiii', 'loe', 'bawa', 'jaringannya', 'supeeeeeerrrr', 'lemooottt', '']</t>
  </si>
  <si>
    <t>['tolong', 'sinyalnya', 'diperbaiki', 'lemot', 'woy']</t>
  </si>
  <si>
    <t>['hello', 'telkomsel', 'dri', 'komen', 'msalah', 'jaringan', 'sampe', 'skarang', 'lemot', 'peka', 'konsumen', 'woe']</t>
  </si>
  <si>
    <t>['telkomsel', 'jaringan', 'pelayanan']</t>
  </si>
  <si>
    <t>['terburuk', 'telkomsel', 'isi', 'pulsa', 'dimakan', 'paket', 'internet', 'nelpon', 'aneh', 'sumpah', 'gaje', 'paket', 'mahal', 'buruk', 'kali', 'kualitas']</t>
  </si>
  <si>
    <t>['dirugikantelkomsel', 'beli', 'pulsa', 'rb', 'beli', 'kuota', 'sisanya', 'rb', 'cek', 'uda', 'rb', 'cek', 'rb', 'cek', 'smua', 'pembelian', 'berlangganan', 'apapun', 'beli', 'kuota', 'bbrp', 'cek', 'rb', 'telkomsel', 'ikutin', 'ttp', 'perubahan', 'isi', 'pulsa', 'sisa', 'rb', 'pakai', 'rb', 'sisa', 'rb', 'smpai', 'skr', 'trsedot', 'sisa', 'rb', 'tolong', 'kebijakannya', 'rugi', '']</t>
  </si>
  <si>
    <t>['gabisa', 'abis', 'malam', 'msih', 'gb', 'cuman', 'yutub', 'apqsih', 'maunya', 'udah', 'mahal']</t>
  </si>
  <si>
    <t>['mohon', 'maaf', 'pengguna', 'telkomsel', 'sayang', 'kecewa', 'jaringan', 'stabil', 'daerah', 'disekitaran', 'kota', 'palembang', 'mohon', 'dicek', 'alamat', 'kota', 'palembang', 'kel', 'gandus', 'perumahan', 'surya', 'alam', 'terimakasih']</t>
  </si>
  <si>
    <t>['telkomsel', 'jaringannya', 'jelek', 'lemot', 'komplen', 'suruh', 'restart', 'taunya', 'jaringan', 'jelek', 'restart', 'bkn', 'emang', 'jaringan', 'telkomsel', 'jelek', 'ngakuin', '']</t>
  </si>
  <si>
    <t>['paket', 'murah']</t>
  </si>
  <si>
    <t>['mahal', 'nmr', 'kartu', 'bobrok', 'bngt', 'tinggal', 'pelosok', 'jaringan', 'susah', 'udah', 'kartu', 'hallo', 'byar', 'mhl', 'pakai', 'lemot', '']</t>
  </si>
  <si>
    <t>['kuota', 'utama', 'berkurang', 'nonton', 'youtube', 'kuota', 'unlimited', 'youtube', 'sebwlumnya', 'kuota', 'utama', 'kesedot', 'buka', 'youtube', 'kuota', 'unlimited', 'youtube', 'rugi', 'beli', 'kuota', 'unlimitef', 'youtube', 'kuota', 'utama', 'kesedot', 'buka', 'youtube']</t>
  </si>
  <si>
    <t>['main', 'game', 'lag', 'telkomsel', 'parah']</t>
  </si>
  <si>
    <t>['jaringan', 'dprluas', 'paketan', 'mahal']</t>
  </si>
  <si>
    <t>['provider', 'ppq', 'sinyal', 'biji', 'kau', 'melayang', 'layang', 'kuota', 'mahal', 'mahal', 'dapet', 'sinyal', 'ngotak', 'donk', 'ngiklan', 'kasih', 'minus', 'bintang', 'kasih', '']</t>
  </si>
  <si>
    <t>['apk', 'thytyd', 'beli', 'paketan', 'hpnya', 'riset', 'ilang']</t>
  </si>
  <si>
    <t>['mudah', 'akses', 'pilihan', 'data', 'internet']</t>
  </si>
  <si>
    <t>['', 'fitur', 'safe', 'pulsa', 'pulsa', 'kesedot', 'paketan', 'habis']</t>
  </si>
  <si>
    <t>['tolong', 'perbaiki', 'sinyal', 'kesini', 'jelek']</t>
  </si>
  <si>
    <t>['telkomsel', 'jaringan', 'eror', 'jaringan', 'hilang', 'kadang', 'jaringan', 'ngelagnya', 'masak', 'ampun', 'kalu', 'maen', 'game', 'udah', 'auto', 'kalah', 'tolong', 'beneri', 'jaringanya', '']</t>
  </si>
  <si>
    <t>['bintang', 'berbicara']</t>
  </si>
  <si>
    <t>['bgi', 'blm', 'dwload', 'download', 'paketnya', 'mahal', 'beli', 'paket', 'game', 'max', 'data', 'nyasering', 'mati', 'mengecewakan', '']</t>
  </si>
  <si>
    <t>['speed', 'internetnya', 'parah', 'main', 'game', 'cocok']</t>
  </si>
  <si>
    <t>['sinyal', 'jelek', 'utung', 'pakai', 'paketan', 'simpati', 'sinyal', 'jelek']</t>
  </si>
  <si>
    <t>['puas', 'telkomsel', 'lancar', 'berkomunikasi', 'batas', 'keluarga', 'kerabat']</t>
  </si>
  <si>
    <t>['telkomsel', 'buruk', 'kualitas', 'sinyalnya', 'jaringan', 'buka', 'browser', 'google', 'nunggu', 'detik', 'terbuka', 'sarankan', 'restart', 'jaringan', 'basi', '']</t>
  </si>
  <si>
    <t>['woi', 'sinyal', 'perbaiki', 'napa', '']</t>
  </si>
  <si>
    <t>['mempersulit', 'dibuka', 'lemot', 'buka', 'tukar', 'poin', 'suka']</t>
  </si>
  <si>
    <t>['sinyal', 'jooss', 'tingkatkan', 'kaya', 'pelangggan', 'kecewa', 'bisaaa', 'xxx']</t>
  </si>
  <si>
    <t>['parah', 'kota', 'siyal', 'kayak', 'ujung', 'papua', 'pusing', '']</t>
  </si>
  <si>
    <t>['mudah', 'pahami', 'membantu']</t>
  </si>
  <si>
    <t>['beli', 'paket', 'mingguan', 'masuk', 'pembayaran', 'berhasil', 'gimana', '']</t>
  </si>
  <si>
    <t>['membantu', 'transaksi']</t>
  </si>
  <si>
    <t>['murahin', 'paket', 'combo', 'saktix', 'tambahin', 'nelponx']</t>
  </si>
  <si>
    <t>['telkomsel', 'sinyal', 'busuk', 'sya', 'pindah', 'kartu']</t>
  </si>
  <si>
    <t>['app', 'bagus', 'membantu', '']</t>
  </si>
  <si>
    <t>['gmna', 'telkomsel', 'gangguan', 'mulu', 'data', 'cepet', 'hbsnya']</t>
  </si>
  <si>
    <t>['bagood', 'kejutannya']</t>
  </si>
  <si>
    <t>['malas', 'telponan', 'pakai', 'telkomsel', 'karna', 'sinyal', 'buruk', 'kecewa', 'tolong', 'sinyal', 'lemot', '']</t>
  </si>
  <si>
    <t>['telkomsel', 'memuaskan', '']</t>
  </si>
  <si>
    <t>['mantap', 'aplikasi', '']</t>
  </si>
  <si>
    <t>['lelet', 'buruk']</t>
  </si>
  <si>
    <t>['kecewa', 'telkomsel', 'paket', 'mahal', 'jaringan', 'gajelas', 'gitu', 'bangkrut', 'lahh', 'kampung', 'jaringan', 'telkomsel']</t>
  </si>
  <si>
    <t>['paket', 'paket', 'internet', 'pulsa', 'habis', 'rugikan', 'kasih', 'bintang', 'hapus', 'playstor']</t>
  </si>
  <si>
    <t>['telkomsel', 'bagus', 'hujan', 'aga', 'lemod']</t>
  </si>
  <si>
    <t>['beruntung', 'paket', 'murah', '']</t>
  </si>
  <si>
    <t>['nyoba', 'semoga', 'oke']</t>
  </si>
  <si>
    <t>['data', 'internet', 'lemot', 'dimakan', 'pulsa', 'paket', 'internet', 'mahal', 'parah', 'leletnya', '']</t>
  </si>
  <si>
    <t>['aplikasi', 'susah', 'belanja', 'internet', 'gangguan', 'sistem']</t>
  </si>
  <si>
    <t>['alhamdulillah', 'berlangganan', 'telkomsel', 'kendala', 'sinyal', 'dimanapun', 'semoga', 'telkomsel', 'maju', 'dlm', 'memenuhi', 'kebutuhan', 'pelanggannya', 'semoga', 'kesempatan', 'hadiah', 'telkomsel', 'poin', 'aamiin', 'rabb', '']</t>
  </si>
  <si>
    <t>['simpati', 'joss', '']</t>
  </si>
  <si>
    <t>['jaringan', 'buruk', 'paket', 'mahal', 'poin', 'gunanya', 'byk', 'potongan', 'paketan', 'intinya', 'telkomsel', 'rugi', 'sangking', 'telkomsel', 'jaringan', 'provider', 'udh', 'ganti', 'liat', 'rating', 'ulasan', 'bintang', 'smua', 'malu', 'provider', 'bagus', 'kacau', 'provider', 'tertawa', 'terbahak', 'bahak', 'ganti', 'nama', 'jdi', 'burikcom', 'cocok']</t>
  </si>
  <si>
    <t>['kasih', 'bintang', 'kebaca', 'manager', 'telkomsel', 'presiden', 'telkomsel', 'tolong', 'beli', 'pulsa', 'beli', 'paket', 'internet', 'telkomsel', 'gb', 'ribu', 'sms', 'masuk', 'handphone', 'telkomsel', 'pulsa', 'gimana', 'min', 'tolong', 'perbaiki', 'nipu', 'bos', '']</t>
  </si>
  <si>
    <t>['apk', 'ajar', 'dftar', 'paket', 'pemberitahuannya', 'berhasil', 'tpi', 'paketnya', 'ngak', 'muncul', 'pulsa', 'rampoknya', '']</t>
  </si>
  <si>
    <t>['kartu', 'joossss', 'terbaik', 'pokoknya']</t>
  </si>
  <si>
    <t>['signal', 'kuat', 'stabil', 'nonton', 'video', 'online', 'nyaman', '']</t>
  </si>
  <si>
    <t>['pelayanan', 'lambat']</t>
  </si>
  <si>
    <t>['', 'telkomsel', 'terdepan', '']</t>
  </si>
  <si>
    <t>['kuota', 'mahal', 'internet', 'lemot']</t>
  </si>
  <si>
    <t>['gimana', 'paket', 'darurat', 'habis', 'kemaren', 'msih', 'tolong', 'habis']</t>
  </si>
  <si>
    <t>['kasih', 'promo', 'bagus']</t>
  </si>
  <si>
    <t>['tingkatkan', 'jaringan', 'lemot', 'ngisi', 'kuota', 'mahal', 'mahal', 'jaringan', 'jelek', 'sayang', 'kepake']</t>
  </si>
  <si>
    <t>['tulisan', 'unlimited', 'unlimited', 'babi']</t>
  </si>
  <si>
    <t>['semoga', 'kebahagiaan', 'keluarga', 'telkomsel', 'amin']</t>
  </si>
  <si>
    <t>['tolong', 'bantu', 'admin', 'daerah', 'cilincing', 'rusun', 'nagrak', 'minggu', 'sinyal', 'telkomsel', 'kacaw', 'lemah', 'dtng', 'penguat', 'sinyal', 'sinyal', 'melemah', 'banget']</t>
  </si>
  <si>
    <t>['suka', 'telkomsel', 'memudahkan', 'love', 'you', 'telkomsel', 'btw', 'paketan', 'internet', 'murah', 'meriah', 'dooong', '']</t>
  </si>
  <si>
    <t>['promo', 'telkomsel', 'rb', 'gb', 'beli', 'pulsa', 'beli', 'notif', 'pulsa', 'terpotong', 'tolong', 'telkomsel', 'balikan', 'pulsa', 'penipuan']</t>
  </si>
  <si>
    <t>['parah', 'telkomsel', 'gua', 'udah', 'isi', 'pulsa', 'tukar', 'kouta', 'udah', 'coba', 'berkali', 'kali', 'kecewa', 'gua', '']</t>
  </si>
  <si>
    <t>['eror', 'mulu', 'aplilasi', 'telkomsel', 'harga', 'mahal', 'sinyal', 'lemot', 'paketin', 'pulsa', 'ngak', 'harushya', 'harga', 'mahal', 'kualitas', 'terbaik', 'kayak', 'gini', 'ngerugiin', 'konsumen', 'cari', 'untung', 'buruk', 'tolong', 'perbaiki']</t>
  </si>
  <si>
    <t>['pelayanan', 'telkomsel', 'mengecewakan', 'beli', 'paket', 'unlimeted', 'you', 'tube', 'berjalan', 'lancar']</t>
  </si>
  <si>
    <t>['lumayan', 'sinyal', 'jelek']</t>
  </si>
  <si>
    <t>['paket', 'combonya', 'mahal', 'cepet', 'habis', 'kuotanya', 'sprti']</t>
  </si>
  <si>
    <t>['telkomsel', 'buruk', 'jaringannya', 'sinyalnya', 'tolong', 'perbaiki', '']</t>
  </si>
  <si>
    <t>['tolong', 'beli', 'pulsa', 'seharga', 'mengecek', 'mytelkomsel', 'pulsa', 'tersisa', 'maksudnya', '']</t>
  </si>
  <si>
    <t>['harga', 'quota', 'naikin', 'mulu', 'kualitas', 'naikin', 'jaringan', 'internet', 'puncak', 'bogor', 'kaya', 'sinyal', 'edge', 'harga', 'jaringan', 'pengen', 'ganti', 'kartu', '']</t>
  </si>
  <si>
    <t>['pelayanan', 'melayani', 'ramah', 'semoga', 'kedepannya', '']</t>
  </si>
  <si>
    <t>['terimakasih', 'sinyalnya']</t>
  </si>
  <si>
    <t>['susah', 'beli', 'paket', 'mytelkomsel', 'gangguan', 'berhenti', 'telkomsel', 'tolonglah', 'telkomsel', 'propesional']</t>
  </si>
  <si>
    <t>['undian', 'tukarkan', 'poin', 'saldo', 'link', 'ajah']</t>
  </si>
  <si>
    <t>['pengguna', 'telkomsel', 'pengguna', 'bentar', 'bagus', 'jelek', 'kualitas', 'sinyal', 'jaringan', 'sulit', 'hujan', 'dikit', 'nge', 'leg', 'harga', 'mahal', 'percayalah', 'telkomsel', 'perkembangan', 'pengguna', 'setia', 'pindah', 'kartu', 'pengguna', 'setia', 'kecewa', '']</t>
  </si>
  <si>
    <t>['unlimited', 'niat', 'kasi', 'bonus', 'mending', 'buka', 'aplikasi', 'sarankan', 'lelet', 'parah', 'posisi', 'kota', 'telkomsel', 'bayar', 'ngutang', 'kerja']</t>
  </si>
  <si>
    <t>['sumpah', 'jaringannya', 'lag', 'banget', 'not', 'recomended', 'beli', 'kartu', 'telkom', 'pulsa', 'dicuri', 'hadehh', 'udh', 'ges', 'mending', 'ganti', 'kartu', 'klean', 'darah']</t>
  </si>
  <si>
    <t>['mantab', 'kecuali', 'harga', 'kebijakan', 'diterapkan']</t>
  </si>
  <si>
    <t>['jaringan', 'hilang', 'pulsa', 'abis', '']</t>
  </si>
  <si>
    <t>['kecepatan', 'menurun', 'yaa']</t>
  </si>
  <si>
    <t>['keren', 'ngisi', 'pulsa', 'masuk', 'males']</t>
  </si>
  <si>
    <t>['promo', 'besaran', 'bos', '']</t>
  </si>
  <si>
    <t>['kecewa', 'beli', 'paketan', 'harganya', 'lumayan', 'mahal', 'jaringan', 'kartu', 'supportdi', 'rugi', 'biaya', 'harga', 'beli', 'paketan', 'mahal', 'pakai', 'kartu', 'telkomsel', 'harga', 'terjangkau', 'dengam', 'penghasilan', 'ruginya', 'kualitas', 'burik', '']</t>
  </si>
  <si>
    <t>['woi', 'perbaiki', 'aplikasinya', 'bego', 'cek', 'pulsa', 'dipersulit', 'langsung', 'opsi', 'cek', 'aplikasi', 'aplikasinya', 'loading', 'mulu', 'wifi', 'telkomsel', 'assistant', 'menu', 'cek', 'pulsa', 'step', 'website', 'menunya', 'isi', 'pulsa', 'dipake', 'terkuras', 'sumpai', 'kowe', 'pekerja', 'telkomsel', 'teko', 'bos', 'sampek', 'karyawan', 'seng', 'terlibat', 'pengurasan', 'pulsa', 'mencret', 'seumur', 'hidup', '']</t>
  </si>
  <si>
    <t>['paket', 'combo', 'telponan', 'tolong', 'naikan', 'limit', '']</t>
  </si>
  <si>
    <t>['udah', 'harganya', 'naiki', 'sinyal', 'burik']</t>
  </si>
  <si>
    <t>['telkomsel', 'jaringannya', 'lelet', '']</t>
  </si>
  <si>
    <t>['bagus', 'informatig']</t>
  </si>
  <si>
    <t>['mahal', 'doang', 'ampas']</t>
  </si>
  <si>
    <t>['moga', 'moga', 'dapet', 'hadiah']</t>
  </si>
  <si>
    <t>['program', 'menarik']</t>
  </si>
  <si>
    <t>['mengecewakan', 'beli', 'kuota', 'alasan', 'pulsa', 'pulsanya', 'pulsa', 'habis', 'internetnya', 'lemot', 'banget', '']</t>
  </si>
  <si>
    <t>['mudah', 'beli', 'kuota', '']</t>
  </si>
  <si>
    <t>['bagusss', 'bangett', 'sukaaa']</t>
  </si>
  <si>
    <t>['telkomsel', 'konsisten', 'melayani', 'pelanggan', 'sumatra', 'nyaman', 'jaringan', 'internet', 'ancurrrrrrr']</t>
  </si>
  <si>
    <t>['sinyal', 'jelek', 'paketan', 'mahal', 'sinyal', 'jelek']</t>
  </si>
  <si>
    <t>['membantu', 'thanks']</t>
  </si>
  <si>
    <t>['kasih', 'bintang', 'langsung', '']</t>
  </si>
  <si>
    <t>['main', 'game', 'sinyalnya', 'suka', 'hilang']</t>
  </si>
  <si>
    <t>['terimakasih', 'dukunganya']</t>
  </si>
  <si>
    <t>['kouta', 'awet', 'harga', 'terjangkau', 'sinyal', 'kuat', 'cepat', '']</t>
  </si>
  <si>
    <t>['gua', 'beli', 'kouta', 'ketengan', 'youtube', 'kouta', 'utamanya', 'serot', 'wktu', 'nonton', 'youtube', 'tolong', 'perbaiki', '']</t>
  </si>
  <si>
    <t>['bagus', 'isinya', 'lengkap']</t>
  </si>
  <si>
    <t>['beli', 'paket', 'promo', 'rbu', 'gb', 'kuota', 'uang', 'hilang', '']</t>
  </si>
  <si>
    <t>['', 'telkomsel', 'terbaik', 'membantu', 'transaksi']</t>
  </si>
  <si>
    <t>['sngat', 'buruk']</t>
  </si>
  <si>
    <t>['parah', 'parah', 'pulsa', 'kuras', 'telkomsel', 'pdhl', 'paket', 'data', 'off', 'mah', 'namany', 'perampokan']</t>
  </si>
  <si>
    <t>['telkomsel', 'ancur', 'bug', 'jga', 'merugikan', 'kecolongan', 'pls', 'nyesel', 'aing', 'pengguna', 'telkomsel', 'skrg', 'aing', 'berhenti', 'telkomsel']</t>
  </si>
  <si>
    <t>['aplikasinya', 'mudah']</t>
  </si>
  <si>
    <t>['sampah', 'kouta', 'doang', 'mahal', 'jaringan', 'ilang', '']</t>
  </si>
  <si>
    <t>['mahal', 'doang', 'susah', 'sinyal', 'jakpus', '']</t>
  </si>
  <si>
    <t>['layanan', 'buruk', 'telkomsel', '']</t>
  </si>
  <si>
    <t>['pengguna', 'telkomsel', 'kebelakang', 'telkomsel', 'jaringannya', 'busuk', 'banget', 'kouta', 'mahal', 'sinyalnya', 'parah', 'salahkan', 'pelanggan', 'pindah', 'provider', 'bermutu', 'telkomsel', 'boros', 'sinyal', 'buruk', 'ditengah', 'kota']</t>
  </si>
  <si>
    <t>['aplikasinya', 'membantu', 'keren']</t>
  </si>
  <si>
    <t>['aplikasi', 'baguss']</t>
  </si>
  <si>
    <t>['hallo', 'kak', 'kemaren', 'sore', 'beli', 'paket', 'harga', 'ribu', 'pket', 'hilang', 'tolong', 'mintak', 'pnjelasannya']</t>
  </si>
  <si>
    <t>['praktis', 'ribet']</t>
  </si>
  <si>
    <t>['lancar', 'internetan']</t>
  </si>
  <si>
    <t>['pulsa', 'habis', 'isi', 'data', 'pulsa', 'utama', 'habis', 'kecewa', 'telkomsel', '']</t>
  </si>
  <si>
    <t>['mantapz', 'ribet']</t>
  </si>
  <si>
    <t>['kecewa', 'sinyal', 'stabil', 'pulsa', 'kesedot', 'kuota', 'tekom', 'telkom', 'jelek', 'pelayanannya']</t>
  </si>
  <si>
    <t>['kuota', 'promo', 'bagus', 'cmn', 'dri', 'jaringan', 'internet', 'lgi', 'main', 'game', 'cod', 'call', 'duty', 'koneksi', 'terputus', 'jaringan', 'internet', 'tersedia', 'xiaomi', 'poco', 'kuota', 'suka', 'isi', 'paket', 'gede', '']</t>
  </si>
  <si>
    <t>['dicoba', 'yaaa']</t>
  </si>
  <si>
    <t>['kuota', 'multimedia', 'terpakai', 'kecepatan', 'jaringan', 'bergerak', 'jaringan', 'lelet', 'tinggal']</t>
  </si>
  <si>
    <t>['sinyal', 'lelet', 'gimana', 'lemot', 'sinyal', 'telkomsel', 'beli', 'kouta']</t>
  </si>
  <si>
    <t>['ngisi', 'paketan', 'gamasuk', 'paketanya', 'saldo', 'kesedot', 'apes', '']</t>
  </si>
  <si>
    <t>['kelebihan', 'telkomsel', 'jaringannya', 'slalu', 'enak', 'ngelagnya', 'kekurangannya', 'pas', 'trobel', 'perbaikanya', 'mantap', 'kasih', 'bintang', '']</t>
  </si>
  <si>
    <t>['bagus', 'bangat', 'aplikasi', 'suka', 'terjamin', 'murah', 'murah', 'pendaftarannya', 'suka', 'sekalii']</t>
  </si>
  <si>
    <t>['saldo', 'terpotong', 'paketan', 'aktif', 'hadeuuh', '']</t>
  </si>
  <si>
    <t>['adakan', 'promo', 'pembelian', 'kuota']</t>
  </si>
  <si>
    <t>['semangat', 'pemeliharaan', 'khusus', 'daerah', 'cilacap', 'barat', 'kemajuan', 'jaringan', 'telkomsel', 'provider', 'telkomsel', 'joss', 'jaringan', 'harga', 'sebanding', 'kualitas']</t>
  </si>
  <si>
    <t>['download', 'download', 'error', 'buka']</t>
  </si>
  <si>
    <t>['woy', 'ajg', 'nge', 'prank', 'jgan', 'kaya', 'gitu', 'bangsattt', 'pulsa', 'harga', 'gabisa', 'gua', 'beli', 'ajg', 'gua', 'udah', 'beli', 'pulsa', 'eman', 'tolol', 'abis', 'sia', 'semoga', 'cepet', 'mati', 'ajggg', 'goblokkkkkkk']</t>
  </si>
  <si>
    <t>['', 'lov', 'telkomsel', 'pelanggan', 'setia', 'thn', 'telkomsel', 'permintaan', 'tolong', 'respon', 'keluhan', 'keluhan', 'pengguna', 'telkomsel', 'telkomsel', 'maju', 'konsumen', 'pelanggan', 'pelanggan', 'telkomsel', '']</t>
  </si>
  <si>
    <t>['membantu', 'pakai', 'aplikasi']</t>
  </si>
  <si>
    <t>['sinyal', 'telkomsel', 'lelet', 'kali']</t>
  </si>
  <si>
    <t>['nda', 'aada', 'promo', 'astaga']</t>
  </si>
  <si>
    <t>['telkomsel', 'tipu', 'gb', 'habis', 'kayak', '']</t>
  </si>
  <si>
    <t>['menang', 'telkomsel', 'poin', 'program', 'telkomsel', 'poin', '']</t>
  </si>
  <si>
    <t>['beli', 'kuota', 'youtube', 'gaka', 'dipake', '']</t>
  </si>
  <si>
    <t>['skrng', 'jaringan', 'telkomsel', 'jelek', 'tolong', 'diperbaiki', 'bagus', 'jaringan']</t>
  </si>
  <si>
    <t>['bagus', 'terang']</t>
  </si>
  <si>
    <t>['sinyal', 'telkomsel', 'burik']</t>
  </si>
  <si>
    <t>['sanggat', 'puas', 'telkomsel', 'mantap', 'telkomsel']</t>
  </si>
  <si>
    <t>['lemot', 'kadang', 'kadang']</t>
  </si>
  <si>
    <t>['astaghfirullah', 'sampe', 'kpn', 'telkomsel', 'kaya', 'gini', 'sinyalnya', 'penguna', 'setia', 'telkomsel', 'sabar', 'gimana', 'kaya', 'gini', 'rugikan', 'beralih', 'pindah', 'operator', 'tolong', 'perbaiki', 'udh', 'abis', 'sabar', 'makasih', 'th', 'telkomsel', 'mending', 'ganti', '']</t>
  </si>
  <si>
    <t>['kartu', 'mahal', 'banget', 'harga', 'paket', 'internetnya', 'kartu', 'teman', 'murah', 'murah', 'harga', 'paketan', 'kenapasih', 'telkomsel']</t>
  </si>
  <si>
    <t>['makasih', 'telkomsel', 'responsif', 'mudah', 'membantu']</t>
  </si>
  <si>
    <t>['login', 'facebook', '']</t>
  </si>
  <si>
    <t>['alhamdulilah', 'aplicasi', 'membantu', 'terima', 'kasih']</t>
  </si>
  <si>
    <t>['ampun', 'cepet', 'banget', 'abisnya', '']</t>
  </si>
  <si>
    <t>['jaringan', 'terbaik', 'dimanapun', 'jaringan', 'telkomsel', 'terimakasih', 'telkomsel', 'semoga', 'dpn', 'paketan', 'kuotanya', 'murah', 'penggunanya', '']</t>
  </si>
  <si>
    <t>['apk', 'taik', 'update', 'update', 'terbuka']</t>
  </si>
  <si>
    <t>['sinyal', 'perbaiki']</t>
  </si>
  <si>
    <t>['bagus', 'tpi', 'puas', 'terkadang', 'jaringan', 'burik', 'jelek']</t>
  </si>
  <si>
    <t>['kuota', 'combo', 'sakti', 'max', 'gb', 'masuk', 'sampe', 'saldo', 'shopee', 'pay', 'terpotong']</t>
  </si>
  <si>
    <t>['min', 'tolong', 'kuota', 'nonton', 'lokal', 'total', 'kepake', 'gemana', 'kepake', 'nonton', 'aplikasi', 'berbayar', 'tolong', 'min', 'hapus', 'kuota', 'nonton', 'lokalnya', 'kepakeeeeeee', 'mimin']</t>
  </si>
  <si>
    <t>['kuota', 'gb', 'pesan', 'beli', 'paket', 'darurat', 'cek', 'telkomsel', 'paket', 'darurat', 'gini', 'telkomsel', 'beli', 'paket', 'darurat', 'kuota', 'anehnya', 'kejadian', 'pertamakali', 'kecewa', 'kecewa', 'asli', 'pelanggan', 'setia', 'telkomsel', 'saranin', 'ilangin', 'fitur', 'paket', 'daruratnya', 'kejadian', 'kaya', 'gini', '']</t>
  </si>
  <si>
    <t>['halo', 'beli', 'promo', 'gb', 'kali', 'jaringan', 'pulsa', 'terpakai', 'sms', 'maksudnya', 'kak', 'tolong', '']</t>
  </si>
  <si>
    <t>['membantu', 'trima', 'kasih', 'telkomsel']</t>
  </si>
  <si>
    <t>['kesal', 'aplikasi', 'udh', 'tipu', 'beli', 'paket', 'data', 'masuk', 'komplain', 'tunggu', 'udh', 'saldo', 'beli', 'paket', 'butuh', 'suruh', 'tunggu', 'jam', 'orang', 'butuhnya', 'recomend', 'aplikasi']</t>
  </si>
  <si>
    <t>['pelayanan', 'bagus', 'terimakasih', 'telkomsel']</t>
  </si>
  <si>
    <t>['yahya', 'zaman', 'mantap']</t>
  </si>
  <si>
    <t>['paketan', 'mahal', '']</t>
  </si>
  <si>
    <t>['semoga', 'depanya', 'lag', 'berkurang']</t>
  </si>
  <si>
    <t>['pulsa', 'ilang', 'giliran', 'isi', 'masuk', '']</t>
  </si>
  <si>
    <t>['semenjak', 'telkomsel', 'lgi', 'namanya', 'jaringan', 'lelet', 'gangguan', 'makasih', 'telkomsel']</t>
  </si>
  <si>
    <t>['cashback', 'gopay', 'masuk', '']</t>
  </si>
  <si>
    <t>['paket', 'data', 'masuk', 'masuk', 'udah', 'kali', 'pembelian', 'transaksi', 'udah', 'berhasil', 'paket', 'data', 'masuk']</t>
  </si>
  <si>
    <t>['bagus', 'membantu', 'trimaksh', 'perhatian', '']</t>
  </si>
  <si>
    <t>['', 'saran', 'paketdata', 'unlimated', 'max', 'gbnya', 'hilangkan', 'membantu', 'terimakasih', 'sukses', '']</t>
  </si>
  <si>
    <t>['', 'iso', 'masuk']</t>
  </si>
  <si>
    <t>['aplikasi', 'telkomsel', 'beli', 'paket', 'data', 'gangguan']</t>
  </si>
  <si>
    <t>['pengguna', 'aplikasi', 'telkomsel', 'bagus', 'ribet', 'susah', 'registrasi', '']</t>
  </si>
  <si>
    <t>['paketan', 'doang', 'mahal', 'sinyal', 'busuk', 'ngk', 'karuan']</t>
  </si>
  <si>
    <t>['maaf', 'maaf', 'membeli', 'paket', 'gb', 'rb', 'tulisan', 'undah', 'muncul', 'transaksi', 'proses', 'tunggu', 'masuk', 'masuk', 'kuota', 'pagi', 'siang', 'beli', 'kuota', 'gb', 'rb', 'langsung', 'masuk', 'kuota', 'kuota', 'gb', 'maaf', 'maaf', 'ngasih', 'promo', 'pelanggan', 'ikhlas', 'pelangan', 'ber', 'alih', 'kartu', 'danuntukpihak', 'telkomsel', 'tolong', 'gubrisjgndiamsaja']</t>
  </si>
  <si>
    <t>['jelek', 'banget', 'aplikasinya', 'trus', 'bbrpa', 'error']</t>
  </si>
  <si>
    <t>['biarkan', 'bintang', 'bicara']</t>
  </si>
  <si>
    <t>['ngisi', 'paketan', 'via', 'telkomsel', 'pagi', 'sampe', 'masuk', 'transaksi', 'sukses', 'gimana', 'urgent']</t>
  </si>
  <si>
    <t>['klaim', 'hadian', 'ceck', 'blum', 'diklaim', 'rewardnya', 'blum', 'terima', 'notif', 'maksudnya', 'aplikasi', 'rusak', 'sinyal', 'rusak', 'pencuri', 'pulsa', 'telkomsel', 'buruk', 'tanggung', 'tindak', 'kriminal', 'penipuan']</t>
  </si>
  <si>
    <t>['apply', 'kasih', '']</t>
  </si>
  <si>
    <t>['jaringan', 'terbilang', 'stabil', 'tergantung', 'daerah', 'jarang', 'drop', '']</t>
  </si>
  <si>
    <t>['semoga', 'pakai', 'cek', 'pulsa', 'ofline']</t>
  </si>
  <si>
    <t>['tekomsel', 'enggk', 'mahal', 'jaringannya', 'muter', 'mulu', 'mahal', 'enggk', 'jaringan', 'lancar']</t>
  </si>
  <si>
    <t>['dpat', 'hadiah']</t>
  </si>
  <si>
    <t>['kesini', 'jelek', 'harga', 'paket', 'data', 'mahal', 'kualitas', 'jaringan', 'jelek', 'banget', 'stabil', 'mengecewakan', '']</t>
  </si>
  <si>
    <t>['min', 'tolong', 'sinyalnya', 'bagusin', 'sakit', 'pala', 'sinyal', 'gabisa', 'main', 'game', 'telkom', 'skarang', 'jelek', 'sinyalnya']</t>
  </si>
  <si>
    <t>['the', 'beach', 'informasi', 'bermanpaat', 'download', 'download', 'play', 'google']</t>
  </si>
  <si>
    <t>['promo', 'ketagian', 'kepa', 'liat', 'emang', 'bagus', '']</t>
  </si>
  <si>
    <t>['kualitas', 'sinyal', 'sampah']</t>
  </si>
  <si>
    <t>['bagus', 'aplikasi', 'mememudah']</t>
  </si>
  <si>
    <t>['akses', 'internet', 'cepat']</t>
  </si>
  <si>
    <t>['puas', 'mksh', 'telkomsel', '']</t>
  </si>
  <si>
    <t>['telkomsel', 'jaringan', 'bagus', '']</t>
  </si>
  <si>
    <t>['telkomsel', 'kali', 'listrik', 'padam', 'signal', 'down', 'paketan', 'mahal', 'layanannya', '']</t>
  </si>
  <si>
    <t>['bagus', 'mudah', '']</t>
  </si>
  <si>
    <t>['pulsa', 'habis', 'isi', 'besoknya', 'pulsa', 'telkomsel', 'makan', 'pulsa', 'mohon', 'perbaiki']</t>
  </si>
  <si>
    <t>['blm', 'petanyaan']</t>
  </si>
  <si>
    <t>['aktivasi', 'paket', 'internet', 'menghabiskan', 'menunggu', 'harap', 'diatasi']</t>
  </si>
  <si>
    <t>['pelayanan', 'jaringan', 'memuaskan']</t>
  </si>
  <si>
    <t>['sinyal', 'bosok', 'cokkk', 'tollog', 'diperbaikkiiii', 'paket', 'mahal', 'tpi', 'jaringan', 'busukkk']</t>
  </si>
  <si>
    <t>['multimedia', 'pakai', 'massa', 'exs', 'thn', '']</t>
  </si>
  <si>
    <t>['sinyal', 'hilang']</t>
  </si>
  <si>
    <t>['pengiman', 'sms', 'lambat', 'suara', 'dlm', 'percakapan', 'terputus', 'putus', 'stabil', '']</t>
  </si>
  <si>
    <t>['operator', 'bobrok', 'bener', 'ngabisin', 'pulsa', 'orang', 'doang', 'bisanya', 'paketan', 'pulsa', 'abis', 'kemna', 'sinyal', 'skrg', 'udah', 'susah', 'ilang', 'trs', 'dsar', 'menang', 'mahal', 'doang', 'telkomsel']</t>
  </si>
  <si>
    <t>['', 'beli', 'kuota', 'combo', 'max', 'via', 'mytelkomsel', 'pembayaran', 'shopeepay', 'skrang', 'kuota', 'tdak', 'masuk', 'pdhal', 'dana', 'sdah', 'dipotong', 'sdah', 'coba', 'chat', 'via', 'aplikasi', 'whatsapp', 'gunaa', 'diarahkan', 'robot', '']</t>
  </si>
  <si>
    <t>['paketan', 'masuk', 'saldo', 'udah', 'kepotong', 'harga', 'paket', 'mahal', 'jaringan', 'gangguan', 'mengecewakan']</t>
  </si>
  <si>
    <t>['harga', 'paket', 'mahal', 'koneksi', 'stabil', 'harga', 'sesuai', 'kualitas', 'data', 'bocor', 'penipuan', 'data', 'pribadi', 'oknum', 'telkomsel', 'bermain', 'pst']</t>
  </si>
  <si>
    <t>['sinyal', 'kuat', 'harga', 'bersahabat']</t>
  </si>
  <si>
    <t>['jaringan', 'bagus', 'bintang', 'duku']</t>
  </si>
  <si>
    <t>['paketan', 'internet', 'mahal', 'mahal']</t>
  </si>
  <si>
    <t>['koyo', 'signal', 'neng', 'bandarlampung', 'tempek']</t>
  </si>
  <si>
    <t>['start', 'sinyal', 'daerah']</t>
  </si>
  <si>
    <t>['terkendala', 'pembelian', 'paket', 'data', 'nelpon', 'update', 'terdaji', 'gangguan', 'sistem', 'membeli', 'paket', 'data', 'paket', 'nelpon']</t>
  </si>
  <si>
    <t>['hadiah', 'undian']</t>
  </si>
  <si>
    <t>['aplikasi', 'tipu', 'tipu', 'daily', 'cek', 'udh', 'klaim', 'kuota', 'habis', 'pulsa', 'dlu', 'lumayan', 'rb', 'abis', 'bwt', 'beli', 'paket', 'pulsa', 'habis', 'dluan', 'fak']</t>
  </si>
  <si>
    <t>['membantu', 'thanks', 'telkomsel']</t>
  </si>
  <si>
    <t>['', 'the', 'best', 'saran', 'tolong', 'pembatasan', 'penggunaan', 'pulsa', 'kunci', 'pulsa', 'data', 'pulsa', 'terpotpng', 'kare', 'data', 'habis']</t>
  </si>
  <si>
    <t>['jaringan', 'bagus', 'ngk', 'lelet', 'mna']</t>
  </si>
  <si>
    <t>['aplikasinya', 'jelek', 'bangat']</t>
  </si>
  <si>
    <t>['apps', 'bagussssssssss']</t>
  </si>
  <si>
    <t>['kasih', 'bintang', 'jaringan', 'telkomsel', 'lemot']</t>
  </si>
  <si>
    <t>['terimakasih', 'telkomsel', 'promo', 'membantu', '']</t>
  </si>
  <si>
    <t>['telkomsel', 'bagus', 'uda', 'mash', 'ngelek', 'isiin', 'paketan', '']</t>
  </si>
  <si>
    <t>['bermanfaat', 'banget', 'tolong', 'promonya', 'banyakin']</t>
  </si>
  <si>
    <t>['paket', 'data', 'nyampe', 'minggu', 'telkomsel', 'ngentod', '']</t>
  </si>
  <si>
    <t>['gampang', 'beli', 'pulsa', 'enak', 'pilihan', 'bagus', 'mudah', 'mencari', 'paketan']</t>
  </si>
  <si>
    <t>['pulsa', 'suka', 'hilang', 'hilang']</t>
  </si>
  <si>
    <t>['sukakkk', 'mudah', 'trouble', 'ngecekk', 'nyahhhh']</t>
  </si>
  <si>
    <t>['membantu', 'mantap', 'pokoknya']</t>
  </si>
  <si>
    <t>['dbuka', 'abis', 'udah', 'dbuka', 'besoknya', 'blank', 'putih', 'hrus', 'clear', 'data', 'dlu', 'dbuka', 'berat', 'gjisa', 'berjalan', 'sinyal', 'seadanya']</t>
  </si>
  <si>
    <t>['terima', 'kasih', 'paket', 'promonya', 'irit', 'dikantong']</t>
  </si>
  <si>
    <t>['paket', 'internet', 'masuk', 'pulsa', 'kepotong', 'sisa', 'pulsa', 'hilang', 'payah', 'telkomsel', 'jelek', 'pelayanannya']</t>
  </si>
  <si>
    <t>['mahal', 'erornya', 'bintang']</t>
  </si>
  <si>
    <t>['notif', 'pengingat', 'tagihan', 'via', 'telp', 'persis', 'pinjol', 'pelanggan', 'setia', 'bayar', 'ingatkan', 'tanggal', 'gila']</t>
  </si>
  <si>
    <t>['aktifkan', 'telkomsel', 'daftar', 'pemenang', 'kupon', 'undian', 'adaterdaftar', 'stlh', 'diikuti', 'klh', 'dftr', 'pemenangnya', 'adil', 'penipuan', 'jwb', 'sendirilah', '']</t>
  </si>
  <si>
    <t>['ngga', 'kendala', 'jos']</t>
  </si>
  <si>
    <t>['', 'update', 'update', 'ngaruh']</t>
  </si>
  <si>
    <t>['ksini', 'telkomsel', 'mejengkel', 'pulsa', 'tersedot', 'pdahal', 'udah', 'matiin', 'data', 'mahal', 'kesel', 'beli', 'pulsa', 'kesedot']</t>
  </si>
  <si>
    <t>['kartu', 'membantu', 'komunikasi', 'keluarga']</t>
  </si>
  <si>
    <t>['membantu', 'terima', 'kasi', 'telkomsel']</t>
  </si>
  <si>
    <t>['ngis', 'pulsa', 'mbanking', 'jam', 'sampe', 'kaga', 'masuk', 'masuk', 'koq', 'kagaa', 'danta', 'telkomsel', 'lamaa']</t>
  </si>
  <si>
    <t>['gua', 'lagggggg', 'ciokkkkkk']</t>
  </si>
  <si>
    <t>['bagus', 'pembelian', 'kuota', 'mahal', 'mahal']</t>
  </si>
  <si>
    <t>['', 'udah', 'bayar', 'wifiiii', 'wifii', 'jelekkkkkkkkkkkkk', 'emosi']</t>
  </si>
  <si>
    <t>['', 'suka', 'baget']</t>
  </si>
  <si>
    <t>['kejutan', 'kesempatan', 'diimpikan']</t>
  </si>
  <si>
    <t>['sinyal', 'lelet', 'knp']</t>
  </si>
  <si>
    <t>['membantu', 'memudahkan', 'recharge', 'kuota', 'pulsa']</t>
  </si>
  <si>
    <t>['kouta', 'abis', 'sedot', 'kouta', 'unlimited', 'youtube', 'sedot', 'kouta', 'utamanya', 'aneh', 'telkomsel']</t>
  </si>
  <si>
    <t>['aflikasi', 'rekom', 'banget', 'karna', 'mudah', 'prosesnya', 'cepat', 'sukses', 'telkomsel', 'pesannya', 'jaringan', 'semoga', 'depannya', 'bagus', 'wilayah', 'kalimantan', 'timur', 'karna', 'pedalaman', 'terima', 'kasih']</t>
  </si>
  <si>
    <t>['aman', 'terpercaya']</t>
  </si>
  <si>
    <t>['mantap', 'mudah', 'transaksi', 'joss']</t>
  </si>
  <si>
    <t>['habis', 'update', 'dibuka']</t>
  </si>
  <si>
    <t>['trima', 'kasih', 'telkomsel', 'combo', 'sakti', 'udah']</t>
  </si>
  <si>
    <t>['telkomsel', 'gmna', 'beli', 'paket', 'internet', 'gabisa', 'eror', 'kali', 'kaya', 'gini', 'otw', 'ganti', 'provider', 'kocak', 'banget', 'beli', 'paket', 'gabisa', '']</t>
  </si>
  <si>
    <t>['claim', 'kuota', 'gb', 'check', 'harian', 'pulsa', 'poin', 'terpotong', 'kuota', 'masuk', 'auto', 'pindah', 'ganti', 'operator']</t>
  </si>
  <si>
    <t>['turunkan', 'harga', 'paketan', '']</t>
  </si>
  <si>
    <t>['telkomsel', 'muda']</t>
  </si>
  <si>
    <t>['beli', 'pulsa']</t>
  </si>
  <si>
    <t>['udah', 'bagus', 'tinggal', 'tingkatkan', 'bagus', '']</t>
  </si>
  <si>
    <t>['lemot', 'pas', 'buka', 'aplikasinya', '']</t>
  </si>
  <si>
    <t>['promo', 'paket', 'tingkatkan']</t>
  </si>
  <si>
    <t>['alhamdulillah', 'harga', 'paket', 'internet', 'telkomsel', 'turun', 'semoga', 'kedepan', 'luas', 'jaringan', 'jujur', 'kampung', 'halaman', 'telkomsel', 'itupun', 'sinyalnya', 'full', 'terimakasih']</t>
  </si>
  <si>
    <t>['paket', 'internet', 'combo', 'sakti', 'mahal', 'harganya', 'area', 'kalimantan', 'timur', '']</t>
  </si>
  <si>
    <t>['jaringan', 'internet', 'telkomsel', 'stabil', '']</t>
  </si>
  <si>
    <t>['mempermudah', 'bangetttt', '']</t>
  </si>
  <si>
    <t>['telkomsel', 'anehhh', 'udah', 'sinyal', 'lelettttt', 'harga', 'paket', 'combo', 'sakti', 'max', 'gb', 'harga', 'ribu', 'telkomsel', 'sekrang', 'payah', 'ane', 'kasik', 'bintang', 'telkomsel', 'harga', 'paket', 'combo', 'sakti', '']</t>
  </si>
  <si>
    <t>['beli', 'paket', 'data', 'saldo', 'potong', 'paket', 'data', 'masuk']</t>
  </si>
  <si>
    <t>['tolong', 'jaringannya', 'diperbaiki', 'pembayaran', 'kouta', 'mahal']</t>
  </si>
  <si>
    <t>['loading', 'aplikasi']</t>
  </si>
  <si>
    <t>['kesekian', 'kalinya', 'beli', 'paket', 'kirim', 'hadiah', 'pembayaran', 'app', 'linkaja', 'data', 'kuota', 'masuk', 'transaksi', 'berhasil', '']</t>
  </si>
  <si>
    <t>['pelanggan', '']</t>
  </si>
  <si>
    <t>['telkomsel', 'pilihan', '']</t>
  </si>
  <si>
    <t>['aplikasi', 'bagus', 'banget', 'mudah', 'membeli', 'paket', 'data', 'telkomsel', 'promo', '']</t>
  </si>
  <si>
    <t>['ulasan', 'dihapus', 'telkomsel', 'berulang', 'kali', 'pulsa', 'habis', 'total', 'nol', 'rupiah', 'wifi', 'pengaturan', 'jaringan', 'otomatis', 'dijamin', 'pulsa', 'nol', 'rupiah', 'hadeehhh', 'tanggapan', 'telkomsel', 'aduh', 'mohon', 'maaf', 'mimin', 'sedih', 'pulsa', 'kakak', 'terpotong', 'kaco', 'banget', 'hahaha', '']</t>
  </si>
  <si>
    <t>['mantap', 'pokok', 'telkomsel']</t>
  </si>
  <si>
    <t>['kuota', 'siluman', 'beli', 'pulsa', 'beli', 'kuota', 'promo', 'pas', 'beli', 'kuota', 'hilang', 'promo', 'mksudnya', 'woy', 'viralkan', '']</t>
  </si>
  <si>
    <t>['semoga', 'hadiah']</t>
  </si>
  <si>
    <t>['kejadian', 'voucher', 'daily', 'checkin', 'terklaim', 'dipke', 'int', 'bohongin', 'pelanggan', 'payah', '']</t>
  </si>
  <si>
    <t>['balikin', 'duit', 'anjeeng', 'udh', 'process', 'payment', 'saldo', 'udh', 'kekuras', 'paket', 'yng', 'beli', 'belom', 'muncul', 'jga', 'provider', 'perampok', 'rakyat', 'emosi', 'lgi', 'aplikasi', 'kaya', 'taeq', 'beban', 'trus', 'hang', 'nie', 'apps', 'aplikasi', 'busuk', 'yng', 'jga', 'sampe', 'segitu', '']</t>
  </si>
  <si>
    <t>['telkomsel', 'nyuri', 'saldo', 'transaksi', 'berhasil', 'kuota', 'nihil', 'hati', 'planggan', 'sinyal', 'lemot', 'parah', 'dichat', 'ditelp', 'komen', 'kenyang', 'nyuri', 'saldo', 'recehan', '']</t>
  </si>
  <si>
    <t>['maap', 'turunkan', 'bintang', 'pelayanan', 'kesini', 'buruk', 'pembayaran', 'kuota', 'gagal', 'pulsa', 'darurat', 'diandalkan', '']</t>
  </si>
  <si>
    <t>['leluasa', 'membeli', 'paket', 'kuota', 'beli', 'paket', 'mytelkomsel', 'bayar', 'linkaja', 'saldo', 'terpotong', 'paket', 'aktif', 'chat', 'operator', 'tidqk', 'respon', 'emang', 'admin', 'altif', 'jam', '']</t>
  </si>
  <si>
    <t>['paketannya', 'murahkan']</t>
  </si>
  <si>
    <t>['layanan', 'memuaskan']</t>
  </si>
  <si>
    <t>['tanggal', 'oktober', 'aplikasih', 'telkomsel', 'jelek', 'karna', 'pembayaran', 'pembelian', 'peket', 'pembayaran', 'berhasil', 'paket', 'kuotanya', 'masuk', 'tolong', 'diperbaiki', 'bintan', 'rubah', 'paket', 'masuk', 'trimakasih', 'beli', 'paketnya', 'mudah', 'kuotanya', 'masuk', 'masuk', 'pembelian', 'berhasil']</t>
  </si>
  <si>
    <t>['respon', 'customer', 'lambat', 'respon', 'error']</t>
  </si>
  <si>
    <t>['beli', 'pket', 'aktif', '']</t>
  </si>
  <si>
    <t>['aplikasi', 'kere', 'bangeeeettt']</t>
  </si>
  <si>
    <t>['tulisan', 'tertera', 'cuman', 'maan', 'kesalahan', 'sistem', 'install', 'ulang', 'ttp']</t>
  </si>
  <si>
    <t>['turun', 'bintang', 'beli', 'paket', 'masuk', 'tulisan', 'sukses', 'bot', 'veronika', 'min', 'dibales', 'yaudah', 'tempel', 'min', 'ulangi', 'masuk', '']</t>
  </si>
  <si>
    <t>['jaringan', 'pekalongan', 'barat', 'susah', 'banget', 'tolong', 'benahi']</t>
  </si>
  <si>
    <t>['alhamdulilah', 'membantu', 'aplikasibnya']</t>
  </si>
  <si>
    <t>['paketannya', 'mahal', 'mahal', 'udah', 'beli', 'berlangganan', 'kartu', 'murah', 'murah', 'kartu', 'pelit']</t>
  </si>
  <si>
    <t>['beli', 'kuota', 'pembayaran', 'pakai', 'gopay', 'bayar', 'gopay', 'terpotong', 'kuota', 'masuk', 'ask', 'veronika', 'kamfret', '']</t>
  </si>
  <si>
    <t>['beli', 'kuota', 'proses']</t>
  </si>
  <si>
    <t>['telkomsel', 'freak', 'bngt', 'udah', 'nyobain', 'isi', 'paketan', 'sisa', 'pulsa', 'rb', 'terkirim', 'solusinya', 'admin', 'telksomsel', 'semoga', 'cepat', 'perbaiki', 'terimakasih']</t>
  </si>
  <si>
    <t>['knp', 'beli', 'data', 'masuk', 'masuk']</t>
  </si>
  <si>
    <t>['knp', 'paket', 'youtub', 'aktif', 'isi', 'riwayat', 'teransaksi', 'aplikasi', 'gopay']</t>
  </si>
  <si>
    <t>['ruginya', 'pakek', 'telkomsel', 'pulsa', 'kesedot', 'masukin', 'voucher', 'fisik', 'gagal', 'coba', 'ditambah', 'pengisian', 'voucher', 'telpon', 'sms', 'aplikasi', 'telkomsel']</t>
  </si>
  <si>
    <t>['ambil', 'gratisan']</t>
  </si>
  <si>
    <t>['kartu', 'mahal', 'burik']</t>
  </si>
  <si>
    <t>['min', 'beli', 'paket', 'pulsa', '']</t>
  </si>
  <si>
    <t>['min', 'kuota', 'gua', 'masuk', 'pas', 'transaksi', 'tulisan', 'pembayaran', 'berhasil', 'langsung', 'masuk', 'kuota', 'mah', 'kagak', 'masuk']</t>
  </si>
  <si>
    <t>['saldo', 'trus']</t>
  </si>
  <si>
    <t>['transaksi', 'pembelian', 'kuota', 'malem', 'besok', 'pagi', 'udah', 'pembelian', 'udah', 'selesai', 'paketnya', 'aktif', 'aktif']</t>
  </si>
  <si>
    <t>['aplikasi', 'yng', 'bkin', 'hang', 'trus', 'apps', 'beban', 'bkin', 'berat']</t>
  </si>
  <si>
    <t>['beli', 'kuota', 'prosesnya', 'sampe', 'kesedot', 'pulsanya', 'gimana']</t>
  </si>
  <si>
    <t>['pembelian', 'paket', 'terkonfirmasi', '']</t>
  </si>
  <si>
    <t>['mempermudah', 'paket', 'saldo', 'pulsa', 'data']</t>
  </si>
  <si>
    <t>['parah', 'banget', 'telkomsel', 'sinyalnya', 'bogor', 'suka', 'ilang', 'pas', 'hujan', 'hadeuhhh', 'tingkatkan', 'sinyalnya', 'pilih', 'telkomsel', 'jaringannya', 'kencang', 'kuota', 'mahal', 'sinyal', 'kencang', 'kuota', 'mahal', 'sinyal', 'kacau', 'hadeuh', '']</t>
  </si>
  <si>
    <t>['sory', 'aplikasi', 'sulit', 'banget', 'diakses', 'gangguan', 'sistem', 'internet', 'lancar', 'buka', 'aplikasi', 'lancar']</t>
  </si>
  <si>
    <t>['pulsa', 'ribu', 'membeli', 'paket', 'muncul', 'status', 'pembayaran', 'proses', 'paket', 'beli', 'kunjung', 'aktif', 'kuota', 'miliki', 'kali', 'mohon', 'perbaiki', 'layanannya', 'telkomsel', 'orang', 'line', 'pekerjaan', 'terbebani']</t>
  </si>
  <si>
    <t>['app', 'tolol', 'ngebug', 'isi', 'internet', 'masuk', 'masuk']</t>
  </si>
  <si>
    <t>['pulsa', 'tinggal', 'sms', 'non', 'paket', 'pdhl', 'buka', 'aplikasi', 'apapun', 'parah', 'woiiii', 'beli', 'paketan', 'masuukk', 'gilaaaa', 'telkomsel', '']</t>
  </si>
  <si>
    <t>['jaringan', 'bagus', 'lbh', 'promo', 'combo', 'sakti']</t>
  </si>
  <si>
    <t>['bagus', 'berkembang']</t>
  </si>
  <si>
    <t>['bintang', 'karna', 'nongol', 'jelek', 'jelek', 'komen', '']</t>
  </si>
  <si>
    <t>['kasih', 'bintang', 'nnti', 'klu', 'insyaallah', 'menang', 'undian', 'kasih', 'bintang', 'aamiin']</t>
  </si>
  <si>
    <t>['beli', 'kuota', 'sampe', 'tetep', '']</t>
  </si>
  <si>
    <t>['admin', 'sakit', 'beli', 'paket', 'blum', 'masuk', 'gimana', 'sihhh']</t>
  </si>
  <si>
    <t>['jaringan', 'kota', 'bermasalah', 'telkomsel', 'jaringan', 'internetnya', 'perbaiki', 'ulasan', 'bintangnya', 'cepat', 'ditangani']</t>
  </si>
  <si>
    <t>['perampok', 'pulsa', 'pulsa', 'beli', 'promo', 'gb', 'paket', 'dtg', 'pulsa', 'utama', 'mnding', 'pindah', 'provider', 'sebelah', 'bye', 'telkomnyet']</t>
  </si>
  <si>
    <t>['saldi', 'sedot', 'masuk']</t>
  </si>
  <si>
    <t>['males', 'eror']</t>
  </si>
  <si>
    <t>['buruk', 'layanan', 'beli', 'paket', 'lgsg', 'auto', 'aktif', 'delay', 'ampe', 'jam', 'pulsa', 'beli', 'paket', 'kesedot', 'sampe', '']</t>
  </si>
  <si>
    <t>['bugnya']</t>
  </si>
  <si>
    <t>['apk', 'laknat', 'isi', 'pulsa', 'apk', 'udh', 'gua', 'bayar', 'virtual', 'account', 'pulsa', 'masuk', 'beli', 'pulsa', 'rb', 'kecewa', 'apk', 'mending', 'hapus', 'apk', 'play', 'store', 'app', 'store', 'aplikasi', 'sampah']</t>
  </si>
  <si>
    <t>['transaksi', 'paket', 'data', 'masuk', 'masuk']</t>
  </si>
  <si>
    <t>['lemot', 'paketin', 'internet', 'bagus', 'versi', '']</t>
  </si>
  <si>
    <t>['bagus', 'banget', 'aplikasinya', '']</t>
  </si>
  <si>
    <t>['tolong', 'install', 'android', '']</t>
  </si>
  <si>
    <t>['', 'telkomsil', 'jelek', 'uda', 'mahal', 'lemot']</t>
  </si>
  <si>
    <t>['telkosel', 'daftar', 'paket', 'kombo', 'sakti', 'paket', 'berpakunya', 'pulsa', 'kesedot', 'daftar', 'paket', 'tolong', 'tinjau', 'males', 'pakek', 'telkom']</t>
  </si>
  <si>
    <t>['halah', 'gue', 'tujuannya', 'pindah', 'telkomsel', 'gue', 'pakek', 'telkomsel', 'gini', 'sinyal', 'burik', 'knp']</t>
  </si>
  <si>
    <t>['beli', 'paket', 'kali', 'masuk', 'rusak', 'kah', 'apknya', '']</t>
  </si>
  <si>
    <t>['kasihkan', 'bintang', 'insyallah', 'depannya', 'sya', 'kasih', 'bintang']</t>
  </si>
  <si>
    <t>['bermanfaat', 'terimakasih']</t>
  </si>
  <si>
    <t>['beli', 'paket', 'data', 'kali', 'paket', 'datanya', 'masuk', 'bayarnya', '']</t>
  </si>
  <si>
    <t>['jaringan', 'lelet', 'paket', 'doang', 'mahal', 'pengguna', 'telkomsel', 'pindah', 'jaringan']</t>
  </si>
  <si>
    <t>['tolong', 'yaaa', 'membeli', 'paket', 'combo', 'sakti', 'unlimited', 'pulsa', 'mencukupi', 'aneh', 'emang']</t>
  </si>
  <si>
    <t>['sudh', 'byar', 'tagihan', 'halo', 'tpi', 'kuota', 'terpakai', 'alias', 'nol', 'gimana', 'ampun', 'deehhhhh', '']</t>
  </si>
  <si>
    <t>['suka', 'harga']</t>
  </si>
  <si>
    <t>['membantu', 'murah']</t>
  </si>
  <si>
    <t>['tolong', 'tingkatkan', 'kualitas', 'jaringan', 'telkomsel', 'desa', 'peninjauan', 'kec', 'maro', 'sebo', 'ulu', 'kab', 'batang', 'prov', 'jambi', 'tower', 'bagus', 'jaringannya', '']</t>
  </si>
  <si>
    <t>['jaringan', 'mudah', 'harga', 'paketnya', 'mahal']</t>
  </si>
  <si>
    <t>['min', 'min', 'bayar', 'bayat', 'harap', 'perbaikan', 'sistem', 'udh', 'kali', 'transaksi', 'proses', 'pulsa', 'kepotong', 'pulsa', 'kepotong', 'harap', 'transaksi', 'cpt']</t>
  </si>
  <si>
    <t>['jaringan', 'stabil', 'bro']</t>
  </si>
  <si>
    <t>['pembelian', 'peket', 'via', 'pulsa', 'lambat', 'masuknya', 'kadang', 'cepat', 'masuk', 'memotong', 'pulsa', '']</t>
  </si>
  <si>
    <t>['tolong', 'ditambah', 'customer', 'service', 'pelayanan', 'help', 'desknya', 'mengecewakan', 'pelanggan', 'dirugikan', 'aplikasinya', 'rumit', 'bug', 'beli', 'paket', 'data', 'masuk', '']</t>
  </si>
  <si>
    <t>['terima', 'kasih', 'karna', 'mytelkomsel', 'sanggat', 'murah', 'paket', 'data']</t>
  </si>
  <si>
    <t>['sinyal', 'jelik', 'nyesal', 'sya', 'beli', 'kouta', 'telkomsel', 'ssh', 'mahal', 'sinyal', 'jelik', 'lelet', 'melulu']</t>
  </si>
  <si>
    <t>['bagus', 'sinyalnya', 'klu', 'paket', 'datanya', 'murah', '']</t>
  </si>
  <si>
    <t>['pulsa', 'kuota', 'cepet', 'habisnya', 'cuman', 'nerima', 'notif', 'telkomsel', 'sinyal', 'stabil', 'perbedaan', 'pra', 'bayar', 'pasca', 'bayar', '']</t>
  </si>
  <si>
    <t>['', 'bagus', 'discon', 'paket', 'combonya']</t>
  </si>
  <si>
    <t>['beli', 'kuota', 'malam', 'gb', 'harga', 'pulsa', 'rp', 'masuk', 'masuk', 'ambil', 'kuota', 'check', 'notif', 'kaga', 'kuota', 'internet', 'cek', 'telkomsel', 'menipu', '']</t>
  </si>
  <si>
    <t>['pilihan', 'paket', 'data', 'lumayan', 'murah']</t>
  </si>
  <si>
    <t>['make', 'aplikasinya', 'semoga', 'mngecewakan']</t>
  </si>
  <si>
    <t>['membeli', 'paket', 'berulang', 'kali', 'metode', 'saldo', 'terkuras', 'kuota', 'masuk', 'satupun', '']</t>
  </si>
  <si>
    <t>['', 'bintangnya', '']</t>
  </si>
  <si>
    <t>['tertipu', 'kecewa', 'pas', 'beli', 'paket', 'promo', 'hilang', 'pas', 'udah', 'beli', 'pulsa']</t>
  </si>
  <si>
    <t>['undiannya']</t>
  </si>
  <si>
    <t>['mantap', 'semoga', 'bermanfaat', 'orang', '']</t>
  </si>
  <si>
    <t>['', 'buka']</t>
  </si>
  <si>
    <t>['menerima', 'sms', 'pas', 'login', 'lol']</t>
  </si>
  <si>
    <t>['perubahan', 'telkomsel', 'paketan', 'internet', 'habis', 'langsung', 'nyedot', 'pulsa', 'regulernya', 'isi', 'pulsa', 'langsung', 'habis', 'sekejap', 'belajar', 'operator', 'paket', 'internetnya', 'habis', 'berhenti', 'otomatis', 'rampok', 'pulsa', 'regulernya', 'merugikan', 'kastamernya', 'kayanya', 'nilai', 'bintangnya', 'manipulatif', 'ksh', 'komen', 'byak', 'kasih', 'bintang', 'nilai', 'aplikasinya', 'curiga']</t>
  </si>
  <si>
    <t>['pengguna', 'bintang']</t>
  </si>
  <si>
    <t>['sukaaplikasimy', 'telkomsel']</t>
  </si>
  <si>
    <t>['kekecewaan', 'thun', 'telkomsel', 'banayak', 'menimbulkan', 'kekecewaan', 'paket', 'mahal', 'jaringan', 'eror', 'kebut', 'jaringanya', 'jaringan', 'kenceng', '']</t>
  </si>
  <si>
    <t>['telkomsel', 'murahkan', 'pketan']</t>
  </si>
  <si>
    <t>['alhamdulillah', 'paket', 'favoritku', 'tersedia', 'terimakasih', 'telkomsel', '']</t>
  </si>
  <si>
    <t>['sagat', 'bagus', 'membantu', '']</t>
  </si>
  <si>
    <t>['terima', 'kasih', 'aplikasi', 'membantu', 'pengecekan', 'data']</t>
  </si>
  <si>
    <t>['memuaskan', 'terimakasih', '']</t>
  </si>
  <si>
    <t>['sangan', 'membatu']</t>
  </si>
  <si>
    <t>['pelayanan', 'maksimal']</t>
  </si>
  <si>
    <t>['parah', 'telkomsel', 'saldo', 'pulsa', 'sedot', 'sampe', 'kering']</t>
  </si>
  <si>
    <t>['mksiiih', 'telkomsel', 'puas', 'dngn', 'aplikasi']</t>
  </si>
  <si>
    <t>['tolong', 'tingkat', 'peformanya', 'pilihan', 'paket', 'internetnya']</t>
  </si>
  <si>
    <t>['membantu', 'senang', 'promo', 'thanks', 'telkomsel']</t>
  </si>
  <si>
    <t>['tolonglah', 'telkomsel', 'sanggup', 'orng', 'emosi', 'gara', 'jaringan', 'lemot', 'beli', 'jaringan', 'nambah', 'dosa', 'gara', 'jing']</t>
  </si>
  <si>
    <t>['telkomsel', 'bodoh', 'jaringan', 'ajar']</t>
  </si>
  <si>
    <t>['min', 'ane', 'beli', 'ketengan', 'youtube', 'habis', 'kuota', 'utama', 'aktif', 'ketengan', '']</t>
  </si>
  <si>
    <t>['perbaiki', 'lgi', 'telkomsel', '']</t>
  </si>
  <si>
    <t>['beli', 'paket', 'internetan', 'pulsa', 'dipotong', 'biaya', 'akses', 'internet', 'tolong', 'rugikan', 'customer', '']</t>
  </si>
  <si>
    <t>['kembaliin', 'paket', 'unlimited', 'max', 'harga', 'ribu']</t>
  </si>
  <si>
    <t>['telkomsel', 'jaringan', 'parah', '']</t>
  </si>
  <si>
    <t>['mantap', 'telkomsel', 'kesini', 'harga', 'paket', 'internet', 'bukanya', 'murah', 'mahaaaaaaaaalll', '']</t>
  </si>
  <si>
    <t>['bosan', 'promo']</t>
  </si>
  <si>
    <t>['tiada', 'gantinya', 'telkomsel', 'jaringannya', 'setabil', 'trs']</t>
  </si>
  <si>
    <t>['perbaiki']</t>
  </si>
  <si>
    <t>['sinyal', 'internet', 'hilang', 'kartu', 'utama', 'telkomsel', 'ganti', 'sayang', 'udah', 'makenya', '']</t>
  </si>
  <si>
    <t>['', 'membantu', 'pokoknya']</t>
  </si>
  <si>
    <t>['paket', 'mahal', 'jaringannya', 'jelek']</t>
  </si>
  <si>
    <t>['harga', 'paket', 'mahal', 'banget']</t>
  </si>
  <si>
    <t>['mantap', 'bagus', 'telkomsel', 'melayani', 'pelosok', 'pelosok', '']</t>
  </si>
  <si>
    <t>['bagus', 'lemot']</t>
  </si>
  <si>
    <t>['sinyal', 'mohon', 'perbaiki']</t>
  </si>
  <si>
    <t>['harganya', 'cepet', 'kere']</t>
  </si>
  <si>
    <t>['telkomsel', 'nyari', 'untung', 'kebangetan', 'udah', 'mahal', 'kuota', 'cepet', 'abis', 'pindah', 'mah', '']</t>
  </si>
  <si>
    <t>['kadang', 'data', 'internet', 'nyerab', 'pulsa', 'bukanya', 'data', 'internet', 'beli', 'udh', 'cek', 'data', 'internet', 'jangka', 'tentukan', 'nyerab', 'pulsa', 'ajir', 'rb', 'rb', 'habis', 'rb', 'edit', 'simpati', 'bgok', 'malam', 'gangguan', 'nov', '']</t>
  </si>
  <si>
    <t>['kesini', 'burik', 'sinyal', 'kebanyakan', 'gangguan']</t>
  </si>
  <si>
    <t>['dayli', 'chekin', 'blik', '']</t>
  </si>
  <si>
    <t>['buka', 'aplikasinya', 'kebanyakan', 'pilihan', 'kesel']</t>
  </si>
  <si>
    <t>['jaringan', 'ilang', 'udah', 'paketnya', 'mahal', 'lemot', 'seringa', 'ilang', 'jugaa', 'hadeeh']</t>
  </si>
  <si>
    <t>['aplikasi', 'keren', 'ribet']</t>
  </si>
  <si>
    <t>['plssss', 'kacau']</t>
  </si>
  <si>
    <t>['aplikasi', 'work']</t>
  </si>
  <si>
    <t>['mahal', 'efisien']</t>
  </si>
  <si>
    <t>['nama', 'dwi', 'telkomsel', 'kesini', 'jaringanya', 'rusak', 'kb', 'pelanggan', 'setia', 'dapet', 'bnr', 'wow', 'bayar', 'mahal', 'beli', 'perdana', 'shacet', 'istimewa', 'kritikan', 'mimin', 'seakan', 'cepet', 'tanggap', 'komputer', 'perbaikan', 'apapun', 'kritikan', 'solusi', 'sinyal', 'jelek', 'data', 'harga', 'mahal', 'banggakan', 'telkomsel', 'pelanggan', '']</t>
  </si>
  <si>
    <t>['kuota', 'ketengan', 'youtube', 'kek', 'peleeer', 'buka', 'youtube', 'ngga', 'beli', 'leeer', 'gimana', '']</t>
  </si>
  <si>
    <t>['oke', 'bonus', 'tambahin', 'gan']</t>
  </si>
  <si>
    <t>['aplikasi', 'membantu', 'mantap', '']</t>
  </si>
  <si>
    <t>['barusan', 'pembelian', 'pulsa', 'via', 'virtual', 'akun', 'pulsanya', 'masuk', 'uang', 'terdebit', 'gimana', 'coba']</t>
  </si>
  <si>
    <t>['memudahkan', 'informasi', 'nomor', 'pribadi', 'pembelian', 'paket', 'data', 'pembayaran', 'mudah']</t>
  </si>
  <si>
    <t>['jaringan', 'luas', 'aman', 'dimana']</t>
  </si>
  <si>
    <t>['senang', 'aplikasi', 'memudah', 'membeli', 'paket', 'hadiah']</t>
  </si>
  <si>
    <t>['android', '']</t>
  </si>
  <si>
    <t>['jelass', 'aplikasi', 'bli', 'paket', 'data', 'malh', 'gangguan', 'sistem', 'gangguan', 'mulu', 'jlssss', '']</t>
  </si>
  <si>
    <t>['tarif', 'kuota', 'simpati', 'mencekik', 'masyarakat', 'mahal', '']</t>
  </si>
  <si>
    <t>['poin', 'ditukar', 'pulsa', 'poin', 'data', 'vocer', 'mending', 'nggak', 'pakai', 'poin']</t>
  </si>
  <si>
    <t>['mantap', 'bonus']</t>
  </si>
  <si>
    <t>['paket', 'internet', 'turunkan']</t>
  </si>
  <si>
    <t>['aplikasi', 'bagus', 'banget', 'promo', 'kuota', 'nggak', 'aplikasi', 'rugi', 'banget']</t>
  </si>
  <si>
    <t>['mahal', 'jaringan', 'lelet', 'ngeringam', '']</t>
  </si>
  <si>
    <t>['paket', 'klen', 'beli', 'mahal', 'kuota', 'jaringan', 'klen', 'lelet', 'jaringannya', 'padal', 'tinggal', 'pelosok', 'hotspot', 'jaringan', 'bagus', 'beli', 'paket', 'klen', 'mahal', 'mahal', 'gini', 'udah', 'telkomsel', 'kecewa', '']</t>
  </si>
  <si>
    <t>['udah', 'bayar', 'paket', 'internet', 'masuk', 'gimana', 'refundnya']</t>
  </si>
  <si>
    <t>['', 'jringan', 'jls', 'jringn', 'tlkomsel', 'skrg']</t>
  </si>
  <si>
    <t>['min', 'tolong', 'pulsa', 'rb', 'esokan', 'harinya', 'tinggal', 'rb', 'rugi', 'min']</t>
  </si>
  <si>
    <t>['tolong', 'terkait', 'pencerahan', 'kuota', 'utama', 'habis', 'kuota', 'gamemax', 'gb', 'anehnya', 'kuota', 'pakai', 'login', 'main', 'game', 'tolong', 'bantuannya', 'customer', 'berpindah']</t>
  </si>
  <si>
    <t>['jaringan', 'telkomsel', 'lelet', 'banget', 'nyesal', 'pakek', 'telkomsel']</t>
  </si>
  <si>
    <t>['agus', 'suka']</t>
  </si>
  <si>
    <t>['keren', 'telkomsel']</t>
  </si>
  <si>
    <t>['sya', 'puas', 'nenggunakan', 'jaringan', 'telkomsel', 'tpi', 'paket', 'harganya', 'cepat', 'jdi', 'sya', 'ksh', 'bintanng', 'jah', 'dlu', '']</t>
  </si>
  <si>
    <t>['pulsa', 'tersedot', 'mengisi', 'menit', 'taoi', 'tersodot', 'ituu', 'ganti', 'rugi', 'nyaa', 'tolong', 'perbaiki', 'pulsa', 'sedot', 'habis']</t>
  </si>
  <si>
    <t>['kartu', 'suda', 'pkt', 'mahal']</t>
  </si>
  <si>
    <t>['terimakasih', 'telkomsel', 'terbaik', 'semoga', 'dilancarkan', '']</t>
  </si>
  <si>
    <t>['', 'mantap']</t>
  </si>
  <si>
    <t>['pokoknya', 'mantap', 'dahh']</t>
  </si>
  <si>
    <t>['mantap', 'cepat']</t>
  </si>
  <si>
    <t>['adminnya', 'sakitt', 'dpt', 'extra', 'pulsa', 'dipake', 'kocakkk', '']</t>
  </si>
  <si>
    <t>['dimanapun', 'sinyal', 'kuaaaat']</t>
  </si>
  <si>
    <t>['cek', 'kuota', 'paket', 'data', '']</t>
  </si>
  <si>
    <t>['sagat', 'puas', 'pelayanan', 'aplikasi', 'telkomsel']</t>
  </si>
  <si>
    <t>['ribet', 'abis', 'pulsa', 'masak', 'kesini', 'gunanya', 'udah', 'beli', 'paket', 'internet', 'semalem', 'jam', 'sms', 'masak', 'berhenti', 'langganan', 'download', 'apps', 'kelewat', 'jam', 'kepotong', 'pulsa', 'perpanjangan', 'trossss', 'ruwet', '']</t>
  </si>
  <si>
    <t>['coba', 'telkomsel', 'pindah', 'ehhh', 'lngsung', 'bakar', 'perdananya', 'sinyalnya', 'payah', 'banget', '']</t>
  </si>
  <si>
    <t>['harga', 'naikin', 'kualitan', 'jaringan', 'turun', 'cuman', 'menang', 'jangkauan', 'jaringan', 'doang']</t>
  </si>
  <si>
    <t>['wow', 'bagus']</t>
  </si>
  <si>
    <t>['trimakasi', 'telkomsel', 'semoga', 'sehat']</t>
  </si>
  <si>
    <t>['tolong', 'tingkatakan', 'siyal', 'daerah', 'dusun', 'gerintuk', 'desa', 'teruwai', 'kecamatan', 'pujut', 'lombok']</t>
  </si>
  <si>
    <t>['bagus', 'pelayanan', 'telkomsel', 'puluhan', 'top', 'habis']</t>
  </si>
  <si>
    <t>['gimana', 'telkomsel', 'sumatra', 'utara', 'jaringan', 'gangguan', 'paket', 'doang', 'naikin', 'stimpal', 'paket', 'jaringan', 'bagus', 'paket', 'bagus', 'jaringan', 'jangn', 'pelanggan', 'kecewa']</t>
  </si>
  <si>
    <t>['jelek', 'banget', 'aplikasi', 'kaya', 'thn', 'kalah', 'aplikasinya']</t>
  </si>
  <si>
    <t>['kecewa', 'saldo', 'nol', 'telkomsel', 'emang', 'percaya', 'lgi', 'kayak']</t>
  </si>
  <si>
    <t>['atipu', 'kouta', 'hoax', 'nggak', 'jam']</t>
  </si>
  <si>
    <t>['harga', 'kuota', 'mahal', 'tanbah', 'lemot']</t>
  </si>
  <si>
    <t>['mah', 'promo', 'murah', 'kouta']</t>
  </si>
  <si>
    <t>['gila', 'telkomsel', 'harga', 'beli', 'paket', 'jdi', 'males', 'berlangganan', 'telkomsel', '']</t>
  </si>
  <si>
    <t>['telkomsel', 'anjg', 'pulsa', 'kesedot', 'bngst', 'kuota', 'msh', 'ntot', 'cari', 'duit', 'halal', 'gblk', '']</t>
  </si>
  <si>
    <t>['paketan', 'murahin', '']</t>
  </si>
  <si>
    <t>['jaringan', 'ngilang', 'gitu', 'cuaca', 'normal', 'aneh', 'gitu', 'gangguan', 'ngilang', 'jaringan', 'kartu', 'mahal', 'jaringan', 'lemot']</t>
  </si>
  <si>
    <t>['telkomsel', 'buruk', 'beli', 'paket', 'unlimited', 'sakti', 'kuota', 'cepat', 'hbs', 'kuota', 'paket', 'unlimited', 'paket', 'kuota', 'paket', 'awet', 'paket', 'sakti', 'kuota', 'cepat', 'bnget', 'hbs', 'paket', 'hbs', 'kta', 'auto', 'unlimited', 'pakai', 'bner', 'buruk', '']</t>
  </si>
  <si>
    <t>['tolong', 'perbaiki', 'pulsa', 'terpotong', 'rugi', 'kartu', 'kagak', 'dipake', 'perbaiki', 'bug', 'pembelian', 'paket', 'beli', 'kunjung', 'paket', 'sadar', 'pulsa', 'berkurang', 'rupiah', '']</t>
  </si>
  <si>
    <t>['telkomsel', 'kesini', 'kayaknya', 'yaa', 'bertahun', 'telkomsel', 'kali', 'kena', 'aktivasi', 'paket', 'lokasi', 'berpindah', 'pergi', 'rumah', 'skrg', 'bru', 'beli', 'kuota', 'isi', 'pulsa', 'siang', 'sorenya', 'ngelag', 'kesedot', 'pulsa', 'bener', 'bene', 'kali', 'kena', 'kayak', 'gini', 'telkomsel', 'bertahun', 'sinyalnya', 'hilang', '']</t>
  </si>
  <si>
    <t>['program', 'menarik', 'dimenangkan']</t>
  </si>
  <si>
    <t>['apk', 'sngt', 'bgs']</t>
  </si>
  <si>
    <t>['sangan', 'mudah', 'membantu', 'konter', 'konter']</t>
  </si>
  <si>
    <t>['sumbawa', 'moyo', 'hulu', 'telkomsel', 'slalu', 'lelet', 'login', 'tolong', 'telkomsel', 'perhatikan']</t>
  </si>
  <si>
    <t>['puas']</t>
  </si>
  <si>
    <t>['harga', 'mahal', 'kualitas', 'ampas', 'parah']</t>
  </si>
  <si>
    <t>['membatu', 'informasi', 'telkomsel']</t>
  </si>
  <si>
    <t>['sinyal', 'bagus', 'skrng', 'ngecewain', 'beli', 'paket', 'mahal', '']</t>
  </si>
  <si>
    <t>['', 'memudahkan', '']</t>
  </si>
  <si>
    <t>['kampretttttttt', 'paket', 'pulsa', 'sedot', 'telkomsel', 'aplikasi', 'maling', 'kalai']</t>
  </si>
  <si>
    <t>['kemahalan', 'orang', 'ngaggur']</t>
  </si>
  <si>
    <t>['jaringannya', 'bagus', 'telkomsel', 'mohon', 'diperbaiki']</t>
  </si>
  <si>
    <t>['bintang', 'biaya', 'transfer', 'dana', 'ovo', 'gratis', 'telkomsel', 'notabene', 'juta', 'pengguna', 'kasih', 'fasilitas', 'gratis', 'biaya', 'transfer', '']</t>
  </si>
  <si>
    <t>['login', 'logout', 'praktis', 'kode', 'otp', 'verifikasi', 'sms']</t>
  </si>
  <si>
    <t>['pokoknya', 'mantap', 'telkomsel']</t>
  </si>
  <si>
    <t>['burikkkkk', 'birik', 'telkomsel', 'suka', 'ngelek', 'padahl', 'sinyal', 'beda', 'emtri', 'emtri', 'udah', 'kuotanya', 'murah', 'sinyal', 'ngelek', 'tolong', 'perbaiki', 'telkomsel', '']</t>
  </si>
  <si>
    <t>['', 'telkomsel', 'mantep', 'banget']</t>
  </si>
  <si>
    <t>['tolong', 'perbaiki', 'lag', 'pas', 'main', 'game']</t>
  </si>
  <si>
    <t>['sinyal', 'bagus', 'diujung', 'berung', 'bdg', 'jelek', 'sinyalnya', 'tolong', 'dibantu']</t>
  </si>
  <si>
    <t>['', 'masuk', 'masuk', 'aplikasi', 'mentok', 'hurup', '']</t>
  </si>
  <si>
    <t>['gajelas', 'woy', 'jaringan', 'sesuai', 'harga', 'betulin', 'jaringannya', 'orang', 'kota', 'ngerasain', 'jaringan', 'bagus', '']</t>
  </si>
  <si>
    <t>['cepat', 'aksesnya', '']</t>
  </si>
  <si>
    <t>['apknya', 'cepat']</t>
  </si>
  <si>
    <t>['jaringan', 'tarif', 'kuota', 'mahal', 'mahal', 'banyakin', 'bonus', 'kuota', 'telkomsel', 'cintai', 'rakyat', 'indonesia', 'tarif', 'murah']</t>
  </si>
  <si>
    <t>['bismillah', 'semoga', 'motor', 'beat', 'undian', 'motor', 'beat', 'hadiahkan', 'adik', 'tercinta']</t>
  </si>
  <si>
    <t>['paket', 'flash', 'isi', 'pulsa', 'hilang', 'gimna', 'bisanya', 'gitu', 'kali', 'hilang', 'pulsa']</t>
  </si>
  <si>
    <t>['paket', 'internet', 'telkomsel', 'skrg', 'udh', 'beli', 'paket', 'koutanya', 'terbagi', 'kyk', 'dlu', 'kyk', 'anak', 'sekolah', 'paket', 'zoom', 'susah', 'paket', 'utama', 'habis', 'gni', 'trus', 'stop', 'membeli', 'paket', 'internet', 'sel', 'mending', '']</t>
  </si>
  <si>
    <t>['', 'poin', 'ditukar', 'nukar', 'isi', 'ulang', 'pulsa', 'gratis']</t>
  </si>
  <si>
    <t>['harga', 'pakt', 'terusssssssss', 'sinyal', 'parahhhhhhhh', 'kacauuuuuuuuu']</t>
  </si>
  <si>
    <t>['aplikasi', 'berat', 'loading']</t>
  </si>
  <si>
    <t>['sinyal', 'tolong', 'benerin', '']</t>
  </si>
  <si>
    <t>['apknya', 'gitu', 'tpi', 'bagus', 'paket', 'promonya', 'beli', 'abis', 'simpan', 'pulsa', 'sedot', 'apk', 'babi']</t>
  </si>
  <si>
    <t>['kecewa', 'telkomsel', 'buka', 'apk', 'ajah', 'aktifin', 'data', 'seluler', 'beli', 'kuota', 'pulsa', 'udah', 'kesedot', 'buka', 'apk', 'telkomsel', 'sekrang', 'yng', 'beda', 'yng', 'kuota', 'nyapun', 'paket', 'dipake', 'disemua', 'daerah', 'bandung', 'beli', 'didaerah', 'bandung', 'barat', 'paketan', 'dipake', 'didaerah', 'bandung', 'ajah', 'bandung', 'barat', 'gabisa', 'dipake', '']</t>
  </si>
  <si>
    <t>['banget', 'dpet', 'sms', 'roli', 'nomor', 'pemenang', 'pas', 'download', 'notif']</t>
  </si>
  <si>
    <t>['telkomsel', 'harga', 'paket', 'internet', 'mahal', 'pilhan', '']</t>
  </si>
  <si>
    <t>['gimana', 'telkomsel', 'jaringan', 'lelet', 'bangat', '']</t>
  </si>
  <si>
    <t>['memuakkan', 'apk', 'versi', 'suruh', 'update', 'apk', 'terbaru', 'dipake', 'tranfer', 'pulsa', 'biaya', 'tranfernya', 'mahal', 'apk', 'penipuan', '']</t>
  </si>
  <si>
    <t>['membaik', 'kemarin', 'sinyal', 'hilang', 'melemah', 'full', 'bar', 'tidaknya', 'bar', 'kecepatan', 'kb', 'mb', '']</t>
  </si>
  <si>
    <t>['kecewa', 'banget', 'sistem', 'telkomsel', 'eror', 'kasian', 'masyarakat', 'mempercayakan', 'jaringan', 'operator', 'telkomsel', 'tpi', 'timbal', 'pelayanan', 'telkomsel', 'kemasyarakt', 'memuaskan', '']</t>
  </si>
  <si>
    <t>['sinyal', 'jelek', 'simpati']</t>
  </si>
  <si>
    <t>['lemot', 'banget', 'bagus', 'versi', 'kemarin']</t>
  </si>
  <si>
    <t>['paket', 'kuota', 'habis', 'main', 'potong', 'pulsa', 'nyesel', 'ngisi', 'pulsa']</t>
  </si>
  <si>
    <t>['keren', 'minn', 'aplikasi', 'berguna', '']</t>
  </si>
  <si>
    <t>['kualitas', 'pelayanan', 'menurun', 'terpaksa', 'kasih', 'bintang', 'menyenangkan', 'update', 'kesalahan', 'jaringan']</t>
  </si>
  <si>
    <t>['mudah', 'murah', 'beli', 'paket', 'internet', 'the', 'best', 'sampe', 'tambahan', 'opsi', 'perpanjangan', 'aktif', 'sisa', 'paket']</t>
  </si>
  <si>
    <t>['mantab', 'emang', 'ketengan', 'youtube', 'batas', '']</t>
  </si>
  <si>
    <t>['kenpaa', 'pulsa', 'terpotong', 'min', '']</t>
  </si>
  <si>
    <t>['login', 'munc', 'tampilan', 'beranda', 'memuat', 'silakan', 'coba', 'muat', 'ulang', 'gagal', 'berulang', 'ulang', 'maaf', 'bintang', '']</t>
  </si>
  <si>
    <t>['skrang', 'telkomsel', 'rada', 'ngeselin', 'pulsa', 'gua', 'abis', '']</t>
  </si>
  <si>
    <t>['aplikasi', 'mytelkomsel', 'kaya', 'gini']</t>
  </si>
  <si>
    <t>['parah', 'beli', 'kuota', 'aplikasi', 'telkomsel', 'unable', 'load', 'aplikasi', 'kaya', 'gitu', '']</t>
  </si>
  <si>
    <t>['aplikasinya', 'buka']</t>
  </si>
  <si>
    <t>['pengguna', 'setia', 'telkomsel', 'zaman', 'sma', 'tahunan', 'kesini', 'produk', 'telkomsel', 'mahal', 'pembelian', 'internetnya', 'adik', 'beli', 'kartu', 'telkomsel', 'dikasi', 'harga', 'promo', 'murah', 'adil', '']</t>
  </si>
  <si>
    <t>['lemot', '']</t>
  </si>
  <si>
    <t>['', 'aplikasi', 'klw', 'beli', 'paket', 'kesalahan', 'sistem', 'error', '']</t>
  </si>
  <si>
    <t>['bagus', 'lihat', 'paket', 'telkomsel', 'terima', 'kasih', 'telkomsel', 'bagus', 'aplikasinya', 'enak']</t>
  </si>
  <si>
    <t>['ngapa', 'gangguan', 'muluk', 'tolol']</t>
  </si>
  <si>
    <t>['aplikasi', 'anjig', 'giliran', 'maketin', 'buka', 'setaan']</t>
  </si>
  <si>
    <t>['coba', 'pakek', 'wifi', 'buka', 'apk']</t>
  </si>
  <si>
    <t>['telkomsel', 'maju']</t>
  </si>
  <si>
    <t>['masuk', 'error']</t>
  </si>
  <si>
    <t>['perbaikin', 'gangguan']</t>
  </si>
  <si>
    <t>['', 'bener', 'kesalahan', 'sistem', 'admin', 'ngapain']</t>
  </si>
  <si>
    <t>['aplikasi', 'rusak', 'ngak', 'masuk']</t>
  </si>
  <si>
    <t>['niat', 'apk', 'dikit', 'ganguan', '']</t>
  </si>
  <si>
    <t>['mudah', 'beli', 'paket']</t>
  </si>
  <si>
    <t>['tolong', 'perbaiki', 'cek', 'kuota', 'pulsa', 'kesalahan', 'sistem', 'sinyal', 'lancar', 'nonton', 'bokep', 'you', 'tube', '']</t>
  </si>
  <si>
    <t>['bagus', 'berisik', 'doang', 'suara', 'kesalahan', 'sistem', 'mulu', '']</t>
  </si>
  <si>
    <t>['updet', 'sya', 'masuk', 'saldo', 'hangus', 'kali', 'data', 'tolong', 'perbaiki']</t>
  </si>
  <si>
    <t>['lemot', 'banget', 'sampe', 'buka', 'aplikasinya', 'parah', 'suruh', 'refresh']</t>
  </si>
  <si>
    <t>['jaringan', 'jelek']</t>
  </si>
  <si>
    <t>['kesalahan', 'sistem', 'trus', 'telkomsel', 'anjijg']</t>
  </si>
  <si>
    <t>['game', 'bagus', 'banget', '']</t>
  </si>
  <si>
    <t>['jaringan', 'burikkkkkk', 'udah', 'paket', 'mahal', 'jaringan', 'jelek', 'mahal', 'bagus', 'jaringan', 'jelek', 'tolong', 'diperbaiki', '']</t>
  </si>
  <si>
    <t>['update', 'teruss', 'bosan']</t>
  </si>
  <si>
    <t>['payah', 'login', 'mending', 'pakek', 'apk']</t>
  </si>
  <si>
    <t>['aplikasi', 'error', 'babi']</t>
  </si>
  <si>
    <t>['berat', 'panas', 'reload', 'data', 'kadang', 'error', 'coba', 'perbaiki', '']</t>
  </si>
  <si>
    <t>['masuk', 'jaringan', 'lalot']</t>
  </si>
  <si>
    <t>['kenapaaaa', 'eror', 'memuat', 'halaman', '']</t>
  </si>
  <si>
    <t>['jelek', 'app', 'error', 'risih', 'make', '']</t>
  </si>
  <si>
    <t>['parah', 'telkomsel', 'jaringan', 'beli', 'paket', 'mahal', 'gb', 'jaringan', 'lemot', '']</t>
  </si>
  <si>
    <t>['apk', 'sampah', 'jam', 'error', 'trus', 'koneksi', 'internet', 'susah', 'beli', 'paketan', '']</t>
  </si>
  <si>
    <t>['kartu', 'promo', 'paket', 'data', 'jarang', '']</t>
  </si>
  <si>
    <t>['loading', 'kampert', '']</t>
  </si>
  <si>
    <t>['update', 'cek', 'kouta', 'sisa', 'kouta', 'dpt', 'memuat', 'halaman', 'jaringan', 'lancar']</t>
  </si>
  <si>
    <t>['aplikasi', 'error', 'pas', 'cek', 'kuota', 'tinggal', 'lancar', 'lancar', 'giliran', 'udh', 'isi', 'pulsa', 'beli', 'paket', 'aplikasi', 'error', 'tolong', 'diperbaiki', 'giliran', 'udh', 'isi', 'pulsa', 'beli', 'kuota', 'aplikasi', 'error']</t>
  </si>
  <si>
    <t>['kartu', 'kendala', 'internet', 'ketinggalanya', 'ama', 'negara', 'tetangga', 'leemooot', 'kartu', 'telkomsel', 'paket', 'udah', 'mahal', 'lemot', 'perasaaan', 'lemot', 'skrng', 'solusinya', 'solusi', 'gmn', 'kelarin', 'dasar', 'emang', 'lemoot', 'internet', 'solusi', 'internet', 'pke', 'indihome', '']</t>
  </si>
  <si>
    <t>['error', 'mulu', 'gabisa', 'dibuka']</t>
  </si>
  <si>
    <t>['aneh', 'maaa', 'masuk', 'jaringan', 'banget', '']</t>
  </si>
  <si>
    <t>['kesini', 'jelek', 'aplikasi', 'eror', 'mulu']</t>
  </si>
  <si>
    <t>['payah', 'ngadat', 'karyawan', 'telkomsel', 'ikhkas', '']</t>
  </si>
  <si>
    <t>['update', 'bagus', 'mlah', 'mkin', 'parh', 'rusaknya', 'kecewa', 'paketnya', 'mkin', 'mahal']</t>
  </si>
  <si>
    <t>['mahal', 'peketanya', 'cepet', 'habi']</t>
  </si>
  <si>
    <t>['bereh', 'paten', 'kali', '']</t>
  </si>
  <si>
    <t>['puassss', 'kah', 'gara', 'jaringan', 'telkom', 'login', 'game', 'sampe', 'akun', 'ilang', 'puasssssss', 'kecewa']</t>
  </si>
  <si>
    <t>['aplikasinya', 'dibuka', 'kesalahan', 'sistem', '']</t>
  </si>
  <si>
    <t>['mohon', 'maaf', 'heran', 'fitur', 'isi', 'ulang', 'voucher', 'kuota', 'apk', 'mudah', 'bagus', 'apk', 'next', 'update', 'fitur', 'isi', 'ulang', 'voucher', 'mudah']</t>
  </si>
  <si>
    <t>['memalukan', 'aplikasi', 'jasa', 'provider', 'teebesar', 'aplikasi', 'stabil', 'mudah', 'eror', '']</t>
  </si>
  <si>
    <t>['nggak', 'pulsa', 'kesedot', 'internet', 'pakai', 'provider', 'bisanya', 'pulsa', 'habia', 'parah', 'banget', 'telkomsel']</t>
  </si>
  <si>
    <t>['telkomsel', 'update', 'sebentar', 'sebentar', 'sinyal', 'daerah', 'jelek', 'kekuatan', 'kartunya', 'bagus', 'paksa', 'update', 'frustasi', 'kadang', 'jaringan', 'putus', 'nyambung', 'putus', 'nyambung', 'diperbaiki', 'aplikasi', 'udah', 'pakai', 'cek', 'lagim', 'udah', 'simpel', 'maniak', 'pengguna', 'telkomsel', '']</t>
  </si>
  <si>
    <t>['eror', 'aplikasinya']</t>
  </si>
  <si>
    <t>['aplikasi', 'lemot', 'banget']</t>
  </si>
  <si>
    <t>['kesalahan', 'sistem', 'komunikasi', 'nggak', 'optimal']</t>
  </si>
  <si>
    <t>['harga', 'promo', 'teroosss', '']</t>
  </si>
  <si>
    <t>['tolong', 'diperbaiki', 'sistem', 'telkomsel', 'update', 'permasalahannya', 'tetep', 'error', 'kadang', 'reload', '']</t>
  </si>
  <si>
    <t>['tolong', 'tambahkan', 'fitur', 'kontrol', 'pulsa', 'pulsa', 'terpotong', '']</t>
  </si>
  <si>
    <t>['mudah', 'mudah', 'membeli', 'paket', 'internet']</t>
  </si>
  <si>
    <t>['kadang', 'bug', 'loading', 'muncul', 'benerin', 'panteq']</t>
  </si>
  <si>
    <t>['bagus', 'cepat']</t>
  </si>
  <si>
    <t>['beli', 'paket', 'data', 'internet', 'sampe', 'terpake']</t>
  </si>
  <si>
    <t>['memuaskan', 'moga', 'sukses', 'aplikasi', 'may', 'telkomsel']</t>
  </si>
  <si>
    <t>['telkomsel', 'parah', '']</t>
  </si>
  <si>
    <t>['promo', 'cashback', 'beli', 'cashback', 'gimana', '']</t>
  </si>
  <si>
    <t>['jaringan', 'telkomsel', 'lemot', 'ganguan', 'gimna', 'kemarin', 'ampe', 'lemot', 'ampun']</t>
  </si>
  <si>
    <t>['cek', 'kuota', 'bener', 'cek', 'kuota', 'no', 'nyampe', '']</t>
  </si>
  <si>
    <t>['apliakasi', 'murah', 'membantu']</t>
  </si>
  <si>
    <t>['telkomsel', 'kuotanya', 'putar', 'youtube', 'nyedotnya', 'main', 'buka', 'vidio', 'facebook', 'langsung', 'habis']</t>
  </si>
  <si>
    <t>['terimakasih', 'aplikasinya', 'mudah', 'promo']</t>
  </si>
  <si>
    <t>['udah', 'beli', 'kuota', 'kuota', 'masuk', 'masuk', 'penipuan', 'bentuk', 'aplikasi', 'sampah', '']</t>
  </si>
  <si>
    <t>['android', 'download', 'crash', 'min', 'tolong', 'perbaiki']</t>
  </si>
  <si>
    <t>['membantu', 'murah', 'mudah']</t>
  </si>
  <si>
    <t>['tingkat', 'singal']</t>
  </si>
  <si>
    <t>['pagi', 'malam', 'beli', 'paket', 'tsel', 'keterangan', 'gangguan', 'sistem', 'sinyal', 'bagus', 'bagus', 'mohon', 'ditanggapi']</t>
  </si>
  <si>
    <t>['kocak', 'harga', 'paket', 'kartu', 'beda']</t>
  </si>
  <si>
    <t>['pulsanya', 'ilang', 'xampret']</t>
  </si>
  <si>
    <t>['isi', 'pulsa', 'ribu', 'hangus']</t>
  </si>
  <si>
    <t>['telkomsel', 'menurun', 'kaya', 'telkomsel', 'jaringan', 'harga', 'mahal', 'admin', 'ngambil', 'untung', 'lihat', 'komenan', 'kritik', 'nggak', 'bagus', 'harapan', 'telkomsel', 'kayak', 'jaringan', 'enak', 'harga', 'murah']</t>
  </si>
  <si>
    <t>['maaf', 'kasih', 'bintang', 'jaringan', 'telkomsel', 'tempatku', 'bagus', 'udah', 'bulanan', 'jaringan', 'lambat', 'banget', 'spesifiknya', 'didaerah', 'doang', 'daerah', 'oke', 'kadang', 'butuh', 'bnget', 'namanya', 'jaringan', 'bagus', 'pas', 'kuliah', 'online', 'ngerjain', 'tugas', 'mohon', 'balasan', 'telkomselnya', 'terima', 'kasih', '']</t>
  </si>
  <si>
    <t>['puas', 'memuaskan']</t>
  </si>
  <si>
    <t>['telkomsel', 'taikk', 'hapus', 'fitur', 'regional', 'habis', 'dibeliin', 'teman', 'kepake', 'tolol']</t>
  </si>
  <si>
    <t>['suka', 'signalnya', '']</t>
  </si>
  <si>
    <t>['makenya', 'gampang']</t>
  </si>
  <si>
    <t>['beli', 'kuota', 'pulsanya', 'pulsa', 'harga', 'kuota', '']</t>
  </si>
  <si>
    <t>['bagus', 'tpi', 'pulsaq', 'slalu', 'habis', 'pesan', 'gerangan', '']</t>
  </si>
  <si>
    <t>['pulsa', 'gratislah']</t>
  </si>
  <si>
    <t>['pas', 'habis', 'update', 'buka', 'hapus', 'downlod', 'verifikasix', 'mala', 'masuk', 'gmn']</t>
  </si>
  <si>
    <t>['respon']</t>
  </si>
  <si>
    <t>['berkat', 'aplikasi', 'tagihan', 'penggunaan', 'kartu', 'hallo', 'telkomsel', 'mantap', '']</t>
  </si>
  <si>
    <t>['sangst', 'mahal', 'bsnyakin', 'diskon']</t>
  </si>
  <si>
    <t>['app', 'keren', 'deh', '']</t>
  </si>
  <si>
    <t>['menang', 'menang', 'amin', 'udah', 'pundian', 'blm', 'rezeki', '']</t>
  </si>
  <si>
    <t>['telkomsel', 'kemarin', 'beli', 'paket', 'unlimited', 'youtube', 'trus', 'nonton', 'vidio', 'youtube', 'paket', 'utama', 'habis', '']</t>
  </si>
  <si>
    <t>['okeh', 'harganya', 'okeh', 'jaringan', 'every', 'where', 'always', '']</t>
  </si>
  <si>
    <t>['', 'puas', 'layanan', 'telkomsel', '']</t>
  </si>
  <si>
    <t>['sepat', 'tekomsel', '']</t>
  </si>
  <si>
    <t>['telkomsel', 'blusukan', 'donk', 'sinyal', 'full', 'lemot', 'kalah', 'harga', 'mahal', 'kepedean', 'rumah', 'sinyal', 'bagus', 'mahal', '']</t>
  </si>
  <si>
    <t>['jelek', 'sinyal', 'telkomsel', 'telkomsel']</t>
  </si>
  <si>
    <t>['mantabb', 'smga', 'telkomsel', 'maju', 'aneka', 'ragam', 'bonus', 'harga', 'merakyat', 'hehee', '']</t>
  </si>
  <si>
    <t>['berjalan', 'android', 'putuskan', 'aplikasi']</t>
  </si>
  <si>
    <t>['', 'ksih', 'segini']</t>
  </si>
  <si>
    <t>['telkomsel', 'bagus', 'sinyal', 'internet', 'telkomsel', 'jelek', 'sinyal', 'bandingkan', 'operator', 'internet', 'ditinggal', 'pelanggan', 'perbaiki', 'operator', '']</t>
  </si>
  <si>
    <t>['update', 'aplikasinya', 'promo', 'menarik', 'pertahankan']</t>
  </si>
  <si>
    <t>['simpati', 'promonya', 'mantap']</t>
  </si>
  <si>
    <t>['terimakasih', 'telkomsel']</t>
  </si>
  <si>
    <t>['telkomsel', 'kepedean', 'signal', 'bagus', 'banget', 'kali', 'yee', 'kuota', 'kuota', 'utama', 'kuota', 'lokal', 'kuota', 'utama', 'kuota', 'lokal', 'kecepatan', 'beda', 'kuota', 'utama', 'udah', 'lelet', 'desa', 'kuota', 'lokal', 'kurangi', 'kecepatannya', 'lelet', 'payah', 'datanglah', 'desa', 'blorong', 'kaligading', 'boja', 'kendal', 'pas', 'musim', 'hujan', 'buka', 'youtube', 'susahnya', 'ampun', '']</t>
  </si>
  <si>
    <t>['sinyal', 'kek']</t>
  </si>
  <si>
    <t>['operator', 'telkomsel', 'isi', 'ribu', 'masuknya', 'ribu', 'udh', 'kali', 'kecewa', 'pelanggan', 'telkomsel', '']</t>
  </si>
  <si>
    <t>['wowww', 'titipkan', 'promo', 'lanjutkan', 'perkembangan', 'untukku', 'sayangi', 'kau', 'kasihani', 'tetapkan', 'promo', '']</t>
  </si>
  <si>
    <t>['telkomsel', 'plg', 'jaringannya', 'matinya', '']</t>
  </si>
  <si>
    <t>['puas', 'aplikasi', 'mytelkomsel']</t>
  </si>
  <si>
    <t>['jaringannya', 'bagus', 'bermanfaat', '']</t>
  </si>
  <si>
    <t>['pembelian', 'paketnya', 'mudahkan', 'harganya', '']</t>
  </si>
  <si>
    <t>['dpt', 'bonus', 'cek', 'gratis', 'mb', 'hr', 'aktifkan', 'pulsanya', 'kesedot', 'hbs', 'emosi', '']</t>
  </si>
  <si>
    <t>['', 'main', 'game', 'ngelag', 'ngntod']</t>
  </si>
  <si>
    <t>['maaf', 'janggal', 'beberpa', 'membeli', 'kuota', 'utama', 'kuota', 'utama', 'habis', 'membeli', 'kuota', 'khusus', 'youtube', 'uniknya', 'telkomsel', 'akumulasikan', 'ditimpah', 'kuota', 'lancar', 'lancar', 'buka', 'youtube', 'kuota', 'utama', 'habis', 'pulsa', 'habis', 'kuota', 'khusus', 'youtube', 'aneh', 'tolong', 'harap', 'membalas', 'bot', 'kuota', 'youtube', 'utuh', 'terimakasi', '']</t>
  </si>
  <si>
    <t>['gila', 'paketnya', 'asli', 'mahel', 'ribu', 'sbulan', 'kmbaliin', 'laa', 'kasian', 'miskin']</t>
  </si>
  <si>
    <t>['aduh', 'gimana', 'jaringan', 'nge', 'lag', 'nge', 'lag', 'tolong', 'atasi', 'telkomsel', 'jaringan', 'bagus', 'nge', 'lag']</t>
  </si>
  <si>
    <t>['membutuhkan', 'sinyal', 'kencang']</t>
  </si>
  <si>
    <t>['ampun', 'berat', 'banget', 'buka', 'ringan', 'banget', 'aplikasi']</t>
  </si>
  <si>
    <t>['semoga', 'gakahal', 'biaya', 'internet', 'sesuai', 'kualitas']</t>
  </si>
  <si>
    <t>['sinyalnya', 'burik', 'full', 'kaya', '']</t>
  </si>
  <si>
    <t>['beli', 'paket', 'telkomsel', 'gagal', 'description', 'check', 'connenction', 'signal', 'full', 'pulsa', 'beli', 'manual', 'harganya', 'mahal']</t>
  </si>
  <si>
    <t>['mahal', 'jaringan', 'jelek']</t>
  </si>
  <si>
    <t>['turunkan', 'harga', 'paket', '']</t>
  </si>
  <si>
    <t>['mahalnya', 'doang', 'jaringan', '']</t>
  </si>
  <si>
    <t>['membantu', 'puas']</t>
  </si>
  <si>
    <t>['semoga', 'menang', 'undian', 'kupon', 'pulsa', 'jt', 'telkomsel', 'amin', 'senang', 'apk', '']</t>
  </si>
  <si>
    <t>['tolong', 'sinyal', 'perbaiki', 'gila', 'kediri', 'kecamatan', 'ngadiluwih', 'desa', 'tales', 'sinyal', 'telkom', 'susahhh', 'provider', 'telkom', 'udh', 'mahal', 'sinyal', 'buruk', 'pengguna', 'telkom', 'tolong', 'perbaiki', 'gmn', 'sinyal', 'dataran', 'rendah', 'lemot', '']</t>
  </si>
  <si>
    <t>['berkembang', '']</t>
  </si>
  <si>
    <t>['quota', 'sosmed', 'laku', 'mksud', 'kwk', 'buang', 'duit', '']</t>
  </si>
  <si>
    <t>['saldo', 'terpotong', 'ribu', 'pulsa', 'nda', 'masuk', '']</t>
  </si>
  <si>
    <t>['memuaskan']</t>
  </si>
  <si>
    <t>['moga', 'hadiah']</t>
  </si>
  <si>
    <t>['daftar', 'paketan', 'mahal', 'mahal', 'jhon']</t>
  </si>
  <si>
    <t>['semoga', 'jaringan', 'stabil']</t>
  </si>
  <si>
    <t>['provider', 'niat', 'harga', 'mhal', 'jaringan', 'kaya', '']</t>
  </si>
  <si>
    <t>['halo', 'telkomsel', 'wilayah', 'kota', 'dumai', 'riau', 'susah', 'signal', 'telkomsel', 'jam', 'siang', 'signal', 'hilang', 'jam', 'signal', 'hilang', '']</t>
  </si>
  <si>
    <t>['telkomsel', 'klw', 'pulsa', 'ambil', 'pulsa', 'otomatis', 'kaya', 'trie', 'axis', 'berhenti', 'pulsa', 'embat', '']</t>
  </si>
  <si>
    <t>['tingkatkan', 'kwalitas', 'pelayanan']</t>
  </si>
  <si>
    <t>['', 'mash', 'pemula', 'pakai', 'telkomsel']</t>
  </si>
  <si>
    <t>['', 'telkomsel', 'beres', 'barusan', 'beli', 'paket', 'internet', 'telpon', 'gb', 'senilai', 'proses', 'berhasil', 'masuk', 'gb', 'berlaku', 'penipu']</t>
  </si>
  <si>
    <t>['', 'realgoot', '']</t>
  </si>
  <si>
    <t>['mudahkan', 'login', 'aplikasi', 'link', 'whatsapp', '']</t>
  </si>
  <si>
    <t>['jaringan', 'lancar', 'buka', 'app', 'upgrade', 'kasi', 'star', '']</t>
  </si>
  <si>
    <t>['ekstra', 'unlimited', 'bang']</t>
  </si>
  <si>
    <t>['bagus', 'semoga', 'promonya']</t>
  </si>
  <si>
    <t>['senang', 'mengunakan', 'telekomsel', 'jaringan', '']</t>
  </si>
  <si>
    <t>['bagus', 'membantu', 'terimakaaih']</t>
  </si>
  <si>
    <t>['mytsel', 'ngebug', 'menu', 'banner', 'artikel', 'promo', 'hilang', 'bug', 'systemui', 'ponsel', 'terhenti', 'muncul', 'app', 'mytsel', 'dibuka', 'force', 'close', 'aplikasi', 'mytsel', 'performa', 'app', 'mytsel', 'lambat', 'perbaikan', 'nyaman', 'app', '']</t>
  </si>
  <si>
    <t>['gua', 'cmn', 'kasih', 'saran', 'tolong', 'tingkatkan', 'kualitas', 'sinyalnya']</t>
  </si>
  <si>
    <t>['kasih', 'bintang', 'coba']</t>
  </si>
  <si>
    <t>['bagus', 'aman']</t>
  </si>
  <si>
    <t>['telkom', 'merugikan', 'udah', 'isi', 'paket', 'internet', 'main', 'game', 'dasar', 'pemeras']</t>
  </si>
  <si>
    <t>['quota', 'unlimited', 'gb', 'dipake', 'nge', 'game', 'susah', 'anyin', 'bener', 'jualan', '']</t>
  </si>
  <si>
    <t>['akp', 'berguna']</t>
  </si>
  <si>
    <t>['terinstall', 'google', 'pixel', 'android', 'terimakasih', '']</t>
  </si>
  <si>
    <t>['bnar', 'bagus', 'aplikasi', 'terima', 'kasih', 'telkomsel']</t>
  </si>
  <si>
    <t>['jaringan', 'jelek', 'ruangan', 'jaringan', 'terpaksa', 'kartu', '']</t>
  </si>
  <si>
    <t>['keren', 'berfungsi']</t>
  </si>
  <si>
    <t>['terimakasih', 'telkomsel', 'layanan', 'memudahkan', 'pengguna']</t>
  </si>
  <si>
    <t>['telkomsel', 'suda', 'mencuri', 'pulsa', 'pulsa', 'berkurang', 'suda', 'daftar', 'paket', 'combo', 'jaringannya', 'parah']</t>
  </si>
  <si>
    <t>['top', 'mudah']</t>
  </si>
  <si>
    <t>['', 'hadiah', 'kurangin', 'kurangin', 'karna', 'harga', 'paket', 'mahal']</t>
  </si>
  <si>
    <t>['tolong', 'tingkatkan', 'sinyal', 'telkomsel', 'lombok', 'kulon', '']</t>
  </si>
  <si>
    <t>['sinyal', 'serng', 'jelek', 'harga', 'data', 'mahal', 'sebanding', 'harga', 'kuota', '']</t>
  </si>
  <si>
    <t>['aplikasi', 'telkomsel', 'bagus', 'kasih', 'saran', 'aplikasi', 'telkomsel', 'menyediakan', 'kontrol', 'pulsa', 'halnya', 'axis', 'paket', 'internet', 'habis', 'memakan', 'pulsa', 'terima', 'kasih', '']</t>
  </si>
  <si>
    <t>['beli', 'ketengan', 'youtube', 'kesedot', 'kuota', 'utama', 'telkomsel', 'gila']</t>
  </si>
  <si>
    <t>['telkomsel', 'sinyl', 'lelet', 'bnget', 'main', 'game', 'online', 'jdi', 'susah', 'darah', '']</t>
  </si>
  <si>
    <t>['ngga', 'beli', 'paket', 'telpon', 'lokal', 'paket', 'telpon', 'negeri', 'doang', '']</t>
  </si>
  <si>
    <t>['masukin', 'vocer']</t>
  </si>
  <si>
    <t>['knpa', 'telkomsel', 'point', 'pakai', 'sistem', 'sibuk', 'point', 'kembalikan', '']</t>
  </si>
  <si>
    <t>['saldo', 'tersedot', 'besok', 'dicek', 'udah', 'ngga', 'ngga', 'bdr', '']</t>
  </si>
  <si>
    <t>['aplikasi', 'parah', 'buka', 'kagak', 'loading', 'mulu', 'error', 'mulu', 'ram', '']</t>
  </si>
  <si>
    <t>['sinyalnya', 'main', 'jump', 'ping']</t>
  </si>
  <si>
    <t>['cugg', 'slebeww']</t>
  </si>
  <si>
    <t>['pket', 'data', 'murah']</t>
  </si>
  <si>
    <t>['jaringan', 'internetnya', 'lelet', 'nggak', 'kuota', 'pulsa', 'sya', 'hbis']</t>
  </si>
  <si>
    <t>['harga', 'kuota', 'anjg']</t>
  </si>
  <si>
    <t>['sinyalnya', 'jelwk']</t>
  </si>
  <si>
    <t>['', 'busuk', 'ancur', '']</t>
  </si>
  <si>
    <t>['senang', 'beli', 'pulsa', 'mytelkomsel']</t>
  </si>
  <si>
    <t>['mendingan', 'pakai', 'im', 'dri', 'pakek', 'telkomsel', 'udh', 'data', 'mahal', 'jaringn', 'kayak', 'im', 'enak', 'udah', 'murah', 'jaringan', 'bagus']</t>
  </si>
  <si>
    <t>['eror', 'nomor', '']</t>
  </si>
  <si>
    <t>['paket', 'hrg', 'mahal', '']</t>
  </si>
  <si>
    <t>['kwalitas', 'kuantitas', 'dtingkatkan']</t>
  </si>
  <si>
    <t>['pulsa', 'kesedot', 'beli', 'paket']</t>
  </si>
  <si>
    <t>['pelayanan', 'prima', 'mantapzzzz', 'kerja', 'keras', 'bagimoe', 'negeri', 'kerenzzzz', '']</t>
  </si>
  <si>
    <t>['murah', 'bagus', 'kecewa', 'deh']</t>
  </si>
  <si>
    <t>['telkomsel', 'asw', 'bangsul', 'tukang', 'motong', 'pulsa', 'pulsa', 'pas', 'buka', 'besoknya', 'abis', 'kesel', 'make', 'wifi', 'kalinya', 'gini', 'pindah', 'sim', 'tolong', 'baca', 'telkomsel', '']</t>
  </si>
  <si>
    <t>['iya', 'trima']</t>
  </si>
  <si>
    <t>['pulsa', 'abis', 'anjay', '']</t>
  </si>
  <si>
    <t>['simpati', 'sekaramg', 'gini', 'bonus', 'multimedia', 'nonton', 'youtube', 'kena', 'kuota', 'disney', 'hotstar', 'bonus', 'ngak', 'kuota', 'habis', 'bonus', 'utuh', 'nonton', 'youtube', 'ngak', 'simpati', 'ngak', '']</t>
  </si>
  <si>
    <t>['mudah', 'gampang', 'pilihan', '']</t>
  </si>
  <si>
    <t>['cepat', 'akurat']</t>
  </si>
  <si>
    <t>['sinyal', 'menganti', 'jelek', 'kayak', 'wajah', 'ganti', 'smartfren', 'murah', 'lancar', 'makan', 'cepat', 'bagusin', 'menganti']</t>
  </si>
  <si>
    <t>['', 'jelek', 'jaringannya', 'mahal', 'iya', 'qualitas', 'jaringan', 'menurun', 'sesuai', 'harga', '']</t>
  </si>
  <si>
    <t>['harga', 'paket', 'telkomsel', 'mahal', 'bener']</t>
  </si>
  <si>
    <t>['mohon', 'ditingkatkan', 'sinyal', 'harga', 'promo', 'mahal', 'kejutan', 'hadiah', 'menarik', 'syarat', 'apapun', 'terima', 'kasih', 'salam', 'terkomsel']</t>
  </si>
  <si>
    <t>['dibantu', 'sms', 'promo', 'sms', 'undian', 'unsur', 'penipuan', 'diacc', 'dikirim', 'kenomor', 'pribadi', 'pengguna', '']</t>
  </si>
  <si>
    <t>['telkomsel', 'jaringannya', 'busuk', 'nyesel', 'gua']</t>
  </si>
  <si>
    <t>['super', 'mantap', 'pokoknya']</t>
  </si>
  <si>
    <t>['mahal', 'mahal', 'ilang', 'pelanggan', 'perbaiki', 'jaringan', 'leg']</t>
  </si>
  <si>
    <t>['kota', 'desa', 'telkomsel', 'ngetop', '']</t>
  </si>
  <si>
    <t>['lumayan', 'bagus', '']</t>
  </si>
  <si>
    <t>['babi', 'semoga', 'telkomsel', 'mati', 'ketabrak', 'aminn', 'nnnnn', 'lagggg', 'kontrol', 'udah', 'mahal']</t>
  </si>
  <si>
    <t>['signal', 'sinyal', 'kuat', 'nomer', 'pelosok', 'kampung', '']</t>
  </si>
  <si>
    <t>['ngesalin', 'harga', 'paket', 'data', 'mahal', 'sinyal', 'lemot', 'ngk', 'bonusan', 'jlek', 'ngk', 'kyk', '']</t>
  </si>
  <si>
    <t>['telkomsel', 'jaringan', 'bagus', 'anti', 'lelet']</t>
  </si>
  <si>
    <t>['', 'gb', 'combo', 'hilang']</t>
  </si>
  <si>
    <t>['', 'maaf', 'kesalahan', 'sistem', 'menerus']</t>
  </si>
  <si>
    <t>['telkomsel', 'struk', 'sajh', 'sllu', 'lelet', 'pas', 'iklan']</t>
  </si>
  <si>
    <t>['berpungsi', '']</t>
  </si>
  <si>
    <t>['semoga', 'bagus', 'signalnya']</t>
  </si>
  <si>
    <t>['beli', 'paket', 'data', 'transaksi', 'berhasil', 'menhidupkan', 'data', 'pulsa', 'langsung', 'habis', 'paket', 'data', 'banyk', 'beli', 'apk', 'telkomsel', 'kecewa', '']</t>
  </si>
  <si>
    <t>['mudah', 'pemakaian', 'pembelian', 'dll', 'iklan', 'bersifat', 'mendidik', 'sponsor', 'mytelkomsel', 'masuknya', 'iklan', 'terpuji', 'memperburuk', 'citra', 'telkomsel']</t>
  </si>
  <si>
    <t>['mantap', 'pakai', 'telkomsel', 'mangkin', 'gampang', 'fitur', 'semoga', 'sukses', 'slalu', 'aplikasi', 'fiyan', 'padang', 'sumbar']</t>
  </si>
  <si>
    <t>['aneh', 'kuota', 'dibeli', 'kali', 'udah', 'harganya', 'giliran', 'beli', 'heeeeehhh', 'capek', 'deh', 'lihat', 'mental', 'perusahaan', 'bumn', 'negara', 'maunya', 'main', 'kucing', 'kucingan', 'konsumen', '']</t>
  </si>
  <si>
    <t>['masuk', 'apk', 'link', 'sms', 'dlu', 'gagal', 'masuk', 'lansung', 'apk', 'info', 'donk', 'admin', '']</t>
  </si>
  <si>
    <t>['terdepan', 'jaringan']</t>
  </si>
  <si>
    <t>['coba', 'pengguna']</t>
  </si>
  <si>
    <t>['namanya', 'bisnis', 'rugi', 'cermat', 'aman', 'aman', 'telkomsel', '']</t>
  </si>
  <si>
    <t>['jaringan', 'lelet', 'duku', 'hype', 'banget', 'jaringan', 'bagus', 'lelet', 'kagak', 'lancar', 'masak', 'game', 'jaringan', 'hilang', 'sinyal', 'tinggal', '']</t>
  </si>
  <si>
    <t>['beli', 'paket', 'internet', 'mudah', 'ribet']</t>
  </si>
  <si>
    <t>['percobaan']</t>
  </si>
  <si>
    <t>['mudah', 'penggunannya', '']</t>
  </si>
  <si>
    <t>['sebal', 'kualitas', 'jaringan', 'ajq', 'mati', 'lampu', 'jaringan', 'ilang', 'rumah', 'jaringan', 'ilang', 'kemarin', 'bukanya', 'bagus', 'berupahan', 'asw', 'harga', 'kuota', 'mahal', 'setara', 'bagusan', '']</t>
  </si>
  <si>
    <t>['semoga', 'telkomsel', 'senantiasa', 'bermanfaat']</t>
  </si>
  <si>
    <t>['apk', 'sngat', 'membantu', 'pengguna', 'telkomsel']</t>
  </si>
  <si>
    <t>['jeleeek', 'lek', 'lek', 'lek', 'harga', 'mahal', 'sinyal', 'murahaaaan', '']</t>
  </si>
  <si>
    <t>['andalkan', 'dimanapun']</t>
  </si>
  <si>
    <t>['pulsa', 'suka', 'terpotong', 'gimana', 'telkomsel', '']</t>
  </si>
  <si>
    <t>['pemakai', 'setia', 'telkomsel', 'andalkan', 'jaringan', 'ngebut', 'sebanding', 'harga', 'kuota', 'mahal', 'semenjak', 'pandemi', 'melanda', 'jaringan', 'down', 'jaringan', 'stabil', 'down', 'nggak', 'stabil', 'mohon', 'perbaiki', 'jaringannya', 'lokasi', 'deket', 'jakarta', 'stabil', '']</t>
  </si>
  <si>
    <t>['tekomsel', 'skrg', 'jelek', 'banget', 'paket', 'mahal', 'kmaren', 'paket', 'gb', 'rb', 'skrg', 'udh', 'make', 'paket', 'gb', 'rb', 'skrg', 'udh', 'rb', 'pengen', 'banget', 'ganti', 'cuman', 'kasian', 'temen', 'musti', 'ganti', 'sumpaahh', 'tekomsel', 'borosss', 'bangett', 'curang', 'cuman', 'udh', 'terlanjur', 'kesebar']</t>
  </si>
  <si>
    <t>['harga', 'sesuai']</t>
  </si>
  <si>
    <t>['telkomsel', 'mahal', 'beli', 'kuota', 'beli', 'kuota', 'gb', 'cuman', 'ribu', 'ribuan', 'tolong', 'turunin', 'naikin', 'pindah']</t>
  </si>
  <si>
    <t>['harga', 'paket', 'mahal', 'org', 'tolong', 'ratakan']</t>
  </si>
  <si>
    <t>['reedem', 'point', 'dituker', 'kuota', 'gabisa', 'sistem', 'sibuk', 'mulu', 'download', 'bisanya', 'reedem', 'kupon', 'undian', '']</t>
  </si>
  <si>
    <t>['buruk', 'telkomsel', 'jaringannya', 'mendingan', 'pakai', 'gsm', 'pakai', 'telkomsel', 'jaringan', 'lelet', '']</t>
  </si>
  <si>
    <t>['beli', 'paket', 'lengkap', 'termurah', 'terima', 'kasih', 'telkomsel', '']</t>
  </si>
  <si>
    <t>['mntap', 'membntu', 'aktivsi', 'pket']</t>
  </si>
  <si>
    <t>['telkomsel', 'kartu', 'mama', 'bru', 'detik', 'isi', 'plsa', 'langsng', 'tepotong', 'rbu', 'gile', 'sms', 'msuk', 'paket', 'darurat', 'aktif', 'sdgkn', 'kartu', 'pke', 'nenek', 'man', 'paham', 'paket', 'bgtu', 'matikan']</t>
  </si>
  <si>
    <t>['lokasi', 'oke']</t>
  </si>
  <si>
    <t>['min', 'apk', 'dikasih', 'top', 'game', 'anak', 'gamer', 'suka']</t>
  </si>
  <si>
    <t>['bintang', 'jawabannya']</t>
  </si>
  <si>
    <t>['oke', 'harga', 'paket', 'internet', 'murah', '']</t>
  </si>
  <si>
    <t>['telkomsel', 'emang', 'gooooddd']</t>
  </si>
  <si>
    <t>['buruk', 'abis', 'pulsa', 'makan', 'buka', 'dasar', 'maling']</t>
  </si>
  <si>
    <t>['', 'semoga', 'sinyal', 'manteng', 'trussssss', 'telkomsel', '']</t>
  </si>
  <si>
    <t>['bagus', 'aplikasi', 'sinyal', 'bagus', 'khusus', 'paket', 'sebulan', 'seharga', 'mohon', 'sinyal', 'perbaiki']</t>
  </si>
  <si>
    <t>['super', 'lemot', '']</t>
  </si>
  <si>
    <t>['ngk', 'telkomsel', 'harga', 'paket', 'tabah', 'mending', 'ganti', 'kartu', 'lai', '']</t>
  </si>
  <si>
    <t>['suka', 'aplikasi', 'mempermudah', 'mencari', 'isi', 'ulang', 'paket', 'mudah', 'mudah', 'tukar', 'poinnya', 'semoga', 'beruntung', 'amin']</t>
  </si>
  <si>
    <t>['paket', 'unlimited', 'youtube', 'buka', 'youtube', 'kepotong', 'paket', 'data', 'kemarin', 'beli', 'pulsa', 'rb', 'ludes', 'karna', 'paket', 'data', 'habis', 'ketiduran', 'pas', 'tolong', 'ayo', 'telkomsel', '']</t>
  </si>
  <si>
    <t>['fitur', 'mudah', 'akses']</t>
  </si>
  <si>
    <t>['sinyal', 'eror', 'keluarkan', 'guru', 'zoom', 'mengikuti', 'zoom', 'sinyal', 'telkomsel', 'buruk', 'absen', 'ikutan', 'burukkkkkk']</t>
  </si>
  <si>
    <t>['paket', 'internet', 'yahhh', 'pendemi', 'njirr', 'normal', 'total', 'keuangannya', 'knp', 'paket', 'internet', 'mahalll', 'tolong', 'yaa', '']</t>
  </si>
  <si>
    <t>['kesini', 'jaringan', 'telkomsel', 'buruk', 'banget', 'maaf', 'berat', 'hati', 'kasih', 'bintang', '']</t>
  </si>
  <si>
    <t>['fitur', 'pulsa', 'terpotong', 'aplikasi', 'kayak', 'provider', 'sebelah', 'konsumen', 'kecolongan', 'kuota', 'abis', 'pulsa', 'lenyap', 'lho', 'korbannya', 'pulsa', 'abis', '']</t>
  </si>
  <si>
    <t>['mantap', 'sekuali']</t>
  </si>
  <si>
    <t>['oke', 'harap', 'kerja', 'samanya']</t>
  </si>
  <si>
    <t>['mengecewakan', '']</t>
  </si>
  <si>
    <t>['sinyal', 'internet', 'buruk']</t>
  </si>
  <si>
    <t>['beli', 'paket', 'internet', 'gampang']</t>
  </si>
  <si>
    <t>['parah', 'beli', 'paket', 'data', 'telkomsel', 'duit', 'kesedot', 'paket', 'data', 'udah', 'komplain', 'mingu', 'dikembalikan', 'dananya', '']</t>
  </si>
  <si>
    <t>['aplikasi', 'telkomsel', 'bagus', '']</t>
  </si>
  <si>
    <t>['apk', 'bagus', 'bangett', '']</t>
  </si>
  <si>
    <t>['lola', 'buka', 'aplikasi', 'telkomsel', 'aplikasi', 'buka', 'video', 'status', 'video', 'muter', 'mohon', 'perbaikan', 'jaringan', 'telkomsel', '']</t>
  </si>
  <si>
    <t>['kemaren', 'combo', 'sakti', 'max', 'gb', 'rb', 'rb', 'cepat', 'naiknya', 'kebutuhan', 'sesuai', 'pulsa', 'sedot']</t>
  </si>
  <si>
    <t>['jujur', 'aplikasi', 'telkomsel', 'penipuan', 'promo', 'ulasan', 'pelanggan', 'kasih', 'bintang', 'ratingnya', 'aneh', 'rating', 'playstore', 'dibayar', '']</t>
  </si>
  <si>
    <t>['perbaiki', 'sinyalnyaaa', 'tolong', 'nomor', 'panggilan', 'darurat', 'pulsa', 'paket']</t>
  </si>
  <si>
    <t>['pindah', 'hati', 'telkomsel', 'banggakan', 'lemot', 'ketulungan']</t>
  </si>
  <si>
    <t>['paketan', 'mahal', 'murah', '']</t>
  </si>
  <si>
    <t>['layanan', 'istimewa', '']</t>
  </si>
  <si>
    <t>['', 'mati', 'log', 'aplikasi', 'telkomsel', 'tolong', 'perbaiki', '']</t>
  </si>
  <si>
    <t>['jaringannya', 'terbaik', 'terkuat']</t>
  </si>
  <si>
    <t>['rugi', 'bayar', 'mahal', 'jaringan', 'lemot', 'mendung', 'udah', 'lemot', 'hujan', 'deras', 'browser', 'muter', 'ditempat']</t>
  </si>
  <si>
    <t>['tingkatkan', 'lbih', 'promo']</t>
  </si>
  <si>
    <t>['sinyal', 'matinya']</t>
  </si>
  <si>
    <t>['semoga', 'aplikasinya', 'bagus', '']</t>
  </si>
  <si>
    <t>['paket', 'combo', 'sakti', 'unlimited', 'youtube', 'malas', 'beli', 'paket', 'kepake', 'apps', 'yglainnya', 'mubadzir', 'beli']</t>
  </si>
  <si>
    <t>['simpati', 'lelet', 'sebel', 'aktifitas']</t>
  </si>
  <si>
    <t>['kerennn', 'sinyal', 'slalu', 'bersahabat', '']</t>
  </si>
  <si>
    <t>['jaringan', 'jelek', 'intrnetan', 'lelet', 'beli', 'paket', 'inernetan', 'kuata', 'gb', 'terpakai', 'habis', 'aktif', 'parah', 'asli', 'parah', 'ganti', 'tlng', 'gantibrugi', 'kuata', 'rugikan', 'kuata', 'kecewa', 'telkomsel', 'parahhhhhhhh', 'screenshot', 'ulasan', 'kecewa', 'jaringan', 'eek', 'perbaikan', 'beralih', 'menyesal', 'berlangganan', 'telkomsel', 'jujur', 'mohon', 'perbaiki']</t>
  </si>
  <si>
    <t>['bagus', 'banget', 'ttttttttttt', '']</t>
  </si>
  <si>
    <t>['kasih', 'bintang', 'mohon', 'jaringaannya', 'diperkuat']</t>
  </si>
  <si>
    <t>['bagus', 'membantu', 'apk']</t>
  </si>
  <si>
    <t>['kesel', 'beli', 'paket', 'internet', 'respon', 'sms', 'pulsa', 'kepotong', 'paket', 'data', 'masuk', 'pulsa', 'nyedot', 'data', 'matiin', '']</t>
  </si>
  <si>
    <t>['udah', 'maniac', 'provider', 'harganya', 'paket', 'ribu', 'ribu', 'udah', 'mantap', 'provider', 'udah', 'worth', 'harganya', '']</t>
  </si>
  <si>
    <t>['telkomsel', 'sinyalnya', 'membantu', 'dimanapun']</t>
  </si>
  <si>
    <t>['pulsa', 'kepotong', 'bener', 'reedem', 'paket', 'daily', 'check', 'habis', 'rban', 'gila', 'mah', 'dsaat', 'check', 'harian', 'pulsa', 'gpp', 'pas', 'udh', 'ngisi', 'pulsa', 'kepotong']</t>
  </si>
  <si>
    <t>['tolong', 'menangkan', 'tukar', 'poin', 'menang']</t>
  </si>
  <si>
    <t>['terimakasih', 'membantu']</t>
  </si>
  <si>
    <t>['habis', 'trus', 'kemana', 'sisa', 'pulsa', 'terpakai', 'laporan', 'telkomsel', 'parah', '']</t>
  </si>
  <si>
    <t>['memahami', 'petunjuk', 'tuntunan', 'proses', 'pembuatan', 'aplikasi', 'dll', '']</t>
  </si>
  <si>
    <t>['mantap', 'luas']</t>
  </si>
  <si>
    <t>['woiii', 'telkomsel', 'djaringan', 'internetnya', 'ancuurr', 'lemott', 'sinyal', 'bar', 'turun', 'lagii', 'tolong', 'perbaiki', 'kwalitas', 'jaringannya', 'lemooooottttt', 'tamplate', 'memuaskan', 'terima', 'kaaih']</t>
  </si>
  <si>
    <t>['transaksi', 'mudah', 'pilihan']</t>
  </si>
  <si>
    <t>['paket', 'unlimited', 'max', 'harganya', 'combo', 'sakti', 'unlimited', 'harganya', 'operator', 'mencekik', 'penggunaannya', 'dikit', 'naikin', 'ttp', 'berasa', 'mahal', '']</t>
  </si>
  <si>
    <t>['njs', 'paket', 'telkomsel', 'mahal', 'bed', 'sinyal', 'lemot', 'kalah', 'kartu', 'lancar', 'pulak']</t>
  </si>
  <si>
    <t>['nggak', 'daftar', 'kartu', 'pengguna', '']</t>
  </si>
  <si>
    <t>['aplikasi', 'sulit', 'dibuka', 'dianjurkan', 'darah', 'langsung', 'stroke', 'aplikasi', 'sekelas', 'telkmsl', '']</t>
  </si>
  <si>
    <t>['kemudahan', 'berkomunikasi', '']</t>
  </si>
  <si>
    <t>['', 'telkomsel', 'membantu', '']</t>
  </si>
  <si>
    <t>['dipermudah', 'komplit', 'keren', 'pokoknya']</t>
  </si>
  <si>
    <t>['sinyal', 'berubah', 'ubah', 'kadang', 'kadang', 'buruk', 'galumpit', 'desa', 'cileunyi', 'kulon', 'kab', 'bandung']</t>
  </si>
  <si>
    <t>['beli', 'paketan', 'pulsa', 'tutup', 'telkomsel', 'mendingan', '']</t>
  </si>
  <si>
    <t>['apk', 'bagus', 'adminnya', 'gilaa']</t>
  </si>
  <si>
    <t>['ilove', 'telkomsel', 'telkomsel', 'jaringan', 'terkuat', 'terluas', 'pelosok', 'daerah', 'semoga', 'telkomsel', 'terbaik', 'pelanggan', '']</t>
  </si>
  <si>
    <t>['coba', 'donk', 'aplikasi', 'buka', 'pakek', 'internet', 'bagus']</t>
  </si>
  <si>
    <t>['mantap', 'jaringan', 'telkomsel']</t>
  </si>
  <si>
    <t>['kacau', 'internet', 'ilang', 'main', 'game']</t>
  </si>
  <si>
    <t>['telkomsel', 'poin', 'kabarnya', '']</t>
  </si>
  <si>
    <t>['jaringannya', 'jelek', 'kaya', 'main', 'game', 'jaringan', 'hilang', 'mah', 'enggk', 'hlo', 'kak', 'knp', 'jaringan', 'telkomsel', 'hilang', 'tolong', 'cepat', 'perbaiki', 'plizz', 'kak', 'perbaiki', 'pengguna', 'telkomsel', 'terganggu', 'sekian', 'infonya', 'kak', 'tolong', 'cepat', 'diperbaiki', '']</t>
  </si>
  <si>
    <t>['mytelkomsel', 'terbaik', 'area', 'penawar', 'aji', 'tulang', 'bawang', 'lampung', '']</t>
  </si>
  <si>
    <t>['layanan', 'telkomsel', 'terbaik']</t>
  </si>
  <si>
    <t>['polling', 'sgt', 'mengganggu', 'buka', 'aplikasi', 'polling', 'trus']</t>
  </si>
  <si>
    <t>['sontoloyo', 'ngeklaim', 'hadiah', 'paket', 'data', 'telkomsel', 'perhatiin', 'jaringan', 'kartuku', 'habis', 'pulsaku', 'sedot', 'auto', 'delete']</t>
  </si>
  <si>
    <t>['tetep', 'dipakai', 'serius', 'adain', 'paket', 'saldo', 'beli', 'paket', 'mesti', 'ditinggal', 'males', 'menggunakannya']</t>
  </si>
  <si>
    <t>['internet', 'telkomsel', 'putus', 'lemot', 'berkualitas', 'bermutu']</t>
  </si>
  <si>
    <t>['puas', 'semoga', 'telkomsal', 'mempertahankan']</t>
  </si>
  <si>
    <t>['harga', 'kuota', 'mahal', 'banget', 'coba', 'agam', 'murah', 'kondisinya', 'susah']</t>
  </si>
  <si>
    <t>['tgl', 'nov', 'telkomsel', 'paket', 'gb', 'seharga', 'dibeli', 'pay', 'progress', 'notif', 'skli', 'paginya', 'tetep', 'notif', 'bgtu', 'dibuka', 'app', 'paketnya', 'ngeprank', 'kali', 'hahahaha']</t>
  </si>
  <si>
    <t>['salam', 'sukses', 'mytelkomselku']</t>
  </si>
  <si>
    <t>['mahal', 'sing', 'pelayanan', 'datanya', 'diperbaiki', '']</t>
  </si>
  <si>
    <t>['paket', 'inet', 'sisa', 'internetan', 'pesan', 'masuk', 'internetan', 'paket', 'langsung', 'non', 'aktifkan', 'inetnya', 'telat', 'segitu', 'malamnya', 'kuota', 'inet', 'mhn', 'telkomsel', 'dibenahi', 'kebijakannya', 'komit']</t>
  </si>
  <si>
    <t>['mantap', 'paketan', 'murah', '']</t>
  </si>
  <si>
    <t>['koneksinya', 'buruk', 'paketan', 'tinggal', 'jakarta', 'koneksi', 'buruk']</t>
  </si>
  <si>
    <t>['update', 'tan', 'error', '']</t>
  </si>
  <si>
    <t>['seneng', 'pakai', 'telkomsel', 'sinyalnya', 'bagus', 'ditambah', 'hadiah', 'anya', 'semoga', 'telkomsel', 'maju', 'terdepan', '']</t>
  </si>
  <si>
    <t>['signalnya', 'kunjung', 'membaik']</t>
  </si>
  <si>
    <t>['beda', 'kartu', 'beda', 'harga', 'ribet', 'iklan', 'berguna', 'kebanyakan', 'jaringan', 'lelet', 'dikit', 'dikit', 'signal', 'hilang', 'payah', 'payah', '']</t>
  </si>
  <si>
    <t>['tingkatkan', 'kualitas', 'pelayanan', 'menerus']</t>
  </si>
  <si>
    <t>['terima', 'kasih', 'aplikasi', 'telkomsel', 'membantu', 'bagus', 'banget']</t>
  </si>
  <si>
    <t>['kualitas', 'internet', 'bagus', 'tolong', 'perbaiki', 'beli', 'kuota', 'daerah', 'kluarga', 'daerah', 'kenpa', 'tdak', 'merugikan', 'konsumen', 'beli', 'tapo', 'masuk', '']</t>
  </si>
  <si>
    <t>['sinyal', 'telkomsel', 'bagus']</t>
  </si>
  <si>
    <t>['setia', 'telkomsel']</t>
  </si>
  <si>
    <t>['kasik', 'loooohh', 'proses', 'pemeraktekan', 'thank', 'for', 'see', 'you']</t>
  </si>
  <si>
    <t>['kali', 'beli', 'paket', 'diproses', 'alhasil', 'dibeli']</t>
  </si>
  <si>
    <t>['mohon', 'diperbaiki', 'sinyalnya']</t>
  </si>
  <si>
    <t>['udah', 'beli', 'paket', 'unlimited', 'dihabisin', 'reguler', 'udah', 'harganya', 'mahal', 'kasih', 'solusi', 'nggak', 'disalahin', 'berhenti', 'kayakya', 'telkomsel']</t>
  </si>
  <si>
    <t>['kuota', 'reguler', 'pulsa', 'terpakai', 'meluhat', 'youtube', 'kuota', 'unlimited', 'youtube', 'telkomsel', 'rusak']</t>
  </si>
  <si>
    <t>['mantap', 'aplikkasinya', '']</t>
  </si>
  <si>
    <t>['pulsa', 'save', 'suka', 'mohon', 'perbaiki']</t>
  </si>
  <si>
    <t>['mohon', 'maaf', 'ade', 'syg']</t>
  </si>
  <si>
    <t>['mudah', 'pembelian', 'pulsa', 'paketan', 'aplikasi', 'cek', 'pulsa', 'cek', 'sisa', 'kuota', 'lancar']</t>
  </si>
  <si>
    <t>['', 'telkomsel', 'murah', 'mendaftarkan', 'paket', 'kesukaan', 'download', 'aplikasi', 'telkomsel', 'teman', 'aplikasinya', 'mantap', 'bangat']</t>
  </si>
  <si>
    <t>['kesini', 'bobrok']</t>
  </si>
  <si>
    <t>['aplikasi', 'bagus', 'telkomsel', 'suka', 'pemakaiannya', 'ribet', 'pilihan']</t>
  </si>
  <si>
    <t>['reconect', 'klau', 'beli', 'paket', 'internet', 'plisss', 'perbaiki']</t>
  </si>
  <si>
    <t>['kecewa', 'banget', 'telkom', 'beli', 'paket', 'mahal', 'pas', 'ngelag', 'beli', 'pulsa', 'suka', 'kesedot', 'coba', 'developer', 'posisi', 'org', 'kayak', 'org', 'pas', 'beli', 'pulsa', 'kesedot', 'males', 'make', 'telkom', 'pengen', 'bakar', 'telkom', '']</t>
  </si>
  <si>
    <t>['berpengalaman']</t>
  </si>
  <si>
    <t>['', 'zama', 'sma', 'udh', 'telsel', 'jaringan', 'didaerah', 'smd', 'lancar', 'aman', 'jdd', 'udh', 'males', 'ganti', 'telsel', 'gampang', 'isi', 'pulsa', 'beli', 'pket', 'inet', 'murah', 'suka', 'daily', 'check', 'mayan', 'byk', 'hadiah', 'menarikx', 'trims', 'mytelkomsel', '']</t>
  </si>
  <si>
    <t>['menarik', 'maantap', 'bbanngettt']</t>
  </si>
  <si>
    <t>['bintangnya', 'smg', 'apknya', 'dpt', '']</t>
  </si>
  <si>
    <t>['maaf', 'ganggu', 'pulsa', 'isi', 'ilang', 'kemana', 'internet', 'pulsa', 'langsung', 'nol', 'sisa', 'ilang', 'kemana', 'tolong', 'update', 'pulsanya', 'ilang', 'mulu', 'mls', 'isi']</t>
  </si>
  <si>
    <t>['bagus', 'pulsa', 'cepat', 'habis']</t>
  </si>
  <si>
    <t>['harga', 'sesuai', 'kualitas', 'jaringan', 'lemot', 'ampun', 'kesannya', 'bkin', 'rugi', 'org']</t>
  </si>
  <si>
    <t>['harganya', 'mantap', 'sinyalnya', 'bagus']</t>
  </si>
  <si>
    <t>['membantu', 'terimakasih', 'mytelkomsel']</t>
  </si>
  <si>
    <t>['payah', 'download', 'aplikasi', 'masuk', 'payah', 'susah', 'udah', 'berulang', 'ulang', 'tautan', 'sms', 'masuk', 'masuk', 'sulit', 'veronika', 'membantu', 'pusing']</t>
  </si>
  <si>
    <t>['mudah', 'bertransaksi']</t>
  </si>
  <si>
    <t>['jaringan', 'terbosoookkk', '']</t>
  </si>
  <si>
    <t>['makan', 'pulsa', 'habis', 'data', '']</t>
  </si>
  <si>
    <t>['paket', 'zoom', 'pro', 'minggu', 'blm', 'aktif', 'melapor', 'slama', 'mgu', 'blm', 'solusi', 'berulang']</t>
  </si>
  <si>
    <t>['bangga', 'milik', 'nkri', 'tercinta']</t>
  </si>
  <si>
    <t>['oke', 'mantabbbbb', 'josssss', 'yaaa']</t>
  </si>
  <si>
    <t>['blum', 'puas', 'tukar', 'poin', 'gagal', 'trus', '']</t>
  </si>
  <si>
    <t>['peningkatan', 'signifikan', 'mantap']</t>
  </si>
  <si>
    <t>['menyenang', '']</t>
  </si>
  <si>
    <t>['telkomsel', 'coba', 'min']</t>
  </si>
  <si>
    <t>['bagus', 'aplikasi', 'mempermudah', 'membeli', 'kouta', 'internet', 'love', 'banget', '']</t>
  </si>
  <si>
    <t>['tolong', 'optimalkan', 'lgi', 'apk', 'buka', 'kesalahan', 'memuat', 'rekomendasi', '']</t>
  </si>
  <si>
    <t>['', 'coba', 'dlu', 'bos', '']</t>
  </si>
  <si>
    <t>['menarik', 'aplikasi', '']</t>
  </si>
  <si>
    <t>['telkomsl', 'skarang', 'kyk', 'tahik', 'jringan', 'putus', 'promo', 'pket', 'mahar', 'lgi', 'pkoknya', 'bnyak', 'kndala', 'tlong', 'baiki', 'msalah', 'jngn', 'sedih', 'bibir', 'komputer', 'butuh', 'informasi', 'bkan', 'halusinasi', 'bilangnya', 'sedih', 'tpi', 'kenyataan', 'bohong', '']</t>
  </si>
  <si>
    <t>['paket', 'murah', 'thn', 'paket', 'telkomsel', 'gapernah']</t>
  </si>
  <si>
    <t>['paketnya', 'mahal', 'jaringan', 'internetnya', 'bermasalah', 'kota', 'hidup', 'kaya', 'hutan', 'payah', '']</t>
  </si>
  <si>
    <t>['telkomsel', 'hati']</t>
  </si>
  <si>
    <t>['telkomsel', 'lawak', 'daerah', 'kota', 'pekan', 'leg', 'parah', 'jaringan', 'kota', 'plise', 'sudut', 'kota', 'perhatikan', 'jaringan']</t>
  </si>
  <si>
    <t>['membantu', 'urgent', 'kuota', '']</t>
  </si>
  <si>
    <t>['keren', '']</t>
  </si>
  <si>
    <t>['aplikasi', 'mudah']</t>
  </si>
  <si>
    <t>['membantu', 'pembelian', 'kuota', 'lainya']</t>
  </si>
  <si>
    <t>['gimna', 'pulsa', 'udah', 'ketarik', 'paket', 'data', 'dapet', '']</t>
  </si>
  <si>
    <t>['', 'lumayan']</t>
  </si>
  <si>
    <t>['mudah', 'menggunakannya', 'promo', 'kuota', 'internetnya', 'terjangkau', 'semoga', 'sukses', '']</t>
  </si>
  <si>
    <t>['', 'suka', 'jaringan', 'mytelkomsel', 'semoga', 'kesana', 'kebih', '']</t>
  </si>
  <si>
    <t>['kecewa', 'menang', 'harga', 'mahal', 'doang']</t>
  </si>
  <si>
    <t>['pembeliannya', 'ngak', 'berhasil']</t>
  </si>
  <si>
    <t>['insyaallah', 'pindah', 'layanan', 'terimakasih', 'kemahalan', 'kuotanya', 'jeleknya', 'jaringan']</t>
  </si>
  <si>
    <t>['kuota', 'pemerintah', 'pulsa', 'kepake', 'kecewa', 'parah', 'pulsa', 'kuota', 'minggu']</t>
  </si>
  <si>
    <t>['kartu', 'simpati', 'jelek', 'buruk', 'burik', 'maen', 'game', 'online', 'jaringan', 'jelek']</t>
  </si>
  <si>
    <t>['oke', 'aplikasi', 'bagus']</t>
  </si>
  <si>
    <t>['tuk', 'blum', 'komen', '']</t>
  </si>
  <si>
    <t>['jaringanmu', 'diperbaiki', '']</t>
  </si>
  <si>
    <t>['mantaplah', 'memudahkan', 'dlm', 'transaksi']</t>
  </si>
  <si>
    <t>['berubah', 'pikiran']</t>
  </si>
  <si>
    <t>['makasih', 'bayak', 'apk', 'sagat', 'berfungsi']</t>
  </si>
  <si>
    <t>['telkomsel', 'terbaik', 'kali', 'pulsa', 'habis', 'pakai']</t>
  </si>
  <si>
    <t>['jaringannya', 'parah', 'mahalnya', 'doang', 'enakan', 'jaringan', 'bagus', 'busuk', 'sinyalnya', '']</t>
  </si>
  <si>
    <t>['puas', 'pulsa', 'ribu', 'beli', 'paket', 'transaksi', 'berhasil', 'muncul', 'sms', 'notifikasi', 'paketnya', 'hbis', 'pulsa', 'ribu']</t>
  </si>
  <si>
    <t>['pengguna', 'setia', 'mytelkomsel', 'the', 'best']</t>
  </si>
  <si>
    <t>['sinyal', 'data', 'bagus', '']</t>
  </si>
  <si>
    <t>['jaringann', 'betulin', 'ajahh', '']</t>
  </si>
  <si>
    <t>['lumayan', 'bagus', 'pas', 'sinyal', 'bagus']</t>
  </si>
  <si>
    <t>['parah', 'segitu', 'beli', 'paket', 'ambil', 'pulsa', 'waterproof', 'men']</t>
  </si>
  <si>
    <t>['recommend']</t>
  </si>
  <si>
    <t>['iyah', 'krna', 'pulsa', 'telkom', 'jdi', 'pket', 'bro', 'phm']</t>
  </si>
  <si>
    <t>['', 'belilahah', 'bicars', 'amu', 'beli', '']</t>
  </si>
  <si>
    <t>['trimakasih', 'telkomsel', 'banget', 'bonus', 'kuota', 'signal', 'telkomsel', 'kadang', 'lemot', 'kaya', 'loading', '']</t>
  </si>
  <si>
    <t>['telkomsel', 'number', 'one', 'pelayanan', 'terbaiknya', 'kerugian', 'ditanggung', 'pelanggannya', 'good', 'job', 'pastinya', 'telkomsel', 'berjaya', 'berkosmos', 'absurditasnya', 'penuh', 'eksistensi', '']</t>
  </si>
  <si>
    <t>['woi', 'jaringan', 'kali', 'rusak', 'njing', 'kek', 'kerja', 'harga', 'paket', 'mahal', 'tpi', 'kualitas', 'kek', 'gini', 'korupsi', 'kelen', '']</t>
  </si>
  <si>
    <t>['apknya', 'kebuka', 'udah', 'kebunya', 'didownload', 'dlu', '']</t>
  </si>
  <si>
    <t>['kemudahan', 'dlm', 'penggunaan', 'app']</t>
  </si>
  <si>
    <t>['jaringan', 'konthoolllllllll', 'provider', 'mcam', 'babhiiii', 'konthooollllllll', 'biadabbbbbbbbbbb']</t>
  </si>
  <si>
    <t>['aplikasi', 'mempersulit', 'beli', 'paket', 'gabisa']</t>
  </si>
  <si>
    <t>['klau', 'nonton', 'youtube', 'bagus', 'klau', 'main', 'game', 'jaringan', 'kek', 'taiiii']</t>
  </si>
  <si>
    <t>['aplikasi', 'memudahkan', 'pelanggan', 'tolong', 'perbaiki', 'manfaatnya', 'pelanggan']</t>
  </si>
  <si>
    <t>['mahal', 'jaringan', 'parah']</t>
  </si>
  <si>
    <t>['sinyalnya', 'parah', 'hilang', 'hilang', 'timbul', 'hujan', '']</t>
  </si>
  <si>
    <t>['mengecewakan', 'pulsa', 'potong', '']</t>
  </si>
  <si>
    <t>['kecewa', 'beli', 'paket', 'pajangan', 'diaplikasi', 'telkomsel', 'doang', 'dipake', 'udah', 'gitu', 'pengaduan', 'keluhan', 'berjam', 'jam', 'robot', 'turun', 'pelayanan', 'telkomsel', 'kayak', '']</t>
  </si>
  <si>
    <t>['kek', 'babi', 'telkomsel', 'jam', 'sinyal', 'udah', 'ngak', 'kepakek', 'ngak', 'sinyal', 'bagus', 'tutup', 'telkomsel', 'jual', 'paket', 'mahal', 'kecewa', 'gini', 'telkomsel', 'mahal', 'kualitas', 'sinyal', 'anjlok']</t>
  </si>
  <si>
    <t>['cari', 'murah', 'telkomsel', 'jamin', 'amam']</t>
  </si>
  <si>
    <t>['aplikasi', 'bagus', 'download', 'aplikasi', 'saranin', 'download', 'aplikasi', 'membantu', 'banget', 'cek', 'paket', 'pulsa', 'pembelian', 'paket', 'harga', 'murah', 'banget', '']</t>
  </si>
  <si>
    <t>['habis', 'ujan', 'sinyal', 'jelek', 'emosi', 'engga', 'ngelag', 'tolong', 'perbaiki', 'udah', 'kuota', 'mahal', 'tpi', 'habis', 'ujan', 'ngelag', 'tolong', 'perbaiki', 'konsumen', 'kecewa', '']</t>
  </si>
  <si>
    <t>['sinyal', 'plus', 'berasa', 'kaya', 'sinyal', 'main', 'mobile', 'legend', 'area', 'cibinong', 'bogor', 'mohon', 'benahi', 'kualitas', 'jaringannya', '']</t>
  </si>
  <si>
    <t>['pelanggan', 'telkomsel', 'gratis']</t>
  </si>
  <si>
    <t>['woy', 'tolong', 'banyaaak', 'salah', 'sambung', 'gua', 'double', 'nomor', 'kali', 'nomor', 'seri', 'salah', 'sambung', 'bnyak', 'nagih', 'utang', 'goblokkk', 'sinyal', 'betulin', 'woyy', 'mahal', 'doang', 'sinyal', 'kek', 'gua', 'telkomnyet', 'jaman', 'blom', 'butuh', 'ktp', 'kali', 'gua', 'kecewa', '']</t>
  </si>
  <si>
    <t>['sanggat', 'bagus', 'afk', '']</t>
  </si>
  <si>
    <t>['woyyy', 'ganti', 'rugi', 'telkomsel', 'aneh', 'beli', 'paket', 'unlimited', 'pas', 'buka', 'kemakan', 'kuota', 'utama', 'pulsa', 'gua', 'habis', 'rugi', 'gini', 'langganan', 'tolong', 'diperbaiki', '']</t>
  </si>
  <si>
    <t>['telkomsel', 'bringas', 'poin', 'nukarnya', 'pkek', 'pulsa', 'udah', 'gitu', 'biaya', 'pulsanya', 'ngak', 'ngotak', 'pejabat', 'telkomsel', 'poin', 'pengisian', 'ulang', 'tiadakan', 'sakit', 'hati', 'terimakasih']</t>
  </si>
  <si>
    <t>['kasih', '']</t>
  </si>
  <si>
    <t>['oia', 'undi', 'undi', 'happy', 'telkomsel', 'nggak', 'sekedar', 'kebohongan', 'belaka', 'poin', 'telkomsel', 'berguna', 'nggak', 'undi', 'undi', 'happy', 'nggak', 'kabar', 'menang', 'undian', 'nggak', 'benarnya', '']</t>
  </si>
  <si>
    <t>['ngelek', 'lise', 'treakk', 'mulu', 'dikatain', 'lahh', 'knp', 'gampang', 'habis', 'pulsanya', 'enggk', '']</t>
  </si>
  <si>
    <t>['kecewa', 'telkomsel', 'gunanya', 'poin', 'suruh', 'kumpulin', 'poin', 'alhamdulillah', 'poin', 'tukar', 'kouta', 'malem', 'gerimis', 'kluarpun', 'coba', 'tukarkan', 'ehh', 'jawabannya', 'maaf', 'kategori', 'truz', 'gunanya', 'poin', 'reting', 'kasih', 'perbaiki', 'tambahkan', 'ratingnya', 'terimakasih']</t>
  </si>
  <si>
    <t>['terbaik', 'kepuasan', 'pelanggan', 'dpat', 'mobil', 'telkomsel', 'poin', 'rutin', 'tukar', 'poin', 'insya', 'allah']</t>
  </si>
  <si>
    <t>['layanan', 'combo', 'sakti', 'hilang']</t>
  </si>
  <si>
    <t>['sinyalnya', 'jelek', 'kayak', 'kenceng', 'nonton', 'tiktok', 'maen', 'game', 'parah', 'lagnya', 'ngotak', 'gara', 'sinyal', 'telkomsel', 'jelek', 'kecewa', 'banget', 'gua', 'pakek', 'pakek', 'kartu', 'udah', 'lunasin', 'pulsa', 'darurat', 'nagih', 'pas', 'isi', 'ulang', 'langsung', 'potong', 'operator', 'nagih', 'customer', 'bingung', 'internetan', 'lemotnya', 'parah', 'kayak', 'telkomsel', 'parah', 'leletnya', '']</t>
  </si>
  <si>
    <t>['hadiah', 'undiannya', 'hoax']</t>
  </si>
  <si>
    <t>['sinyal', 'npa', 'full']</t>
  </si>
  <si>
    <t>['hemat', 'mudah']</t>
  </si>
  <si>
    <t>['telkomsel', 'yth', 'udah', 'beli', 'ketengan', 'unlimited', 'youtube', 'kadang', 'kuota', 'utama', 'kesedot', 'tolong', 'perbaiki', 'sistemnya', 'sampe', 'jebol', 'kuota', 'utama', 'pulsa', 'sampe', 'rupiah', 'internet', 'buruk', 'lelet', 'bagus', 'bagusnya', 'udah', 'mahal', 'lelet', 'keceewa', 'berat', '']</t>
  </si>
  <si>
    <t>['curang', 'telkomsel', 'payah', 'beli', 'paketan', 'utuk', 'internet', 'gb', 'multimedia', 'youtube', 'game', 'gb', 'anehnya', 'youtube', 'kesedot', 'paketan', 'multimedia', 'paketan', 'internet', 'hoyyyy', 'curang', 'tanggung', 'pindah', 'operator', 'sebelah', 'kecurangan']</t>
  </si>
  <si>
    <t>['min', 'jaringan', 'internet', 'daerah', 'pakai', 'streaming', 'maen', 'games', 'maen', 'aman', 'aman', 'skrang', 'udah', 'jaringan', 'turun', 'jaringan', '']</t>
  </si>
  <si>
    <t>['signyal', 'kartu', 'hallo', 'chat', 'jam', 'kot', 'login', 'game', 'streaming', 'nyesel', 'bayar', 'mahal', 'fix', 'gwa']</t>
  </si>
  <si>
    <t>['sinyalny', 'jelek', 'telkomsel', 'seluler', 'terbaik', '']</t>
  </si>
  <si>
    <t>['amazing', 'makasih', 'telkomsel', 'maju', 'sukses']</t>
  </si>
  <si>
    <t>['gangguan', 'nasional', 'tempo', 'sinyal', 'kuat', 'tolong', 'perbaiki', 'tekomsel', 'kembalikan', 'sekuat', '']</t>
  </si>
  <si>
    <t>['mohon', 'maaf', 'kasih', 'bintang', 'beli', 'kuota', 'unlimited', 'youtube', 'mengakses', 'youtube', 'terpotong', 'kuota', 'reguler', 'nomer', 'jengkel', 'kartunya', 'kupotong', 'kubuang', 'ganti', 'pakai', 'nomer', 'utama', 'beli', 'kuota', 'swadaya', 'gojek', 'beli', 'kuota', 'unlimited', 'youtube', 'akses', 'youtube', 'terpotong', 'kuota', 'swadaya', 'gojek', 'beli', 'unlimited', 'youtube', '']</t>
  </si>
  <si>
    <t>['telkomsel', 'jaringan', 'mengecewakan', 'jaringan', 'busuk', 'kesal', 'mengalami', 'gangguan', 'jaringan', 'parahhhh', '']</t>
  </si>
  <si>
    <t>['pilihan', 'belanja', 'paket', 'mengecewakan', '']</t>
  </si>
  <si>
    <t>['jaringan', 'lemot', 'suka', 'hilang', 'poco', 'nfc']</t>
  </si>
  <si>
    <t>['promo', 'kuota', 'utama', 'tdak', 'bsa', 'buka', '']</t>
  </si>
  <si>
    <t>['iklan', 'doang', 'sinyal', 'kuat', 'perbaiki', 'sinyal', '']</t>
  </si>
  <si>
    <t>['pulsa', 'kesedot', 'barusan', 'isi', 'pulsa', 'kemakan', 'paket', 'internet', 'omg', 'berlangganan']</t>
  </si>
  <si>
    <t>['telkomsel', 'bangkrut', 'ngisi', 'pulsa', 'msuk', 'dikomplin', 'ttp', 'dikirim']</t>
  </si>
  <si>
    <t>['tolong', 'yahh', 'telkomsel', 'kartu', 'sultann', 'paketnya', 'mahal', 'kayak', 'operator', 'tetangga', 'tree', 'mati', 'lampu', 'jaringan', 'mati', 'membabikan', 'anjinhh']</t>
  </si>
  <si>
    <t>['sinyal', 'lelet', 'banget']</t>
  </si>
  <si>
    <t>['telkom', 'buka', 'aplikasi', 'clasroom', 'kuota', 'mahal', 'sinyal', 'jelek', 'tolong', 'suka', 'telkom', 'kuota', 'murah', 'sinyal', 'bagus', 'beda', 'dasar', 'curang']</t>
  </si>
  <si>
    <t>['memudahkan', 'pengguna', 'bertrandaksi']</t>
  </si>
  <si>
    <t>['mantap', 'cmn', 'aplikasi', 'muncul', 'menu']</t>
  </si>
  <si>
    <t>['sinyal', 'jelek', 'klw', 'paket', 'data', 'bermain', 'game', 'hilang', 'sinyal', 'klw', 'internet', 'pulsa', 'wahh', 'kenceng', 'nanny', 'penipuan', 'dasar', 'parah']</t>
  </si>
  <si>
    <t>['busuk', 'jaringan', 'trouble', 'kelar', 'tulisan', 'internet', 'nol', 'busuk']</t>
  </si>
  <si>
    <t>['sinyal', 'asuuu', 'paket', 'mahall', 'butuh', 'kestabilannn']</t>
  </si>
  <si>
    <t>['jaringan', 'telkomsel', 'dipakai', 'main', 'game', 'jelek', 'nge', 'youtube', 'buka', 'bagus', 'mohon', 'jawabannya', '']</t>
  </si>
  <si>
    <t>['bagus', 'aplikasinya', 'banyakin', 'program', 'combo']</t>
  </si>
  <si>
    <t>['telkomsel', 'sinyalnya', 'jelek', 'banget', '']</t>
  </si>
  <si>
    <t>['damn', 'keluhan', 'telkomsel', 'tpi', 'smua', 'dianjurin', 'menghubungi', 'call', 'center', 'apapun', 'tanggung', 'kehabisan', 'kuota', 'lgsg', 'nyedot', 'pulsa', 'rb', 'asli', 'bangke', 'mah', 'paket', 'kuotanya', 'mahal', 'sinyal', 'kayak', 'siput', 'aplikasi', 'mytelkomsel', 'susah', 'digunain', 'fasilitas', 'pembayaran', 'susah', 'banget', 'kartu', 'debit', 'kredit', 'bener', 'parah', 'ngakunya', 'provider', 'terbesar', 'indonesia', 'malu', 'malaysia', 'nyediain', 'kuota', 'internet', 'murah', 'warganya']</t>
  </si>
  <si>
    <t>['kartu', 'game', 'liat', 'youtube', 'ngerjakan', 'tugas', 'gabisa', 'lancar', 'gaenak', 'udh', 'mahal', 'gaenak', 'kuota', 'buka', 'hadehh', 'kecewa']</t>
  </si>
  <si>
    <t>['jaringan', 'telkomsel', 'gblg', 'bangett', 'lahh', 'kecewa']</t>
  </si>
  <si>
    <t>['kuota', 'sinyal', 'lokasi', 'susah', 'sinyal', 'buffering', 'kuota', 'termakan', 'mengecewakan']</t>
  </si>
  <si>
    <t>['layanan', 'lelet', 'sinyal', 'lelet', 'customer', 'service', 'males', 'kerja', 'kayak', 'gini', 'bintang', 'dihapus', 'indonesia', 'udah', 'bayar', 'kuota', 'ngelag', 'dipakai', '']</t>
  </si>
  <si>
    <t>['beli', 'paket', 'internet', 'besok', 'kuota', 'pemerintah', 'kuota', 'dipake', 'gara', 'kuota', 'pemerintah', 'terbuang', 'sia', 'beli', 'kuota', 'sinyal', 'bagus', 'sinyalnya', 'jelek', 'telkomsel', 'masalahku', 'orang', 'udah', 'pindah', 'simcard', 'karna', 'murah', 'sinyalnya', 'bagus', 'saranku', 'adain', 'switch', 'penggunaan', 'kuota', 'parah', 'banget', 'mahal', 'beli', 'kuota']</t>
  </si>
  <si>
    <t>['kesini', 'parah', 'sinyal', 'langganan', 'paket', 'gb', 'sinyalnya', 'nonton', 'youtube', 'loading', 'ampun', 'hujan', 'tolong', 'perbaiki', 'pelayanannya']</t>
  </si>
  <si>
    <t>['lemot', 'kemarin', 'kuota', 'gini', 'trus', 'rugi', 'beli', 'kuota', 'mahal', '']</t>
  </si>
  <si>
    <t>['paketan', 'mahal', 'sinyalnya', 'down', 'tolong', 'diperbaiki']</t>
  </si>
  <si>
    <t>['sinyal', 'telkomsel', 'down', 'kali', 'tinggal', 'daily', 'login', 'jaringannya', 'off', 'koneksi', 'terlewat', 'daily', 'login', 'kecewa', 'telkomsel', 'tolonglah', 'perbaiki', 'pelayanannya', 'kirim', 'sms', 'promo', 'kinerja', 'becus', '']</t>
  </si>
  <si>
    <t>['aplikasi', 'bagus', 'berguna', 'banget']</t>
  </si>
  <si>
    <t>['paket', 'mahal', 'jaringan', 'buruk', 'rekomen', 'pakek', 'telkom']</t>
  </si>
  <si>
    <t>['praktis', 'beli', 'paket']</t>
  </si>
  <si>
    <t>['akselerasi', 'internet', 'telkomsel', 'pas', 'hujan', 'sungguh', 'menyedihkan', 'lemot', 'banget', 'download', 'video', 'dibawah', 'menit', 'ampun', 'mahal', 'iya', 'lemot', 'iya', 'kecepatan', 'drop', 'parah', 'maaf', 'ganti', 'kuning', 'langsung', 'fullspeed']</t>
  </si>
  <si>
    <t>['kaget', 'hrg', 'beli', 'pulsa', 'beli', 'pulsa', 'tambahin']</t>
  </si>
  <si>
    <t>['jaringan', 'jls', 'mending', 'beli', 'kartu']</t>
  </si>
  <si>
    <t>['gimana', 'telkomsel', 'bagus', 'paraah', 'tolong', 'perbaiki']</t>
  </si>
  <si>
    <t>['siip', 'pokoknya']</t>
  </si>
  <si>
    <t>['mudah', 'membeli', 'pulsa']</t>
  </si>
  <si>
    <t>['jaringan', 'telkomsel', 'parah', 'pulsa', 'hilang', 'pulsa', 'sisa', 'beli', 'data', 'kuota', 'rb', 'skrg', 'sisa', 'rb', 'kecewa', '']</t>
  </si>
  <si>
    <t>['buruk', 'telkomsel', 'pulsa', 'habis', 'bayar', 'paket', 'darurat', 'udah', 'lunas', 'utang', 'lunas', 'lunas', 'namanya', 'rentenir']</t>
  </si>
  <si>
    <t>['aplikasi', 'berguna', 'manfaat']</t>
  </si>
  <si>
    <t>['', 'memuaskan', 'jaringan', 'josss']</t>
  </si>
  <si>
    <t>['min', 'knpa', 'hilang', 'unlimitedmax', 'kecewa', 'min', 'card', 'ceria', 'unlimitedmax', 'setidak', 'adain', 'min', 'ceria']</t>
  </si>
  <si>
    <t>['buruk', 'buruk', 'buruk', 'asli', 'jaringannya', 'buruk', 'nyesal', 'beli', 'telkomsel']</t>
  </si>
  <si>
    <t>['semoga', 'bermanfaat']</t>
  </si>
  <si>
    <t>['mudah', 'cek', 'pulsa', 'data', 'cerita', 'kandala', 'kartu', 'lasung', 'dilayani', 'keluhan', 'menit', 'kendala', 'kartu', 'langsung', 'beres', '']</t>
  </si>
  <si>
    <t>['sinyal', 'jaringan', 'buruk', 'paket', 'mahal', '']</t>
  </si>
  <si>
    <t>['parah', 'banget', 'sinyalnya', 'parah', 'parah']</t>
  </si>
  <si>
    <t>['kak', 'sekrng', 'isi', 'bayar', 'pakai', 'shoopepay', 'pdhal']</t>
  </si>
  <si>
    <t>['sinyal', 'tolong', 'perbaiki', 'kerja', 'terganggu']</t>
  </si>
  <si>
    <t>['kuota', 'gb', 'internetan', 'kesedot', 'pulsanya', 'sayang', 'ibuku']</t>
  </si>
  <si>
    <t>['lemot', 'update', 'susah', 'kebukan', 'buka', 'aplikasinya', 'proses', 'habis', 'pulsa', '']</t>
  </si>
  <si>
    <t>['aplikasinya', 'lemot', 'mohon', 'perbaiki', 'terimakasih']</t>
  </si>
  <si>
    <t>['jaringan', 'lelet', 'masak', 'rumah', 'kota', 'jamkot', 'suruh', 'rumah', 'jamkot', 'tolong', 'perbaiki', 'rumah', 'goa', '']</t>
  </si>
  <si>
    <t>['murahnya']</t>
  </si>
  <si>
    <t>['smoga', 'kedepannya', 'perbaikan', 'jaringan', 'merata', 'keseluruh', 'nusantara', 'bintang', 'dlu', 'mksih']</t>
  </si>
  <si>
    <t>['wow', 'murah', 'nampol']</t>
  </si>
  <si>
    <t>['paketan', 'telkomsel', 'mahal', 'jaringan', 'gangguan', 'hadeh', 'sumbut']</t>
  </si>
  <si>
    <t>['sinyalnya', 'nggak', 'udah', 'mantaplah']</t>
  </si>
  <si>
    <t>['paket', 'unlimited', 'youtube', 'kepotong', 'kuota', 'utama', 'habis', 'kuota', 'utama', 'pulsa', 'anjingg', 'kemarin', 'normal', 'normal', 'asuuu']</t>
  </si>
  <si>
    <t>['sinyal', 'telkomsel', 'jelek', 'kuota', 'beli', 'buka', 'dikasi', 'gratis', 'beli', 'kuota', 'telkomsel']</t>
  </si>
  <si>
    <t>['bagus', 'paket', 'spesial', 'menu', 'telkomsel', 'playstore']</t>
  </si>
  <si>
    <t>['biyar', 'jaya', 'telkomsel']</t>
  </si>
  <si>
    <t>['bagus', 'puas']</t>
  </si>
  <si>
    <t>['nomor', 'chat', 'hadiah', 'undian', 'vocer', 'pulsa', 'juta', 'pengen', 'nanya', 'langsung', 'mytelcomsel', 'mengadakan', 'undian', 'karna', 'hadiah', 'undian', 'mytelcomsel']</t>
  </si>
  <si>
    <t>['jelek', 'paket', 'combo', 'unlimited', 'ganti', 'mahal']</t>
  </si>
  <si>
    <t>['instaaaallllll', 'sinyal', 'bosok', 'darah', 'omg', 'hilaaaaaaaaaaaaaaaaaaaaaaaaaaaaaaaaaaaaaaaaaaaaaaaaaaaaaaaaaaaaaaaaaaaaaaaaaaaaaaaaaaaaaaaaaaaaaaaaaaaaaaaaaaaaaaaaaaaaaaaaaaaaaaaaaaaaaaaaaaaaaaaaaaaaaaaaaaaaaaaaaaaaaaaaaaaaaaaaaaaaaaaaaaaaaaa', 'aaaaaaaaaaa', 'aaaaaaaaaaaaaaaaaaaaaaaaaaaaaaaaaaaaaaaaaaaaaaaaaaaaaaaaaaaaaaaaaaaaaaaaaaaaaaaaaaaaaaaaaaaaaaaaaaaaaaaaannnnnnnnnnnnnnnggggggggggggggggggggggggggggggggggggggggggggggggggggggggggggggggggggggggggggggggg', 'omg', 'nyaaaaaaaaaaaaaaaaaaa']</t>
  </si>
  <si>
    <t>['suka', 'membantu', 'terimakasih', 'telkomsel', '']</t>
  </si>
  <si>
    <t>['mantap', 'unik']</t>
  </si>
  <si>
    <t>['', 'ngomong']</t>
  </si>
  <si>
    <t>['susah', 'kali', 'jaringan', 'tapanuli', 'utara', 'hujan', 'tolong', 'perbaiki', 'terimakasih']</t>
  </si>
  <si>
    <t>['membantu', 'pembelian', 'paket', 'data', 'internet']</t>
  </si>
  <si>
    <t>['hujan', 'mati', 'lampu', 'jaringan', 'rusak', 'parah', 'telkomsel', 'parah']</t>
  </si>
  <si>
    <t>['murahin', 'paketnya']</t>
  </si>
  <si>
    <t>['telkomsel', 'gimana', 'jaringannya', 'kecewa', 'telkomsel', 'kecewa', 'main', 'game', 'lag', 'gara', 'sinyalnya', 'ngak', 'gerak', 'mohon', 'sinyalnya', 'diperbaiki']</t>
  </si>
  <si>
    <t>['sinyal', 'suka', 'susah', '']</t>
  </si>
  <si>
    <t>['uda', 'instal', 'suruh', 'download', '']</t>
  </si>
  <si>
    <t>['mahal', 'kartu']</t>
  </si>
  <si>
    <t>['buka', 'apk', 'instal', 'ulang', 'instal', 'ulang', 'dibuka', 'boros', 'kuota']</t>
  </si>
  <si>
    <t>['coi', 'jaringan', 'lalot', 'download', 'aplikasi', 'nyesel', 'karna', 'download', 'aplikasi', 'menyesal', '']</t>
  </si>
  <si>
    <t>['prioritas', 'paket', 'internetnya', 'prioritas', 'pemakaian', 'kuota', 'internet', 'tenggatnya', 'kemakan']</t>
  </si>
  <si>
    <t>['bingung', 'kartu', 'ilang', 'sibuk', 'kerja', 'unreg', 'kartu', 'engga', 'grapari', 'bingung', 'atur', 'jadwal', 'kesono', 'didiemin', 'max', 'nik', 'hmm']</t>
  </si>
  <si>
    <t>['sumpah', 'aplikasi', 'update', 'mulu', 'udh', 'beli', 'ketengan', 'youtube', 'karna', 'blm', 'update', 'kuota', 'utama', 'berkurang', 'gb', 'pulak', '']</t>
  </si>
  <si>
    <t>['murah', 'cepat', 'lengkap']</t>
  </si>
  <si>
    <t>['membantu', 'beli', 'pulsa', 'internet', 'dll', 'mudah', 'aksesnya', '']</t>
  </si>
  <si>
    <t>['alhamdulillah', 'telkomsel', 'aman', 'mudah', 'maju', 'telkomsel', 'kedepannya', '']</t>
  </si>
  <si>
    <t>['aplikasinya', 'mantap', 'deh', 'pokoknya', 'nyesal', 'downloadnya']</t>
  </si>
  <si>
    <t>['tsel', 'lemotttt', 'bangettt', 'lag', 'main', 'mati', 'mulu', 'kalah', 'mulu', 'gara', 'gara', 'lemotttttt', '']</t>
  </si>
  <si>
    <t>['tolong', 'bagusin', 'jaringan', 'nyaa', 'yaa', 'pas', 'main', 'gamee', '']</t>
  </si>
  <si>
    <t>['pertahankan', 'jaringan', 'buruk', 'pertahankan', 'harga', 'paket', 'mahal', 'pengguna', 'tsel', 'memutuskan', 'meninggalkan', 'tsel', 'yng', 'tsel', 'yng', 'jaringan', 'terluas', 'skrng', 'tsel', 'jaringan', 'terburuk', 'dunia']</t>
  </si>
  <si>
    <t>['knapa', 'beli', 'paket', 'isi', 'pulsa', 'beli', 'paket', 'kombo', 'sakti', 'klik', 'tulisan', 'beli', 'berwarna', 'merah', 'klik', 'dibeli', 'tolong', 'sampe', 'korban', 'pulsa', 'dipaketin', 'doang', 'tolong', 'dibenerin', 'kesini', 'aneh']</t>
  </si>
  <si>
    <t>['memuaskan', 'harga', 'berubah', 'berubah', 'sinyal', 'setabil', 'mahal']</t>
  </si>
  <si>
    <t>['membantu', 'jaringan', 'luas', 'pelosok', 'desa', '']</t>
  </si>
  <si>
    <t>['tpi', 'tolong', 'perbaiki', 'dalh', 'harga', 'pket', 'internet', 'trlalu', 'mhl', '']</t>
  </si>
  <si>
    <t>['woi', 'anjg', 'ngisi', 'pulsa', 'rb', 'pdhl', 'paket', 'pulsa', 'sisa', 'rb', 'emng', 'sedot', 'gara', 'gara', 'data', 'seluler', 'idup', 'kesedot', 'sisa', 'rb', 'ngotak', 'babi', 'kartu', 'gblk', 'balikin', 'pulsa', 'tuntut', 'telkomsel', '']</t>
  </si>
  <si>
    <t>['parah', 'banget', 'kwalitas', 'internetnya', 'sisa', 'kuota', 'gb', 'browsing', 'lemot', 'lambat', 'gagal', 'menghubungkan', 'buka', 'youtube', 'lihat', 'videonya', 'macet', 'parah', 'gagal', 'menghubungkan', 'kodisi', 'sinyal', 'penuh', 'jaringan', 'telkomsel', 'payah', 'banget', 'pelit', 'internet', 'bodoh', '']</t>
  </si>
  <si>
    <t>['nggak', 'harga', 'paket', 'internet', 'simpati', 'telkomsel', 'harganya', 'murah', 'gb', 'paketan', 'internet', 'telkomselnya', 'murah', 'kuota', 'nggak', '']</t>
  </si>
  <si>
    <t>['kasih', 'bintang', 'respon', 'coba', 'cek', 'nomor', 'pakai', 'paketan', 'bulanan', 'mahal', 'mahal', 'dominan', 'extra', 'pulsa', 'browsing', 'saj', 'alemot', 'banget', 'telkomsel', 'kecewa', 'banget', 'comen', 'kasih', 'nomor', 'liat', 'coment', 'buruk', 'pelayanan', 'provider', '']</t>
  </si>
  <si>
    <t>['membantu', 'disaat', 'bnr', 'bnr', 'makasih', 'telkomsel']</t>
  </si>
  <si>
    <t>['telkomsel', 'tolonglaahh', 'sinyaljangan', 'hilang', 'timbul', '']</t>
  </si>
  <si>
    <t>['internet', 'beli', 'telkomsel', 'coba']</t>
  </si>
  <si>
    <t>['akses', 'google', 'play', 'store', 'pas', 'download', 'upadet', 'app', 'akses', 'google', 'play', 'store', 'mending', 'diganti', 'akses', 'google', 'cepat', 'udh', 'akses', 'google', 'lemot', 'play', 'store', 'imbang', 'salah', 'off', 'klau', 'kayak', 'gini', 'rating', 'app', 'turun']</t>
  </si>
  <si>
    <t>['sinyalnya', 'bagus', 'top', 'markotop']</t>
  </si>
  <si>
    <t>['mantab', 'beli', 'paket', 'langsung', 'masuk', 'paketnya', '']</t>
  </si>
  <si>
    <t>['aplikasi', 'bagus', 'membantu', 'mempermudah', 'transaksi', '']</t>
  </si>
  <si>
    <t>['turun', 'star', 'kirim', 'paket', 'nomor', '']</t>
  </si>
  <si>
    <t>['telkomsel', 'kesini', 'jaringan', 'jelekkkk', 'kuota', 'ttp', 'jelekkkk', 'dpt', 'award', 'jaringan', 'tercepat', 'jaringannya', 'jelekkk', '']</t>
  </si>
  <si>
    <t>['aplikasi', 'bagus', 'good', 'job']</t>
  </si>
  <si>
    <t>['membantu', 'memudahkan', 'pengguna', 'telkomsel', 'thankss', 'telkomsel', 'pokonya', 'the', 'best', 'lahhh']</t>
  </si>
  <si>
    <t>['membantu', 'terutana', 'kebutuhan', 'pulsa', 'mendesak', 'dimanapun', 'cepat', 'mudah', '']</t>
  </si>
  <si>
    <t>['telkomsel', 'sinyalnya', 'bagus', 'daerah', 'th', 'lancar', 'skr', 'mbambet', 'sinyalnya']</t>
  </si>
  <si>
    <t>['muyak', 'buka', 'muncul', 'tawaran', 'pinjaman', 'paket', 'data', 'ribu', 'terkesan', 'memaksa']</t>
  </si>
  <si>
    <t>['not', 'bad', 'tingkatkan', 'teruss']</t>
  </si>
  <si>
    <t>['sayang', 'udah', 'tukar', 'poin', 'menang', 'undian', 'curang', 'aplikasi', '']</t>
  </si>
  <si>
    <t>['bermanfaat', 'praktis', 'ribet', '']</t>
  </si>
  <si>
    <t>['ribet', 'kartu', 'hallo', 'bagusan', 'ganti', 'prabayar', 'menyesal', '']</t>
  </si>
  <si>
    <t>['terbaik', '']</t>
  </si>
  <si>
    <t>['pelanggar', 'setia', 'trobel', 'trus', 'jaringan', 'data', 'jam', 'kerja', 'jam', 'sibuk', 'pelanggar', 'kabur', 'profider', 'sebelah', '']</t>
  </si>
  <si>
    <t>['kecewa', 'telkomsel', 'harga', 'paketan', 'internet', 'mahal', 'jaringan', 'hilang', 'mengganggu', 'ajg', 'gitu', 'mending', 'turunin', 'harga', 'paketan', 'internet']</t>
  </si>
  <si>
    <t>['diupdate', 'beli', 'paket', 'mohon', 'diperbaiki', 'min']</t>
  </si>
  <si>
    <t>['mempermudah', 'proses', 'penggunaan', '']</t>
  </si>
  <si>
    <t>['hati', 'hati', 'penipuan']</t>
  </si>
  <si>
    <t>['mahal', 'mytelkomsel', 'isi', 'pulsa', 'counter']</t>
  </si>
  <si>
    <t>['sinyal', 'telkomsel', 'penipu', 'paket', 'kecepatan', 'data', 'setara', 'bagus', 'koneksi', 'busuk', 'mengurangi', 'kecepatan', 'data', 'jual', 'masyarakat', 'telkomsel', 'korup', '']</t>
  </si>
  <si>
    <t>['cepat', 'fast', 'respon']</t>
  </si>
  <si>
    <t>['bagus', 'pelayanan', 'telkomsel']</t>
  </si>
  <si>
    <t>['parah', 'sinyalnya', 'pakai', 'telkom', 'parah', 'jaringan', 'salam', 'dri', 'driver', 'gojek']</t>
  </si>
  <si>
    <t>['membantu', 'terimakasi']</t>
  </si>
  <si>
    <t>['puas', 'bagus', 'mudah', 'murah', 'dlm', 'pembelian', 'semoga', 'tingkat', '']</t>
  </si>
  <si>
    <t>['telkomsel', 'pulsa', 'kepotong', 'ganti', 'inimah', '']</t>
  </si>
  <si>
    <t>['sinyal', 'emosi']</t>
  </si>
  <si>
    <t>['harga', 'kuota', 'ketengan', 'trus', 'unlimited', 'naiknya', 'beli', 'pulsa', 'ribet']</t>
  </si>
  <si>
    <t>['pertahan', 'tingkatan', 'jaringannya']</t>
  </si>
  <si>
    <t>['telkomsel', 'isi', 'pulsa', 'langsung', 'terpotong', 'terpotong', 'males', 'bet', 'tolong', 'usut', 'telkomsel', 'sia', 'sia', 'beli', 'pulsa', 'lol', '']</t>
  </si>
  <si>
    <t>['tukar', 'poin', 'paket']</t>
  </si>
  <si>
    <t>['mohon', 'paketan', 'habis', 'pulsanya', 'ambil', 'biarin', 'isi']</t>
  </si>
  <si>
    <t>['perbaiki', 'kasih', 'bintang', 'menginstal', 'android', '']</t>
  </si>
  <si>
    <t>['aplikasinya', 'makan', 'daya', 'habis', 'buka', 'peringatan', 'pemakaian', 'baterai']</t>
  </si>
  <si>
    <t>['kuota', 'mahal', 'kualitas', 'jelek', 'hadeh']</t>
  </si>
  <si>
    <t>['ngeri', 'ngeri', 'capek', 'nunggu', 'jaringan']</t>
  </si>
  <si>
    <t>['telkomsel', 'provider', 'gua', 'udah', 'beli', 'kuota', 'unlimited', 'youtube', 'pas', 'nonton', 'youtube', 'kuota', 'reguler', 'gua', 'kesedot', 'gua', 'chat', 'gada', 'membantu', 'perusahan', 'apan', 'sihh', 'penipu', 'curang', 'rugi', 'gua']</t>
  </si>
  <si>
    <t>['kecewa', 'kuota', 'bnyak', 'pemakaian', 'non', 'kuota', 'pulsa', 'rbu', 'hilang', 'maren', 'rbu', 'hilang', 'bngkrut', 'mah', 'gini', '']</t>
  </si>
  <si>
    <t>['telkomselbaik', 'mangirimkan', 'paket', 'gratis']</t>
  </si>
  <si>
    <t>['mantap', 'pokonya', 'mah']</t>
  </si>
  <si>
    <t>['kartu', 'mahal', 'udah', 'makek', 'kartu', 'anehhhh']</t>
  </si>
  <si>
    <t>['kecewa', 'gue', 'gue', 'pengguna', 'telkomsel', 'jaman', 'smp', 'sampe', 'skrg', 'dapet', 'kuota', 'kombo', 'sakti', 'rb', 'gue', 'beli', 'kartu', 'dapet', '']</t>
  </si>
  <si>
    <t>['dipertahankan', 'sinyalnya', '']</t>
  </si>
  <si>
    <t>['pulsa', 'disedot', 'lngsung', 'pdhl', 'telp', 'pakai', 'wifi', 'pakai', 'intenet', 'gmna', 'telkomsel', 'hobi', 'nyolong', 'anak', 'jga', 'kejadiannya', 'suruh', 'email', 'telkomsel', 'solusi']</t>
  </si>
  <si>
    <t>['pembelian', 'playstore', 'pulsa', 'mencukupi', 'keterangan', 'pulsa', 'mencukupi', 'keluhan', 'suruh', 'menunggu']</t>
  </si>
  <si>
    <t>['bagus', 'kadang', 'suka', 'nge', 'lag']</t>
  </si>
  <si>
    <t>['mudah', 'masuknya']</t>
  </si>
  <si>
    <t>['belom', 'menang', 'undian']</t>
  </si>
  <si>
    <t>['sinyal', 'kwalitas', 'terbaik']</t>
  </si>
  <si>
    <t>['mantap', 'app', 'mytelkomsel', '']</t>
  </si>
  <si>
    <t>['jaringan', 'ngeleg', 'harga', 'doang', 'mahal', 'jaringannya', 'bagus']</t>
  </si>
  <si>
    <t>['baca', 'dimudahkan', 'urusannyaa', 'amiin', '']</t>
  </si>
  <si>
    <t>['sinyal', 'jaringan', 'jelek', 'harganya', 'mahal', 'mendingan', 'pindah', 'provider', 'telkomsel']</t>
  </si>
  <si>
    <t>['paketan', 'mahal', 'jaringan', 'busuk', 'telkomsel', 'kyk', 'dlu', 'telkomsel', 'skrng', 'bad', 'kyk', 'dlu', 'jaringan', '']</t>
  </si>
  <si>
    <t>['mudah', 'cepat', 'membnatu', 'isi', 'pulsa', 'internet', 'tersisa']</t>
  </si>
  <si>
    <t>['sinyal', 'kacau']</t>
  </si>
  <si>
    <t>['internet', 'max']</t>
  </si>
  <si>
    <t>['sumpah', 'pulsa', 'dimakan', 'dipakek', 'tolong', 'kak', 'gitu', 'pelajar', 'jdi', 'pulsa', 'ditelen', 'pengeluaran', 'jdi', 'lipat', 'dri', '']</t>
  </si>
  <si>
    <t>['respon', 'cepat', '']</t>
  </si>
  <si>
    <t>['beli', 'paket', 'combo', 'sakti']</t>
  </si>
  <si>
    <t>['layanan', 'lambat']</t>
  </si>
  <si>
    <t>['paket', 'data', 'mahal', 'mahal', 'jaringan', 'kena', 'mendung', 'lemot', 'kayak', 'exis', 'bayar', 'mahal', 'kayak', 'internet', 'murahan']</t>
  </si>
  <si>
    <t>['telkomsel', 'knpa', 'perform', 'telkomsel', 'menurun', 'pakai', 'internet', 'susa', 'jaringan', 'skrang', 'mlah', 'turun', 'tinggal', 'hutan']</t>
  </si>
  <si>
    <t>['beli', 'paket', 'berhasil', 'cek', 'nol']</t>
  </si>
  <si>
    <t>['top', 'gagal', 'item', 'game', 'pulsa', 'terpotong', 'sia', 'sia', 'telkomsel', 'tolong', 'cek', 'erorr', 'top', 'potong', 'pulsa', 'namanya', 'maling', 'gitu']</t>
  </si>
  <si>
    <t>['kerreen', 'aajjaa', 'tsel', 'udah', 'lammaa', 'apk', 'hapus', 'krna', 'muat', 'skrg', 'download', 'allamaak', 'kerreen', 'abiiss', 'maaf', 'yaa', 'ndesoo', '']</t>
  </si>
  <si>
    <t>['telkomsel', 'isi', 'pulsa', 'rb', 'pulsa', 'potong', 'rb', 'ambil', 'kuota', 'darurat', 'ngambil', 'kuota', 'darurat', 'tolong', 'telkomsel']</t>
  </si>
  <si>
    <t>['sinyal', 'jelek', 'parah', 'asli', 'mah']</t>
  </si>
  <si>
    <t>['bagus', 'kali']</t>
  </si>
  <si>
    <t>['kaya', 'peket', 'internet']</t>
  </si>
  <si>
    <t>['suka', 'suara', 'masuk']</t>
  </si>
  <si>
    <t>['puluhan', 'telkomsel', 'sgt', 'puas', 'pelayanan', 'jaringannya']</t>
  </si>
  <si>
    <t>['mesih', 'bug']</t>
  </si>
  <si>
    <t>['sinyal', 'ilang', 'perbaiki', 'woi', 'kaya', 'gini', 'pke', 'kartu', 'udah', 'paketan', 'mahal', 'sinyal', 'jaringan', 'ilang', 'bodoh']</t>
  </si>
  <si>
    <t>['mohon', 'maaf', 'sinyal', 'internet', 'simpati', 'susah', 'lemot', 'banget', '']</t>
  </si>
  <si>
    <t>['paket', 'cepat', 'habis']</t>
  </si>
  <si>
    <t>['mantap', 'puass', 'telkomsel']</t>
  </si>
  <si>
    <t>['mahal', 'doang', 'paketannya', 'lemot', 'jaringannya']</t>
  </si>
  <si>
    <t>['mempermudah', 'memiliki', 'kartu', 'telkomsel']</t>
  </si>
  <si>
    <t>['sinyalnya', 'turun', 'kerja', 'online', 'beli', 'paketan', 'mahal', 'banget', 'tolong', 'diperhatiin', 'nyaman']</t>
  </si>
  <si>
    <t>['beli', 'paket', 'kouta', 'nonton', 'tpi', 'dipakai', 'nonton', 'kouta', 'reguler', 'sedot', 'maksud', 'pertanggung', 'telkomsel', 'balikin', 'paket', 'aktifkan', 'paket', 'nonton', 'mahal', 'dibeli', 'nggak', 'dipakai', 'penipuan', 'namanya', '']</t>
  </si>
  <si>
    <t>['mohon', 'maaf', 'gue', 'masuk', 'aplikasi', 'error', 'mlu', 'gue', 'wifi', 'knp', 'plis', 'respon']</t>
  </si>
  <si>
    <t>['kpd', 'yth', 'telkomsel', 'beserta', 'jajarannya', 'terimakasih', 'kemudahan', 'manfaat', 'kpd', 'lapisan', 'masyarakat', 'merevieu', 'tolong', 'bekasi', 'kabupaten', 'utara', 'utamanya', 'babelan', 'tarumajaya', 'jaringannya', 'perbanyak', 'perbaiki', 'mudah', 'akses', 'kesulitan', 'layanan', 'telkomsel', 'terimakasih', 'telkomsel', 'jayalah', 'best', 'regard', '']</t>
  </si>
  <si>
    <t>['sulit', 'membuka', 'mytelkomsel', 'mohon', 'bantuannya', 'terhambat', 'membeli', 'paketnya']</t>
  </si>
  <si>
    <t>['telkomsel', 'terdepan', 'josss']</t>
  </si>
  <si>
    <t>['knp', 'ngelag', 'banget', 'wibu']</t>
  </si>
  <si>
    <t>['telkomsel', 'error', 'kuota', 'jaringan']</t>
  </si>
  <si>
    <t>['beli', 'paket', 'ketengan', 'youtube', 'kebuka', 'dicek', 'kuota', 'youtube', 'kepake', 'tpi', 'data', 'dinyalain', 'dipake', '']</t>
  </si>
  <si>
    <t>['katax', 'provider', 'terbaik', 'tpi', 'lalodx', 'ampun', '']</t>
  </si>
  <si>
    <t>['jaringan', 'telkomsel', 'malam', 'down', 'didaerah', '']</t>
  </si>
  <si>
    <t>['ngelag', 'jaringan', 'suka', 'hilang', 'mahal', 'harga', '']</t>
  </si>
  <si>
    <t>['jaringan', 'wamena', 'ping', 'stabil', 'pakai', 'telkomsel', 'bagus', '']</t>
  </si>
  <si>
    <t>['gua', 'kasih', 'bintang', 'harga', 'kuota', 'seribu']</t>
  </si>
  <si>
    <t>['maaf', 'telkomsel', 'udah', 'secepat', 'telkomsel', 'smp', 'udah', 'berasa', 'temen', 'sinyal', 'sinyal', 'suka', 'drop', 'lemot', 'pokok', 'udah', 'sekencang', 'jujur', 'kecewa', 'mempertahankan', 'kualitas', 'sinyal']</t>
  </si>
  <si>
    <t>['perfec', 'deh', 'pokoknya']</t>
  </si>
  <si>
    <t>['telkomsel', 'nge', 'lag', 'sinyal', 'menggangu', 'banget', 'tolong', 'perbaiki', 'jaringan', '']</t>
  </si>
  <si>
    <t>['jelek', 'beli', 'paket', 'berkali', 'tpi', 'paketnya']</t>
  </si>
  <si>
    <t>['telkomsel', 'ancur', 'angin', 'ujan', 'mati', 'lampu', 'lag', 'kartu', 'mahal', 'jaringan', 'murah', '']</t>
  </si>
  <si>
    <t>['app', 'sungguh', 'membantu', '']</t>
  </si>
  <si>
    <t>['bagus', 'mudah', 'transaksi', 'pembelian', '']</t>
  </si>
  <si>
    <t>['membeli', 'paket', 'internet', 'via', 'apk', 'mytelkom', 'pembayaran', 'berhasil', 'via', 'ovo', 'kuota', 'bertambah', 'riwayat', 'pembelian', 'layanan', 'lambat', 'jam', 'menunggu', 'respon', 'proses', 'pengecekan', 'lambat', 'day', 'bertambah', 'kuota', '']</t>
  </si>
  <si>
    <t>['maaf', 'kasih', 'bintang', 'kasih', 'fitur', 'busuknya', 'pakai', 'kartu', 'telkomsel', 'rate', 'kasih', 'bot', 'pemberi', 'ulasan', 'emang', 'malunya']</t>
  </si>
  <si>
    <t>['dikembangkan']</t>
  </si>
  <si>
    <t>['uda', 'jaringan', 'telkomsel', 'harga', 'mahal', 'jaringan', 'murahan', 'alias', 'lemot', 'lelet', 'mending', 'beralih', 'kartu', '']</t>
  </si>
  <si>
    <t>['ngisi', 'pulsa', 'kesedot', 'mulu', 'tolong', 'diperbaiki', 'sistem', 'min', 'meresahkan', 'kesedot', 'gpp', 'berkali', '']</t>
  </si>
  <si>
    <t>['aplikasi', 'ngabisin', 'duit', 'orang', 'nunggu', 'otp', 'atm', 'maap', 'doang', 'customer', 'error', 'langsung', 'putus', 'maap', 'asuuuuu', '']</t>
  </si>
  <si>
    <t>['mahal', 'jaringn', 'bgus']</t>
  </si>
  <si>
    <t>['beli', 'paketan', 'telkomsel', 'murah']</t>
  </si>
  <si>
    <t>['penggunaan', 'data', 'super', 'lelet', 'dipakai', 'dikota', 'keluhan', 'langsung', 'perbaikan', 'jaringan', 'lancar', 'datanya', 'terima', 'kasih', 'telkomsel']</t>
  </si>
  <si>
    <t>['menyenangkan', 'bergabung', 'kerjasama']</t>
  </si>
  <si>
    <t>['aplikasinya', 'bagus', 'kadang', 'respon', 'point', 'masuk', 'sampe', 'jam', 'transaksi']</t>
  </si>
  <si>
    <t>['aplikasi', 'membantu', 'skali', 'harga', 'paket', 'data']</t>
  </si>
  <si>
    <t>['pokoknya', 'baguuuuuussssss', 'lengkapi', 'fitur', 'fitur', 'ditawarkan', 'pokoknya', 'mantap', '']</t>
  </si>
  <si>
    <t>['cepat', 'aksesnya']</t>
  </si>
  <si>
    <t>['paket', 'mahal', 'jaringannya', 'kek', 'murahan']</t>
  </si>
  <si>
    <t>['mahal', 'bagus', 'jaringan', 'lemot', 'penilaian', 'bintang', 'kasih', '']</t>
  </si>
  <si>
    <t>['keliatanya', 'komen', 'kecewa', '']</t>
  </si>
  <si>
    <t>['berharap', 'banget', 'telkomsel', 'paket', 'bulanan', 'murah', 'kuota', 'gede', '']</t>
  </si>
  <si>
    <t>['udah', 'bertahun', 'bbrp', 'jelek', 'orbit', 'pdhl', 'max', '']</t>
  </si>
  <si>
    <t>['memuaskan', 'sayang', 'paketnya', 'harganya']</t>
  </si>
  <si>
    <t>['paket', 'unlimited', 'dirugikan', 'membeli', 'paket', 'mahal', 'sesuai', 'service', 'beralih', 'kartu']</t>
  </si>
  <si>
    <t>['gimana', 'apk', 'nggk', 'kali', 'buka', 'tulisannya', 'kesalahan', 'server', 'gitu']</t>
  </si>
  <si>
    <t>['paketan', 'terjangkau']</t>
  </si>
  <si>
    <t>['kuota', 'boros', 'banget', '']</t>
  </si>
  <si>
    <t>['kesini', 'gajelas', 'aplikasi', 'isiin', 'paket', 'pulsa', 'mencukupi', 'trus', 'udh', 'pulsanya', 'beli', 'paket']</t>
  </si>
  <si>
    <t>['kasih', 'bintang', 'karna', 'kesempurnaan', 'milik', 'tuhan']</t>
  </si>
  <si>
    <t>['mudah', 'beli', 'paket', 'data', 'mytelkomsel', 'mudah', 'mengerti', 'cepat', 'prosesnya']</t>
  </si>
  <si>
    <t>['mudah', 'beli', 'paket', 'pulsa']</t>
  </si>
  <si>
    <t>['mimin', '']</t>
  </si>
  <si>
    <t>['bagus', 'sekrng', 'murah', 'paket', 'telkomsel']</t>
  </si>
  <si>
    <t>['kartu', 'telkomsel', 'puas', 'telkomsel', 'telkomsel', 'jaringan', 'pelosok', 'pelosok', 'indonesia', '']</t>
  </si>
  <si>
    <t>['telkomsel', 'paketnya', 'murah', 'terjangkau', 'mahal', 'kecepatan', 'download', 'internet', 'telkomsel', 'ragukan', 'cepat', 'stabil', 'kondisi', 'cuaca', 'buruk', 'banding', 'operator', 'terima', 'kasih', '']</t>
  </si>
  <si>
    <t>['telkomsel', 'mengerti']</t>
  </si>
  <si>
    <t>['kekurangan', 'fitur', 'pengiriman', 'hadiah', 'pilihan', 'pembayaran', 'pulsa', 'kode', 'otp', 'berlaku', 'menit', 'dikirim', 'sms', 'langsung', 'kodenya', 'dilayar', 'pop', 'buka', 'sms', 'sms', 'dibuka', 'telkomsel', 'menu', 'hilang', 'ngulang', 'ngulang', 'naikin', 'bintang', 'bintang', 'coba', 'alternatif', 'tambahan', 'sms', 'voice', 'note', 'code', 'dll']</t>
  </si>
  <si>
    <t>['aplikasi', 'mendukung', 'dimana', 'habis', 'paket', 'unlimited', 'beli', 'ketengan', 'bayar', 'beli', 'pulsa', 'top', 'banget']</t>
  </si>
  <si>
    <t>['bagus', 'beli', 'paket', 'apk', 'telkomsel']</t>
  </si>
  <si>
    <t>['mantaf']</t>
  </si>
  <si>
    <t>['tolong', 'perbaiki', 'kualitas', 'jaringan', 'meningkatkan', 'tarif', 'kesini', 'buruk', 'kualitas', 'jaringan', 'internetnya']</t>
  </si>
  <si>
    <t>['mantap', 'murah', 'meriah', 'paketan']</t>
  </si>
  <si>
    <t>['tagihan', 'bertambah', 'pemakaian', 'kuota', 'tetep', 'tolong', 'admin', 'ngasih', 'harga', 'stabil', 'kartu', 'internet', '']</t>
  </si>
  <si>
    <t>['susah', 'dibuka', 'repot', 'nyusahin']</t>
  </si>
  <si>
    <t>['mobil']</t>
  </si>
  <si>
    <t>['paket', 'combo', 'sakti', 'barusan', 'kuita', 'utama', 'sudh', 'habis', 'msih', 'kuota', 'multumedia', 'sosmed', 'dll', 'tpi', 'maen', 'kecepatannya', 'kb', 'buruk', 'kapok', 'beli', 'kuota', 'combo', 'sakti', 'pnipuan']</t>
  </si>
  <si>
    <t>['beli', 'paket', 'saldo', 'gopay', 'ter', 'ambil']</t>
  </si>
  <si>
    <t>['mantap', 'ogb', '']</t>
  </si>
  <si>
    <t>['aplikasi', 'lemot']</t>
  </si>
  <si>
    <t>['membantu', 'cepat', 'prosesnya']</t>
  </si>
  <si>
    <t>['berkerja']</t>
  </si>
  <si>
    <t>['lemot', 'banget', 'loading']</t>
  </si>
  <si>
    <t>['mudah', 'membeli', 'paket', 'data', 'klarifikasinya', '']</t>
  </si>
  <si>
    <t>['eror', 'telkomsel', 'buqt', 'beli', 'paket', 'apklikasi', '']</t>
  </si>
  <si>
    <t>['gimana', 'pulsa', 'tarik', 'paketnya', 'beli']</t>
  </si>
  <si>
    <t>['sinyal', 'didaerah', 'bagus']</t>
  </si>
  <si>
    <t>['beli', 'kuota', 'telkomsel', 'bermasalah', 'disaat', 'kondisj', 'kuota', 'perkuliahan', 'tidk', 'beli', 'kecewa']</t>
  </si>
  <si>
    <t>['sinyal', 'jelek', 'mendingan', '']</t>
  </si>
  <si>
    <t>['app', 'bagus', 'beli', 'paket', 'alias', 'gangguan', 'sistem']</t>
  </si>
  <si>
    <t>['jaringannya', 'lemot', 'banget', 'telkomsel', 'nama', 'bagus', 'males', 'beli', 'paket', 'internet', 'lambat', 'lemot', 'komplain', 'jawabannya', 'refresh', 'terosss', 'sampe', 'bagus', 'jaringan', 'gimana', 'pelanggan', 'puas', 'jaringan', 'lemot', '']</t>
  </si>
  <si>
    <t>['nyuri', 'pulsa', 'orang', 'chi', 'meresahkan', '']</t>
  </si>
  <si>
    <t>['bangke', 'provider', 'ngisi', 'pulsa', 'abis', 'keambil', 'kaga', 'dipake', 'ampe', 'abis', 'rb', 'males', 'ngisi', 'pulsa', 'skrang', 'giliran', 'beli', 'paket', 'nelpon', 'harian', 'pilihannya', 'paket', 'nelpon', 'sli', 'aneh', 'gua', 'liat', 'liat', 'mending', 'pame', 'provider', 'laen', 'drpd', 'kartu', 'busuk']</t>
  </si>
  <si>
    <t>['nyedot', 'pulsa', 'gakjelas', 'emang', 'pulsanya', 'kadang', 'butuh', 'banget', 'udh', 'ilang', 'pulsa', 'gangguan']</t>
  </si>
  <si>
    <t>['kecewa', 'telkomsel', 'paketannya', 'harga', 'kualitas', 'logis', 'combo', 'saktinya', 'ancur', '']</t>
  </si>
  <si>
    <t>['mantap', 'ngk', 'ribet']</t>
  </si>
  <si>
    <t>['paket', 'habis', 'otomatis', 'memakan', 'pulsa', 'alhasil', 'pulsa', 'lenyap', 'tersisa', 'kecewa', 'telkomsel', 'terkenal', 'suka', 'ngilangin', 'pulsa']</t>
  </si>
  <si>
    <t>['perbaiki', 'bug', 'palalu', 'gua', 'beli', 'kuota', 'gangguan', 'mulu']</t>
  </si>
  <si>
    <t>['sinyalnya', 'perbaili']</t>
  </si>
  <si>
    <t>['beli', 'kartu', 'telkomsel', 'saranin', 'beli', 'pulsa', 'habis', 'kepotong', 'telkomsel', 'provider', 'curang']</t>
  </si>
  <si>
    <t>['tolong', 'jaringan', 'perbagus', 'main', 'leg', 'main', 'game', 'lihat', 'youtube']</t>
  </si>
  <si>
    <t>['gila', 'isi', 'plz', 'dikonternya', 'sukses', 'kartu', 'gada', 'samaa']</t>
  </si>
  <si>
    <t>['', 'pulsa', 'ilang', 'sisa', 'beli', 'pulsa', 'beli', 'paket', 'harga', 'tinggal', 'perak']</t>
  </si>
  <si>
    <t>['dpet', 'bonus', 'keren']</t>
  </si>
  <si>
    <t>['suka', 'masuk', 'login']</t>
  </si>
  <si>
    <t>['mantap', 'cepat', 'akurat']</t>
  </si>
  <si>
    <t>['paket', 'telkomsel', 'kuotanya', 'harganya', 'kuotanya', 'ditambah', 'contoh', 'combo', 'sakti', 'ribu', 'ribu', 'ribu', 'kuotanya', 'gb', 'mending', 'ganti', 'kartu', 'telkomsel', 'paketnya', 'mahal', 'kecewa', 'kurangi', 'bintangnya', '']</t>
  </si>
  <si>
    <t>['telkomsel', 'lag', 'kalah', 'indosat', 'indosat', 'ganti', 'kartu', 'tolong', 'kuatkan', 'jaringan', 'kek', 'kemarin']</t>
  </si>
  <si>
    <t>['mantapppppp', 'pokonya']</t>
  </si>
  <si>
    <t>['palsu', 'poin', 'redeem']</t>
  </si>
  <si>
    <t>['sinyal', 'telkomsel', 'kaya', 'anjinggg', '']</t>
  </si>
  <si>
    <t>['aplikasi', 'error', 'beli', 'paketan', 'ribet', 'sistem', 'gangguan', 'aneeeh']</t>
  </si>
  <si>
    <t>['semoga', 'layananan', 'telkomsel', 'tingkatkan']</t>
  </si>
  <si>
    <t>['gunanya', 'beli', 'combo', 'sakit', 'mahal', 'sinyalnya', 'jelek', 'gini', 'terpakai', 'beli', 'paketan', 'lelet', 'banget', 'main', 'game', 'telkomsel', 'udah', 'layak', 'pakai', '']</t>
  </si>
  <si>
    <t>['bertindak', 'cepat', 'trouble', 'mengecewakan', 'pelanggan', '']</t>
  </si>
  <si>
    <t>['', 'knp', 'beli', 'paket', 'telkom', 'aktif', 'ajg', 'paket', 'udh', 'abis', 'gimana', '']</t>
  </si>
  <si>
    <t>['sinyal', 'bdoh']</t>
  </si>
  <si>
    <t>['malam', 'sinyal', 'timbul', 'hilang', 'kali', 'kerja', 'sinyal', 'hilang', 'timbul', 'dasar', 'makan', 'gaji', 'buta', 'kali', 'terkutuk', 'kali']</t>
  </si>
  <si>
    <t>['pokonya', 'joss']</t>
  </si>
  <si>
    <t>['', 'teros', 'sinyal', 'stabil']</t>
  </si>
  <si>
    <t>['knapa', 'kuota', 'bnyak', 'sinyal', 'penuh', 'lemot', 'ampun', 'udah']</t>
  </si>
  <si>
    <t>['mahal', 'harga', 'paketannya']</t>
  </si>
  <si>
    <t>['banget', 'beli', 'paketan', 'internet', 'gangguan', 'sistem', 'silakan', 'coba', 'menit', 'pas', 'dicoba', 'berjam', 'tetep', 'masi', 'bermasalah', 'gajelas', '']</t>
  </si>
  <si>
    <t>['pulsa', 'gue', 'ilang', 'pedahal', 'beli']</t>
  </si>
  <si>
    <t>['paket', 'promo', 'beli', 'keterangan', 'gangguan']</t>
  </si>
  <si>
    <t>['internet', 'lemot', 'ayah', 'lancar', 'kehilangan', 'pekerjaan', 'lemot', 'harga', 'sesuai', 'kualitas', '']</t>
  </si>
  <si>
    <t>['metode', 'pembayaran', 'terbatas', 'monetary', 'baiknya', 'casback', 'pulsa', 'paket', 'data', 'efektif', 'berujung', 'hangus', 'jangka', 'pendek', 'jaringan', 'koneksi', 'internet', 'stabil']</t>
  </si>
  <si>
    <t>['kuota', 'game', 'skrng', 'cuk', 'cek', 'yaa', 'kuotanya', 'jugak', 'pakek', 'disny', 'hostar', 'perbulan', 'mantap', 'deh', 'telkom', 'cuman', 'may', 'telkom', 'diskon', 'paketnya', 'kbh', 'murah', 'gitu', 'memakai', 'gitu', 'kyk', 'diskinnya', 'gedek', 'kak']</t>
  </si>
  <si>
    <t>['jaringan', 'lemah', 'sby', 'utara', 'kps', 'mdy', 'internet', 'paketan', 'harganya', 'gojek', 'terhambat', 'beli', 'telkomsel']</t>
  </si>
  <si>
    <t>['diamond', 'mlnya']</t>
  </si>
  <si>
    <t>['trima', 'ksh', 'service', 'bagus']</t>
  </si>
  <si>
    <t>['sumpah', 'salah', 'isi', 'pulsa', 'kartu', 'telkom', 'telkom', 'kebanyakan', 'pajak', 'isi', 'pulsa', 'langsung', 'potong', 'kuota', 'darurat', 'pulsa', 'isi', 'berkurang', 'alasan', 'menemukan', 'memuakkan', 'kartu', 'perdana', '']</t>
  </si>
  <si>
    <t>['tololll', 'ngurass', 'pulsa', 'anjingg']</t>
  </si>
  <si>
    <t>['maaf', 'gan', 'beli', 'paket', 'telkomsel', 'tulisan', 'maaf', 'gangguan', 'sistem', 'download', 'kali', 'play', 'store', 'tulisan', 'gangguan', 'trus']</t>
  </si>
  <si>
    <t>['paket', 'murah', 'dipajang', 'beli', 'mending', 'dipajang', 'deh', 'php', 'promo', 'dibeli', 'kecewa', 'malam', 'sinyalnya', 'suka', 'hilang', 'tanda', 'icon', 'sinyal', 'kesel']</t>
  </si>
  <si>
    <t>['provider', 'bumn', 'sinyalnya', 'jelek', 'nomor', 'mati', 'lampu', 'sinyal', 'ilang', 'tinggal', 'kota', 'sinyal', 'dikampung']</t>
  </si>
  <si>
    <t>['udah', 'bertahun', 'pakai', 'telkomsel', 'dibikin', 'kecewa', 'paket', 'data', 'beli', 'kayak', 'pemaksaan', 'saldo', 'paketkan', 'data', 'jengkelnya', 'pulsa', 'kesedot', 'kuota', 'alhasil', 'beli', 'paket', 'kuota', 'terisi', 'jaringan', 'down', 'lemot', 'parah', '']</t>
  </si>
  <si>
    <t>['banyakin', 'errornya', 'bintang']</t>
  </si>
  <si>
    <t>['maky', 'ngotak', 'provider']</t>
  </si>
  <si>
    <t>['paket', 'kuotanya', 'mahal', 'paket', 'gb', 'ribu', 'ribu', 'kartu', 'telkom', 'sakti', 'udah', 'berlangganan', 'premium']</t>
  </si>
  <si>
    <t>['telkomsel', 'emang', 'pant', 'hri', 'nemu', 'hilang', 'jaringan', 'harga', 'sempurna', 'kualitas', 'kek', 'taik', 'buqt', 'telkomsel', 'sediakan', 'jaringan', 'internet', 'bagus', 'mending', 'sadar', 'jual', 'nama', 'doang', 'cuaca', 'cerah', 'tpi', 'ilang', 'jaringan', 'kadang', 'sore', 'kadang', 'pagi']</t>
  </si>
  <si>
    <t>['pulsa', 'berkurang', 'paket', 'internet', '']</t>
  </si>
  <si>
    <t>['mudah', 'detail', 'pulsa', 'paket', 'pilihannya']</t>
  </si>
  <si>
    <t>['memakai', 'telkomsel', 'detik', 'paketin', 'telkomsel', 'pulsa', 'hubungi', 'responya', 'lambattt', 'suruh', 'menunggu', 'kah', 'telkomsel', 'menunggu', 'kegiatan', 'membosankan', 'sehabis', 'patahkan', 'kartunya', 'berganti', 'kartu', 'responnya', '']</t>
  </si>
  <si>
    <t>['kecewa', 'jaringan', 'lemot', 'list', 'paket', 'data', 'promonya', 'palsu', 'alasan', 'sistem', 'sibuk', 'bla', 'bla', 'usaha', 'promo', 'hoax', '']</t>
  </si>
  <si>
    <t>['ngelag', 'gangguan', 'apk', 'sampah', '']</t>
  </si>
  <si>
    <t>['gila', 'mahal', 'bener', 'paketan', 'telkomsel', '']</t>
  </si>
  <si>
    <t>['bermanfaat', 'pengguna', 'telkomsel', '']</t>
  </si>
  <si>
    <t>['kemarin', 'beli', 'pulsa', 'chat', 'call', 'center', 'veronika', 'pulsa', 'habis', 'tersedot', 'dahal', 'dipakai', 'cmn', 'kb', 'doang', 'ngeselin', 'asli', 'telkomsel', 'udh', 'jaringan', 'lelet', 'fasilitas', 'seadanya', 'banget', 'kesel']</t>
  </si>
  <si>
    <t>['lelet', 'jelek', 'hancur', 'koneksi', 'buruk', 'jaringan', 'bobrok', '']</t>
  </si>
  <si>
    <t>['gangguan', 'sistem']</t>
  </si>
  <si>
    <t>['aplikasi', 'beli', 'paket', 'susah', 'ampun', 'gangguan', 'koneksi', 'trus']</t>
  </si>
  <si>
    <t>['proses', 'cpat', 'pkoknya', 'mantap']</t>
  </si>
  <si>
    <t>['pulsa', 'paket', 'mahal', 'minimal', 'pelit', 'aktif', 'pendek', 'banget', 'aktif']</t>
  </si>
  <si>
    <t>['nggak', 'niat', 'promo', 'nggak', 'dipajang', 'promonya', 'alasan', 'gangguan', 'sistemlah', 'apalah', 'php']</t>
  </si>
  <si>
    <t>['murah', 'banget', 'cok']</t>
  </si>
  <si>
    <t>['paket', 'kuota', 'jarang', 'paket', 'ceria', '']</t>
  </si>
  <si>
    <t>['pakek', 'berkurang', 'mahal']</t>
  </si>
  <si>
    <t>['gimana', 'telkomsel', 'kesini', 'jelek', 'harga', 'mahal', 'malam', 'beli', 'omg', 'blm', 'sehari', 'buka', 'shopee', 'koneksi', 'gagal', 'mulu', 'posisi', 'kota', 'bandung', 'hutan', 'kalah', 'skrg', '']</t>
  </si>
  <si>
    <t>['telkomsel', 'mahal', 'anjing']</t>
  </si>
  <si>
    <t>['coba', 'pke', 'aplikasi', 'beli', 'paketan', 'kgk', 'alesan', 'cek', 'koneksi', 'buka', 'app', 'bs']</t>
  </si>
  <si>
    <t>['update', 'konyol', 'telkomsel', 'paket', 'telp', 'jdi', 'konyolll']</t>
  </si>
  <si>
    <t>['bagus', 'banget', 'membantu']</t>
  </si>
  <si>
    <t>['pas', 'beli', 'kuota', 'something', 'wrong', 'kuota', 'tolong', 'bantu']</t>
  </si>
  <si>
    <t>['lemotttttt', 'aplikasi', 'update', 'nggak', 'sinyal', 'sekranga', 'susah', 'mood', 'rusak', 'hujan', '']</t>
  </si>
  <si>
    <t>['teruntuk', 'telkomsel', 'mohon', 'memperbaiki', 'kesalahan', 'cepat', 'capek', 'daring', 'maksimal', 'nilai', 'turun', 'karna', 'paket', 'internet', 'nge', 'lag', 'parah', 'sinyal', 'hilang', 'mohon', 'perbaiki']</t>
  </si>
  <si>
    <t>['bagusssssssss', 'bangetttttttt', 'aplikasi', '']</t>
  </si>
  <si>
    <t>['beli', 'paket', 'susah']</t>
  </si>
  <si>
    <t>['bgus', 'membntu']</t>
  </si>
  <si>
    <t>['jujur', 'move', 'dri', 'simpati', 'pakai', 'simpati', 'jujur', 'sinyal', 'koneksi', 'simpati', 'butut', 'pisan', 'ngebut', 'sungguh', 'sayangkan']</t>
  </si>
  <si>
    <t>['aplikasi', 'membantu', 'sisa', 'pulsa', 'sisa', 'kouta', 'promo', 'bonus', 'dll']</t>
  </si>
  <si>
    <t>['membantu', 'banget', '']</t>
  </si>
  <si>
    <t>['terima', 'kasih', 'telkomsel', 'kembalikan', 'harga', 'pembelian', 'paket', 'kuota', 'rb', 'sinyal', 'telkomsel', 'kadang', 'lelet', 'jaman', 'setia', 'pakai', 'telkomsel', 'telkomsel', 'responsif', 'telkomsel', 'promo', 'terbaik', '']</t>
  </si>
  <si>
    <t>['terkomsel', 'terbaik', '']</t>
  </si>
  <si>
    <t>['keren', 'memudahkan', 'pelanggan', 'good', 'jobs', 'telkomsel']</t>
  </si>
  <si>
    <t>['hai', 'mimin', 'tarip', 'paket', 'min', 'promo', 'nambah', 'mahal', 'tolong', 'promo', 'murah', 'murah', 'kasian', 'pke', 'kartu', 'telkomsel', 'semoga', 'dengar', 'promonya', 'amin']</t>
  </si>
  <si>
    <t>['mantap', 'sinyalnya']</t>
  </si>
  <si>
    <t>['beli', 'kuota', 'isi', 'drama', 'system', 'error', 'mulu', 'payah']</t>
  </si>
  <si>
    <t>['app', 'mengecewakan', 'lemot', 'menyusahkan']</t>
  </si>
  <si>
    <t>['berat', 'jalan', 'kentang']</t>
  </si>
  <si>
    <t>['pelanggan', 'setia', 'tekomsel', 'bagus', 'lancar', 'pulsa', 'beli', 'paket', 'internet', 'mohon', 'ditanggapi']</t>
  </si>
  <si>
    <t>['', 'perbaiki', 'sinyal']</t>
  </si>
  <si>
    <t>['redem', 'point', 'pulsa', 'pnh', 'masuk', 'smntra', 'point', 'terpotong', 'tukar', 'point', 'saldo', 'link', 'langsung', 'masuk', 'hitungan', 'menit', 'knp', 'pulsa', 'smpe', 'berminggu', 'masuk', 'sungguh', 'kecewa', 'berat', 'telkomsel', 'tanggapan', 'memuaskan', 'pdhl', 'lapor', 'grapari', 'terdekat', 'harap', 'pembelajaran', 'cust', 'telkomsel', 'payah', 'telkomsel', 'hadiah', 'pulsa', 'gimmick', 'doank', 'exp', 'pke', 'msh', 'bnus']</t>
  </si>
  <si>
    <t>['telkomsel', 'gimana', 'update', 'gabisa', 'beli', 'paketan', 'lahhhhh']</t>
  </si>
  <si>
    <t>['telkomsel', 'kuota', 'internet', 'mahal', 'banget', 'beda', 'operator']</t>
  </si>
  <si>
    <t>['min', 'aplikasinya', 'tolong', 'cek', 'suka', 'force', 'close', 'plus', 'aplikasinya', 'loading', 'berat', 'plus', 'error', 'gangguan', 'sistem', 'dll']</t>
  </si>
  <si>
    <t>['pra', 'bayar', 'paket', 'habis', 'pulsa', 'pulsa', 'tersedot', 'disadari', 'customer', 'vampir', 'dipisah', 'data', 'pulsa', '']</t>
  </si>
  <si>
    <t>['bangga', 'simpati', 'negeri', 'jaringan', 'top', 'banget', 'lemot', 'terima', 'kasih', 'simpati', '']</t>
  </si>
  <si>
    <t>['sinyal', 'lemot', 'pulsa', 'hilang', 'gimana', 'niat', 'kerja', 'orang', 'kerja', 'keras', 'bayar', 'pakai', 'duit', 'muluk', 'muluk', 'ngeluh', 'resiko', 'pekerja', 'paham', '']</t>
  </si>
  <si>
    <t>['sinyal', 'bagus', 'telkomsel', 'mudahkan']</t>
  </si>
  <si>
    <t>['telkomsel', 'dlu', 'semboyannya', 'jaringan', 'kuat', 'skrg', 'mlempem', 'kalah', 'jaringan', 'kena', 'mendung', 'dikit', 'kocar', 'kacir', 'sinyal', '']</t>
  </si>
  <si>
    <t>['promonya', 'perbanyak']</t>
  </si>
  <si>
    <t>['notifikasi', 'promo', 'bohong', 'melulu', 'pas', 'klik', 'notifikasi', 'promo', 'udah', 'banget', 'muncul', 'notifikasi', 'notifikasi', 'ngebohongin', 'buka', 'aplikasi']</t>
  </si>
  <si>
    <t>['', 'bintang', 'dlu', 'pls', 'rbu', 'cek', 'sisa', 'rbu']</t>
  </si>
  <si>
    <t>['jaringan', 'telkomsel', 'selancar', 'buruk', 'jaringanny', 'smoga', 'perbaikan', 'kedepannya', '']</t>
  </si>
  <si>
    <t>['', 'pulsa', 'gua', 'serep', 'siii', 'diaktifin', 'udh', 'gajelasss', 'bngetttt']</t>
  </si>
  <si>
    <t>['harga', 'paketnya', 'mahal']</t>
  </si>
  <si>
    <t>['njeeeng', 'gua', 'login', '']</t>
  </si>
  <si>
    <t>['kecewa', 'telkomsel', 'iming', 'paket', 'murah', 'tulisan', 'pas', 'beli', 'update', 'aplikasi', 'mulu', 'hasilnya']</t>
  </si>
  <si>
    <t>['menukar', 'poin', 'susah']</t>
  </si>
  <si>
    <t>['error', 'paket', 'beli', 'mohon', 'ditampilkan', '']</t>
  </si>
  <si>
    <t>['beli', 'paket', 'susah', 'banget', 'gangguan', 'mulu', 'aplikasi']</t>
  </si>
  <si>
    <t>['knp', 'beli', 'paketan', 'ngga']</t>
  </si>
  <si>
    <t>['rugi', 'karene', 'membeli', 'paket', 'koneksi', 'transaksi', 'gagal', 'dll', 'pulsa', 'habis', 'menerima', 'paket', 'data', 'apapun', 'data', 'mati', 'tolong', 'telkomsel', 'kembalikan', 'kerugian', 'sekian', 'tekankan', 'mohon', 'perhatiannya', '']</t>
  </si>
  <si>
    <t>['telkomsel', 'pemancarnya', 'dimana', 'kemudahan', 'komunikasi']</t>
  </si>
  <si>
    <t>['beli', 'paket', 'data', 'krna', 'gangguan', 'mksudnya', 'ngeselin', 'beli', 'utang']</t>
  </si>
  <si>
    <t>['tolong', 'disamakan', 'pembelian', 'paket', 'data', 'mytelkomsel', 'nmor', 'krna', 'lbih', 'murah', 'kartu']</t>
  </si>
  <si>
    <t>['aplikasi', 'koneksi', 'lelet', 'andalkan', 'bayar', 'menang', 'nama', 'doang', 'aplikasi', 'dibuka', 'nanyak', 'penilaian', 'penilaiaannya', 'aplikasi', 'estetikestetik', 'fungsinya']</t>
  </si>
  <si>
    <t>['pkk', 'tesel', 'udah', 'kesni', 'kacau', 'pelayanan', 'kuota', 'sya', 'pulsa', 'sya', 'kesedot', 'habis', 'ngisi', 'pulsa', 'ngisi', 'pket', 'inter', 'apps', 'telko', 'selaluuuuuu', 'gangguan', 'pulsa', 'sya', 'habisss']</t>
  </si>
  <si>
    <t>['mantap', 'tolong', 'kasih', 'murah']</t>
  </si>
  <si>
    <t>['jaringannya', 'laknat', 'ulasan', 'gue', 'dihapus']</t>
  </si>
  <si>
    <t>['memakai', 'telkomsel', 'jaringannya', 'bagus', 'kesini', 'harga', 'quota', 'mahal', 'kadang', 'sinyal', 'ilang', 'dipedesaan', 'perbaiki', 'donk', 'signalnya', 'hadiah', 'disuruh', 'tukar', 'point', 'dapet', 'ditukar', 'wae', 'ora', 'ditukar', 'pointnya', 'wlo', 'setia', 'pakai', 'telkomsel']</t>
  </si>
  <si>
    <t>['diinstal', 'android', '']</t>
  </si>
  <si>
    <t>['kecewa', 'telkomsel', 'kuota', 'tetep', 'buka', 'telkomsel', 'pemotongan', 'pulsa', 'nyalain', 'data', 'buka', 'udah', 'kesedot', 'kecewa', 'pokoknya']</t>
  </si>
  <si>
    <t>['perbaki', '']</t>
  </si>
  <si>
    <t>['parahhhhh', 'aplikasi', 'ngabisin', 'pulsa']</t>
  </si>
  <si>
    <t>['sinyal', 'jelek', 'download', 'mb', 'hanpir', 'menit']</t>
  </si>
  <si>
    <t>['full', 'singal', 'mantab']</t>
  </si>
  <si>
    <t>['enak', 'telkomsel', 'membantu', 'thanks', '']</t>
  </si>
  <si>
    <t>['bagus', 'bberkembang']</t>
  </si>
  <si>
    <t>['yaop', 'rek', 'trouble']</t>
  </si>
  <si>
    <t>['bagus', 'murah']</t>
  </si>
  <si>
    <t>['pindah', 'sebelah', '']</t>
  </si>
  <si>
    <t>['puas', 'pelayanannya', 'semoga', 'daerah', 'terpelosok', 'lancar', 'akses', 'internetnya']</t>
  </si>
  <si>
    <t>['bagus', 'memudahkan', 'beli', 'paketan', 'ngechek', 'pulsa']</t>
  </si>
  <si>
    <t>['', 'ngapa', 'ngapain', 'pulsa', 'kemakan']</t>
  </si>
  <si>
    <t>['sinyalnya', 'lemot', 'benerin', 'gan', 'sinyalnya', 'main', 'mobile', 'lagend', 'ngelag']</t>
  </si>
  <si>
    <t>['membantu', 'terimakasih', 'telkomsel']</t>
  </si>
  <si>
    <t>['harga', 'paket', 'mahal', 'mohon', 'dtudunkan', '']</t>
  </si>
  <si>
    <t>['seru', 'banget', '']</t>
  </si>
  <si>
    <t>['mantap', 'berguna']</t>
  </si>
  <si>
    <t>['beli', 'kuota', 'jaringan', 'tunggu', 'menit', 'gitu', 'mulu', 'jaringan', 'bagus']</t>
  </si>
  <si>
    <t>['beli', 'paket', 'aza', 'ganguang', 'melulu', 'wadau', '']</t>
  </si>
  <si>
    <t>['promonya', 'sangatt', 'murahh', 'bagus', 'deh', 'gangguan', 'sistemnya']</t>
  </si>
  <si>
    <t>['parah', 'beli', 'paket', 'internet', 'combo', 'max', 'gb', 'seharga', 'payment', 'berhasil', 'paket', 'data', 'masuk', 'email', 'bertele', 'tele', 'alasan', 'nomer', 'terdaftar', 'telkom', 'parah', 'parah', 'banget', 'hapus', 'deh', 'aplikasi', 'merugikan', 'orang', 'menceritakan', 'kejadian', 'real', 'asli', 'alami', 'merugikan', 'kecewa']</t>
  </si>
  <si>
    <t>['jaringan', 'lelet', 'unlimitednya', 'lelet', 'parah', 'korain', 'bisaain', 'game', 'max', 'jaringannya', 'kayak', '']</t>
  </si>
  <si>
    <t>['', 'mencoba', 'semoga', 'dipermudah', 'penggunaan', 'palikasi', 'bintang', '']</t>
  </si>
  <si>
    <t>['mulu', 'semalem', 'beli', 'paket', 'data', 'susah', 'adek', 'offline', 'bingung', 'tar']</t>
  </si>
  <si>
    <t>['tukar', 'poin', 'pulsa', 'internet', 'gagal', 'poin', 'mis', 'poin', 'internet', 'poin', 'ber', 'kali', 'menukar', 'poin', 'gagal', 'mohon', 'informasi', 'wassalam']</t>
  </si>
  <si>
    <t>['yaa', 'paket', 'internet', 'pulsa', 'kesedot', 'udh', 'nol', 'rupiah', 'beli', 'paket', 'harian', 'gabisa']</t>
  </si>
  <si>
    <t>['jelek', 'apps', 'login', 'kasih', 'bintang', 'maaf']</t>
  </si>
  <si>
    <t>['informasi', 'paket', 'telpon', 'habis']</t>
  </si>
  <si>
    <t>['sebulan', 'jaringannya', 'buruk', 'sinyal', 'full', 'memadai', 'bergerak', 'sgt', 'lamban', 'beli', 'kuota', 'game', 'tersedot', 'kuota', 'utama', '']</t>
  </si>
  <si>
    <t>['gimana', 'beli', 'paket', 'gamesmax', 'silver', 'kuota', 'tetep', 'ngga', 'main', 'game', 'pembodohan', 'kapok', 'mending', 'kartu', 'sim', '']</t>
  </si>
  <si>
    <t>['asli', 'engga', 'pas', 'buka', 'youtube', 'kepake', 'kuota', 'internet', 'kuota', 'youtube', 'unlimited', 'aktif', 'gimana', 'tolong', 'telkomsel', '']</t>
  </si>
  <si>
    <t>['perbaikan', 'thx', 'telkomsel', 'semoga']</t>
  </si>
  <si>
    <t>['telkomsel', 'modal', 'nama', 'doang', 'beli', 'paketnya', 'mahallll', 'jaringanya', 'burukkkkkkk', 'nlpon', 'oprtornya', 'ksih', 'kluhan', 'bayar', 'penyelesaian', '']</t>
  </si>
  <si>
    <t>['', 'telkomsel', 'thn', 'kartu', 'tlp', 'pindah', 'halo', 'ahirnya', 'juli', 'sadar', 'pindah', 'halo', 'sms', 'promosi', 'telkomsel', 'berhubungan', 'halo', 'masuk', 'jaringan', 'jelek', 'buka', 'aplikasi', 'lelet', 'kirim', 'dokumen', 'loading', 'tolong', 'perbaiki', 'pelayanannya', 'bayar', 'pelanggan', 'terima', 'kasih', '']</t>
  </si>
  <si>
    <t>['sanggat', 'barpungsi']</t>
  </si>
  <si>
    <t>['pokok', 'top']</t>
  </si>
  <si>
    <t>['jaringan', 'buruk', 'curang']</t>
  </si>
  <si>
    <t>['bagus', 'simple', 'aplikasi', 'mudah', 'memilih', 'paket', 'butuhkan']</t>
  </si>
  <si>
    <t>['kadang', 'trouble', 'beli', 'paket', 'data']</t>
  </si>
  <si>
    <t>['paketan', 'nomor', 'beda', 'beda']</t>
  </si>
  <si>
    <t>['diandalkan', '']</t>
  </si>
  <si>
    <t>['kuota', 'internet', 'akumulasikan']</t>
  </si>
  <si>
    <t>['apl', 'masak', 'login', 'internet', 'stabil', '']</t>
  </si>
  <si>
    <t>['semalam', 'pagi', 'akses', 'jaringan', 'internet', 'gangguan', 'terpaksa', 'pakai', 'jaringan', 'wifi', '']</t>
  </si>
  <si>
    <t>['jelek', 'eror']</t>
  </si>
  <si>
    <t>['buka', 'telkomsel', 'ribet']</t>
  </si>
  <si>
    <t>['beli', 'pulsa', 'masuk', '']</t>
  </si>
  <si>
    <t>['aplikasi', 'bagus', 'mantap']</t>
  </si>
  <si>
    <t>['semoga', 'meningkat']</t>
  </si>
  <si>
    <t>['bagus', 'bagus', '']</t>
  </si>
  <si>
    <t>['terimakasih', 'puas']</t>
  </si>
  <si>
    <t>['apl', 'buka', 'tolong', 'jelasin']</t>
  </si>
  <si>
    <t>['pembayaran', 'via', 'virtual', 'account', 'bca', '']</t>
  </si>
  <si>
    <t>['jaringan', 'jelek', 'udah', 'paket', 'internetnya', 'mahalin', 'potong', 'gratis', 'nelpon', 'operatornya', '']</t>
  </si>
  <si>
    <t>['', 'berani', 'simpan', 'pulsa', 'suwer', 'karna', 'habis', 'kepakai', 'surve', 'membuktikan', 'apapun', 'alasanya', 'trus', 'kuota', 'isi', 'paket', 'daftar', 'internet', 'pulsanya', 'berkerang', 'walhasil', 'maketin', 'eee', 'pulsa', 'ilang', 'wal', 'hasil', 'maketin', '']</t>
  </si>
  <si>
    <t>['tagihan', 'mahal', 'internet', 'tapiko', 'tagihan', 'nyampe', '']</t>
  </si>
  <si>
    <t>['promo', 'kaga', '']</t>
  </si>
  <si>
    <t>['sial', 'pulsa', 'kesedot', 'mulu', 'udh', 'paketin', 'nyedot', 'pulsa', 'bangkee']</t>
  </si>
  <si>
    <t>['motor']</t>
  </si>
  <si>
    <t>['sinyal', 'lemottt', 'bagus', 'telkom']</t>
  </si>
  <si>
    <t>['simpati', 'sekalu', 'manapun']</t>
  </si>
  <si>
    <t>['harga', 'pemakaian', 'parah']</t>
  </si>
  <si>
    <t>['kebanyakan', 'eror', 'suka', 'ilang', 'sinyal', 'paket', 'swadaya', 'gojek', 'cepat', 'sim', 'card', 'dibanding', 'telkomsel', '']</t>
  </si>
  <si>
    <t>['terima', 'kasih', 'bantu']</t>
  </si>
  <si>
    <t>['paket', 'internet', 'abis', 'putong', 'pulsa', 'beli', 'paket', 'internetnya', 'kadang', 'nol', 'pulsanya', 'beli', 'paket', 'hrs', 'nyari', 'tambahannya', 'semoga', 'amal', 'ibadah', 'pegawai', 'tekomvret', 'diterima']</t>
  </si>
  <si>
    <t>['beli', 'paket', 'internet', 'gangguan', 'sistem', 'udh', 'kaya', 'beli', '']</t>
  </si>
  <si>
    <t>['suka', 'gabisa', 'beli', 'paketan', 'gajelas', 'apk']</t>
  </si>
  <si>
    <t>['', 'daerah', 'terpencil', 'telkomsel', 'qualified', '']</t>
  </si>
  <si>
    <t>['membantu', 'sekaliiiiiiiiiiiiiiii']</t>
  </si>
  <si>
    <t>['aplikasi', 'diperbaharui', 'download', 'selesai', 'ttp', 'dibuka', 'posisi', 'notifikasi', 'perbaharui']</t>
  </si>
  <si>
    <t>['mahal', 'paket', 'internet', 'lemot', 'jaringan', 'payah']</t>
  </si>
  <si>
    <t>['bermanfaat', 'banget']</t>
  </si>
  <si>
    <t>['beli', 'paket', 'mudah', '']</t>
  </si>
  <si>
    <t>['emang', 'membantu', 'buka', 'telkomsel', 'timbul', 'notifikasi', 'aplikasi', 'ditutup', 'alias', 'error', 'buka', 'telkomsel', 'buka', 'apk', 'mohon', 'tanggapanya', 'developert', '']</t>
  </si>
  <si>
    <t>['pulsa', 'berkurang', 'terkejut', 'knp', 'kartunya', 'matikan']</t>
  </si>
  <si>
    <t>['aktifin', 'paket', 'jaringan', 'jelek', 'parah', 'unreg', 'gada', 'fiturnya', 'dibuang', 'kuota', 'bingung', 'kartu']</t>
  </si>
  <si>
    <t>['semoga', 'bail', '']</t>
  </si>
  <si>
    <t>['haduhh', 'kali', 'kena', 'bug', 'beli', 'kouta', 'gabisa', 'ujung', 'hangus', 'gitu', 'kartu', 'dikasih', 'harga', 'engga', 'word', 'memakai', 'telkomsel', 'kasih', 'promo', 'enk', 'doang', 'oas', 'udah', 'mahal', 'dikasih', 'hadehhh', 'min', 'kali', 'kasih', 'promo', 'bagus', 'pelajar', 'gitu', 'beli', 'kouta', 'telkomsel', 'suka', 'gabisa', 'mudah', 'kedepan', 'dibikin', 'min']</t>
  </si>
  <si>
    <t>['bagus', 'ditingkatkan']</t>
  </si>
  <si>
    <t>['', 'senang', 'laku', 'berhasil']</t>
  </si>
  <si>
    <t>['pulsa', 'hilang', 'peduli']</t>
  </si>
  <si>
    <t>['suka', 'fityr', 'isi', 'ulang', 'voucher', 'tolong', 'adakan', 'pengguna', 'mytelkomsel', 'senang', 'mudah', 'mengisi', 'voucher']</t>
  </si>
  <si>
    <t>['bismillah', 'menang', 'undian']</t>
  </si>
  <si>
    <t>['telkomsel', 'skrng', 'sring', 'jelek', 'jringanya']</t>
  </si>
  <si>
    <t>['mentang', 'mentang', 'kartu', 'terbaik', 'indonesia', 'jaringan', 'terkuat', 'diberbagai', 'daerah', 'songong', 'semenjak', 'rating', 'saking', 'bnyak', 'bnget', 'keluhan', 'gedekk', 'bnget', '']</t>
  </si>
  <si>
    <t>['bsik']</t>
  </si>
  <si>
    <t>['harga', 'terjangkau', 'bersahabat']</t>
  </si>
  <si>
    <t>['kuota', 'mahal', 'indonesia', 'sinyal', 'murahan', 'indonesia', 'bangkrut', 'tah', '']</t>
  </si>
  <si>
    <t>['pembayar', 'diganti']</t>
  </si>
  <si>
    <t>['parah', 'kuota', 'unlimited', 'gb', 'habis', 'kuat', 'utama', 'sosmed', 'ngak', '']</t>
  </si>
  <si>
    <t>['mksd', 'gmna', 'udh', 'atur', 'tpi', 'mlh', 'ttp', 'berubah', 'trs', 'emosi', 'bos', 'emosi', 'bos']</t>
  </si>
  <si>
    <t>['pulsa', 'kesedot', 'ooiii', 'belom', 'dipakai', 'udah', 'pulsanya', 'kacau', 'aplikasi']</t>
  </si>
  <si>
    <t>['pulsa', 'ilang', 'udh', 'beli', 'paket', 'paket']</t>
  </si>
  <si>
    <t>['eror', 'gmn', 'weh', 'isi', 'pulsa', 'masuk', 'saldo', 'kepotong']</t>
  </si>
  <si>
    <t>['munkinkah', 'mobil', 'apk', 'sayarasa', 'bohong', 'min', 'udah', '']</t>
  </si>
  <si>
    <t>['kecerdasan', 'telkomsel', 'jaringan', 'paket', 'internet', 'pulsa', 'habis', 'kerugian', 'akses', 'jaringan', 'telkomsel', 'kecewa', 'telkomsel']</t>
  </si>
  <si>
    <t>['pelanggan', 'telkomsel', 'sinyal', 'parah', 'mohon', 'pelayanannya', 'diperbaiki', 'beli', 'paket', 'murah', 'harganya', 'tolong', 'disesuaikan', 'kualitasnya', 'pelanggan', 'telkomsel', 'lari', 'pindah', 'sebelah', 'jaringan', 'model', 'kayak', '']</t>
  </si>
  <si>
    <t>['paketan', 'combo', 'unlimited', 'mahal', 'jaman', 'pandemi', 'serba', 'susah', '']</t>
  </si>
  <si>
    <t>['provider', 'memalukan', 'harga', 'mahal', 'jaringan', 'lemot', 'pecat', 'karyawan', 'tua', 'berguna', 'ganti', 'generasi', 'muda', 'maju', 'telkomsel', 'baca', 'komentar', 'pelanggan', 'positif', '']</t>
  </si>
  <si>
    <t>['mudah', 'penggunaan', 'aplikasi']</t>
  </si>
  <si>
    <t>['', 'jaringannya', 'oke', 'ketimbang', 'provider', 'kuning', 'beli', 'paket', 'data', 'dipake', 'kayak', 'signal', 'gini', 'yaa', 'telkomsel', 'nyesek', 'ngapa', 'in', 'karna', 'internetnya', 'susah', 'signal', '']</t>
  </si>
  <si>
    <t>['mudah', 'transaksi', 'cek', 'pulsa', 'kuota']</t>
  </si>
  <si>
    <t>['berulah', 'lemot', 'yuk', 'pindah', 'indosat', 'stabil', 'lemot', 'gini', 'indosat', 'nomer', '']</t>
  </si>
  <si>
    <t>['', 'beli', 'paket', 'internet', 'aktif']</t>
  </si>
  <si>
    <t>['woyy', 'aplikasi', 'gimana', 'pulsa', 'telkomsel', 'masukan', 'nominal', 'dilanjutkan', 'mengisi', 'nominal', 'kolom', 'berfungsi', 'berfungsi', 'hapus', 'gunanya', '']</t>
  </si>
  <si>
    <t>['bagus', 'telkomsel', 'saking', 'bagus', 'daftar', 'udah', 'kali', 'saldo', 'habis', 'nggak', 'masuk', 'bukanya', 'paket', 'internet', 'mlh', 'rugii']</t>
  </si>
  <si>
    <t>['mantap', 'murah', 'meriah']</t>
  </si>
  <si>
    <t>['gimana', 'stop', 'paket', 'habis']</t>
  </si>
  <si>
    <t>['susah', 'membuka', 'login', 'banget', 'mohon', 'tingkatkan', 'telkomsel']</t>
  </si>
  <si>
    <t>['gimna', 'min', 'paketin', 'data', 'pakai', 'pulsa', 'eror', 'mulu', 'membeli', 'produk', 'tolong', 'perbaiki', 'pengguna', 'kecewa', '']</t>
  </si>
  <si>
    <t>['terjangkau', 'sederhana']</t>
  </si>
  <si>
    <t>['virtual', 'account', 'permudah', 'ribet', 'hapus', 'nyusahin', 'udah', 'paksain', '']</t>
  </si>
  <si>
    <t>['tekomsel', 'gitu', 'lelet', 'akukan', 'beli', 'duit', 'gratisan', 'tolonglah', 'kerjasamanya', 'udah', 'mahal', 'lelet', '']</t>
  </si>
  <si>
    <t>['kesini', 'enek', 'saldo', 'pulsa', 'hilang', 'habis', 'bertahap', 'modus', 'komplain', 'alasannya', 'modus', 'hilangnya', 'saldo', 'pulsa', 'berulang', 'kali', 'semenjak', 'nyata', 'modus', 'kecurangan', 'bagusnya', 'ylki', 'bertindak', '']</t>
  </si>
  <si>
    <t>['paket', 'tlpon', 'mahal']</t>
  </si>
  <si>
    <t>['aplikasi', 'nipu', 'udah', 'check', 'pas', 'reedem', 'gagal', 'tulisan', 'terklaim', 'paket', 'masuk', 'fakyou', 'telkomsel', 'penipu']</t>
  </si>
  <si>
    <t>['tolong', 'msalah', 'sinyal', 'diperbaiki', 'harga', 'paket', 'dimurahkn', 'kasian', 'kalangan', 'yng']</t>
  </si>
  <si>
    <t>['parah', 'sinyalnya', 'kapok', 'kayaknya', 'simpati', 'giliran', 'giliran', 'maen', 'game', 'parah', 'bener', 'parah']</t>
  </si>
  <si>
    <t>['jaringan', 'internetnya', 'diperbaiki']</t>
  </si>
  <si>
    <t>['adminnya', 'sakit', 'promo', 'harga', 'ribu', 'rekomendasi', 'mytelkomsel', 'pas', 'gua', 'isi', 'pulsa', 'coba', 'beli', 'pulsa', 'balasan', 'pesan', 'gua', 'isi', 'pulsa', 'ribu', 'hilang', 'promo', 'ngasih', 'paket', 'internet', 'murah', 'promo', 'rugi', 'orang', 'isi', 'pulsa', 'kenak', 'tipu', '']</t>
  </si>
  <si>
    <t>['jaringan', 'bermasalah', 'jaringan', 'kemunduran', 'mengangu', 'aktifitas', 'ber', 'internet', 'tolong', 'simpati', 'perbaiki', 'jngan', 'costumer', 'pindah', 'provider', 'sebelah']</t>
  </si>
  <si>
    <t>['telkomsel', 'ngelag', 'banget', 'sumpah']</t>
  </si>
  <si>
    <t>['sinyal', 'telkomsel', 'bagus', 'laen', 'bukti', 'ddlm', 'rmh', 'dpt', 'sinyal', 'kalah', 'ama', 'ddlm', 'rumah', 'sinyal', 'bagus', '']</t>
  </si>
  <si>
    <t>['bagus', 'semoga', 'telkomsel', 'sukses', 'dantambah', 'luas', 'jangkauannya', 'anti', 'lelet']</t>
  </si>
  <si>
    <t>['hancur', 'telkomsel', 'hancur', 'bener', 'telkomsel', 'paket', 'mahal', 'jaringan', 'gawat', 'gawattt', 'parahh']</t>
  </si>
  <si>
    <t>['tolong', 'sinyal', 'bener', 'kaya', 'gini', '']</t>
  </si>
  <si>
    <t>['sinyal', 'skrg', 'buruk']</t>
  </si>
  <si>
    <t>['lag', 'woiiii', 'laggggg', 'perbaiki', 'ngelag', 'internet', 'tercepat', 'ngelag']</t>
  </si>
  <si>
    <t>['jaringannya', 'jelek', 'terusss', 'seruu', 'minn']</t>
  </si>
  <si>
    <t>['telkomsel', 'masuh', 'nmr']</t>
  </si>
  <si>
    <t>['paket', 'mahal', 'sinyal', 'internet', 'bobroooooooooooooooooook', 'tolol', 'beli', 'kuota', 'daun', 'tolol']</t>
  </si>
  <si>
    <t>['terimakasih', 'updates', 'aplikasi', 'pribadi', 'mudah', 'mengecek', 'kouta', 'isi', 'kouta', 'terima', 'kasih']</t>
  </si>
  <si>
    <t>['bagus', 'aplikasinya', 'link', 'kemana']</t>
  </si>
  <si>
    <t>['membantu', 'pengguna', 'telkomsel']</t>
  </si>
  <si>
    <t>['yuk', 'telkomsel', 'enak', 'lho', 'promonya']</t>
  </si>
  <si>
    <t>['operator', 'bodong', 'isi', 'pulsa', 'mahal', 'masuk', 'fungsi', 'bener', 'bodong']</t>
  </si>
  <si>
    <t>['layanan', 'chat', 'singkron', 'konsumen', 'skarang', 'todak', 'nelpon', 'masuk', 'kayak', 'sinyal', 'jelek', 'bicarakan', 'sinyal']</t>
  </si>
  <si>
    <t>['error', 'aplikasinya', 'masuk', 'daily', 'checkin', 'tolong', 'benahi', 'mengganggu', 'aplikasi', 'android', 'terhenti']</t>
  </si>
  <si>
    <t>['beli', 'pulsa', 'masuk']</t>
  </si>
  <si>
    <t>['pakai', 'telkomsel', 'kecewa', 'telponan', 'angkat', 'rijek', 'penasaran', 'telpon', 'berbayar', 'operatornya', 'hubungi', 'sampe', 'hubungi', '']</t>
  </si>
  <si>
    <t>['bagus', 'sinyal', 'kartu', 'simpati', 'simpati', 'beda', 'aouto', 'ganti', 'kartu']</t>
  </si>
  <si>
    <t>['jaringan', 'jelek', 'udah', 'mingguan', 'parah', 'browsing', 'plbisa']</t>
  </si>
  <si>
    <t>['naikin', 'bintang', 'krna', 'kesini', 'mudah', 'beli', 'kuota', 'lgsg', 'bayar', 'pakai', 'shopeepay', 'alhamdulillah', 'murah', 'dibanding', 'beli', 'kuota', 'manual', 'pakai', 'pulsa']</t>
  </si>
  <si>
    <t>['min', 'tanta', 'transaksi', 'hapus', 'otomatis', 'batalkan', 'gimana', 'min']</t>
  </si>
  <si>
    <t>['jaringan', 'suka', 'hilang', 'posisi', 'telkom', 'harga', 'paketnya', 'sesuai', 'velue']</t>
  </si>
  <si>
    <t>['paan', 'jaringan', 'lemot', 'harga', 'doang', 'mahal', 'kualitas', 'jelek', 'ngmbil', 'untung', 'ngga', 'gini', 'jga', '']</t>
  </si>
  <si>
    <t>['hrus', 'update', 'trus', 'kuota', 'combo', 'daftar', 'udh', 'plsa', 'plsa', 'bsa', 'daftar', 'brubah', 'scara', 'spihak', 'enk', 'pnyedia', 'enk', 'pengguna', 'trpksa', 'hrus', 'daftr', 'pket', '']</t>
  </si>
  <si>
    <t>['menyarankan', 'buwat', 'sel', 'koneksinya', 'mengecewakan', 'harga', 'paket', 'mahal', '']</t>
  </si>
  <si>
    <t>['maaf', 'turunin', 'bintang', 'sinyal', 'internet', 'lemot', 'program', 'internet', 'murah', '']</t>
  </si>
  <si>
    <t>['sinyal', 'telkomsel', 'jelek', 'banget', 'rugi', 'beli', 'kuota', 'game', 'kualitas', 'sinyal', 'jelek', 'banget', 'ngelag', 'mulu', 'ganti', 'deh', 'mendingan', '']</t>
  </si>
  <si>
    <t>['jaringan', 'stabil', 'harga', 'mahal', 'memalukan']</t>
  </si>
  <si>
    <t>['sinyal', 'lokasi', 'lampung', 'utara', 'kec', 'bungamayang', 'tolong', 'perbaiki', 'sinyalnya', 'tahan', 'bermain', 'game', 'karna', 'login', 'jam', 'menginguti', 'event', 'tolong', 'bagus', 'sinyal', 'daerah', '']</t>
  </si>
  <si>
    <t>['asli', 'bagus', 'banget']</t>
  </si>
  <si>
    <t>['parah', 'internet', 'lemot', 'game', 'bukanya', 'bagus', 'mengecewakan']</t>
  </si>
  <si>
    <t>['telkomsel', 'mantapp', 'jaya']</t>
  </si>
  <si>
    <t>['susah', 'banget', 'masuk', 'aplikasinya', 'hapus', 'bagus', 'download', 'masuk', 'terima', 'kasih']</t>
  </si>
  <si>
    <t>['ibukota', 'negara', 'indonesia', 'sinyalnya', 'melempem', 'kaya', 'kerupuk', 'basah', 'kena', 'banjir', 'semoga', 'pindah', 'indosat', 'stabil', 'pastinya', 'murah', 'meriah', '']</t>
  </si>
  <si>
    <t>['mencoba', 'keberuntungan', 'rahmat']</t>
  </si>
  <si>
    <t>['semoga', 'harga', 'paket', 'internet', 'murah', 'terjangkau']</t>
  </si>
  <si>
    <t>['sinyal', 'susah', 'pas', 'main', 'game', 'rusak', 'rusak', '']</t>
  </si>
  <si>
    <t>['operator', 'seluler', 'harga', 'mahal', 'kualitas', 'down', 'menjelang', 'malam', 'lemoooot', 'uda', 'kek', 'keong', '']</t>
  </si>
  <si>
    <t>['pelayanan', 'telkomsel', 'memuaskan', 'perfected']</t>
  </si>
  <si>
    <t>['signal', 'buruk', '']</t>
  </si>
  <si>
    <t>['kedepan', 'pelayananya', 'habis', 'membeli', 'kuota', 'pembayaran', 'berhasil', 'sekarng', 'masuk', 'kuota', 'internetnya', 'beli', '']</t>
  </si>
  <si>
    <t>['jaringannya', 'tolong', '']</t>
  </si>
  <si>
    <t>['ganti', 'operator', 'signal', 'telkomsel', 'jelek']</t>
  </si>
  <si>
    <t>['jaringan', 'kebanyakan', 'lelet', 'jaringan', 'ttp', 'lelet', 'indosat', 'axis', 'super', 'cepat', 'namanya', 'seantero', 'telkomsel', 'jaringan', 'memadahi']</t>
  </si>
  <si>
    <t>['', 'telkomsel', 'membuka']</t>
  </si>
  <si>
    <t>['', 'november', 'sistem', 'eror', 'pembelian', 'paket', 'internet', 'jam', 'pagi', 'ketik', 'caroline', 'jawabanya', 'suruh', 'nunggu', 'jam', 'kali', 'nelpon', 'jawabannya', 'separah', 'kah', 'sistem', 'aplikasi', 'telkomsel', 'perbaikannya', 'backup', 'server', 'data', 'bulannya', 'jaman', 'batu', 'professional', 'provider']</t>
  </si>
  <si>
    <t>['promo', 'kuota', 'seharga']</t>
  </si>
  <si>
    <t>['buruk', 'signal', 'telkomsel', 'ganti', 'langganan', 'kartu', '']</t>
  </si>
  <si>
    <t>['bagus', 'sinyalnya', 'mantep', 'simpati']</t>
  </si>
  <si>
    <t>['telkomsel', 'jaringannya', 'turun', 'main', 'game', 'ping', 'merah', 'tuba', 'lost', 'connect', 'kaya', 'beli', 'kecewa', 'telkomsel', 'worth', '']</t>
  </si>
  <si>
    <t>['isi', 'menisi', 'gampang', 'kadng', 'nemu', 'pro', 'lumayan', 'tpi', 'ujan', 'mati', 'lmpu', 'agk', 'lelet', 'lodingnya']</t>
  </si>
  <si>
    <t>['kecewa', 'paket', 'murah', 'karna', 'membeli', 'paket', 'combo', 'sakti', 'murah', 'harganya', 'ganjil', 'taktik', 'marketing', 'licik']</t>
  </si>
  <si>
    <t>['semoga', 'promosinya']</t>
  </si>
  <si>
    <t>['tolong', 'paket', 'internet', 'murahkan', 'kalah', 'kartu', 'kartu', '']</t>
  </si>
  <si>
    <t>['sebulan', 'jaringan', 'ilang', 'timbul', 'lelet', 'daerah', 'kota', 'beli', 'kuota', 'dipakek', 'malesett']</t>
  </si>
  <si>
    <t>['woi', 'kartu', 'telkkomsel', 'kayak', 'jaringan', 'tolol', 'paket', 'diang', 'mahal', 'jaringan', 'kayak', 'kartu', 'murah', '']</t>
  </si>
  <si>
    <t>['lambat', 'hilang', 'jaringan', 'tgl', 'nov', 'jam', 'wib', 'jaringannya', 'mace', 'kura', 'jalannya', 'kartu', 'kartu', 'hallo', 'kecewa']</t>
  </si>
  <si>
    <t>['beli', 'paket', 'mahal', 'mahal', 'jaringannya', 'lelet', 'bumn', 'pantes', '']</t>
  </si>
  <si>
    <t>['kuota', 'beli', 'pulsa', 'menit', 'scroll', 'medsos', 'kepotong', 'beli', 'kepotong', 'mohon', 'penjelasannya', 'solusinya', 'amanah']</t>
  </si>
  <si>
    <t>['aplikasinya', 'kosong', 'gini', 'kesalahan', 'sistem', 'beli', 'kuota', 'udah', 'isi', 'pls', 'rb']</t>
  </si>
  <si>
    <t>['napa', 'lemot', 'bet', 'telkom', 'ngirim', 'chat', 'doang', 'bet', 'gini']</t>
  </si>
  <si>
    <t>['sinyal', 'stabil', 'mantab']</t>
  </si>
  <si>
    <t>['full', 'jaringan', 'main', 'game', 'nge', 'lag', 'lucu', 'telkomsel']</t>
  </si>
  <si>
    <t>['parah', 'telkomsel', 'kuota', 'terpakai', 'tgl', 'kadaluarsanya', 'parah', 'asli', 'parah', 'chat', 'veronika', 'link', 'jawabannya', 'dibuka', 'jdi', 'mohon', 'maaf', 'kasi', 'bintang', 'dlu', 'terimakasih', 'kejadian', 'laen', '']</t>
  </si>
  <si>
    <t>['bagus', 'bangetttttt', 'promonya']</t>
  </si>
  <si>
    <t>['mantaf', 'membantu', 'mencari', 'paket', 'murah', 'tinggal', 'cek', 'isi']</t>
  </si>
  <si>
    <t>['jaringannya', 'bagus', 'min', 'tutup', 'pabrik', 'tekomsel', 'min', 'pakai', 'telkomsel', 'sinyalnya', 'min', 'semoga', 'cepat', 'tutup', 'perusahaan', 'min', '']</t>
  </si>
  <si>
    <t>['jaringan', 'lelet', 'harganya', 'mahal']</t>
  </si>
  <si>
    <t>['mahal', 'berulah']</t>
  </si>
  <si>
    <t>['puas', 'mengecewakan']</t>
  </si>
  <si>
    <t>['jaringan', 'stabil', 'kecewa', 'puassla', '']</t>
  </si>
  <si>
    <t>['kecewa', 'jaringan', 'stabil', 'main', 'game', 'jaringn', 'bagus', 'nonton', 'lancar', 'kasi', 'pemberitahuan', 'merugikan', 'gamers', 'klw', 'masi', 'stabil', 'gini', 'jaringan', 'mohon', 'respondnya']</t>
  </si>
  <si>
    <t>['telkomsel', 'nggak', 'bnyk', 'kekurabgannya', 'isi', 'pulsa', 'main', 'potong', 'alsan', 'paket', 'darurat', 'cek', 'ambil', 'paket', 'darurat', 'udah', 'nggak', 'ngambil', 'paket', 'darurat', 'skrng', 'ganti', 'kartu', 'nggak', 'isi', 'pulsa', 'kartu', 'kecuali', 'dlm', 'adaan', 'banget', 'lansung', 'potong', 'rb']</t>
  </si>
  <si>
    <t>['jelek', 'sinyal', 'telkomsel', 'hilang', 'org', 'emosi', 'tingkatkan', 'sinyal', 'internetnya', 'promosi', 'klian', 'tingkatkan', 'tpi', 'sinyal', 'burik', '']</t>
  </si>
  <si>
    <t>['pokoknya', 'nggak', 'salah', 'aplikasi', 'mytelkomsel', 'buanyak', 'keuntungan', '']</t>
  </si>
  <si>
    <t>['buruk', 'jaringan', 'telkomsel', 'kota', 'hilang', 'jaringan', 'sich', 'jaringan', 'hilang', 'tolong', 'ditingkatkan', 'udah', 'pakai', 'telkomsel', 'iya', 'beralih', '']</t>
  </si>
  <si>
    <t>['telkom', 'makina', 'parah', 'jirrr', 'udh', 'jaringan', 'susah', 'skarang', 'stiap', 'kali', 'isi', 'pulsa', 'hilang', 'pdhal', 'aju', 'pinjem', 'operator', 'aneh', 'tlong', 'perbaiki', 'klu', 'pulsa', 'kembalikan', 'rugi', 'kalu', 'stiap', 'isi', 'pulsa', 'hilang', 'mulu', 'jir']</t>
  </si>
  <si>
    <t>['apk', 'bgus', 'beli', 'pulsa', 'pembayaran', 'gopay', 'masuk', 'tolong', '']</t>
  </si>
  <si>
    <t>['woi', 'tolong', 'diperbaiki', 'jaringan', 'parah', 'banget', 'harga', 'doang', 'mahal', 'jaringan', 'lelet', 'kali', 'masak', 'kalah', 'tri', 'indosat', 'harga', 'terjangkau']</t>
  </si>
  <si>
    <t>['jaringan', 'laq']</t>
  </si>
  <si>
    <t>['tolong', 'banyakin', 'promo']</t>
  </si>
  <si>
    <t>['transaksi', 'pembayaran', 'kali', 'sampe', 'pulsa', 'mencukupi', 'tolong', 'dipercepat']</t>
  </si>
  <si>
    <t>['', 'msh', 'bnyak', 'kluhan']</t>
  </si>
  <si>
    <t>['semoga', 'murah', 'hemat']</t>
  </si>
  <si>
    <t>['kuota', 'mahal', 'jelek', 'aneh', 'jaringan', 'suka', 'ilang', 'main', 'game', 'emg', 'telkomsel']</t>
  </si>
  <si>
    <t>['sinyal', 'bego', 'maen', 'game', 'online', 'turun', 'ping', 'harga', 'doang', 'mahal']</t>
  </si>
  <si>
    <t>['perbaiki', 'bugs', 'notifikasi', 'icon', 'kertas', 'surat', 'notifikasi', 'dihapus', 'icon', 'tertera', 'hilang', 'enak', 'dipandangnya', 'slider', 'experience', 'program', 'digeser', 'klik', 'akses', 'lokasi', 'fitur', 'experience', 'berfungsi', '']</t>
  </si>
  <si>
    <t>['parah', 'pembelian', 'pulsa', 'pakai', 'link', 'menu', 'bangking']</t>
  </si>
  <si>
    <t>['seria', 'denganmu']</t>
  </si>
  <si>
    <t>['', 'puas', 'pikasi', 'tekomsel']</t>
  </si>
  <si>
    <t>['beli', 'kuota', 'pulsa', 'proses', 'wifi', 'aneh']</t>
  </si>
  <si>
    <t>['telkomsel', 'bagus', 'apk', 'berguna', 'mengecek', 'kuota', 'pulsa', 'ditambah', 'beli', 'kuota', 'beli', 'mytelkomsel', 'alhamdulillah', 'bonus', 'rp', 'daily', 'login', 'kuota', 'tinggal', 'dimanfaatin', 'login', 'telkomsel', 'kuota', 'sesuai', 'ketentuan', 'ngga', 'tenggat', 'habis', 'kuotanya', 'sampe', 'minggu', 'thx', 'mytelkomsel', '']</t>
  </si>
  <si>
    <t>['bermanfaat', 'pengguna', 'telkomsel']</t>
  </si>
  <si>
    <t>['woi', 'jaringan', 'ilang', 'ngapain', 'hilangkan', 'kuota', 'penuh', 'sinyal', 'kemanakan', 'boz', '']</t>
  </si>
  <si>
    <t>['telkomsel', 'tolong', 'perbaiki', 'sinyal', 'daerah', 'daerah', 'andum', 'patujah', 'kab', 'tasikmala', 'sekelas', 'telkomsel', 'jaringan', 'kadang', 'setabil', 'sosmed', 'lemotttttttt', 'apalgi', 'game', 'online', 'ping', 'sampe', 'edan']</t>
  </si>
  <si>
    <t>['nyesel', 'pindah', 'hallo', 'sinyal', 'ndak', 'bagusnya', 'pasrah', 'bayar', 'bulanan', 'harian', 'pakai', 'kartu']</t>
  </si>
  <si>
    <t>['gagal', 'isi', 'paket', 'data']</t>
  </si>
  <si>
    <t>['mantaaap']</t>
  </si>
  <si>
    <t>['', 'gagal', 'membeli', 'paket', 'kuota', 'saldo', 'kuota', 'ghoib', '']</t>
  </si>
  <si>
    <t>['harga', 'paket', 'mahal', 'sinyal', 'kek', 'jembod']</t>
  </si>
  <si>
    <t>['mantap', 'mudah', 'info', 'seputar', 'telkomsel']</t>
  </si>
  <si>
    <t>['sinyal', 'telkomsel', 'mengecewakan', 'jam', 'pagi', 'lancar', 'jam', 'zonk']</t>
  </si>
  <si>
    <t>['cepat', 'mudah', 'pemindahan', 'sinyal', 'tower', 'terpustus', 'percakapan']</t>
  </si>
  <si>
    <t>['telkomsel', 'top', 'notifikasi', 'berhasil', 'diamond', 'masuk', 'udah', 'potong', 'pulsa', 'tanggapan', 'disuruh', 'hubungi', 'google', 'sampe', 'google', 'proses', 'top', 'pulsa', 'udh', 'potong', 'google', 'terima', 'karna', 'saldo', 'udh', 'kecewa', 'ama', 'telkomsel', 'udh', 'top', 'pulsa', 'udah', 'kongkalikong', '']</t>
  </si>
  <si>
    <t>['beli', 'rugi', 'najis']</t>
  </si>
  <si>
    <t>['aplnya', 'memudahkan', '']</t>
  </si>
  <si>
    <t>['maunya', 'kuota', 'dulunya', 'murah', 'mahal', 'bagus', 'jaringannya', 'lancar', 'ancur', 'coba', 'pulsa', 'abis', 'ngk', 'aktifin', 'data']</t>
  </si>
  <si>
    <t>['pelayanan', 'membantu']</t>
  </si>
  <si>
    <t>['tolong', 'jaringan', 'benahi', 'kian', 'kian', 'hancur', 'jaringan', 'telkomsel', 'udh', 'kalah', 'ama', 'operator']</t>
  </si>
  <si>
    <t>['iklannya', 'gedegede', 'menghalangi', 'pas', 'lihat', 'pulsa', 'cek', 'kuota', 'gitu', '']</t>
  </si>
  <si>
    <t>['okke']</t>
  </si>
  <si>
    <t>['isi', 'pulsa', 'mytelkomsel', 'metode', 'pembayaran', 'dana', 'pulsa', 'nggk', 'masuk', 'masuk', 'anjg']</t>
  </si>
  <si>
    <t>['kuwalitas', 'sinyalnya', 'jelek', 'mohon', 'diperbaiki', 'terimakasih', '']</t>
  </si>
  <si>
    <t>['kenapasih', 'habis', 'hujan', 'sinyal', 'lemot', 'masak', 'kayak', 'gitu']</t>
  </si>
  <si>
    <t>['beli', 'paket', 'internet', 'telkomsen', 'gratisan', 'unlimited', '']</t>
  </si>
  <si>
    <t>['aplikasi', 'telkomsel', 'beli', 'paket', 'ribetin', 'banget', 'hidup', '']</t>
  </si>
  <si>
    <t>['', 'telkomsel', 'anjeng', 'paket', 'mahal', 'jaringannya', 'lemot', 'kayak', 'pakek', 'telkomsel', 'buruan', 'ganti', 'haluan']</t>
  </si>
  <si>
    <t>['telkomsel', 'jaringan', 'main', 'game', 'merah', 'jaringan']</t>
  </si>
  <si>
    <t>['paket', 'internet', 'murah', 'knapa', 'mahal', 'banget', 'admin', '']</t>
  </si>
  <si>
    <t>['perbaikin', 'sistem', '']</t>
  </si>
  <si>
    <t>['kek', 'jaringan', 'telkomsel', 'rusak', 'kecewa', 'pemakai', 'telkomsel', 'kek', 'gini', '']</t>
  </si>
  <si>
    <t>['tolong', 'jaringan', 'dibenerin', 'belom', 'sempurna', 'fokus', '']</t>
  </si>
  <si>
    <t>['berguna', 'membeli', 'paketan']</t>
  </si>
  <si>
    <t>['signalnya', 'stabil']</t>
  </si>
  <si>
    <t>['bobrok', 'lelet', 'telkomsel', 'kuota', 'dileletkan', 'busuk', 'kali', 'akalnya', 'telkomsel']</t>
  </si>
  <si>
    <t>['', 'mna', 'beli', 'paket', 'seni', 'pulsa', 'habis', 'paket', 'mna', 'kebijakan', 'jngan', 'pembohong']</t>
  </si>
  <si>
    <t>['game', 'lehh', 'dikit']</t>
  </si>
  <si>
    <t>['sinyal', 'kuat', 'pelosok', 'nusantara', 'petualang', 'membantu', '']</t>
  </si>
  <si>
    <t>['kacau', 'kali', 'jaringan', 'aneh', 'udah', 'mahal', 'mahal', 'beli', 'kartu', 'jaringan', 'kali', 'lag', 'tolong', 'perbaiki']</t>
  </si>
  <si>
    <t>['telkomsel', 'jaringan', 'terluas', 'bagus']</t>
  </si>
  <si>
    <t>['promo', 'kenyamanan', 'jaga']</t>
  </si>
  <si>
    <t>['promo', 'murah', 'banget']</t>
  </si>
  <si>
    <t>['kasi', 'paketannya', 'mahal', 'mahal', 'pindah', 'pelanggan', 'simpati', 'klau']</t>
  </si>
  <si>
    <t>['beli', 'kuota', 'youtube', 'unlimited', 'terpakai', 'kuota', 'utama', 'nonton', 'youtube', 'kemarin', 'beli', 'udah', 'habis', 'tolong', 'diperbaikin', 'bang', 'unlimited', 'youtube', 'berguna', 'rugi', '']</t>
  </si>
  <si>
    <t>['hadiah', 'monetary']</t>
  </si>
  <si>
    <t>['terkomsel', 'tolong', 'harga', 'pulsanya', 'murah']</t>
  </si>
  <si>
    <t>['', 'maketin', 'quota', 'udah', 'plus', 'sms', 'telpon', 'trus', 'ngasih', 'cashback', 'monetary', 'telpon', 'sms', 'telkomsel', 'trus', 'niatnya', 'cashback', 'monetary', 'kepake', 'quota', 'paket', 'cashbacknya', 'sehari', 'bego', 'telkomsel', 'licik', 'skrg', 'megang', 'telkomsel', 'pelit', 'wkwkwkwk']</t>
  </si>
  <si>
    <t>['parah', 'saldo', 'pulsa', 'terpotong', 'pemberitahuan', 'rb', 'tinggal', 'rb', 'mohon', 'penjelasannya']</t>
  </si>
  <si>
    <t>['putus', 'nyambung', '']</t>
  </si>
  <si>
    <t>['bagus', 'banget', 'cepet', 'trnsaksinya']</t>
  </si>
  <si>
    <t>['mantaaaappppp', 'bangett']</t>
  </si>
  <si>
    <t>['mudah', 'beli', 'paket', 'internet']</t>
  </si>
  <si>
    <t>['gue', 'dukungdeh', 'telkomsel', 'nyediain', 'penjeman', 'cuman', 'satunih', 'bayar', 'dijelasin', 'gimanatuh']</t>
  </si>
  <si>
    <t>['rubuh', 'tower', 'jaringan', 'jelek', 'bener', 'taambah', 'haancur']</t>
  </si>
  <si>
    <t>['coba', 'telkomsel']</t>
  </si>
  <si>
    <t>['sedih', 'banget', 'banget', 'berpisah', 'nomor', 'udah', 'menemani', 'bertahun', 'gara', 'gara', 'gag', 'pascabayar', 'ubah', 'prabayar', 'pengen', 'banget', 'keajaiban', 'telkomsel', 'mengubah', 'kebijakan', 'sales', 'memberitahu', 'resiko', 'kartu', 'pascabayar', 'kecewa', 'banget', 'temen', 'temen', 'pascabayar', 'hati', 'hati', 'pascabayar', 'nomor', 'sedih', 'banget', 'nomor', 'keperluan', 'daya']</t>
  </si>
  <si>
    <t>['paket', 'gagal', 'paket', 'ceria']</t>
  </si>
  <si>
    <t>['sinyal', 'jelek', 'bngt', 'hujan']</t>
  </si>
  <si>
    <t>['paketnya', 'mahal', '']</t>
  </si>
  <si>
    <t>['kartu', 'mahal', 'kuota', 'mahal', 'sinyal', 'jelek', 'parah', 'bubar', 'pindah', 'sebelah']</t>
  </si>
  <si>
    <t>['peningkatan', 'mantap', '']</t>
  </si>
  <si>
    <t>['kagak', 'pulsa']</t>
  </si>
  <si>
    <t>['mantap', 'sukses']</t>
  </si>
  <si>
    <t>['kecewa', 'telkomsel', 'gangguan', 'pemberitahuan', 'tolong', 'benahi', 'sinyalnya', 'daerah', 'terpencil', 'susah', 'sinyal', 'gangguan', '']</t>
  </si>
  <si>
    <t>['bagus', 'singal']</t>
  </si>
  <si>
    <t>['gangguan', 'mulu', 'telkom', 'udh', 'jaringan', 'lag', 'kuota', 'mahal', 'gangguan', 'mulu', 'hadeh', 'telkomek']</t>
  </si>
  <si>
    <t>['knp', 'beli', 'paket', '']</t>
  </si>
  <si>
    <t>['good', 'membantu']</t>
  </si>
  <si>
    <t>['cepat', 'conecnya']</t>
  </si>
  <si>
    <t>['jaringannya', 'lambat']</t>
  </si>
  <si>
    <t>['', 'murah', 'pketnya']</t>
  </si>
  <si>
    <t>['lemot', 'aplikasinya']</t>
  </si>
  <si>
    <t>['paket', 'datanya', 'mahal', '']</t>
  </si>
  <si>
    <t>['kasih', 'bintang', 'boos', 'sempurna', 'sinyal', 'paket', 'datanya', '']</t>
  </si>
  <si>
    <t>['mantab', 'telkomsel', 'jaringan', 'stabil', 'indonesia']</t>
  </si>
  <si>
    <t>['telkomsel', 'membeli', 'paket', 'data', 'paket', 'check', 'berlaku', 'terpakai', 'paket', 'paket', 'bentar', 'habis', 'diutamakan', 'berlakunya', 'mah', 'namanya', 'paket', 'habiskan', 'paket', 'berlakunya', 'paket', 'berlakunya', 'tolong', 'telkomsel', 'memperbaiki', 'kenyamanan']</t>
  </si>
  <si>
    <t>['bagus', 'beli', 'paket']</t>
  </si>
  <si>
    <t>['parah', 'gue', 'kasih', 'bintang']</t>
  </si>
  <si>
    <t>['muda', 'cepat']</t>
  </si>
  <si>
    <t>['jaringan', 'terlelet', 'udah', 'kaya', 'tolong', 'perbaiki', 'jaringannya', 'lelet', 'jaringan', 'lelet', 'kecepatan', 'kbps', 'kbps', '']</t>
  </si>
  <si>
    <t>['', 'wilayah', 'kampung', 'bali', 'sinyalnya', 'mengecewakan', 'pdhal', 'isi', 'pulsa', 'rb', 'pelayanan', 'sinyalnya', 'meresahkan', 'bahka', 'buka', 'aplikasi', 'telkomsel', 'butuh', 'sinyal', 'gimana', 'coba', 'tolong', 'pantau', 'sinyal', 'daerah', 'kampung', 'bali', 'kecewa', 'lihat', 'kualitas', 'sendri', '']</t>
  </si>
  <si>
    <t>['memuaskan', 'ayo', 'maju', 'telkomsel', 'sukses']</t>
  </si>
  <si>
    <t>['mudah', 'beli', 'kuota']</t>
  </si>
  <si>
    <t>['ngeleg', 'ngeleg', 'jaringan', 'telkomsel', 'mcm', 'dikit', 'main', 'ngelag']</t>
  </si>
  <si>
    <t>['sepertiny', 'telkomsel', 'kemarin', 'isi', 'pulsa', 'tinggal', 'orang', 'berulang', 'kali', 'hamdeh', 'telkomsel', 'mohon', 'diperbaiki', '']</t>
  </si>
  <si>
    <t>['lumayan', 'jaringannya', 'suka', 'akses', 'kuota', 'jaringan']</t>
  </si>
  <si>
    <t>['beli', 'paket', 'orbit', 'gagal', 'gangguan', 'sistem']</t>
  </si>
  <si>
    <t>['bagus', 'membantuu']</t>
  </si>
  <si>
    <t>['sumpah', 'telkomsel', 'jaringan', 'bar', 'kecepatan', 'koneksinya', 'lemot', 'banget', 'tolong', 'solusiny', 'menghubungi', 'nggak', 'kunjung', 'bener']</t>
  </si>
  <si>
    <t>['sippp', 'membantu', 'pengguna', 'telkomsel']</t>
  </si>
  <si>
    <t>['apknya', 'bagus', 'membantu', '']</t>
  </si>
  <si>
    <t>['pengen', 'kirim', 'hadiah', 'aplikasi', 'metode', 'pembayaran', 'pakai', 'pulsa', 'salahnya', 'tambahkan', 'metode', 'bayar', 'pakai', 'pulsa', '']</t>
  </si>
  <si>
    <t>['gampang', 'pakai', 'apk']</t>
  </si>
  <si>
    <t>['mencoba']</t>
  </si>
  <si>
    <t>['aplikasi', 'dpt', 'dibuka', '']</t>
  </si>
  <si>
    <t>['aktifasi', 'paket', 'cepat', '']</t>
  </si>
  <si>
    <t>['knp', 'sekrang', 'kekuatan', 'sinyalnya', 'turun', 'kena', 'main', 'game', 'ping', 'kecewa', 'gua', 'telkom', 'enak', 'main', 'game', 'sinyal', 'lancar', 'cepet', 'gada', 'kendala', 'susah', 'kalah', 'provider', 'sebelah', 'tolong', 'benerin', 'sinyalnya']</t>
  </si>
  <si>
    <t>['telkomsel', 'klop', 'rekam', 'ktp', 'giliran', 'photo', 'selfi', 'telkomsel', 'niat', 'telkomsel', 'klop']</t>
  </si>
  <si>
    <t>['senang', 'mytelkomsel', '']</t>
  </si>
  <si>
    <t>['ngisi', 'kuota', 'pakai', 'link', 'masuk', 'bener', 'lemot', '']</t>
  </si>
  <si>
    <t>['murahin', 'paket', 'hhe']</t>
  </si>
  <si>
    <t>['mantap', 'tingkatkan', 'smga', 'sukses', 'sehat', 'sllu', 'staff', 'karyawan', 'telkomsel', 'terima', 'kasih']</t>
  </si>
  <si>
    <t>['buka', 'aplikasi', '']</t>
  </si>
  <si>
    <t>['terbantu']</t>
  </si>
  <si>
    <t>['mantap', 'mahallll']</t>
  </si>
  <si>
    <t>['telkomsel', 'sialan', 'kuota', 'harga', 'mahal', 'sinyal', 'jakarta', 'ajah', 'banget', 'loading']</t>
  </si>
  <si>
    <t>['kecewa', 'telkomsel', 'harga', 'mahal', 'memiliki', 'jaringan', 'kuat', 'main', 'game', 'kapada', 'telkomsel', 'memperbaiki', 'memperstabilkan', 'jaringan', 'terima', 'kasih']</t>
  </si>
  <si>
    <t>['perbanyak', 'pilihan', 'paketan', 'perbulannya', '']</t>
  </si>
  <si>
    <t>['hnya', 'cek', 'pulsa', 'pesan', 'paket', 'internet', 'nlp', 'dll', 'manual', '']</t>
  </si>
  <si>
    <t>['telkomsel', 'mantaf', 'sinyal', 'bagus', 'paket', 'gampang', 'lumayan', 'murah', 'terima', 'kasih', 'telkomsel', 'semoga', 'sukses']</t>
  </si>
  <si>
    <t>['telkomsel', 'jaringan', 'parah', 'internet', 'buruk', 'internet', 'bagus', 'jaringan', 'kenceng', 'walaupum', 'mahal', 'beli', 'kuotanya', 'sesuai', 'jaringanya', 'kencang', 'skarang', 'haduh', 'lelet', 'udah', 'pindah', 'jaringan', 'bye', 'telkomsel', '']</t>
  </si>
  <si>
    <t>['singalnya', 'jelek', 'bukanya', 'benerin', 'biarin']</t>
  </si>
  <si>
    <t>['kak', 'kuota', 'dapet', 'kuota', 'kemendikbud', 'kuota', 'diambil', 'kuota', 'beli', 'kuota', 'keambil', 'kuota', 'kemendikbudnya', 'udah', 'ngomong', 'veronika', 'berguna', '']</t>
  </si>
  <si>
    <t>['detik', 'telkomsel', 'perubhn', 'dri', 'telkom', 'perbaiki', 'jls', 'mengecewakan', 'pelanggan', 'mendingan', 'mkai', 'jaringan', 'murah', 'jaringan', 'banget', 'mntap', 'pokoknya']</t>
  </si>
  <si>
    <t>['mantap', 'ngk', 'ribet', 'praktis', 'promonya', 'ngk', 'pelanggan']</t>
  </si>
  <si>
    <t>['buka', 'mytelkomsel', 'skrg', 'lemot']</t>
  </si>
  <si>
    <t>['telkomsel', 'bingit']</t>
  </si>
  <si>
    <t>['parah', 'jaringan', 'telkomsel', 'oku', 'selatan', 'bka', 'telkomsel', 'tolong', 'perkuat', 'jaringan', 'internet']</t>
  </si>
  <si>
    <t>['meng', 'lihat', 'internet']</t>
  </si>
  <si>
    <t>['gua', 'kasih', 'bintang', 'kara', 'jaringan', 'busuk', 'udah', 'busk', 'nmbah', 'stres', 'mohon', 'berbaiki', 'jaringan', 'sentuhan', 'ahir', 'kaok', 'ngelek']</t>
  </si>
  <si>
    <t>['paketan', 'doang', 'mahal', 'sinyal', 'jelek', 'mahal']</t>
  </si>
  <si>
    <t>['beli', 'paket', 'disney', 'gagal', 'bantuan', 'ribet', 'banget', 'foto', 'sni', 'buka', 'sni']</t>
  </si>
  <si>
    <t>['parah', 'promo', 'ditulis', 'dpt', 'cashback', 'shopee', 'kenyataan', 'tgl', 'sesuai', 'persyaratan', '']</t>
  </si>
  <si>
    <t>['lihat']</t>
  </si>
  <si>
    <t>['barusan', 'dpt', 'tlfn', 'angkat', 'matikan', 'terahir', 'hallo', 'doang', 'klamaan', 'semenjak', 'pindah', 'hallo']</t>
  </si>
  <si>
    <t>['woi', 'min', 'bener', 'beli', 'paketan', 'gb', 'make', 'udah', 'notif', 'maaf', 'paketan', 'habis', 'blm', 'udah', 'notif', 'begituan', 'pulsa', 'udah', 'kgk', 'kemarin', 'bener', 'min', 'tanggung']</t>
  </si>
  <si>
    <t>['jaringan', 'telkomsel', 'sagat', 'bagus', 'lancar', 'penggunaanya', 'sgt', 'mudah', 'dipakai', 'orang', 'tua', 'anak', 'anak', 'terimakasih', 'telkomsel', '']</t>
  </si>
  <si>
    <t>['telkomsel', 'cacad', 'sinyal', 'ampas', 'harga', 'emas']</t>
  </si>
  <si>
    <t>['yuk', 'pakai', 'telkomsel', 'mudah', 'aman', '']</t>
  </si>
  <si>
    <t>['', 'komitmen', 'beli', 'paket', 'unlimited', 'youtube', 'pas', 'buka', 'youtube', 'muter', 'padhal', 'sinyal', 'kuat']</t>
  </si>
  <si>
    <t>['parah', 'telkomsel', 'purchase', 'game', 'ngga', 'masuk', 'pulsa', 'dipotong']</t>
  </si>
  <si>
    <t>['daerah', 'kota', 'cirebon', 'bima', 'sinyalnya', 'turun', 'sinyal', 'terbaik', 'trnyata', 'main', 'game', 'lancar']</t>
  </si>
  <si>
    <t>['paham', 'kebanyakan', 'layanan', 'bagus', 'deh']</t>
  </si>
  <si>
    <t>['memudahkan', 'yransaksi']</t>
  </si>
  <si>
    <t>['kemudahan', 'membeli', 'paket', 'data', 'cek', '']</t>
  </si>
  <si>
    <t>['bagus', 'provider', 'bagus', 'speednya', 'wusshh']</t>
  </si>
  <si>
    <t>['kak', 'maaf', 'sms', 'cuan', 'telkomsel', 'beli', 'quota', 'belajar', 'saldo', 'linkaja', 'rb', 'beli', 'beli', 'saldo', 'linkaja', 'nambah', '']</t>
  </si>
  <si>
    <t>['sinyal', 'ngaco']</t>
  </si>
  <si>
    <t>['bagus', 'kali', 'apk']</t>
  </si>
  <si>
    <t>['sinyal', 'telkomsel', 'nemen', 'full', 'ngeleg', 'ampun', '']</t>
  </si>
  <si>
    <t>['paket', 'data', 'mytelkomsel', 'beda', '']</t>
  </si>
  <si>
    <t>['sinyal', 'telkomsel', 'buruk', 'mahal', 'harganya']</t>
  </si>
  <si>
    <t>['', 'terbaik', 'murah', 'paket', 'data', '']</t>
  </si>
  <si>
    <t>['aplikasinya', 'responsif', 'berkali', 'kali', 'coba', 'beli', 'paket', 'data', 'kunjung', 'aktif', 'diperbaiki']</t>
  </si>
  <si>
    <t>['pulsa', 'gue', 'berkurang', 'disedot', 'aktifitas', 'bukti', 'gua', 'screenshot', 'pulsa', 'hilang', 'udah', 'komplen', 'tanggapannya', 'gprs', 'nomor', 'dipakein', 'data', 'parah', 'emang']</t>
  </si>
  <si>
    <t>['kasih', 'gua', 'data', 'gratis']</t>
  </si>
  <si>
    <t>['cepat', 'terjangkau', 'dihati', 'telkomsel', '']</t>
  </si>
  <si>
    <t>['jaringannya', 'goblokkk', 'gausa', 'telkom', 'nyesel', 'guaa', 'udah', 'kuotanya', 'mahal']</t>
  </si>
  <si>
    <t>['mantap', 'pokoknya', 'semoga', 'terdepan', 'mudah', 'mudahan', 'ngerasain', 'bonus', 'bonus', 'menarik', 'telkomsel', '']</t>
  </si>
  <si>
    <t>['aplikasi', 'hilang', 'download', 'ulang', 'buka', '']</t>
  </si>
  <si>
    <t>['menarik', 'fitur', 'fitur', 'ayo', 'telkomsel', 'berinovasi']</t>
  </si>
  <si>
    <t>['harganya', 'terjangkau']</t>
  </si>
  <si>
    <t>['sinyal', 'kek', 'ajg']</t>
  </si>
  <si>
    <t>['kecewa', 'aplikasi', 'telkomsel', 'bbrp', 'minggu', 'beli', 'kuota', 'internet', 'tulisan', 'coba', '']</t>
  </si>
  <si>
    <t>['bagusssss']</t>
  </si>
  <si>
    <t>['harap', 'telkomsel', 'kasih', 'paket', 'data', 'murah', 'merakyat', 'pengguna', 'kecewa']</t>
  </si>
  <si>
    <t>['napa', 'pulsa', 'potong', 'hadeh', 'langgganan', 'etdah', 'malesin']</t>
  </si>
  <si>
    <t>['kasi', 'bintang', 'karna', 'isi', 'jam', 'liat', 'pulsa', 'tinggal', 'kecewa', 'telkomsel']</t>
  </si>
  <si>
    <t>['rekomended']</t>
  </si>
  <si>
    <t>['signal', 'jelek', 'hujan', 'hujan', 'parah', 'banget', 'harga', 'kuota', 'mahal', '']</t>
  </si>
  <si>
    <t>['kondisi', 'jaringan', 'aceh', 'timur', 'buruk', 'tolong', 'perbaiki', 'terima', 'kasih']</t>
  </si>
  <si>
    <t>['kota', 'internet']</t>
  </si>
  <si>
    <t>['layanan', 'cepat', 'mudah']</t>
  </si>
  <si>
    <t>['telkomsel', 'trhormat', 'knpa', 'pulsa', 'utama', 'kemakan', 'sndri', 'pdhal', 'paket', 'msih', 'bnyak', 'tolong', 'donk', 'tingkat', 'axis', 'net', 'kunci', 'pulsa', 'data', 'jdi', 'paket', 'hbis', 'pulsa', 'utama', 'kemakan', 'skian', 'terimakasih']</t>
  </si>
  <si>
    <t>['kecewa', 'beli', 'paket', 'gamemax', 'voucher', 'mlbb', 'muncul', '']</t>
  </si>
  <si>
    <t>['tingkat', 'kualitas', 'kuantitas', 'klu', 'promo', 'harga', 'kuota']</t>
  </si>
  <si>
    <t>['maling', 'pulsa', 'makan', 'haram', 'telkomsel', 'mati', 'woy', 'klu', 'orang', 'kaya', 'berasa', 'pulsa', 'hilang', 'tuk', 'orang', 'hidup', 'pas', 'kehilangan', 'hee', 'pantasan', 'pekerja', 'telkomsel', 'perut', 'buncit', 'kaya', 'babi', '']</t>
  </si>
  <si>
    <t>['geral', 'tabuni', 'membantu']</t>
  </si>
  <si>
    <t>['manteplah', 'membantu', 'puas', 'pokoke']</t>
  </si>
  <si>
    <t>['woi', 'isi', 'pulsa', 'cek', 'aplikasi', 'tukarkan', 'paket', 'data', 'pulsa', 'pulsa', 'kurangi', 'emg', 'kurangi', 'ngerasa', 'rugi', 'dpt', 'paket', '']</t>
  </si>
  <si>
    <t>['telkom', 'jelek', 'sinyal', 'suka', 'ilang', 'main', 'game', 'kacau', 'paketnya', 'mahalmahal', 'kekuatan', 'sinyat', 'murahan', 'paraahhhhhhh', '']</t>
  </si>
  <si>
    <t>['paketan', 'mahal', 'kadang', 'sinyal', 'lelet', '']</t>
  </si>
  <si>
    <t>['bagus', 'paket', 'anlimitid', 'batas', 'kaya']</t>
  </si>
  <si>
    <t>['lumayan', 'apl', 'kadang', 'eror', 'jga']</t>
  </si>
  <si>
    <t>['jaringan', 'kesini', 'tolol', '']</t>
  </si>
  <si>
    <t>['aplikasi', 'memuaskan', 'updet', 'performa', 'jelek']</t>
  </si>
  <si>
    <t>['sinyal', 'karang', 'ciledug', 'tangerang', 'buruk']</t>
  </si>
  <si>
    <t>['maaf', 'penukaran', 'poin', 'paket', 'data', 'gb', 'berhasil', 'penukaran', 'pulsa', 'ambil', 'ribu', 'paket', 'internet']</t>
  </si>
  <si>
    <t>['', 'bintang', 'telkomsel', 'sinyal', 'internet', 'down', 'kya']</t>
  </si>
  <si>
    <t>['paket', 'data', 'pulsa', 'ikutan', 'habis', 'data', 'hudup']</t>
  </si>
  <si>
    <t>['mantul', 'pokok']</t>
  </si>
  <si>
    <t>['minggu', 'telkomsel', 'sinyalnya', 'parah', 'sinyalnya', 'stabil', 'main', 'game', 'merah', 'ijo', 'merah', 'ijo', 'mulu', 'lose', 'traek', 'mulu', 'gimana', 'min', '']</t>
  </si>
  <si>
    <t>['puas', 'banget', 'telkomsel', 'sinyalnya', 'bagus', 'delay', 'paket', 'darurat', 'telkomsel', 'sayang', 'undian', 'mudah', 'mobil', 'nengokin', 'anak', 'pesantren', 'ngak', 'sewa', 'amin', 'padalarang', 'tasik']</t>
  </si>
  <si>
    <t>['parah', 'telkomsel', 'data', 'langsung', 'matiin', 'kena', 'pulsa', 'sampe', 'habis', 'emang', 'gini', 'ngambil', 'uang', 'gitu', 'operator', 'kecewa', 'berat', 'sumpah', '']</t>
  </si>
  <si>
    <t>['kesini', 'sinyal', 'ilang', 'telkomsel', 'kaya', 'make', 'kartu', 'three']</t>
  </si>
  <si>
    <t>['mantaplah', 'telkomsel', 'beli', 'paket', 'internet', 'pilihan', 'murah', 'meriah', 'dibanding', 'puas', 'berlangganan', 'telkomsel']</t>
  </si>
  <si>
    <t>['tolong', 'doong', 'udah', 'beli', 'paket', 'apk', 'gangguan', 'pdhl', 'ngisi', 'pulsa', 'tolong', 'min', 'perbaiki', 'gue', 'ganti', 'langganan', 'kartu', 'noh']</t>
  </si>
  <si>
    <t>['pokoknyq', 'mantap', '']</t>
  </si>
  <si>
    <t>['banyakin', 'promo', 'kerja', 'smaa', 'nenflix']</t>
  </si>
  <si>
    <t>['tolong', 'akurasinya', 'diperbaiki']</t>
  </si>
  <si>
    <t>['hebat', 'hadiah', 'menarik', 'bantu', 'doa', 'telkomsel', 'sukses']</t>
  </si>
  <si>
    <t>['jelek', 'banget', 'apk', 'ngak', 'daftar', 'adminnya', 'slow', 'respon']</t>
  </si>
  <si>
    <t>['memakai', 'jaringan', 'telkomsel', 'memuaskan']</t>
  </si>
  <si>
    <t>['sinyal', 'telkomsel', 'udah', 'lelet', 'sinyal', 'normal', 'telkomsel', 'pelanggan', 'pindah', 'kartu', 'laen', '']</t>
  </si>
  <si>
    <t>['berlangganan', 'telkomsel', 'ganti', 'provider', 'semoga', 'lancar', 'signalnya', 'telkomsel', 'semoga', 'fitur', 'menarik', '']</t>
  </si>
  <si>
    <t>['susah', 'sinyalnya', 'buka', 'telegram', 'susah', 'banget', '']</t>
  </si>
  <si>
    <t>['lelet', '']</t>
  </si>
  <si>
    <t>['beli', 'paket', 'promo', 'internet', 'ribu', 'bsa', 'sisa', 'pulsa', 'mencukupi', 'pdahal', 'saldo', 'apkah', 'apk', 'telkomsel', 'pemungutan', 'pajak', 'pembelian', 'bodohi', 'membodohi', 'pelanggan', 'tolong', 'perjelas', 'trm', 'ksh', '']</t>
  </si>
  <si>
    <t>['', 'kb', 'rp', 'waaw', 'kepencet', 'data', 'seluler', 'bentar', 'aktifin', 'paket', 'jaringan', 'lelet', 'ckck']</t>
  </si>
  <si>
    <t>['metode', 'pembayaran', 'money', 'link']</t>
  </si>
  <si>
    <t>['kasih', 'bintang', 'perbaiki', 'jaringan', 'pemanis', 'dinegeri', '']</t>
  </si>
  <si>
    <t>['hadiahnya']</t>
  </si>
  <si>
    <t>['terima', 'sms', 'potongan', 'pulsa', 'settingan', 'pemakaian', 'data', 'seluler', 'real', 'fakta', 'promosi', 'pakai', 'ghosting', 'gitu']</t>
  </si>
  <si>
    <t>['suka', 'bngt']</t>
  </si>
  <si>
    <t>['mahal', 'paket']</t>
  </si>
  <si>
    <t>['murah', 'mudah', 'beli', 'paket', 'bulanan', 'telkomsel']</t>
  </si>
  <si>
    <t>['orang', 'bodo', 'pengalamanya', 'pendidikan', 'keramahan', 'kesiapapun', 'ramah', 'tukang', 'parkir', 'jaga', 'menghargai', 'orang', 'menghagai']</t>
  </si>
  <si>
    <t>['berguna', 'praktis', 'mudah', 'mantaappo']</t>
  </si>
  <si>
    <t>['bagus', 'bener']</t>
  </si>
  <si>
    <t>['bagus', 'sayang', 'harga', 'paket', 'mahal', 'trus', 'sinyal', 'lemah']</t>
  </si>
  <si>
    <t>['memudahkan', 'pengguna', 'membantu', '']</t>
  </si>
  <si>
    <t>['', 'tol', 'pulsa', 'habis', 'diamond', 'ngak', 'notifikasi', 'sukses', 'dasar', 'aplikasi', 'penipu', 'uninstall', 'jaringan', 'buruk', 'penipu']</t>
  </si>
  <si>
    <t>['harga', 'quota', 'mahal', 'quota', 'data', 'habis', 'langsung', 'nyedot', 'pulsa', '']</t>
  </si>
  <si>
    <t>['memanfaatkan', 'aplikasi', 'login', 'aktivasi', 'paket', 'pulsa', 'kesedot', 'rb', 'mengecek', 'login', 'telkomsel', 'dial', 'sms', 'berpengaruh']</t>
  </si>
  <si>
    <t>['semoga', 'hadiah', 'benarkan', 'kak', '']</t>
  </si>
  <si>
    <t>['gampang', 'mantab']</t>
  </si>
  <si>
    <t>['pebih', 'efisien', 'promo', 'menarik', 'terima', 'kasih', 'telkomsel', '']</t>
  </si>
  <si>
    <t>['', 'terim', 'kasih', 'telkomsel']</t>
  </si>
  <si>
    <t>['mohon', 'diperbarui', 'versi', 'android', 'kompitabel', 'membeli', 'paket', 'androidnya', 'versi', 'lolipop']</t>
  </si>
  <si>
    <t>['bagus', 'bangett', 'mengisi', 'paket', 'habisss']</t>
  </si>
  <si>
    <t>['', 'bintang', 'yaaaa', 'mantap', '']</t>
  </si>
  <si>
    <t>['halo', 'kak', 'pulsa', 'kmrn', 'sisa', 'ribu', 'skrng', 'berkurang', 'ribu', 'seharian', 'layanan', 'telpon']</t>
  </si>
  <si>
    <t>['mudah', 'terbanti']</t>
  </si>
  <si>
    <t>['aplikasi', 'bagus', 'tolong', 'tingkatkan', 'poin', 'gangguan', 'tukarkan', 'paket', 'data', 'trimakasi']</t>
  </si>
  <si>
    <t>['terbaiklah']</t>
  </si>
  <si>
    <t>['sayang', 'snyal', 'dlm', 'rumah', 'jelek', 'bngt', 'pas', 'dipake', 'maen', 'game', 'ktmu', 'musuh', 'auto', 'drop', 'ping', 'snyalnya', 'tpi', 'rumah', 'sinyal', 'stabil', 'maen', 'game', 'hrus', 'diem', 'rumah', 'tega', 'kmu', 'skrang', '']</t>
  </si>
  <si>
    <t>['aplikasi', 'memuadahkn', 'membeli', 'kouta']</t>
  </si>
  <si>
    <t>['kasih', 'bintang', 'poin', 'tukar', '']</t>
  </si>
  <si>
    <t>['telkomsel', 'aneh', 'pulsa', 'terpotong', 'internet', 'alasan', 'kuota', 'lokal', 'terpakai', 'zona', 'terdaftar', 'beli', 'paket', 'gb', 'kali', 'internet', 'lokal', 'pakai', 'daerah', 'rugi', 'kuota', 'dam', 'rugi', 'pulsa', 'responnya', 'fyi', 'pulsa', 'terpotong', 'ribu']</t>
  </si>
  <si>
    <t>['masuknya', 'susah', 'jaringan', 'jelek', 'pakai', 'link', 'kirim', 'sms', 'system', 'koneksi', 'internet', 'beli', 'paketnya', 'coba', 'aplikasi', 'promonya', 'paket', 'dial', '']</t>
  </si>
  <si>
    <t>['sinyal', 'wilayah', 'desa', 'wonorejo', 'kec', 'guntur', 'kab', 'demak', 'jawa', 'jelek', 'mohon', 'perbaiki']</t>
  </si>
  <si>
    <t>['trimakasih', 'telkomsel', 'pelanggan', 'setiamu']</t>
  </si>
  <si>
    <t>['waw', 'bagus', 'banget', 'bagus', 'sinyal', 'bagus', '']</t>
  </si>
  <si>
    <t>['sukak', 'banget', 'pakai', 'aplikasi', 'telkomsel', 'ngebantu', 'pilih', 'paket', 'internet', 'mudah', 'kawand', 'promo', 'hehehe']</t>
  </si>
  <si>
    <t>['berlakunya']</t>
  </si>
  <si>
    <t>['bintang', 'dlu']</t>
  </si>
  <si>
    <t>['memudahkan', 'transaksi', 'paket']</t>
  </si>
  <si>
    <t>['pulsa', 'hilang', 'masuk', 'langsung', 'abiss', 'aktifin', 'data', 'aneh', 'telkom', 'males', 'telkomsel']</t>
  </si>
  <si>
    <t>['mantap', 'cepat', 'lancar']</t>
  </si>
  <si>
    <t>['mantap', 'informasi', 'bsrta', 'paket', 'makjoss']</t>
  </si>
  <si>
    <t>['membantu', 'signal', 'kenceng', '']</t>
  </si>
  <si>
    <t>['membantu', 'berterimakasih']</t>
  </si>
  <si>
    <t>['didaerah', 'signal', 'lelet', 'alias', 'lemot']</t>
  </si>
  <si>
    <t>['paketan', 'rb', 'enak', 'belinya', '']</t>
  </si>
  <si>
    <t>['keereen', 'mudah', 'simpel']</t>
  </si>
  <si>
    <t>['akun', 'top', 'telkomsel', 'cepat']</t>
  </si>
  <si>
    <t>['sulit', 'masuk', '']</t>
  </si>
  <si>
    <t>['paket', 'internet', 'mahal', 'bandingkan', 'operator', '']</t>
  </si>
  <si>
    <t>['paket', 'mahal', 'mahal']</t>
  </si>
  <si>
    <t>['semoga', '']</t>
  </si>
  <si>
    <t>['kuota', 'masuk', 'kemarin', 'pembayaran', 'gopay', 'aplikasi', 'telkomsel']</t>
  </si>
  <si>
    <t>['aplikasi', 'burik', 'beli', 'paket', 'sistem', 'sibuk', 'melulu']</t>
  </si>
  <si>
    <t>['harga', 'kuota', 'sesuai', 'dngan', 'promosikan']</t>
  </si>
  <si>
    <t>['isi', 'pulsa', 'buka', 'apps', 'telkomsel', 'beli', 'paket', 'sempet', 'beli', 'sisa', 'manteb', 'emang']</t>
  </si>
  <si>
    <t>['mudah', 'dapet', 'aamiin']</t>
  </si>
  <si>
    <t>['knp', 'aplikasi', 'buka', '']</t>
  </si>
  <si>
    <t>['aplikasi', 'berguna', 'beli', 'paket', 'susah', 'ampun', 'promoo', 'udah', 'beli', 'pulsa', 'sesuai', 'promo', 'promonya', 'eror', 'parah']</t>
  </si>
  <si>
    <t>['parah', 'signal', 'jaringan', 'jelek']</t>
  </si>
  <si>
    <t>['goood', 'mangg', 'apk', 'mah']</t>
  </si>
  <si>
    <t>['sinyalnya', 'kyk', 'skrg', 'beli', 'paketan', 'gede', 'abis', 'kepake', 'buka', 'video', 'foto', 'muter', 'mulu', 'sinyal']</t>
  </si>
  <si>
    <t>['kemudahan', 'registrasi', 'kartu', 'prabayar', 'kadang', 'syarat', 'diisi', 'sesuai', 'permintaan', 'diisi', 'pulsa', 'berfungsi', '']</t>
  </si>
  <si>
    <t>['bagus', 'terpercaya']</t>
  </si>
  <si>
    <t>['poin', 'ditukarkan', 'pulsa']</t>
  </si>
  <si>
    <t>['lelet', 'sinyal', 'telkomsel', 'lelet']</t>
  </si>
  <si>
    <t>['berat', 'aplikasinya', 'memakan', 'penggunaan', 'data', 'efisien']</t>
  </si>
  <si>
    <t>['paket', 'meningkat', 'harganya', 'kwalitas', 'sinyal', 'tersendat']</t>
  </si>
  <si>
    <t>['overall', 'signal', 'kadang', 'daerah', 'signal', 'lemah', '']</t>
  </si>
  <si>
    <t>['telkomsel', 'provider', 'buruk', 'disaat', 'butuhkan', 'mengakses', 'anbk', 'sscn', 'lalod', 'nauzubillah', 'kuota', 'provider', 'lancar', 'mahal', 'signalnya', 'buruk', 'indonesia', 'hujan', 'asli', 'emosi', '']</t>
  </si>
  <si>
    <t>['buruk', 'jaringan', 'gprs', 'krtu', 'layanan', 'internet', 'kartu', 'berulah']</t>
  </si>
  <si>
    <t>['mengalami', 'pengguna', 'pulsa', 'habis', 'seringkali', 'sms', 'reminder', 'terlambat', 'masuk', 'pulsa', 'habis', 'sms', 'memakai', 'pulsa', 'reguler', 'saran', 'tolong', 'donk', 'fitur', 'kontrol', 'pulsa', 'tetangga', 'sebelah', 'kuota', 'utama', 'habis', 'pulsa', 'tersedot', 'otomatis', 'terima', 'kasih']</t>
  </si>
  <si>
    <t>['aplikasinya', 'bagus', 'promonya', '']</t>
  </si>
  <si>
    <t>['parah', 'telkomsel', 'arean', 'banyuwangi', 'jawa', 'timur', 'kecamatan', 'muncar', 'sinyal', 'hilang', 'lemot', 'ampun', 'tolong', 'perbaikin', 'sekian', 'langganan', 'telkomsel', 'sinyal', 'lemah', 'musim', 'hujan']</t>
  </si>
  <si>
    <t>['beneran', 'takut', 'isi', 'pulsa', 'telkomsel', 'ngalami', 'wifi', 'pulsa', 'kesedot', 'sakit', 'hati', 'lhooo', 'solusi', 'pdahal', 'byk', 'keluhan', 'pulsa', 'keaedot']</t>
  </si>
  <si>
    <t>['beli', 'paket', 'internet', 'telfon', 'sms', 'sms', 'masuk', 'semoga', 'perbaiki', 'layanan', 'chat', 'lemot', 'banget']</t>
  </si>
  <si>
    <t>['sinyal', 'kek', 'perbaiki', 'ngelag', 'trus', 'maen']</t>
  </si>
  <si>
    <t>['pelayanan', 'buruk', 'sistem', 'suka', 'eror', 'paket', 'data', 'suka', 'masuk', 'pulsa', 'terpotong']</t>
  </si>
  <si>
    <t>['saran', 'telkomsel', 'versi', 'lite', 'pakai', 'ram', 'gb', 'jdi', 'aplikasi']</t>
  </si>
  <si>
    <t>['telkomsel', 'rampok', 'pulsa', 'pemakain', 'aplikasi', 'pulsa', 'langsung', 'terpotong', 'kadang', 'habis', 'pulsa', '']</t>
  </si>
  <si>
    <t>['memudahkan', 'thanks', 'telkomsel']</t>
  </si>
  <si>
    <t>['paket', 'internet', 'lengkap', 'murah']</t>
  </si>
  <si>
    <t>['telkomsel', 'lelet', 'lag', 'jaringan', 'telkomsel', 'bagus', 'mengecewakan', 'tolong', 'kasi', 'kendalanya', '']</t>
  </si>
  <si>
    <t>['tingkatkan', 'layanan', 'top', 'walet', 'pakai', 'pulsa', 'langsung', 'pakai', 'aplikasi', 'pendukung']</t>
  </si>
  <si>
    <t>['membantu', 'proses', 'transaksi']</t>
  </si>
  <si>
    <t>['mantap', 'aplikasinya', 'suka']</t>
  </si>
  <si>
    <t>['pakai', 'telkomsel', 'memuaskan', 'hati', '']</t>
  </si>
  <si>
    <t>['aplikasi', 'bagus', 'jaringannya', 'bagus', 'ngeleg']</t>
  </si>
  <si>
    <t>['bobrok', 'nyedot', 'pulsa', 'hobinye']</t>
  </si>
  <si>
    <t>['jaringan', 'daerah', 'lelet', 'min']</t>
  </si>
  <si>
    <t>['bagus', 'apk', 'min', 'suka', 'tukar', 'poin', 'dngn', 'hadiah']</t>
  </si>
  <si>
    <t>['mahal', 'paketannya', 'goblog']</t>
  </si>
  <si>
    <t>['rekomemded', 'pokok', '']</t>
  </si>
  <si>
    <t>['bangga', 'sinyalnya', 'bagus', 'sinyalnya', 'jelek', 'knapa', 'pdhal', 'harga', 'kuotanya', 'mahal', 'tolong', 'perbaiki', 'sinyalnya']</t>
  </si>
  <si>
    <t>['aplikasi', 'membantuu']</t>
  </si>
  <si>
    <t>['memadai']</t>
  </si>
  <si>
    <t>['bntng', 'saran', 'hangat', 'tlng', 'upgrade', 'lgi', 'jringn', 'intrnet', 'sel', 'amburadul', 'kdang', 'dpt', 'kdang', 'sel', 'mmbuat', 'jutaan', 'plnggn', 'stia', 'mnjdi', 'ksal', 'brat', 'thn', 'lbih', 'mggnkn', 'jringn', 'pket', 'data', 'intrnet', 'sel', 'plnggn', 'setia', 'sel', 'thn', 'katas', 'upgrade', 'bonusan', 'mslkn', 'point', 'dpt', 'tukrkn', 'plsa', 'data', 'mnit', 'tlpn', 'pket', 'sakti', 'tmbhin', 'kuota', 'mnit', 'mnt', 'mnjdi', 'mnt', 'mntap', 'sel', 'plangggn', 'setia', 'rugi', '']</t>
  </si>
  <si>
    <t>['mahal', 'jaringan', 'stabil', 'ngeleg', 'main', 'game', 'pulsa', 'suka', 'ilang', 'coba', 'doang', 'lebar', 'suruh', 'kasih', 'email', 'alamat', 'macem', 'ujung', 'ujungnya', 'pulsa', '']</t>
  </si>
  <si>
    <t>['beli']</t>
  </si>
  <si>
    <t>['susah', 'bonus', 'update', 'mytelkomsel']</t>
  </si>
  <si>
    <t>['poin', 'ditukar']</t>
  </si>
  <si>
    <t>['', 'pakek', 'telkomsel', 'aplikasi', 'knp', 'yaa', 'buka', 'aplikasi', 'sring', 'lemmooooot', 'banget', 'buka', 'apalgi', 'pagi', 'tolong', 'perbaiki', 'aplikasi']</t>
  </si>
  <si>
    <t>['sinyalnya', 'sungguh', 'mengecewakan', '']</t>
  </si>
  <si>
    <t>['kejadian', 'plsa', 'disedot', 'paket', 'aktif', 'msh', 'laporan', 'jaringn', 'otomatis', 'plsa', 'dimakan', 'krna', 'paket', 'reguler', 'ikhlas', 'enggalah', 'daily', 'checkin', 'gb', 'klaim', 'bayar', 'perak', 'gratis', 'krna', 'kepepet', 'klaim', 'menang', 'kaga', 'nyimpen', 'pulsa']</t>
  </si>
  <si>
    <t>['smoga', 'karingan', 'telkomsel', 'bagus', '']</t>
  </si>
  <si>
    <t>['mantapss', 'berlangganan', 'bln', '']</t>
  </si>
  <si>
    <t>['telkomsel', 'lancar']</t>
  </si>
  <si>
    <t>['mantap', 'jiwa', 'jiwa', 'raga', 'jiwa', 'muda']</t>
  </si>
  <si>
    <t>['apliksi', 'membantu', 'hebat', 'pokoknya']</t>
  </si>
  <si>
    <t>['signal', 'dikota', 'dipelosok', 'deket', 'towernya', 'tongkol', 'mahal', 'doang', 'kualitas', 'kek', 'provider', 'sebelah', 'wuuuuu']</t>
  </si>
  <si>
    <t>['pengguna', 'setia', 'tsel', 'jam', 'pagi', 'siang', 'sore', 'main', 'mobile', 'legend', 'sinyal', 'hilang', 'bintang', '']</t>
  </si>
  <si>
    <t>['fix', 'gua', 'telkomsel', 'gua', 'beli', 'paket', 'gamesmax', 'tpi', 'jaringannya', 'super', 'ngaco', 'stabil', 'gua', 'telkomsel', 'mending', 'alternatif', 'udah', 'mahal', 'jaringan', 'pelit', 'lancar', 'jaringan', 'internet', 'regulernya', 'benerin', '']</t>
  </si>
  <si>
    <t>['bonosnya']</t>
  </si>
  <si>
    <t>['kasih', 'baca', 'telkomsel', 'terhormat', 'jaringan', 'tinggal', 'eror', 'sebentar', 'sebentar', 'hilang', 'mohon', 'perhatikan', 'karna', 'hasil', 'makan', 'tergantung', 'jaringan', 'layanan', 'untk', 'layanan', 'tinggal', 'mending', 'cabut', 'tower', 'tanam', 'desa', 'tok', 'jugak', 'terima', 'kasih', '']</t>
  </si>
  <si>
    <t>['terimakasih', 'menemaniku', 'telkomsel', 'mahal', 'jaringan', 'putus', 'nyambung', 'sorry', 'min', 'ane', 'butuh', 'bantuan', '']</t>
  </si>
  <si>
    <t>['bagus', 'mudah', 'bonus', '']</t>
  </si>
  <si>
    <t>['bagus', 'pokoknya', 'mantullllll']</t>
  </si>
  <si>
    <t>['mudah', 'komunikasi']</t>
  </si>
  <si>
    <t>['', 'telkomsel', 'bantu', 'maju', 'telkomsel']</t>
  </si>
  <si>
    <t>['ndaftar', 'data', 'vocer', 'tulisan', 'maaf', 'voucher', 'regional', 'info', 'hubungi', 'gitu', 'bingung', 'vocer', 'belom', 'udah', 'ilang', 'voucher']</t>
  </si>
  <si>
    <t>['paket', 'internet', 'darurat']</t>
  </si>
  <si>
    <t>['kecewa', 'telkomsel', 'pengisian', 'pulsa', 'sisa', 'rban', 'ludes', 'salam', 'binjai']</t>
  </si>
  <si>
    <t>['tolong', 'babi', 'jaringan', 'benerin', 'ngegame', 'trs', 'ilang', 'ampe', 'menit', 'cepet', 'kbnykn', 'ilang', 'stabil', 'unlimited', 'gb', 'ancur', 'telkomsel', '']</t>
  </si>
  <si>
    <t>['paket', 'aktif', 'internet', 'sekejap', 'memakai', 'pulsa', 'pulsa', 'angus', '']</t>
  </si>
  <si>
    <t>['lumayan', 'simple']</t>
  </si>
  <si>
    <t>['beli', 'pulsa', 'bonusnya', 'terima', 'kasih']</t>
  </si>
  <si>
    <t>['signalnya', 'kadang', 'ilang']</t>
  </si>
  <si>
    <t>['telkomsel', 'amit', 'amit', 'hih', 'amit', 'amit', 'pokoknya', 'arti', 'amit', 'amit', 'simpulkan', 'oke', '']</t>
  </si>
  <si>
    <t>['kak', 'tolong', 'pnjelasan', 'beli', 'pulsa', 'blom', 'mnit', 'pulsa', 'masuk', 'sisa', 'trus', 'kmna', 'coba', 'pdhl', 'masuk', 'tolong', 'penjelasan']</t>
  </si>
  <si>
    <t>['jaringan', 'telkom', 'hancur', 'susah', 'sinyal', 'harga', 'peketnya', 'mahal', 'tolong', 'perbaikin', 'jaringanya', 'janagan', 'mengecewakan', 'pengguna', 'pemakai', 'telkom']</t>
  </si>
  <si>
    <t>['mudah', 'aksesnya']</t>
  </si>
  <si>
    <t>['coba', 'downlod', 'aplikasi', 'ksh']</t>
  </si>
  <si>
    <t>['baguuuuuusssssssss']</t>
  </si>
  <si>
    <t>['poin', 'tukar', 'pulsa']</t>
  </si>
  <si>
    <t>['paket', 'hemat', 'sesat']</t>
  </si>
  <si>
    <t>['', 'semoga', 'bintang', 'telkomsel']</t>
  </si>
  <si>
    <t>['aplikasi', 'berguna', 'berdasarkan', 'fungsinya', '']</t>
  </si>
  <si>
    <t>['promo', 'combo', 'sakti']</t>
  </si>
  <si>
    <t>['promo', 'mahal', 'kurangi', 'data', 'habis', 'perpanjang', '']</t>
  </si>
  <si>
    <t>['berharap', 'jaringan', 'internetnya', 'putus', '']</t>
  </si>
  <si>
    <t>['adkah', 'spesial']</t>
  </si>
  <si>
    <t>['aplikasi', 'orang', 'pingin', 'serba', 'cepat', '']</t>
  </si>
  <si>
    <t>['sapa', 'nulis', 'yaa', 'perasaan', 'nulis', 'bintang', 'anneeh', 'liat', 'ulasan', 'ogaaah', 'dee', 'pakai', 'telkomsel', 'kmbli', 'dee', 'gtuu', 'bye', 'atuut', 'ngeri', 'acra', 'pulsa', 'kesedot', 'segalaa', 'ampyuunn', 'hyuuung', 'bkn', 'mkin', 'oke', 'trbelkng', 'telkomsel', 'diperbaiki', 'cmn', 'nyuruh', 'twitter', 'laaa', 'kemna', 'laa', 'nymbung', 'in', 'keluhaan', 'gada', 'perbaikan', 'big', 'noo', 'ituuhh', '']</t>
  </si>
  <si>
    <t>['mantap', 'jaya']</t>
  </si>
  <si>
    <t>['kasi', 'promo', 'makasih']</t>
  </si>
  <si>
    <t>['bagus', 'skali', 'aplikasi']</t>
  </si>
  <si>
    <t>['hallo', 'min', 'fares', 'knp', 'kouta', 'sedot', 'sya', 'kouta', 'gb', 'kouta', 'sya', 'sedot', 'kali', 'gimana', 'min', '']</t>
  </si>
  <si>
    <t>['sinyal', 'udah', 'lumayan', 'cepat', 'tpi', 'kartu', 'telkom', 'sya', 'bener', 'mahal', 'banget', 'tolonglah', 'telkom', 'harga', 'paket', 'kartu', 'sya', 'murahkan', 'lgi', '']</t>
  </si>
  <si>
    <t>['log', 'out', 'pakai', 'tukar', 'poin']</t>
  </si>
  <si>
    <t>['diinstall', 'android', '']</t>
  </si>
  <si>
    <t>['aplikasi', 'sangaaaaaaaat', 'bagus']</t>
  </si>
  <si>
    <t>['skrang', 'leled', 'loadingnya', 'mohon', 'perbaiki']</t>
  </si>
  <si>
    <t>['sumpah', 'bener', 'jaringan', 'jaringan', 'gua', 'pagi', 'ngak', 'sekalinya', 'cuman', 'detik', 'gua', 'main', 'game', 'ngak', 'nyaman', 'gua', 'daerah', 'ngak', 'kota', 'deli', 'serdang', 'cuman', 'sampe', 'kentang', 'gua', 'tampol', 'plis', 'bagusin', 'gua', 'bayar', 'mahal', 'isi', 'paket', 'gini', 'jaringa']</t>
  </si>
  <si>
    <t>['aplikasi', 'tampilannya', 'coba']</t>
  </si>
  <si>
    <t>['parah', 'culametan', 'lebay', 'abiz', 'udh', 'thn', 'kartu', 'simpati', 'fitur', 'sos', 'pulsa', 'darurat', 'maaf', 'system', 'sibuk', 'ntahlah', 'bayangkan', 'thn', 'udh', 'make', 'minjam', 'pulsa', 'parah', 'telkomsel']</t>
  </si>
  <si>
    <t>['jaringan', 'telkomsel', 'parah', 'banget']</t>
  </si>
  <si>
    <t>['jaringan', 'rendah']</t>
  </si>
  <si>
    <t>['paketnya', 'mahal', 'koneksi', 'buruk', 'jaringa', 'kamar', 'titik', 'lte', 'main', 'mobile', 'legend', 'jaringannya', 'hilang']</t>
  </si>
  <si>
    <t>['uda', 'ujan', 'cem', 'tarik', 'jaringannya', 'mangkin', 'mangkin', 'beres']</t>
  </si>
  <si>
    <t>['jaringan', 'bapuk', '']</t>
  </si>
  <si>
    <t>['sinyalnya', 'ngga', 'stabil', 'provider', 'aman', 'aman', 'banget', 'hilang', 'sinyal', '']</t>
  </si>
  <si>
    <t>['gajelassss', 'paket', 'nelpon', 'menit', 'telkomsel', 'telponan', 'orang', 'kouta', 'nelpon', 'kepake', 'trus', 'sengaja', 'kepicik', 'angka', 'kebeli', 'paket', 'darurat', 'nelpon', 'pulsa', 'kadang', 'ilang', 'sndri', 'sms', 'notif', 'paket', 'sisa', 'sikit', 'kadang', 'masuk', 'kadang', 'kepotong', 'pulsa']</t>
  </si>
  <si>
    <t>['bagus', 'alat', 'transaksi', 'kebtuhan', 'terima', 'kasih', 'telkomsel']</t>
  </si>
  <si>
    <t>['pulsa']</t>
  </si>
  <si>
    <t>['bagus', 'cepat', 'daftar', 'paket']</t>
  </si>
  <si>
    <t>['', 'bagus']</t>
  </si>
  <si>
    <t>['', 'ngerti', 'sya', 'kerjanya', 'app', 'susah', 'banget', 'masukkanya', 'pusinglahh', 'semoga', 'bagus', '']</t>
  </si>
  <si>
    <t>['kasih', 'bintang', 'jaringan', 'kek', 'babi', 'bagus', 'kota', 'doang']</t>
  </si>
  <si>
    <t>['kapuk', 'sinyal', 'turun']</t>
  </si>
  <si>
    <t>['pulsa', 'monetary', 'kepake', 'beli', 'paket', 'paket', 'pulsa', 'monetary', 'ribu', 'pulsaku', 'ribu', 'pulsa', 'aslinya', 'kepake', 'pulsa', 'monetarynya', 'tolong', 'diperbaiki', '']</t>
  </si>
  <si>
    <t>['kuota', 'jaringan', 'lemott', 'pindah', 'perbaiki']</t>
  </si>
  <si>
    <t>['sinyal', 'digame', 'merah']</t>
  </si>
  <si>
    <t>['memudah', 'pengguna']</t>
  </si>
  <si>
    <t>['tolong', 'perbaiki', 'ngga', 'beli', 'paket', 'internet', 'sakti', 'bulanan', 'beli', 'november', 'november', 'emang', 'bulanan', 'hri', 'cuman', 'salah', 'telkomsel', 'internet', 'sakti', 'jdi', 'kaga', 'jela', 'tolong', 'perbaiki']</t>
  </si>
  <si>
    <t>['murah', 'beli', '']</t>
  </si>
  <si>
    <t>['telkomsel', 'gangguan', 'gimana', 'minggu', 'tanggal', 'beli', 'pulsa', 'ribu', 'engga', 'masuk', 'pdhal', 'bnar', 'malemnya', 'sya', 'putusin', 'bli', 'paket', 'senilai', 'tukang', 'pulsa', 'engga', 'masuk', 'bnar', 'transaki', 'sukses', 'pdahal', 'uang', 'sya', '']</t>
  </si>
  <si>
    <t>['beli', 'kuota', 'gampang', 'murah']</t>
  </si>
  <si>
    <t>['appnya', 'memenuhi', 'kebutuhan', 'aksesnya', 'mudah', 'deskripsinya', 'kuota', 'nonton', 'paket', 'unlimitedmax', 'terpakai', 'kirim', 'email', 'bales', 'tolong', 'kuota', 'nontonnya']</t>
  </si>
  <si>
    <t>['telkomsel', 'paket', 'murah', 'berlangganan', 'kartu', 'paket', 'murah', '']</t>
  </si>
  <si>
    <t>['sinyal', 'internet', 'telkomsel', 'jelek', 'lelet', 'ngilang', 'ngilang', 'harga', 'kuotanya', 'terhitung', 'mahal', '']</t>
  </si>
  <si>
    <t>['brengsek', 'mentang', 'mentang', 'udah', 'sinyal', 'ngadat', 'semau', 'telkomm', 'bagus', 'sinyal', 'moncer', 'ngadat', '']</t>
  </si>
  <si>
    <t>['pulsa', 'berkurang', 'data', 'seluler', 'aktif', 'panggilan', 'sms', 'dasar', 'telkomsel', 'biadap']</t>
  </si>
  <si>
    <t>['semoga', 'murah', 'butuh', 'paket', 'belajar', '']</t>
  </si>
  <si>
    <t>['membantu', 'driver', 'line', 'signal', 'merata', 'pinggiran', 'kota', '']</t>
  </si>
  <si>
    <t>['mantap', 'byk', 'promo']</t>
  </si>
  <si>
    <t>['jaringan', 'buruk', 'mahal', 'harga', 'sesuai', '']</t>
  </si>
  <si>
    <t>['membeli', 'paket', 'internet', 'gb', 'dngan', 'harga', 'tnggal', 'november', 'jam', 'pembayaran', 'apk', 'link', 'saldo', 'link', 'terpotong', 'paket', 'internet', 'adak', 'masuk', 'sungguh', 'kecewa', 'sya', 'telkomsel']</t>
  </si>
  <si>
    <t>['paket', 'mahal', 'mahal', 'sinyal', 'jelek']</t>
  </si>
  <si>
    <t>['netizen', 'kualitas', '']</t>
  </si>
  <si>
    <t>['kecewa', 'beli', 'kuota', 'mahal', 'tpy', 'sesuai', 'ekspetasi', 'jaringan', 'stabil', 'pas', 'gerimis', 'niat', 'nge', 'game', 'hiburan', 'mlah', 'jdi', 'emosi', 'gara', 'jaringan', 'stabil']</t>
  </si>
  <si>
    <t>['sekaranh', 'stabil', 'sinyalnya']</t>
  </si>
  <si>
    <t>['jaringannya', 'lemah']</t>
  </si>
  <si>
    <t>['sinyal', 'kayak', 'parah', 'sebelah', 'padah', 'udah', 'telkomsel', 'parah', 'udah', 'paket', 'mahal']</t>
  </si>
  <si>
    <t>['mantap', 'app']</t>
  </si>
  <si>
    <t>['busuk', 'banget', 'sinyalnya', 'nge', 'game', 'pas', 'kvm', 'tanding', 'lagggg', '']</t>
  </si>
  <si>
    <t>['masuk', 'masuk', 'knapa', '']</t>
  </si>
  <si>
    <t>['telkomsel', 'jaringan', 'lumayan', 'bagus', '']</t>
  </si>
  <si>
    <t>['paket', 'combo', 'unlimetet', 'mantap', 'joss', 'telkomsel', 'semoga', 'promonya', 'harganya', 'murah']</t>
  </si>
  <si>
    <t>['telkomsel', 'ngelunjak', 'harga', 'kuota', 'trs']</t>
  </si>
  <si>
    <t>['jaringannya', 'kaya', 'ngentotttttt']</t>
  </si>
  <si>
    <t>['sukses', 'kedepannya', 'semoga', 'kerja', 'kantor', 'telkomsel', 'aamiin']</t>
  </si>
  <si>
    <t>['mantap', 'deh', 'telkomsel', 'hadiah', '']</t>
  </si>
  <si>
    <t>['tolong', 'tsel', 'aplikasi', 'tingkatkan', 'koneksi', 'jaringan', 'kerjaan', 'terhambat', 'koneksi', 'jaringan', 'buruk', 'malam']</t>
  </si>
  <si>
    <t>['paket', 'beli', 'mahal', 'jaringan', 'nyaa', 'jelek', 'kali', '']</t>
  </si>
  <si>
    <t>['gimana', 'tsel', 'sinyal', 'suka', 'hilang', 'ngegame', 'ganggu', 'banget', 'tolong', 'dibenerin', 'sistemnya', 'makasih', '']</t>
  </si>
  <si>
    <t>['kecewa', 'jaringan', 'telkomsel', 'buruk', 'jaringan', 'buruk', 'tolong', 'perbaiki', 'ancurrrrrr', '']</t>
  </si>
  <si>
    <t>['telkomsel', 'jaringan', 'bagus', 'kuota', 'harganya', 'mahal', 'mahal', 'lgi', 'jaringan', 'jdi', 'burik', 'perbaiki', 'emng', 'orang', 'susah', 'telkomsel']</t>
  </si>
  <si>
    <t>['telkomsel', 'kesini', 'parah', 'gada', 'sinyalnya', 'telkomsel', 'sinyalnya', 'bagus', 'gini', 'parah', 'banget']</t>
  </si>
  <si>
    <t>['dih', 'telkomsel', 'jdi', 'kesal', 'kartu', 'sultan', 'jaringan', 'kagak', 'paket', 'mahalll', 'jaringan', 'jelek', '']</t>
  </si>
  <si>
    <t>['bagus', 'banget', 'apk', 'suka', 'sukses', 'telkomsel']</t>
  </si>
  <si>
    <t>['lemot']</t>
  </si>
  <si>
    <t>['kuota', 'mahal', 'sinyal', 'pas', 'pas', 'alah', 'telkomsel']</t>
  </si>
  <si>
    <t>['pelayanannya', 'memuaskan', 'mempermudah', 'pembelian', 'internet', 'maju', 'telkomsel']</t>
  </si>
  <si>
    <t>['tolong', 'kuota', 'mahal', 'mahal', 'bos']</t>
  </si>
  <si>
    <t>['jaringan', 'telkomsel', 'ragukan', 'dimana', 'jaringan', 'stabil', 'lancar', '']</t>
  </si>
  <si>
    <t>['jaringan', 'lag']</t>
  </si>
  <si>
    <t>['woii', 'beli', 'telkomsel', 'ntar', 'udah', 'mahal', 'sinyal']</t>
  </si>
  <si>
    <t>['duh', 'reedem', 'voucher', 'kim', 'clinic', 'notif', 'pas', 'check', 'list', 'voucher', 'masuk', 'masuk', 'gimana', 'tolong', 'perbaiki', 'ngerasa', 'boongin']</t>
  </si>
  <si>
    <t>['kse', 'bintang']</t>
  </si>
  <si>
    <t>['aplikasi', 'error', 'jaringan', 'jelek', 'kek', 'harga', 'mahal', 'harga', 'sesuai', 'kualitas', 'makenya', 'kota', 'salah', 'penyesalan', 'terbesar', 'menghabiskan', 'uang', 'provider']</t>
  </si>
  <si>
    <t>['sya', 'beli', 'pakek', 'ngk', 'masuk', 'telkomsel', 'pulsa', 'dri', 'sampr', 'habis']</t>
  </si>
  <si>
    <t>['telkomsel', 'ngasih', 'bonus', 'pulsa', 'tpi', 'telpon', 'telpon', 'gratis', 'berati', 'pulsanya', 'engga', 'kepake', 'mending', 'ngasih', 'kaga', 'gunanya', 'nama', 'doang', 'bonus', 'engga', 'telkomsel', 'parah']</t>
  </si>
  <si>
    <t>['telkomsel', 'kesini', 'jelek', 'buka', 'internet', 'muter', 'nunggu', 'tolong', 'kembalikan', 'telkomsel', 'terkenal', 'jaringan', 'wuzz', 'app', 'makasih', '']</t>
  </si>
  <si>
    <t>['jaringan', 'uda', 'kaya', 'uda', 'jelek', 'banget', 'cek', 'pulsa', 'kode', 'mmii', 'berlku', 'uda', 'ribet', 'banget', 'masuk', 'telkompun', 'susa', 'banget', 'kesalahan', 'mulu', 'bukanya', 'lebi', 'telkomsel', 'mala', 'lebi', 'buruk', 'gua', 'telkom', 'uda', 'skarang', 'gini', 'pulsa', 'kadang', 'habis', 'hadeh', 'telkom', 'uda', '']</t>
  </si>
  <si>
    <t>['tampilan', 'bagus', 'rapih', 'respon', 'aplikasi', 'kadang', 'kadang', 'lambat']</t>
  </si>
  <si>
    <t>['disayangkan', 'produck', 'telkomsel', 'jaringan', 'buruk', 'jaringan', 'lelet', 'kuota', 'bayak', 'sya', 'lma', 'telkomsel', 'kecewa', 'terimakasih']</t>
  </si>
  <si>
    <t>['kasi', 'bintang', 'dlu']</t>
  </si>
  <si>
    <t>['paketannya', 'mahal', 'mahal']</t>
  </si>
  <si>
    <t>['kesini', 'sinyal', 'telkomsel', 'blee', 'parah', 'jelek', '']</t>
  </si>
  <si>
    <t>['sinyal', 'jelek', 'sesuai', 'harga', 'paketan', 'mahal', 'kecewa', '']</t>
  </si>
  <si>
    <t>['mengecewakan', 'kuota', 'mahal', 'mengecewakan', 'gerimis', 'udah', 'signal']</t>
  </si>
  <si>
    <t>['hrg', 'kuota', 'mahal', '']</t>
  </si>
  <si>
    <t>['aplikasi', 'mebantu']</t>
  </si>
  <si>
    <t>['sinyal', 'buruk', 'daerah']</t>
  </si>
  <si>
    <t>['', 'pokoknya', 'dpt', 'bonusnya']</t>
  </si>
  <si>
    <t>['bagus', 'jaringan', 'bsa', 'pke', 'dimana', 'mksih']</t>
  </si>
  <si>
    <t>['paket', 'kuota', 'temen', 'murah', 'harga', 'paket', 'wifi', 'dri', 'kelurahan', 'kelola', 'bumdes', 'ribu', 'keluarga', 'tolong', 'hemat', 'mahal', '']</t>
  </si>
  <si>
    <t>['mudah', 'han', 'hadiah', 'telkomsel']</t>
  </si>
  <si>
    <t>['kurangin', 'sia', 'sia', 'beli', 'kuota', 'multimedia', 'ngk', 'kuota', 'reguler', 'giliran', 'kuota', 'reguler', 'ngk', 'habis', 'kuota', 'requler', 'multimedia', 'kagak', '']</t>
  </si>
  <si>
    <t>['paket', 'kemahalan', 'setia', 'pengguna', 'telkomsel', 'paket', 'murah', 'pengguna', 'telkomsel', 'terimakasih']</t>
  </si>
  <si>
    <t>['hot', 'promo', 'perbaiki', 'mahal']</t>
  </si>
  <si>
    <t>['telkomsel', 'emang', 'oye']</t>
  </si>
  <si>
    <t>['tolong', 'benerin', 'sinyalnya', 'lemot', '']</t>
  </si>
  <si>
    <t>['pemula']</t>
  </si>
  <si>
    <t>['main', 'game', 'mobile', 'legenda', 'suka', 'hilang', 'sinyal']</t>
  </si>
  <si>
    <t>['bagus', 'nyaman', 'bayak', 'undian', 'bisah', 'ikuti']</t>
  </si>
  <si>
    <t>['gajelas', 'burik']</t>
  </si>
  <si>
    <t>['mati', 'lampu', 'daerah', 'jaringan', 'telkomsel', 'hilang', 'bagus', 'tolong', 'perhatikan', '']</t>
  </si>
  <si>
    <t>['sinyal', 'telkomsel', 'knpa', 'jelek', 'maen', 'game', 'lag', '']</t>
  </si>
  <si>
    <t>['josss', 'menyenagkan', 'mudah', 'pengoprasianya', 'promo', 'hadiah', 'thanks', 'telkomsel']</t>
  </si>
  <si>
    <t>['maaf', 'telkomsel', 'mohon', 'atur', 'tarif', 'paket', 'pakai', 'harga', 'ganjil', 'contoh', 'paket', 'rb', 'rb', 'pulsa', 'harga', 'rb', 'beli', 'gb', 'beli', 'pulsa', 'rb', 'pulsa', 'sisa', 'rb', 'ditarik', 'pulsa', 'laku', 'masuk', 'akal', 'akal', 'akalan', '']</t>
  </si>
  <si>
    <t>['jelek', 'sinyalnya']</t>
  </si>
  <si>
    <t>['lumayan', 'simpel', 'semoga', 'error']</t>
  </si>
  <si>
    <t>['kacauuu', 'koutaa', 'mahalll', 'jaringann', 'nyaa', 'ngelaggg', 'lucuuu', 'sekalii', 'telkomsellll', 'tolong', 'perbaiki', 'jaringnnn', 'nyeselll', 'sayaa', 'pakai', 'telkomsel']</t>
  </si>
  <si>
    <t>['mohon', 'maaf', 'jaringannya', 'perbaikin', 'pelanggan', 'puas', 'jaringan', 'internetnya', 'main', 'game', 'kadang', 'jaringannya', 'jumping', 'pengguna', 'telkomsel', 'aktif', 'kartu', 'setahun', '']</t>
  </si>
  <si>
    <t>['mantul', 'suka', 'aplikasi', 'membantu']</t>
  </si>
  <si>
    <t>['sinyal', 'jelek', 'banget', '']</t>
  </si>
  <si>
    <t>['perbaiki', 'signalnya']</t>
  </si>
  <si>
    <t>['pulsaku', 'habis', 'cek', 'pagi', 'pulsa', 'cek', 'sorenya', 'lenyap', '']</t>
  </si>
  <si>
    <t>['jaringan', 'bagus']</t>
  </si>
  <si>
    <t>['mohon', 'jaringan', 'kaya', 'kuwotanya', 'cepet', 'habis', 'kaya', 'kartu', '']</t>
  </si>
  <si>
    <t>['jelle', 'main', 'pabji', 'miskol', 'nda', 'pulsa', 'udah', 'nda', 'beralih', 'jelleki', '']</t>
  </si>
  <si>
    <t>['insiden', 'ngk', 'skli', 'kali', 'daftarin', 'telkomsel', 'pulsa', 'puluhan', 'ribu', 'hangus', 'dftari', 'ribu', 'respon', 'mala', 'paket', 'non', 'kuota', 'pulsa', 'ribu', 'hilang', 'operatornya', 'gimana', 'bknya', 'mkin', 'mala', 'kecewa', 'pulsa', 'hilang', '']</t>
  </si>
  <si>
    <t>['kemidbud', 'main', 'game', '']</t>
  </si>
  <si>
    <t>['kecewa', 'telkomsel', 'skrang', 'gunanya', 'bli', 'pulsa', 'bnyak', 'dpt', 'point', 'gunanya', 'tukar', 'trus', 'ambil', 'pulsa', 'sma', 'sja', 'suda', 'rugikan', 'sngat', 'kecewa', 'skali', 'skrng', 'dftran', 'paket', 'mahal', '']</t>
  </si>
  <si>
    <t>['nda', 'tukar', 'poin', 'pulsa']</t>
  </si>
  <si>
    <t>['mantap', 'telkomsel', 'terbaik']</t>
  </si>
  <si>
    <t>['mudah', 'akses']</t>
  </si>
  <si>
    <t>['diakses', 'mudah', 'cepat', 'pembayaran', 'dpt', 'gopay']</t>
  </si>
  <si>
    <t>['kendala', 'dihadapi', 'jaringan', 'stabil', 'kadang', 'kadang', 'hilang', '']</t>
  </si>
  <si>
    <t>['leg', 'daerah', 'cikampek', 'kab', 'karawang']</t>
  </si>
  <si>
    <t>['telkomsel', 'sinyalnya', 'parah', 'mahal', 'sinyal', 'kusut', 'gimana', 'membuka', 'aplikasi', 'youtube', 'kebuka', 'konsumen', 'mitra', 'mengajukan', 'complain', 'perusahaan']</t>
  </si>
  <si>
    <t>['tolong', 'kasih', 'hdiah', 'bertahun', 'pakai', 'tlkm']</t>
  </si>
  <si>
    <t>['beli', 'pulsa', 'masuk', 'dana', 'transaksi', 'berhasil']</t>
  </si>
  <si>
    <t>['memakai', 'aplikasi', 'mytelkomsel', 'untungnya', 'promo', 'harinya', 'pengguna', 'telkom', 'senang']</t>
  </si>
  <si>
    <t>['dhlah', 'pindah', 'kaya', 'gini', 'transfer', 'pulsa', 'masuk', 'udh', 'tunggu', 'pagi', 'masuk']</t>
  </si>
  <si>
    <t>['memakai', 'kartu', 'tekomsel', 'hadiah', 'apapun', 'tekomsel', 'tolong', 'kasih', 'gimana', 'bonus', 'tekomsel', 'terimakasih']</t>
  </si>
  <si>
    <t>['bener', 'bener', 'kecewa', 'telkomsel', 'udah', 'makek', 'sinyal', 'jelek', 'banget', 'nggak', 'nggak', 'kuota', 'kebuang', 'sia', 'sia', 'mohon', 'diperbaiki', 'sinyalnya', '']</t>
  </si>
  <si>
    <t>['mendukung', 'kompatibel', 'android', 'ayo', 'ditindaklanjuti', 'berhubungan', 'brand', 'smartphone', 'merilis', 'perangkatnya']</t>
  </si>
  <si>
    <t>['komentar', 'gua', 'apk', 'sengaja', 'hapus', 'woi', 'gua', 'top', 'pulsa', 'akulaku', 'transaksi', 'berhasil', 'pulsanya', 'masuk', 'hubungi', 'harap', 'tunggu', 'engga', 'respon', 'telkomsel', 'pantesan', 'reting', 'bintang', 'pelayanan', 'kastamernya', 'menyenangkan']</t>
  </si>
  <si>
    <t>['', 'yakan', 'pemerintah', 'tolong', 'pantengi', 'rakyat', 'tertimpa', 'musibah']</t>
  </si>
  <si>
    <t>['aplksi', 'mantap']</t>
  </si>
  <si>
    <t>['listrik', 'padam', 'signal', 'padam']</t>
  </si>
  <si>
    <t>['pembelian', 'tercepat', 'terkadang', 'jaringan', 'lemah']</t>
  </si>
  <si>
    <t>['sinyal', 'jelek', 'bngt', 'anjinc', 'ganti', 'kartu', '']</t>
  </si>
  <si>
    <t>['menguntungkan', 'pelanggan']</t>
  </si>
  <si>
    <t>['proses', 'cepat', 'mudah', '']</t>
  </si>
  <si>
    <t>['nomer', 'paketnya', 'mahal', 'rb', 'tolong', 'kembalikan', 'paket', 'ganti', 'kartu', '']</t>
  </si>
  <si>
    <t>['semoga', 'lancar', 'sukses', 'telkomsel', 'semoga', 'beruntung', 'amin']</t>
  </si>
  <si>
    <t>['dangat', 'mudah', 'pahami', 'tolong', 'perbaiki', 'lelet', 'lemot', 'apk', 'terimakasihh']</t>
  </si>
  <si>
    <t>['pulsa', 'terpotong', 'skrg', 'mala', 'takut', 'beli', 'pulsa', 'benerin', 'sistemnya', 'untung']</t>
  </si>
  <si>
    <t>['puas', 'kartu', 'telkomssl']</t>
  </si>
  <si>
    <t>['tolong', 'diperbaiki', 'jaringan', 'panimbang', 'banten', 'mengakses', 'seluler', 'internet', 'tlg', 'dipercepat', '']</t>
  </si>
  <si>
    <t>['', 'telkomsel', 'membantu', 'isi', 'paket', '']</t>
  </si>
  <si>
    <t>['kasih', 'telkom', 'tolong', 'perbaiki', 'jaringan', 'daerah', 'pandeglang', 'banten', 'asuu', 'sinyal']</t>
  </si>
  <si>
    <t>['pulsa', 'berkurang', 'blm', 'apain', 'tolong', 'udah', 'pakai', 'telkomsel', 'setahun', 'kendala', 'gini']</t>
  </si>
  <si>
    <t>['terimakasih', 'informasinya']</t>
  </si>
  <si>
    <t>['simpati', 'jelek', 'mukan', 'meningkat', 'harga', 'mahal', 'kualitas', 'menurun']</t>
  </si>
  <si>
    <t>['membantu', 'suka', 'telkomsel']</t>
  </si>
  <si>
    <t>['mahal', 'doang', 'sinyal', 'ilang']</t>
  </si>
  <si>
    <t>['harga', 'lbh', 'mhl', 'kesini', 'signal', 'buruk', 'lemot', 'hrs', 'pindah', 'server', 'hmm']</t>
  </si>
  <si>
    <t>['kecewa', 'telkomsel', 'udah', 'beli', 'paket', 'data', 'mahal', 'banget', 'jaringannya', 'tolong', 'perbaiki', 'layanan', 'jaringan', 'ngalamin', 'pulsa', 'berkurang', 'pelanggan', 'kesel', 'pindah', 'provider', '']</t>
  </si>
  <si>
    <t>['menang', 'mahal', 'doang', 'jaringan', 'kaya', 'kura', 'lemoooootttt', 'baanngeeett', 'tolong', 'doong', 'perbaiki', 'tuk', 'jaringan', 'min', 'mengecewakan', 'pelanggan', 'doong', 'min', '']</t>
  </si>
  <si>
    <t>['penggunaan', 'mudah']</t>
  </si>
  <si>
    <t>['', 'nusa', 'penida', 'sinyal', 'drop', 'banget', 'tolong', 'tingkatkan', 'kualitas', 'jaringannga']</t>
  </si>
  <si>
    <t>['paket', 'telpon']</t>
  </si>
  <si>
    <t>['trima', 'kasij', 'memudahkan', 'sya']</t>
  </si>
  <si>
    <t>['bermanfaat', 'sekai', '']</t>
  </si>
  <si>
    <t>['aplikasi', 'mntap']</t>
  </si>
  <si>
    <t>['udah', 'daftar', 'paket', 'data', 'mahal', 'gedeg', 'telkomsel', 'aplikai', 'jelekkk', 'bangett']</t>
  </si>
  <si>
    <t>['lumayan', 'membantu', '']</t>
  </si>
  <si>
    <t>['top', 'diampnd', 'apk', 'telkomsel', 'inihh', '']</t>
  </si>
  <si>
    <t>['gua', 'jangkauan', 'terluas', 'tolong', 'pikirin', 'pelanggan', 'beli', 'kuota', 'update', 'aplikasi', 'mulu', 'gausah', 'keseringan', 'update', 'napa', 'bnyak', 'ngaruh', 'gua', 'jelek', 'trus', 'koneksi', 'kenceng']</t>
  </si>
  <si>
    <t>['signal', 'jelek', 'bayar', 'signal', 'parah', 'maen', 'game', 'kirim', 'lelet']</t>
  </si>
  <si>
    <t>['bagus', 'hemat']</t>
  </si>
  <si>
    <t>['telkomsel', 'harga', 'standar', 'jangkauan', 'luas', 'sinyal', 'stabil', 'telkomsel', 'serba', 'mahal', 'jangkauan', 'luas', 'sinyal', 'parah', 'wkwkwk', 'nangis', 'gua', 'telkomsel', 'ping', 'nyampe']</t>
  </si>
  <si>
    <t>['telkomsel', 'biadap', 'rakus', 'isi', 'pulsa', 'hilang', 'kurangajar', 'biadap', 'anjing']</t>
  </si>
  <si>
    <t>['mahal', 'doang', 'sinyal', 'ilang', 'mulu', '']</t>
  </si>
  <si>
    <t>['sayang', 'pakai', 'paket', 'data']</t>
  </si>
  <si>
    <t>['aplikasinya', 'enak']</t>
  </si>
  <si>
    <t>['beli', 'paket', 'promi', 'aplikasi', 'responnya', 'banget', 'kadang', 'eror', 'banget']</t>
  </si>
  <si>
    <t>['sorry', 'kak', 'jaringan', 'telkomsel', 'lelet', 'tpi', 'tetep', 'lelet', 'parah', 'telkomsel']</t>
  </si>
  <si>
    <t>['buka', 'aplikasi', 'data', 'berjalan', 'mb', 'kuota', 'tinggal', 'dikit', 'was', 'was', 'cek', 'kuota', 'lihat', 'promo', '']</t>
  </si>
  <si>
    <t>['mohon', 'perbaiki', 'kualitas', 'jaringanya', 'kedepannya']</t>
  </si>
  <si>
    <t>['login', 'langsung', 'aplikasinya']</t>
  </si>
  <si>
    <t>['bonus', 'datanya', 'adain', 'donk', '']</t>
  </si>
  <si>
    <t>['cepat', 'padat', 'kasih', 'bintang']</t>
  </si>
  <si>
    <t>['sinyal', 'telkomsel', 'buruk', 'status', 'sinyal', 'buka', 'sosmed', 'paketan', 'paketan', 'telkomsel', 'mahal', 'tolong', 'perbaiki', 'sinyal', '']</t>
  </si>
  <si>
    <t>['internetan', 'lancar']</t>
  </si>
  <si>
    <t>['mudah', 'memaketkan', 'kuota', '']</t>
  </si>
  <si>
    <t>['fitur', 'kunci', 'pulsa', 'pulsa', 'habis', 'data', 'data', 'internet', 'habis']</t>
  </si>
  <si>
    <t>['teimakasih', 'telkomsel', 'melayani', 'jengkel', 'karna', 'jaringan', 'membantu', 'cet', 'tinggal', 'tunggu', 'wak', 'pindak', 'oprator', 'keluarga']</t>
  </si>
  <si>
    <t>['nomer', 'terblokir', 'aktif', 'ganti', 'kartu']</t>
  </si>
  <si>
    <t>['traffic', 'internet', 'mbps', 'buka', 'app', 'gila', '']</t>
  </si>
  <si>
    <t>['provider', 'jaringan', 'terlelet', 'sinya', 'parrraahhhhh']</t>
  </si>
  <si>
    <t>['koneksi', 'internet', 'stabil']</t>
  </si>
  <si>
    <t>['terima', 'kasih', 'telkomsel', 'mebantu', '']</t>
  </si>
  <si>
    <t>['beli', 'pulsa', 'mytelkomsel']</t>
  </si>
  <si>
    <t>['bagus', 'sekalih', 'aplikasinya']</t>
  </si>
  <si>
    <t>['pelayanan', 'dioptimalkan']</t>
  </si>
  <si>
    <t>['bayar', 'mahal', 'sinyal', 'ngelag', 'mending', 'jual', 'paketan']</t>
  </si>
  <si>
    <t>['mslh', 'jaringan', 'tlp', 'pulau', 'gangguan', '']</t>
  </si>
  <si>
    <t>['harga', 'mahal', 'sinyal', 'ampas', 'tsel', 'jaringan', 'benerin']</t>
  </si>
  <si>
    <t>['suka', 'memudahkan', 'pelanggan']</t>
  </si>
  <si>
    <t>['telkomsel', 'jaringannya', 'buruk']</t>
  </si>
  <si>
    <t>['coba', 'lihat', 'pakai', 'nmr', 'kpn', 'kartu', 'skr', 'fasilitasnya', 'bgs', 'terbitan', 'skr', 'gmn', 'kecewakan', 'donk', 'pelanggan', 'setia', 'spti', '']</t>
  </si>
  <si>
    <t>['iya', 'terimakasih']</t>
  </si>
  <si>
    <t>['mohon', 'maf', 'kecewa', 'kekuatan', 'internet', 'menurun', 'kaya', 'lagih', 'kuota', 'serba', 'mahal', 'telkom', 'tpi', 'jaringan', 'sesuai', 'mohon', 'perbaiki', 'kali', 'kecewa', 'jaringan', 'terluas', 'knpa', 'sinyal', 'kecepatan', 'internet', 'menurun']</t>
  </si>
  <si>
    <t>['jaringan', 'telkomsel', '']</t>
  </si>
  <si>
    <t>['harga', 'kuota', 'mahal', 'signal', 'jelek', 'kota', 'bandung', 'lho', 'hujan', 'ambless']</t>
  </si>
  <si>
    <t>['napa', 'telkomsel', 'lemot', 'game', 'jaringan', 'jelek', 'nge', 'lag', 'tolong', 'diperbaiki', 'pelanggan', 'risih', 'telkomsel', 'dibenarin', 'ganti', 'kartu', 'pelanggan', 'telkomsel', 'terima', 'kasih', '']</t>
  </si>
  <si>
    <t>['smga', 'hadiahnya', 'nggk', 'tipu', 'masarakat']</t>
  </si>
  <si>
    <t>['sinyal', 'taiiii', 'lelet', 'stabil', 'jaringan', 'norak', 'alasan', 'naek', 'tower', 'sinyal', 'bagus', 'taiii', '']</t>
  </si>
  <si>
    <t>['mantabs', 'teruskan']</t>
  </si>
  <si>
    <t>['bagus', 'cepat', 'ngk', 'kendala']</t>
  </si>
  <si>
    <t>['bagus', 'keren', 'kece']</t>
  </si>
  <si>
    <t>['mngkin', 'bsa', 'ngsih', 'bntang', 'nol', 'koma', 'gue', 'kasih', 'sinyal', 'bsa', 'parah', 'bngt', 'perkampungan', 'pdhl', 'gsm', 'tpi', 'kalah', 'sma', '']</t>
  </si>
  <si>
    <t>['kecewa', 'busuk', 'pakai', 'kartu', 'telkomsel', 'tergiur', 'program', 'unlimitide', 'harga', 'habis', 'paket', 'normal', 'akses', 'google', 'lancar', 'akses', 'youtube', 'lancar', 'akses', 'google', 'youtube', 'dll', 'kirim', 'gambar', 'ukuran', 'kb', 'menit', 'burukkkk', '']</t>
  </si>
  <si>
    <t>['nga', 'murah', 'paket', 'nyesel', 'download']</t>
  </si>
  <si>
    <t>['', 'jaringannya', 'lemot', 'banget']</t>
  </si>
  <si>
    <t>['aplikasinya', 'susah', 'dibuka']</t>
  </si>
  <si>
    <t>['ampun', 'daaah', 'paket', 'telkomsel', 'mahal', 'banget', 'pindah', 'sebelah', 'saran', 'murah', 'untung', 'biarpun', 'ngga', 'gede', 'ngga', 'papa', 'memuaskan', 'pengguna', 'ngambil', 'untung', 'mah', 'ngga', 'menerus', 'untung', 'gede', 'bangkrut', '']</t>
  </si>
  <si>
    <t>['maaf', 'telkomsel', 'koneksi', 'internet', 'lancar', 'tinggal', 'didaerah', 'dibilang', 'pelosok', 'masuk', 'november', 'jaringan', 'patah', 'ditempat', 'daerah', 'menggangu', 'bermain', 'game', 'online', 'youtube', 'instagram', 'mohon', 'penjelasan', '']</t>
  </si>
  <si>
    <t>['transfer', 'pulsa', 'nomor', 'salah', 'nomor', 'salah', 'notifikasi', 'nomor', 'udah', 'coba', 'salah']</t>
  </si>
  <si>
    <t>['nomor', 'koq', 'mahal', 'beli', 'data', 'pulsa']</t>
  </si>
  <si>
    <t>['trimakasi', 'udh', 'tukar', 'poin']</t>
  </si>
  <si>
    <t>['bismillah', 'smoga', 'juara']</t>
  </si>
  <si>
    <t>['promo', 'menarik', 'donk']</t>
  </si>
  <si>
    <t>['angin', 'hujan', 'mati', 'lampu', 'badai', 'gangguan', 'anjink', 'ngajak', 'ribut', 'gimana', 'serlok', 'bakar', 'gedung', 'telkomsel', 'dakjal', 'pencipta', 'telkomsel', 'biadab', 'telkomsel', 'babi', 'penciptanya', 'kayak', 'anjik', 'gangguan', 'mulu', 'janji', 'palsumy']</t>
  </si>
  <si>
    <t>['apk', 'bagus', 'bangat', 'suka']</t>
  </si>
  <si>
    <t>['', 'lag', 'jaringan', 'bermasalah', 'waterpark', 'men']</t>
  </si>
  <si>
    <t>['payah', 'telkomsel', 'jaringan', 'terluas', 'diakses', 'diplosok', 'plosok', 'sinyal', 'telkomsel', 'kalah', 'provider', 'tolong', 'dibenahi', 'untung', 'doang', 'kepuasan', 'pelanggan', 'diabaikan']</t>
  </si>
  <si>
    <t>['poin', 'nggak', 'tukar', 'sapa', 'paket', 'internet']</t>
  </si>
  <si>
    <t>['bagus', 'aplikasi', 'mytelkomsel', 'banya', 'undiyan', 'hadiya', 'telkomsel', 'sukses']</t>
  </si>
  <si>
    <t>['beli', 'paket', 'mahal', 'mahal', 'pas', 'sisa', 'kuota', 'unlimited', 'gabisa', 'dipake', 'telkomtol', 'bos', 'senggol']</t>
  </si>
  <si>
    <t>['pelayanan', 'buruk', 'isi', 'ulang', 'pulsa', 'ovo', 'rb', 'pulsa', 'masuk', 'bantuan', 'ribetnya', 'main', 'telkomsel', 'digit', 'ovo', 'ovo', 'ngasih', 'digit', 'pokonya', 'pelayanan', 'mengecewakan']</t>
  </si>
  <si>
    <t>['aplikasi', 'jelek', 'bangett', 'kasih', 'bintang', 'terimakasih']</t>
  </si>
  <si>
    <t>['telkomsel', 'kek', 'thai', 'lelet', 'bat', 'push', 'rank', 'kalah', 'mulu', 'gara', 'gara', 'jaringan', 'kek', 'thai']</t>
  </si>
  <si>
    <t>['kartu', 'telkomsel', 'udah', 'bertahun', 'promo', 'sperti', 'kartu', 'telkomsel', '']</t>
  </si>
  <si>
    <t>['sinyalnya', 'bagus', 'pas', 'dirumah', '']</t>
  </si>
  <si>
    <t>['menguntung', '']</t>
  </si>
  <si>
    <t>['bru', 'coba']</t>
  </si>
  <si>
    <t>['payah', 'bagus', 'pelayanannya', 'ancur', '']</t>
  </si>
  <si>
    <t>['mengisi', 'pulsa', 'ribu', 'membeli', 'paket', 'mb', 'pulsa', 'tersedot', 'sya', 'harap', 'telkomsel', 'mengembalikan', 'pulsa', 'tersedot']</t>
  </si>
  <si>
    <t>['mohon', 'sinyal', 'stabil', 'bagus', 'wilayah', 'banyumas', 'trmkasih']</t>
  </si>
  <si>
    <t>['bagus', 'promonya', 'makasih', 'telkomsel']</t>
  </si>
  <si>
    <t>['pelanggan', 'lbh', 'th', 'tarif', 'mahal', 'sinyal', 'lemot', '']</t>
  </si>
  <si>
    <t>['jaringan', 'telkomsel', 'gangguan', 'tolong', 'perbaiki', 'cari', 'untung', 'doank', 'tpi', 'kualitas', 'jelek', 'kalah', 'sebelah', 'tolong', 'banget', 'daerah', 'karawang', 'perbaiki', 'berlangganan', 'trus', 'jelek', 'mending', 'pindah', 'sebelah', '']</t>
  </si>
  <si>
    <t>['burik', 'layanan', 'internet', 'orang', 'mengeluh', 'berbulan', 'jaringan', 'memburuk', 'komplen', 'peru', 'ahan', 'maaf', 'maaf', 'selesaikan']</t>
  </si>
  <si>
    <t>['bagus', 'banget', 'sihh', 'klw', 'aplikasi', 'telkomsel', 'ribet']</t>
  </si>
  <si>
    <t>['hareh', 'aplikasi', 'penipuan', 'gimna', 'beli', 'paket', 'yutub', 'pakee', '']</t>
  </si>
  <si>
    <t>['konyol', 'mahal', '']</t>
  </si>
  <si>
    <t>['lag', 'napa', 'sinyal', '']</t>
  </si>
  <si>
    <t>['tolong', 'kasih', 'fitur', 'pulsa', 'kesedot', 'pulsa', 'gua', 'kesedot', 'mlu', 'kesel', 'gua', 'pdahal', 'udah', 'beli', 'kuota', 'youtube', 'unlimited', 'pas', 'kuota', 'kemdikbud', 'msuk', 'mlh', 'kesedot', 'pulsa', 'kesel', 'gua', '']</t>
  </si>
  <si>
    <t>['susah', 'login', 'pakai', 'data', 'seluler', 'pakai', 'wifi', 'cepat', '']</t>
  </si>
  <si>
    <t>['perbanyak', 'promo', 'murahnya']</t>
  </si>
  <si>
    <t>['tolong', 'jaringan', 'diperbaiki', 'main', 'game', 'ngelaq', 'banget', 'udah', 'mahal', 'ngelaq', 'pulak']</t>
  </si>
  <si>
    <t>['', 'paketan', 'beda', 'beda', 'aplikasi', 'paket', 'malam', 'gigamax', 'beli', 'paket', 'kuota', 'internet', 'utama']</t>
  </si>
  <si>
    <t>['baguts', 'pakek', 'tsa']</t>
  </si>
  <si>
    <t>['telkomsel', 'speed', 'test', 'harga', 'mahal', 'pelayanan', 'jelek']</t>
  </si>
  <si>
    <t>['bguss', 'bngettt', 'tlong', 'bonusnya', 'tmbahin', '']</t>
  </si>
  <si>
    <t>['telkomsel', 'jaringan', 'lelet', 'kayak', 'kecot', 'siput', 'stabil', 'pegawai', 'koruptor', '']</t>
  </si>
  <si>
    <t>['pakai', 'semoga', 'pelayananya', 'baguss', '']</t>
  </si>
  <si>
    <t>['hemat', 'repot']</t>
  </si>
  <si>
    <t>['lokasi', 'sya', 'tinggal', 'tingkatkan', 'sukses', '']</t>
  </si>
  <si>
    <t>['semoga', 'terbaik', 'semoga', 'beruntung', 'aamiin', '']</t>
  </si>
  <si>
    <t>['kartu', 'mahal', 'iya', 'sinyal', 'ilang', 'ilangan', 'taik']</t>
  </si>
  <si>
    <t>['byu', 'telkampret', 'asuuuuuuuuuuu', 'nyesel', 'beli', 'paketane', 'mahal', 'lemot', '']</t>
  </si>
  <si>
    <t>['aplikasi', 'berat']</t>
  </si>
  <si>
    <t>['tolong', 'sinyal', 'daerah', 'jatipadang', 'udh', 'full', 'ampun', 'udh', 'perbaikan', 'sinyal', 'ubah', 'ulasannya', 'pakai', 'telkomsel', 'thn', 'kali', 'sinyal', 'drmh', 'jelek']</t>
  </si>
  <si>
    <t>['mantap', 'murah', 'paket', 'internet', 'paket', 'tlp']</t>
  </si>
  <si>
    <t>['antarmuka', 'bagus', 'simpel', 'segi', 'fungsi', 'saran', 'banyakin', 'promo', 'bonus', 'kuota', 'login', 'hariannya', 'overall', 'great', 'work', 'keep', '']</t>
  </si>
  <si>
    <t>['main', 'game', 'ngelag', 'sinyal', 'sosmed', 'lancar', '']</t>
  </si>
  <si>
    <t>['signal', 'tingkatkan']</t>
  </si>
  <si>
    <t>['kasih', 'bintang', 'isi', 'pulsa', 'pulsa', 'potong', 'beli', 'uang', '']</t>
  </si>
  <si>
    <t>['bagus', 'mantaaaaaaaaaaaaaaaaaaaaaaaaaaaaaaaaaaaaaaaaaaaaaaaaaaaaaaaaaaaaaaaaaaaaaaaaaaaaaaaaaaaaaaaaaaaaaaaaaaaassssssssaaaasaaaaaaaaaaaaaaaaaaaaaaaaaaaaaaaaaaaaaaaaaaaaaapppppppppppppppppppppppppppp']</t>
  </si>
  <si>
    <t>['jaringan', 'stabil', 'memuaskan']</t>
  </si>
  <si>
    <t>['kekuatan', 'signal', 'kaleng', 'kaleng', 'tolong', 'paket', 'combo', 'sakti', 'adakan']</t>
  </si>
  <si>
    <t>['harga', 'mahal', 'kualitas', 'dibawah', 'standart', 'sinyal', 'hilang', 'stabil', 'jaringan', 'eror', 'kualitas', 'mumpuni', 'beli', 'kecewa', 'berat', 'mending', 'ganti', 'kartu', 'ajalah', 'gue', 'pertahanin', '']</t>
  </si>
  <si>
    <t>['apps', 'bagus']</t>
  </si>
  <si>
    <t>['tolong', 'tambahkan', 'vitur', 'lock', 'kuota', 'enak', 'paket', 'umurnya', 'rendah', 'duluan', 'kesedot', 'paket', 'tinggal', 'gb', 'tinggal', 'habis', 'download', 'film', 'eee', 'palak', 'kuota', 'bantuan', 'tolong', 'tambahkan', 'fitur', 'lock', 'kuota', 'kesedot', 'kuota', 'gbnya', 'atur', 'kuota', 'semoga', 'terpenuhi']</t>
  </si>
  <si>
    <t>['login']</t>
  </si>
  <si>
    <t>['keren', 'simpel']</t>
  </si>
  <si>
    <t>['kacau', 'membeli', 'paket', 'kuota', 'aplikasi', 'pulsa', 'membeli', 'paket', 'kuota', 'kemnag', 'membuka', 'aplikasi', 'membuka', 'coba', 'ulang', 'paket', 'sukses', 'terbeli', 'pulsa', 'berkurang', 'nontifikasi', 'pemakaian', 'non', 'paket', 'memiliki', 'gb', 'kuota', 'kemenag', 'terzolimi', '']</t>
  </si>
  <si>
    <t>['lumbayan', 'membantu']</t>
  </si>
  <si>
    <t>['bagus', 'praktis']</t>
  </si>
  <si>
    <t>['mantap', 'banget', 'telkomsel', 'semoga', 'jaya', '']</t>
  </si>
  <si>
    <t>['tolong', 'perbaiki', 'jaringan', 'diwilayah', 'beli', 'paketan', 'sinyalnya', 'kalopun', 'loading', 'lemot']</t>
  </si>
  <si>
    <t>['kesel', 'telkomsel', 'susah', 'sinyal', 'udh', 'harga', 'selangit', 'tpi', 'kualitas', 'beda', 'harga', 'lbh', 'murah']</t>
  </si>
  <si>
    <t>['mantap', 'ribet']</t>
  </si>
  <si>
    <t>['mantap', 'membantu', '']</t>
  </si>
  <si>
    <t>['pulsanya', 'ketarik', 'paket', 'datany', 'masuk', 'gimana', 'tolong', 'telkomsel']</t>
  </si>
  <si>
    <t>['link', 'tautan', 'masuk', 'kirim', 'dikirim', 'kedaluarsa']</t>
  </si>
  <si>
    <t>['mudah', 'mengecek', 'kuota', 'pulsa', 'bonusnya', 'klik', 'langkah', 'sekedar', 'mengecek', 'pulsa', 'paket', '']</t>
  </si>
  <si>
    <t>['lumayan', 'membantu', 'malas', 'beli', 'paket', 'internet', 'tinggal', 'pencet', 'minus', 'perbanyak', 'ragam', 'pilihan', 'kuota', 'dibeli', '']</t>
  </si>
  <si>
    <t>['sinyal', 'jelek', 'harga', 'quota', 'mahal', 'terimakasih', 'telkomsel', 'mengganti', 'kartu', 'paketnya', 'murah', 'sinyal', 'kuat', 'kayak', 'telkomsel', 'kayak', 'taik', 'kucing']</t>
  </si>
  <si>
    <t>['sinyalnya', 'hilang', 'paketnya', 'mahal', 'emosi', '']</t>
  </si>
  <si>
    <t>['memudahkab', 'membeli', 'paket', 'data', 'good', 'job']</t>
  </si>
  <si>
    <t>['internet', 'terlaju', 'akses', 'makasih', '']</t>
  </si>
  <si>
    <t>['tolong', 'diperbaiki', 'sinyal', 'jaringan', 'perbaikan', 'kecepatan', 'akses', 'internet']</t>
  </si>
  <si>
    <t>['dapet', 'mobil', 'ngimpi', '']</t>
  </si>
  <si>
    <t>['', 'mengembalikan', 'kuota', 'darurat', 'isi', 'ulang', 'pulsa', 'potong', 'pulsa', 'kuota', 'darurat', 'kali', 'kali', 'telkomsel', 'brengsek', '']</t>
  </si>
  <si>
    <t>['paket', 'relatif', 'mahal']</t>
  </si>
  <si>
    <t>['nggak', 'diinstal', 'android', 'lol']</t>
  </si>
  <si>
    <t>['membantu', 'trimakasih', 'telkomsel']</t>
  </si>
  <si>
    <t>['pakai', 'aplikasi', 'mytelkomsel', 'membantu']</t>
  </si>
  <si>
    <t>['memudahk', 'pengguna', 'telcoms', '']</t>
  </si>
  <si>
    <t>['mempercepat', 'komunikasi']</t>
  </si>
  <si>
    <t>['bagus', 'apknya', 'suka', 'apk', 'saran', 'harga', 'paket', 'diturunkan', 'iya', 'paket', 'nelepon', 'mah', 'sebulan', 'murah', 'iya', 'oke']</t>
  </si>
  <si>
    <t>['gimana', 'udah', 'beli', 'paketnya', 'udah', 'berhasil', 'tbtb', 'plsa', 'habis', 'trnyta', 'paketnya', 'ngk', 'gimana', 'sihhh', 'plsa', 'habis', '']</t>
  </si>
  <si>
    <t>['mantap', 'setia', 'telkomsel']</t>
  </si>
  <si>
    <t>['memudahkan', 'promo', 'paket', '']</t>
  </si>
  <si>
    <t>['aplikasi', 'bagus', 'tolong', 'tambahin', 'fitur', 'kunci', 'pulsa', 'pas', 'kuota', 'habis', 'pulsa', 'kesedeot', 'makasih']</t>
  </si>
  <si>
    <t>['kecewa', 'poin', 'aktif', 'penggunaan', 'produk', 'telkomsel', 'bintang', 'mytelkomsel', '']</t>
  </si>
  <si>
    <t>['parah', 'mendingan', 'bubar', 'telkomsel', 'main', 'game', 'ngak', 'mengecewakan', 'terpaksa', 'ganti', 'kartu', 'telkomsel', 'bubarrrrr', '']</t>
  </si>
  <si>
    <t>['konfirmasi', 'nomor', 'susah', 'menggunakannya', 'bgus', 'danselalu', 'apdet', 'penuh', 'ram']</t>
  </si>
  <si>
    <t>['instal', 'telkomsel', 'pembelian', 'pakai', 'dana', 'persulit', 'nunggu', 'kerja', 'pokonya', 'pakai', 'telkomsel', 'tolol']</t>
  </si>
  <si>
    <t>['memudahkan', 'transaksi', 'pembelian', 'pulsa', 'kuota', 'pilihan', 'metode', 'pembayaran']</t>
  </si>
  <si>
    <t>['aplikasi', 'membantu', 'memudahkan', 'pengguna', 'membeli', 'pulsa', 'kuota']</t>
  </si>
  <si>
    <t>['mantap', 'layanannya']</t>
  </si>
  <si>
    <t>['telkomsel', 'terpercaya', 'terbaik']</t>
  </si>
  <si>
    <t>['mantap', 'paket', 'promonya']</t>
  </si>
  <si>
    <t>['bagus', 'sayang', 'sinyal', 'bagus', 'isi', 'pulsa', 'suka']</t>
  </si>
  <si>
    <t>['yaa', 'koq', 'bulum', 'buka', 'aplikasi', 'mytelkomsel', 'enak', '']</t>
  </si>
  <si>
    <t>['isi', 'paketnya', 'cepat']</t>
  </si>
  <si>
    <t>['', 'telkom', 'isi', 'ulang', 'voucher', 'paket', 'udah', 'nunggu', 'mai', 'isi', 'paket', 'maaf', 'sistem', 'sedanh', 'sibuk', 'silakan', 'coba']</t>
  </si>
  <si>
    <t>['beli', 'paket', 'responsive']</t>
  </si>
  <si>
    <t>['mytelkomsel', 'knp', 'beli', 'paket', 'masuk', 'uang', '']</t>
  </si>
  <si>
    <t>['wooooiiiii', 'aplikasi', 'error', 'disaat', 'genting', '']</t>
  </si>
  <si>
    <t>['liat', 'komen', 'bintang', 'udah', 'menentukan', 'kualitas', 'layanan', '']</t>
  </si>
  <si>
    <t>['paket', 'telkomsel', 'mahal', 'sinyal', 'lemot', 'als', 'gangguan']</t>
  </si>
  <si>
    <t>['ayo', 'apk', 'telkomsel']</t>
  </si>
  <si>
    <t>['semoga', 'beruntung', 'kali', 'hadiah', 'pulsa', 'telkomsel', 'aamiin', '']</t>
  </si>
  <si>
    <t>['payah', 'paket', 'unlimitedmax', 'sekrng', 'minat', 'ganti', 'kartu', '']</t>
  </si>
  <si>
    <t>['bagus', 'pilih', 'pilih', 'paket', 'murah', '']</t>
  </si>
  <si>
    <t>['langganan']</t>
  </si>
  <si>
    <t>['sapai', 'jaringan', 'telkomsel', 'buruk', 'telkomsel', 'paket', 'kuota', 'mahal', 'jaringan', 'ngga', 'sesuai', 'iya', 'sabar', 'ampe', 'berbulan', 'hampit', 'thn']</t>
  </si>
  <si>
    <t>['jaringan', 'bagus', 'area', 'terpencil', 'harga', 'merakyat']</t>
  </si>
  <si>
    <t>['mempermudah', 'transaksi', 'pulsa', 'dsn', 'internet', 'telkomsel', '']</t>
  </si>
  <si>
    <t>['kecewa', 'daerah', 'benangin', 'kec', 'teweh', 'timur', 'barito', 'utara', 'kal', 'teng', 'kunjung', 'jaringan', 'kouta', 'kemendikbud', 'sulit', 'kasian', 'siswa', 'cari', 'bahan', 'belajar', 'jaringan', 'lelet', 'tolong', 'perbaiki', 'kualitas', 'pelanggan', 'susah', 'menghubungi', 'telkomsel', 'kamipun', 'taktau', 'menunggu', 'lancar', 'normal', 'kembail', '']</t>
  </si>
  <si>
    <t>['ulasan', 'login', 'bkn', 'ulasan', 'membeli', 'paket', 'mytelkomsel']</t>
  </si>
  <si>
    <t>['mohon', 'dioptimalkan', 'singal', 'jaringan', 'telkomsel', 'memakai', 'kartu', 'telkomsel', 'singal', 'full', 'pakai', 'loading', 'mohon', 'dioptimalkan', 'kenyamanan', 'pemakai', '']</t>
  </si>
  <si>
    <t>['promo', 'murah', 'internet']</t>
  </si>
  <si>
    <t>['kasih', 'kuat', 'jaringan', 'signal']</t>
  </si>
  <si>
    <t>['pulsa', 'ilang', 'non', 'paket', 'non', 'paket', '']</t>
  </si>
  <si>
    <t>['jos', 'promo']</t>
  </si>
  <si>
    <t>['betah', 'telkomsel', 'bonusnya']</t>
  </si>
  <si>
    <t>['', 'bintang', 'komen', '']</t>
  </si>
  <si>
    <t>['merugikan', 'pelanggan', 'beli', 'paket', 'data', 'jam', 'paketnya', 'abis', 'jam', 'berlakunya', 'jam', 'berpatokan', 'tanggal', '']</t>
  </si>
  <si>
    <t>['aplikasi', 'membantu', 'pembelian', 'kouta', '']</t>
  </si>
  <si>
    <t>['pelajari']</t>
  </si>
  <si>
    <t>['maren', 'ksh', 'knp', 'paket', 'bonus', 'combo', 'kecuali', 'youtube', 'isi', 'pulsa', 'dpt', 'bonus', 'monetery', 'hr', 'mending', 'monetery', 'hapus', 'drpd', 'kepake', 'kirain', 'bonus', 'combo', 'youtube', 'backup', 'monetery', 'nyata', 'zonk', 'pnah', 'nanggung', 'kasih', 'program', 'ngeselin', 'doank']</t>
  </si>
  <si>
    <t>['baguskan', 'ntar', 'dikurangi', 'bintangnya']</t>
  </si>
  <si>
    <t>['beli', 'paket', 'pke', 'konfirmasi', 'keburu', 'kouta', 'kesedot', 'dicek', 'paket', 'udah', 'masuk', 'buka', 'aplikasi', 'data', 'pas', 'maketin']</t>
  </si>
  <si>
    <t>['parah']</t>
  </si>
  <si>
    <t>['bagus', 'ram', 'kasian', 'download', 'aplikasi', 'harganya', 'kalangan', 'tergolong', 'mahal', '']</t>
  </si>
  <si>
    <t>['senang', 'tekomsel']</t>
  </si>
  <si>
    <t>['berhenti', 'langganan', 'kartu', 'halo', 'min']</t>
  </si>
  <si>
    <t>['aplikasi', 'terima', 'kasih']</t>
  </si>
  <si>
    <t>['hebat', 'paket', 'habis', 'belanjapun', 'terbantulah', '']</t>
  </si>
  <si>
    <t>['paket', 'mahal', 'coba', 'biking', 'murah', 'bonus', 'murah', 'gitu', 'enak', 'apk', 'beda', 'timur', 'barat', 'warga', 'indonesia', 'butu', 'manja', 'kasi', 'sayang', 'samakanlah', 'harganya', 'tamba', 'cinta', 'negara', 'org', 'penuh', 'kasi', 'sayang', 'sayangilah', 'mencintaimu', 'pancarkan', 'doa', 'kebahagiaan', 'rezeki', 'pahala', '']</t>
  </si>
  <si>
    <t>['point', 'telkomsel', 'berguna', 'tukar', 'promo', 'kembalikan', 'tukar', 'point', 'saldo', 'link', 'paket', 'data', 'tukar', 'pulsa', 'berguna', 'promo', '']</t>
  </si>
  <si>
    <t>['membantu', 'apk', 'pokoknya', 'joss']</t>
  </si>
  <si>
    <t>['mudah', 'mencari', 'info', 'telkomsel']</t>
  </si>
  <si>
    <t>['fungsi', 'veronika', 'apaaan', 'nanya', 'kuota', 'omg', 'kuota', 'khusus', 'youtube', 'kuota', 'membeli', 'paket', 'internet', 'silakan', 'klik', 'tombol', 'paket', 'internet', 'spesial', 'lihat', 'paketnya', 'ketik', 'paket', 'internet', '']</t>
  </si>
  <si>
    <t>['susah', 'banget', 'bayar', 'pakai', 'link', 'aplikasi', 'langsung', 'bayar', 'sulit', '']</t>
  </si>
  <si>
    <t>['telkom', 'paten', 'bintang', 'ksh', 'telkomsel']</t>
  </si>
  <si>
    <t>['kali', 'klik', 'suara', 'norifikasi', 'berbunyi', 'dimatikan', 'notifikasi', 'msh', 'berbunyi', 'aneh', 'app']</t>
  </si>
  <si>
    <t>['harga', 'paketan', 'mahal', 'kualitas', 'sinyal', 'busuk', 'berbenah', 'bumn', 'ampas', '']</t>
  </si>
  <si>
    <t>['pulsa', 'telkomsel', 'suka', 'abis', 'kepotong']</t>
  </si>
  <si>
    <t>['kartu', 'telkomsel', 'bermanfaat', 'membantu', 'pengguna', 'kartu', 'telkomsel', 'kekuatan', 'signalnya', 'bagus', 'area', 'pelosok', 'desa']</t>
  </si>
  <si>
    <t>['', 'telkomsel', 'membantu', 'dlm', 'cek', 'pulsa', 'kuata', 'hadiah', 'menarik', '']</t>
  </si>
  <si>
    <t>['kasih', 'bintang', 'byar', 'telkomsel', 'sennang']</t>
  </si>
  <si>
    <t>['cuki', 'tukang', 'tipu']</t>
  </si>
  <si>
    <t>['menyenang']</t>
  </si>
  <si>
    <t>['sip', 'paketan', 'mahal', 'jaringan', 'busuk', 'kota', 'jaringan', 'ngandat', 'parah', 'desa', 'pikir', 'lgi', 'telkomsel']</t>
  </si>
  <si>
    <t>['', 'lelet']</t>
  </si>
  <si>
    <t>['saldo', 'monetery', 'seakan', 'berguna', 'karna', 'paket', 'combo', 'isinya', 'internet', 'nelpon', 'sms', 'payah', '']</t>
  </si>
  <si>
    <t>['koneksi', 'internetnya', 'lemot', 'ping', 'turun', 'udah', 'dibantu', 'apk', 'ketiga', 'ngunci', 'jaringan', 'masi', 'lemot', 'beli', 'paket', 'mahal', 'memuaskan', '']</t>
  </si>
  <si>
    <t>['knp', 'paket', 'ynk', 'beli', 'udah', 'ngk', 'beli', 'lgi', 'skrg', 'mahal', 'harga']</t>
  </si>
  <si>
    <t>['apknya', 'jelek', 'berhenti', 'ngak', 'gunakann', 'parah', 'bagett']</t>
  </si>
  <si>
    <t>['kecewa', 'jaringan', 'telkomsel', 'lag']</t>
  </si>
  <si>
    <t>['udh', 'thn', 'telkomsel', 'dirumah', 'dapet', 'kali', 'dirumah', 'sinyal', 'sinyalnya', 'dapet', 'batang', 'kuota', 'terbuang', 'sia', 'sia', 'sinyal', '']</t>
  </si>
  <si>
    <t>['ssangat', 'membantu']</t>
  </si>
  <si>
    <t>['tutup', 'bangkrut', 'jaringan', 'cacat', 'paket', 'mahal', 'kintiiil', 'report', 'telegram', 'tweeter', 'dsb', 'download', 'via', 'playstore', 'min', 'mikir', 'deh', 'min', 'keluhan', 'berjuta', 'juta', 'keluhan', 'tarok', 'muka', 'telkomsel', 'perusahaan', 'raksasa', 'malu', 'ama', 'toko', 'sebelah', 'receh', 'respon', 'min', 'makn', 'gaji', 'makan', 'gaji', 'gitu', '']</t>
  </si>
  <si>
    <t>['membantu', 'beli', 'paket', 'cek', 'sisa', 'pakaet']</t>
  </si>
  <si>
    <t>['tekomsel', 'terbaik', 'jangkauan', 'signal', '']</t>
  </si>
  <si>
    <t>['saynk', 'sendat', 'aket', 'mohon', 'bagusi', 'telkomsel']</t>
  </si>
  <si>
    <t>['bertahun', 'setia', 'telkomsel', 'jaringan', 'tersedia', 'daerah', 'terpencil']</t>
  </si>
  <si>
    <t>['bagus', 'sinyal', 'telkomsel']</t>
  </si>
  <si>
    <t>['paket', 'belajar', 'cuman', 'gimik', 'nggak', 'dipake', 'nggak', 'mending', 'nggak', 'paketnya']</t>
  </si>
  <si>
    <t>['heran', 'operator', 'terdepan', 'diindonesia', 'paket', 'disuguhkan', 'mahal', 'pulsa', 'kesisa', 'habis', 'beli', 'paket', 'hilang', 'berangsur', 'angsur', 'emang', 'bug', 'dll', 'minimal', 'kasih', 'pelanggannya', '']</t>
  </si>
  <si>
    <t>['telkomsel', 'dihatiku']</t>
  </si>
  <si>
    <t>['sebenernya', 'kecewa', 'telkomsel', 'udah', 'th', 'memakai', 'produk', 'telkomsel', 'kartu', 'simpati', 'ganti', 'kartu', 'hnya', 'kali', 'terakir', 'udah', 'pakai', 'dapet', 'bonusan', 'paket', 'mahal', 'kelas', 'menengah', 'cocok', 'kalangan', 'kebawah', 'cocok', 'mohon', 'tingkat', 'orang', 'kalangan', 'puas', 'terimakasih', '']</t>
  </si>
  <si>
    <t>['nyesel', 'pakai', 'combo', 'sakti', 'lagaknya', 'doang', 'kuota', 'melimpah', 'jaringan', 'leletnya', 'kayak', 'siput', 'sekarat', 'udah', 'bayar', 'mahal', 'jauuh', 'jauhh', 'pelayanan', 'sebelah', '']</t>
  </si>
  <si>
    <t>['udah', 'pakai', 'kartu', 'telkomsel', 'harga', 'murah', 'mahal', 'tolong', 'murahkan', 'harga']</t>
  </si>
  <si>
    <t>['internet', 'lelet', 'bermain', 'game', 'online', 'berubah', 'jaringan', 'gua', 'tinggal', 'kota', 'jakarta', 'benci', 'bat', 'gua', 'kayak', 'gitu', 'seru', 'seru', 'mode', 'serius', 'jaringan', 'mati']</t>
  </si>
  <si>
    <t>['update', 'peningkatan', 'signifikan', 'payah']</t>
  </si>
  <si>
    <t>['beliun', 'paket']</t>
  </si>
  <si>
    <t>['', 'coba']</t>
  </si>
  <si>
    <t>['kuota', 'malam', 'aktif', 'sja', 'tertera', 'disitu', 'jam', 'aktif', 'diuntungkan', 'membeli', 'paket', 'kek', 'gini', 'mainnya', '']</t>
  </si>
  <si>
    <t>['thun', 'telkomsel', 'berkembang', 'menurun', 'signal', 'lemah', 'itnya', 'bego', 'bego', 'ganti', 'berpengalaman']</t>
  </si>
  <si>
    <t>['sinyal', 'susah', 'lelet', '']</t>
  </si>
  <si>
    <t>['good', 'perbaiki', 'jaringan', '']</t>
  </si>
  <si>
    <t>['yaaaa', 'ampun', 'chek', 'pulsa', 'data', 'susah', 'najis', '']</t>
  </si>
  <si>
    <t>['beli', 'kuota', 'masuk', 'pembeliannya', 'berhasil', 'aneh', 'gimana', 'min']</t>
  </si>
  <si>
    <t>['ngk', 'masak', 'isi', 'paket', 'sehari', 'harga', 'sehari', 'udah', 'abis', 'ngk', 'nyamankan', 'pelanngan', 'telkom', 'sumpah', 'ngk']</t>
  </si>
  <si>
    <t>['telkomsel', 'the', 'best', 'serba', 'mudah', 'serba', 'serba', 'murah', '']</t>
  </si>
  <si>
    <t>['jaringan', 'binatang', 'kaya', 'kambing']</t>
  </si>
  <si>
    <t>['kartu', 'anjg', 'udah', 'mahal', 'kinerja', 'becus', 'urus', 'fitur', 'pepek', 'gaguna']</t>
  </si>
  <si>
    <t>['mantap', 'hambatan', '']</t>
  </si>
  <si>
    <t>['jaringan', 'tpi', 'medsos', 'kaga', 'ngangkat']</t>
  </si>
  <si>
    <t>['monmaap', 'ngasih', 'rating', 'cerita', 'tdi', 'beli', 'pulsa', 'beli', 'kuota', 'beli', 'kuota', 'pulsanya', 'udah', 'kepotong', 'tukan', 'ehhh', 'pas', 'buka', 'apknya', 'pulsa', 'tinggal', 'rupiahh', 'gimana', 'kaget', 'coba', 'download', 'apk', 'pulsa', 'aman', 'aman', 'wih', 'bahaya', 'aplikasi', 'suka', 'nyedot', 'pulsa', 'orang', 'gitu', 'ngasih', 'rating', 'kejadian', 'ngalamin', 'temen', 'ngalamin', '']</t>
  </si>
  <si>
    <t>['youtube', 'akses', 'paket', 'unlimited', 'seru']</t>
  </si>
  <si>
    <t>['puas', 'pelayanan', 'customer', 'service', 'disediakan', 'aplikasi', 'whats', 'app', 'tuntas', 'customer', 'diiberi', 'batasan', 'mencoba', 'menit', 'solusi', 'follow', 'solusi', 'tsb', 'berhasil', 'kecewa', '']</t>
  </si>
  <si>
    <t>['kasih', 'hadiah', 'pulsa', 'jt']</t>
  </si>
  <si>
    <t>['pas', 'harga', 'kebeli']</t>
  </si>
  <si>
    <t>['pantauan', 'sesuai', 'diharapkan']</t>
  </si>
  <si>
    <t>['ngelus', 'dimana', 'sumpah', 'sinyal', 'lemot', 'kali', 'paket', 'internet', 'berasa', 'berlangganan', 'sekurang', 'tolong', 'koneksinya', 'daerah', 'tangerang', 'sewan', 'perbaiki', 'udah', 'jenuh', 'kyk', 'gini', 'maap', 'enak', 'denger', 'kenyataan', '']</t>
  </si>
  <si>
    <t>['kesini', 'sinyal', 'telkomsel', 'bukanya', 'bagus', 'jelekkkkkk', 'kaya', 'duluuuu', 'mohon', 'penjelasannya', 'pelanggan', 'terhormat', 'lohh', 'sekian', '']</t>
  </si>
  <si>
    <t>['kek', 'taik', 'sinyal', 'jijik', 'gue']</t>
  </si>
  <si>
    <t>['kasih', 'bintang', 'dlu', '']</t>
  </si>
  <si>
    <t>['pulsanya', 'suka', 'kesedot', 'kuota', 'kemaren', 'pulsa', 'ludes', 'kuotas', 'tolong', 'perbaiki', 'sistemnya', 'cuka', 'cari', 'untung', '']</t>
  </si>
  <si>
    <t>['tambahkan', 'kuota', 'combo', 'sakti', 'murah']</t>
  </si>
  <si>
    <t>['bener', 'min', 'sinyal', 'main', 'game', 'leg', 'udah', 'kuota', 'mahal', 'sinyal', 'leg', 'promo', 'murah', 'nasbi', '']</t>
  </si>
  <si>
    <t>['telkomsel', 'kedepan', 'buruk', '']</t>
  </si>
  <si>
    <t>['apknya', 'hati', 'senang', 'tpi', 'boong']</t>
  </si>
  <si>
    <t>['mahal', 'harga', 'paket', 'datanya']</t>
  </si>
  <si>
    <t>['apk', 'proses', 'paket']</t>
  </si>
  <si>
    <t>['kasih', 'promo', 'quota', 'murah', 'isi', 'pulsa', 'rb', 'isi', 'quota', 'udah', 'pelanggan', 'kasih', 'bintang', 'jatuh', 'miskin', 'berbuat', 'pelanggan', 'setia', '']</t>
  </si>
  <si>
    <t>['bonus', 'bossku']</t>
  </si>
  <si>
    <t>['lag', 'truss', 'mahal', 'doang', 'jaringan', 'kaga', 'stabil', '']</t>
  </si>
  <si>
    <t>['daerah', 'portsite', 'freeport', 'knp', 'lelet', 'streaming', 'sll', 'buffering', 'jarak', 'tower', 'meter', 'lokasi', 'mohon', 'dicek', 'kawan', 'ngga', 'mengeluh', '']</t>
  </si>
  <si>
    <t>['paketnya', 'lengkap']</t>
  </si>
  <si>
    <t>['signal', 'kek', 'paket', 'kuota', 'mahal', 'mahal']</t>
  </si>
  <si>
    <t>['anjg', 'tekomsel', 'leg', 'sinyal', 'anjg', 'banget', 'tlol', 'mahal', 'doang', 'sinyal', 'leg', 'kntl', 'mending', 'anjg', 'tekomsel', '']</t>
  </si>
  <si>
    <t>['semoga', 'kemudahan']</t>
  </si>
  <si>
    <t>['dijadikan', 'andalan', 'jelek', 'perbaiki', 'donk', 'gerimis', 'dikit', 'busuk', 'jaringan']</t>
  </si>
  <si>
    <t>['woi', 'jaringan', 'kaukek', 'ngapain', 'mahal', 'ngtod']</t>
  </si>
  <si>
    <t>['pembelian', 'paket', 'data', 'mahal', 'signal', 'internet', 'hilang']</t>
  </si>
  <si>
    <t>['pengguna', 'lumayan', '']</t>
  </si>
  <si>
    <t>['buseeet', 'signal', 'bagus', 'bagus', 'perasaan', 'hutan', '']</t>
  </si>
  <si>
    <t>['telkom', 'ksni', 'jalas', 'pulsa', 'abis', '']</t>
  </si>
  <si>
    <t>['seringlah', 'promo']</t>
  </si>
  <si>
    <t>['uda', 'telkomsel', 'ngerasa', 'harga', 'paket', 'berat', 'pandemi', 'otw', 'pindah', 'gini', 'trus']</t>
  </si>
  <si>
    <t>['lemot', 'banget', 'yaa', 'engga', 'buka', 'sosmed', 'loading', 'ampun', 'kek', 'goa', 'fans', 'manchester', 'united', '']</t>
  </si>
  <si>
    <t>['keren', 'asli', 'aplikasi', 'bagus']</t>
  </si>
  <si>
    <t>['telkomsel', 'bagua', 'sukaaa', 'terima', 'kasih', 'telkomsel']</t>
  </si>
  <si>
    <t>['telkomsel', 'jaringan', 'top', 'deh', 'menggunakannya', 'keluhan', '']</t>
  </si>
  <si>
    <t>['gila', 'update', 'update', '']</t>
  </si>
  <si>
    <t>['sinyall', 'telkomsel', 'udah', 'kaya', 'lagii', 'jelek', 'banget', 'tolong', 'kembalikan', 'sinyall', 'kaya', 'lagii', 'biarr', 'kecewa', 'pindah', 'kartu', 'kartu']</t>
  </si>
  <si>
    <t>['nomer', 'pakek', 'simpati', 'wilayah', 'surabaya', 'sinyalnya', 'buruk', 'sumpah', 'tolong', 'simpati', 'perbaiki', 'jaringnny', 'kagak', 'soak', '']</t>
  </si>
  <si>
    <t>['maksimalkan', 'jaringan']</t>
  </si>
  <si>
    <t>['sinyal', 'lemot', 'bali', 'telkomsel', 'ayo', 'warga', 'bali', 'rame', 'rame', 'pindah', 'provider', 'terbukti', 'bagus']</t>
  </si>
  <si>
    <t>['layanan', 'terbaik', 'fitur', 'menarik', 'mantab', 'tolong', 'tingkatkan', 'kesetabilan', 'jaringan', 'internet', 'wilayah', '']</t>
  </si>
  <si>
    <t>['telkomsel', 'gangguan', 'menerus', 'data', 'beli', 'mahal', 'mahal', 'kualitas', 'rendah']</t>
  </si>
  <si>
    <t>['kadang', 'sinyalllll', 'ngilang', '']</t>
  </si>
  <si>
    <t>['sinyal', 'telkomsel', 'desa', 'kertanegara', 'kecamatan', 'kertanegara', 'kabupaten', 'purbalingg', 'jawa', 'jeeleeekkk', 'skalllliiiii', '']</t>
  </si>
  <si>
    <t>['membantu', 'combo', 'sakti', 'mudah', 'kedepannya', 'harga', 'murah']</t>
  </si>
  <si>
    <t>['mendukung', 'kebutuhan']</t>
  </si>
  <si>
    <t>['setan', 'dasar', 'jiwa', 'koropsi', 'mata', 'duit', 'voucher', 'game', 'setan', 'baaabiiiii']</t>
  </si>
  <si>
    <t>['jaringan', 'parah', 'bener', 'jeleeeeek', 'bangsad']</t>
  </si>
  <si>
    <t>['pulsa', 'telkomsel', 'tolong']</t>
  </si>
  <si>
    <t>['pemakaian', 'pulsa', 'promo', 'berkurang', 'meresahkan']</t>
  </si>
  <si>
    <t>['telkomsel', 'kartu', 'ngasih', 'reward', 'loyalitas', 'pelanggan', 'pelanggan', 'harga', 'paket', 'data', 'kian', 'mahal', 'diperparah', 'koneksi', 'stabil', 'beda', 'sinyal', 'stabil', 'tembus', 'dlm', 'ruangan', 'full', 'tembok', 'basemant', 'update', 'aplikasi', 'lola', 'banget', 'aplikasi', 'salah', 'pintu', 'telkomsel', 'profit', 'customer', '']</t>
  </si>
  <si>
    <t>['syh', 'suka']</t>
  </si>
  <si>
    <t>['wowww', 'mantappp', 'jaringan', 'bagus', 'telkomsel', 'makasi', 'bosquee', 'salam', 'guee', 'gii']</t>
  </si>
  <si>
    <t>['nek', 'udan', 'ngelag', 'nek', 'bengi', 'ngelag', 'angin', 'banter', 'ngelag', 'jaringan', '']</t>
  </si>
  <si>
    <t>['kecewa', 'banget', 'daftar', 'aplikasi', 'telkomsel', 'gabisa', 'min', 'disuruh', 'masuk', 'coba', 'tetep', 'nggak', 'bingung', 'gara', 'masuk', 'aplikasi', 'udah', 'kartu', 'coba', 'masuk', 'ttp', 'kartu', 'gabisa', 'gimana', 'min', 'coba', 'beli', 'paketan', 'aplikasi', 'gabisa', 'masuk', 'gara', 'akun', 'telkomsel', 'gimana', 'miinn', 'cuman', 'doang', 'kaya', 'gini', '']</t>
  </si>
  <si>
    <t>['aplikasinya', 'bagus', 'kesehatan']</t>
  </si>
  <si>
    <t>['mohon', 'paket', 'swadaya', 'berlangganan', 'paket', 'swadaya', 'gojek', 'terima', 'kasih']</t>
  </si>
  <si>
    <t>['tuker', 'poin', 'hadiah', 'rekayasa', 'point', 'pelanggan', 'berkurang', 'memperoleh', 'sinyal', 'turun', 'pakek', 'kecuali', 'tinggal', 'dipedalaman', 'wajar', '']</t>
  </si>
  <si>
    <t>['telkomsel', 'anjinkkk', 'sinyal', 'lelet', 'asw', 'nyesel', 'beli', 'telkomsel']</t>
  </si>
  <si>
    <t>['tolong', 'jaringan', 'perkuat', 'kalah', 'lai']</t>
  </si>
  <si>
    <t>['telkomsel', 'menghitung', 'jam', 'masak', 'daftar', 'paket', 'harian', 'daftar', 'sehabis', 'magrib', 'habisnya', 'jam', 'malem', 'namanya', 'daftar', 'jam', 'jam', 'habis', 'jam', 'hitung', 'pembodohan', 'bener']</t>
  </si>
  <si>
    <t>['', 'paket', 'youtube', 'nggak', 'unlimited', 'gimana', 'niat', 'unlimited', 'nggak', 'sisa', 'pulsa', 'langsung', 'kesedot', 'ajar', 'banget', 'dikata', 'beli', 'pulsa', 'daun', 'ketengan', 'unlimited', 'unlimited', 'youtube', 'nggak', 'unli', 'alasannya', 'duh', 'maaf', 'pulsa', 'kepotong', 'pelanggan', 'marah', 'pelanggan', 'pindah', 'kartu', '']</t>
  </si>
  <si>
    <t>['pliss', 'telkomsel', 'keluarin', 'redem', 'diamond', 'free', 'fire', '']</t>
  </si>
  <si>
    <t>['hilang', 'sinyal']</t>
  </si>
  <si>
    <t>['mantap', 'kasih', 'promo']</t>
  </si>
  <si>
    <t>['kartu', 'mahal', '']</t>
  </si>
  <si>
    <t>['sehari', 'paket', 'proses', 'aktif', 'paket', 'aktif', 'alhasil', 'pulsa', 'kepake', 'tarif', 'non', 'paket', 'menghubungi', 'customer', 'service', 'problem', 'solving', 'tolong', 'diperbaiki', 'sistem', 'informasi', '']</t>
  </si>
  <si>
    <t>['', 'telkomsel', 'terbaik', 'sayang', 'harga', 'paket', 'mahal', 'murahin']</t>
  </si>
  <si>
    <t>['mahal', 'terjangkau', 'mendekati', 'provider', 'kelas', 'terjangkau', 'masyarakat', 'menengah', 'kebawah', 'masyarakat', 'miskin', 'terimakasih', 'telkomsel']</t>
  </si>
  <si>
    <t>['provider', 'telkomsel', 'kesini', 'sinyal', 'lemot', 'game', 'stabil', 'turun', 'ping', 'tolong', 'benahi', 'kota']</t>
  </si>
  <si>
    <t>['mantap', 'cepat', 'proses', 'sia', 'setia', 'telkomsel', '']</t>
  </si>
  <si>
    <t>['knapa', 'telkomsel', 'blakangan', 'susah', 'gigit', 'hiu', 'kabel', 'jaringan', 'susah', 'komunikasi', 'keluarga', 'rumah']</t>
  </si>
  <si>
    <t>['maaf', 'kak', 'beli', 'pulsa', 'coba', 'coba', 'ngak', 'tolong', 'balas', 'langganan']</t>
  </si>
  <si>
    <t>['alkhamdulillah', 'aplikasi', 'sulit', 'mudah', '']</t>
  </si>
  <si>
    <t>['telkomsel', 'jaringannya', 'anti', 'lup', 'lep']</t>
  </si>
  <si>
    <t>['pelayanan', 'app', 'lamaaaa', 'bangettt', 'jam', 'udah', 'nunggu', 'sampe', 'skrg', 'belom', 'bales', 'gimana', 'telkomsel', 'perbaikin', 'jelek', '']</t>
  </si>
  <si>
    <t>['tlg', 'diprbaiki', 'koneksi', 'internetnya', 'malu', 'sma', 'pedana', 'laen', 'mahal', 'mslh', 'paket', 'tpi', 'sinyalnya', 'bosok']</t>
  </si>
  <si>
    <t>['emng', 'kartu', 'telkomsel', 'bagus', 'jaringan', 'mahal', 'menjamin', 'kepuasan', 'pengguna', 'telkomsel', 'good', 'luck', '']</t>
  </si>
  <si>
    <t>['parah', 'eror', 'gara', 'apl', 'tolong', 'perbaiki', 'min', '']</t>
  </si>
  <si>
    <t>['', 'beli', 'paketan', 'internet', 'masuk', 'metode', 'pembayaran', 'link', 'ovo', 'masuk', 'paketan', 'internetnya', 'sampek', 'bukti', 'suskses', 'transaksi', 'link', 'ovo', 'tolong', 'bantuannya', 'terimakasih', '']</t>
  </si>
  <si>
    <t>['msih', 'nyoba', 'ntar', 'bagus', 'lgi', 'bintang', '']</t>
  </si>
  <si>
    <t>['sinyal', 'dikencangkan']</t>
  </si>
  <si>
    <t>['bintangnya', 'klu', 'bagus', '']</t>
  </si>
  <si>
    <t>['menurutku', 'aplikasi', 'bagus', 'tolong', 'dipisahkan', 'data', 'internet', 'pulsa', 'data', 'internet', 'pengguna', 'habis', 'pulsa', 'ambil', 'kasian', 'udah', 'isi', 'pulsa', 'sekejap', 'habis', 'sekian', 'terimacash']</t>
  </si>
  <si>
    <t>['jaringan', 'internet', 'telkomsel', 'lemot', 'harga', 'kuota', 'mahal', 'dipakai', 'disaat', 'bagus', 'buka', 'desa', 'susah', 'sinyal', 'lemot', 'dimohon', 'telkomsel', 'memperbaikinya', '']</t>
  </si>
  <si>
    <t>['bagus', 'minggu', 'sinyalnya', 'kuat']</t>
  </si>
  <si>
    <t>['verifikasi', 'masuk', 'jagngan', 'dnonlod', 'metodemasuk', 'gangguan', 'rai', 'tanyaveronika', 'kayak', 'orng', 'gila', 'niat', 'apk', '']</t>
  </si>
  <si>
    <t>['mytelkomsel', 'mengerti', 'dibutuhkan', 'meningkatkan', 'performa', 'nunggu', 'mytelkomsel', 'tampil', 'praktis', 'pembaruan', 'halaman', 'utama', 'sederhana', 'mudah', '']</t>
  </si>
  <si>
    <t>['pas', 'beli', 'paket', 'terkendala', 'koneksi', 'internet', 'bagus', 'bagus', 'internet']</t>
  </si>
  <si>
    <t>['gmana', 'sinyal', 'ilang', 'mulu', 'beli', 'paketan', 'udh', 'kek', 'gini', 'ilang', 'jls', 'banget', 'telkomsel']</t>
  </si>
  <si>
    <t>['telkomsel', 'paket', 'game', 'max', 'paket', 'unlimeted', 'youtube', 'nyesel', 'berlangganan', 'telkomsek', 'berlangganan', 'smpai', 'skarang']</t>
  </si>
  <si>
    <t>['aplikasinya', 'lemot', 'banget', 'cuy', 'loading', 'udah', 'kayak', 'ngeload', 'game']</t>
  </si>
  <si>
    <t>['mantap', 'pkoknya', 'semoga', 'kedepannya', 'membaik', 'tambahan', 'fitur', 'sukses', '']</t>
  </si>
  <si>
    <t>['aplikasi', 'error', 'tulisan', 'mytelkomsel', 'menanggapi', 'tolong', 'diperbaiki', 'terima', 'kasih']</t>
  </si>
  <si>
    <t>['bener', 'namakan', 'provider', 'plat', 'merahh', 'bener', 'sihh', 'tower', 'napa', 'sinyal', 'jelek', 'yahh', 'deket', 'tower', 'sinyalpun', 'why', 'mimin', 'kasih', 'penjelasan', '']</t>
  </si>
  <si>
    <t>['fitur', 'oke', 'lengkap']</t>
  </si>
  <si>
    <t>['harga', 'paket', 'mahal', 'kuota', 'pemakaian', 'kuota', 'harganya', 'dirumah', 'sudaha', 'indihome', '']</t>
  </si>
  <si>
    <t>['jaringan', 'telkomsel', 'wilayah', 'kecamatan', 'makmur', 'kabupaten', 'bireun', 'layanan', 'cuman', '']</t>
  </si>
  <si>
    <t>['kurangin', 'harga', 'paket']</t>
  </si>
  <si>
    <t>['mencoba', 'semoga', 'bagus', '']</t>
  </si>
  <si>
    <t>['maaf', 'peringkat', 'paket', 'internet', 'beli', 'menelpon', 'memakai', 'pulsanya', 'terpotong', 'menit', 'habis', 'karna', 'memakai', 'paket', 'unlimited', '']</t>
  </si>
  <si>
    <t>['jaringan', 'luas', 'kecepatan', 'stabil']</t>
  </si>
  <si>
    <t>['detik', 'habis', 'tenggang', 'lemot', 'dongs']</t>
  </si>
  <si>
    <t>['beli', 'paket', 'internet', 'bantuan', 'veronica', 'respon']</t>
  </si>
  <si>
    <t>['telkomsel', 'hormati', 'tolong', 'beli', 'paket', 'data', 'mahal', 'mahal', 'sampe', 'kondisinya', 'kesusahan', 'tolong', 'tolonggg', 'banget', 'sinyal', 'dibenerin', 'lancar', 'ngechat', 'kawan', 'kekirim', 'sampe', 'jam', 'harga', 'sesuai', 'kualitas', 'barang', 'dibeli', '']</t>
  </si>
  <si>
    <t>['tingkatkan', 'kualitas', 'sinyalnya', 'telkomsel', 'sing', 'lambat', 'sampe', 'sinyalnya', 'malem', 'jam', 'gimna', 'nyaman', 'pke', 'telkomsel', 'kecewa', 'udh', 'ganti', 'kartu', 'sya', 'patahin', 'kartu', 'kecewa', 'mahal', 'paketannya', 'kualitas', 'sinyal', 'kaya', 'bbi']</t>
  </si>
  <si>
    <t>['aplikasi', 'error', 'log', '']</t>
  </si>
  <si>
    <t>['puas', 'murah', 'bangat', 'beli', 'puas', 'banget', 'trmksh', 'penyemanatku']</t>
  </si>
  <si>
    <t>['mahal', 'akumulasi', 'paket', 'internet', '']</t>
  </si>
  <si>
    <t>['membantu', 'fitur', 'keren', '']</t>
  </si>
  <si>
    <t>['haii', 'sobat', 'org', 'semoga', 'aplikasinya', 'membantu', 'kedepannya', 'terimahkasihh']</t>
  </si>
  <si>
    <t>['aplikasi', 'bagussss']</t>
  </si>
  <si>
    <t>['sanangat', 'puas', 'mudah']</t>
  </si>
  <si>
    <t>['pokok', 'siiippp']</t>
  </si>
  <si>
    <t>['bagus', 'bnyak', 'promo', 'tdak', 'beli']</t>
  </si>
  <si>
    <t>['telkomsel', 'hati', 'telkomsel']</t>
  </si>
  <si>
    <t>['', 'kasih', 'bintang', 'dlu', 'promo', 'pelanggan', 'telkomsel', 'terimakasih']</t>
  </si>
  <si>
    <t>['telkomsel', 'parah', 'sinyal', 'parah', 'parah', 'parah', 'sebulan', 'apalah', '']</t>
  </si>
  <si>
    <t>['mahal', 'doang', 'tetep', 'leg', 'tae']</t>
  </si>
  <si>
    <t>['mantap', 'aplikasinya', 'lanjutkan']</t>
  </si>
  <si>
    <t>['menyenangkan', 'mudah', 'memilih', 'paket', 'pilihan', 'mytelkomsel']</t>
  </si>
  <si>
    <t>['kecewa', 'eror']</t>
  </si>
  <si>
    <t>['tolong', 'pusat', 'telkomsel', 'sidak', 'daerah', 'kota', 'garut', 'jaringan', 'telkomsel', 'garut', 'ancur', 'ksh', 'mati', 'lampu', '']</t>
  </si>
  <si>
    <t>['terima', 'kasih', 'telkomsel', 'paket', 'harga', 'murah', 'meriah']</t>
  </si>
  <si>
    <t>['pengguna', 'setia', 'telkomsel', 'puas', 'layanan', 'super', 'cepat', 'tingkatkan', 'jaringan', 'pelosok', 'pedesaan', '']</t>
  </si>
  <si>
    <t>['ahsan', 'ube', 'beli', 'paket']</t>
  </si>
  <si>
    <t>['susah', 'beli', 'paket']</t>
  </si>
  <si>
    <t>['sinyal', 'jelek', 'kuota', 'utama', 'paksa', 'beli', 'paket', 'darurat', 'aneh', 'telkomsel', '']</t>
  </si>
  <si>
    <t>['berulang', 'ulang']</t>
  </si>
  <si>
    <t>['jaringan', 'stabil', 'tingkatkan', 'jaringannya', 'pelanggannya', 'pindah', 'jaringan', 'sukses', 'slalu', 'telkomsel']</t>
  </si>
  <si>
    <t>['tolong', 'aplikasi', 'kasi', 'promo', 'sekian', 'kartu', 'telkomsel', 'beli', 'kouta', 'paket', 'internet', 'kasi', 'promo', 'mahal']</t>
  </si>
  <si>
    <t>['bodo', 'mahal', 'jaringan', 'dibetulin', 'mahal', 'doang', 'jaringan', 'ampas', 'canda', 'ampas']</t>
  </si>
  <si>
    <t>['menarik', 'mantap']</t>
  </si>
  <si>
    <t>['berharap', 'telkomsel']</t>
  </si>
  <si>
    <t>['sinyal', 'telkomsel', 'lemah']</t>
  </si>
  <si>
    <t>['sinyalnya', 'jelek', 'banget', 'tolong', 'perbaiki', 'donk']</t>
  </si>
  <si>
    <t>['mohon', 'maaf', 'kasih', 'bintang', 'dlu', 'sudh', 'minggu', 'login', 'padhal', 'sudh', 'memasukkan', 'nomor', 'magic', 'link', 'berfungsi', 'tolong', 'perbaiki', 'developer']</t>
  </si>
  <si>
    <t>['jarinagan', 'kenceng', 'kaya', 'kartu', 'sebelah']</t>
  </si>
  <si>
    <t>['bagus', 'mantap', 'aplikasinya']</t>
  </si>
  <si>
    <t>['llayanan', 'bagus']</t>
  </si>
  <si>
    <t>['bagus', 'menyenangkan']</t>
  </si>
  <si>
    <t>['', 'mohon', 'maaf', 'lgi', 'daftar', 'internet', 'mingguan', 'telkomsel', 'gangguan', 'mulu', 'suruh', 'nunggu', 'ampe', 'ttep', 'tolong', 'perbaiki']</t>
  </si>
  <si>
    <t>['semoga', 'maju', 'hadiah', 'pelanggan', 'setia', 'telkomsel']</t>
  </si>
  <si>
    <t>['telkomsel', 'murah', 'signal', 'daerah', 'indonesia', 'pakai', 'telkomsel', 'jaringan', 'telkomsel', 'cantik', 'cuaca', '']</t>
  </si>
  <si>
    <t>['aplikasi', 'bagus', 'bagusnya', 'dibuka', 'aplikasi', 'taunya', 'langsung', 'otomatis', '']</t>
  </si>
  <si>
    <t>['pelayanan', 'bagus', 'promo']</t>
  </si>
  <si>
    <t>['terimakasih', 'aplikasi', 'telkomsel', 'membantu']</t>
  </si>
  <si>
    <t>['pulsa', 'terpotong', 'isi', 'izin', 'paket', 'darurat', 'apapun', 'isi', 'pulsa', 'langsung', 'terpotong', 'katagorikan', 'penipuan', 'mohon', 'perbaiki', 'anggap', 'merugikan', 'pelanggan', 'trims', '']</t>
  </si>
  <si>
    <t>['pelayanan', 'kepercayaan', 'kepuasaan', 'jaringan', 'stabil', '']</t>
  </si>
  <si>
    <t>['tambahin', 'fitur', 'cek', 'umur', 'kartu', '']</t>
  </si>
  <si>
    <t>['lancar']</t>
  </si>
  <si>
    <t>['aplilasi', 'membantu']</t>
  </si>
  <si>
    <t>['tolong', 'ajarkan', 'berkomentar', 'layanan', 'internet', 'pakek', 'bot', 'bales', 'keluhan', 'org', 'produk', 'mending', 'live', 'chat', 'kayak', 'smarfren', 'tele', 'gmail', 'langsung', 'respon', 'efisien', 'konsumen', 'saran', 'dri', 'bnyak', 'ninggalin', 'provider', 'bnyak', 'jaringan', 'lelet', '']</t>
  </si>
  <si>
    <t>['kali', 'pakai', 'aplikasi']</t>
  </si>
  <si>
    <t>['terimakasih', 'aplikasinya', 'berguna']</t>
  </si>
  <si>
    <t>['sinyal', 'parah', 'bagus', 'bngt', 'pingin', 'provider', 'bener', 'unlimited', '']</t>
  </si>
  <si>
    <t>['sinyalnya', 'msh', 'hilang']</t>
  </si>
  <si>
    <t>['mnggunakan']</t>
  </si>
  <si>
    <t>['', 'inginan', 'bonusnya', 'kota', '']</t>
  </si>
  <si>
    <t>['rating', 'bintang', 'mabok']</t>
  </si>
  <si>
    <t>['', 'dech', 'mantaf']</t>
  </si>
  <si>
    <t>['sinyal', 'tercepat', 'indonesia', 'tpi', 'jumping', 'troossss', 'sinyal', 'lancar', 'ush', 'nerusin', 'sinyal', 'banget', 'jumping']</t>
  </si>
  <si>
    <t>['hapus', 'fitur', 'tambahkan', 'nomor', 'menu', 'pojok', 'berfungsi', 'ganti', 'nomor', 'log', 'out', 'simpen', '']</t>
  </si>
  <si>
    <t>['butuh', 'cepat', '']</t>
  </si>
  <si>
    <t>['beli', 'pulsa', 'telokmsel', 'bank', 'pulsa', 'kunjung', 'muncul', 'aplikasi', 'menyesatkan']</t>
  </si>
  <si>
    <t>['wifi', 'pulsa', 'diambil', 'gimana', 'bossss', '']</t>
  </si>
  <si>
    <t>['konten', 'aliando', 'brengsek', 'aliando', 'brengsek', 'pulsa', 'gua', 'dipotong', 'persms', 'sms', 'sialiando', 'gua', 'butuhin', 'ngak', 'unreg', 'masuk', 'dipotong', 'gua', 'besok', 'berhenti', 'telkomsel', 'orang', 'ngerjain']</t>
  </si>
  <si>
    <t>['coba', 'smoga', 'bgus', 'sinyal', 'lemot']</t>
  </si>
  <si>
    <t>['harga', 'mahal', 'jaringan', 'hancur', 'mintak', 'ampun', 'tolong', 'telkomsel', 'perbaiki', 'koneksi', 'jaringany', 'mengecewakan', 'jaringanya', '']</t>
  </si>
  <si>
    <t>['murah', 'banget', 'promonya', 'kayak', 'gini', 'wkwkwkw']</t>
  </si>
  <si>
    <t>['telkomsel', 'mahal', 'kuota', 'kartu', 'udah', 'setia', 'dapet', 'perhatian', 'promo', 'khusus', 'gtu', 'hadiah', 'gtu', 'apresiasi', 'setia', 'telkomsel', 'simpati']</t>
  </si>
  <si>
    <t>['keren', 'memuaskan', 'sempet', 'berenti', 'harga', 'paketan', 'murah', 'kuning', 'alhamdulillah', 'gigastar', 'paketan', 'murah', 'senengnya', '']</t>
  </si>
  <si>
    <t>['operator', 'buruk', 'merugikan', 'konsumen', 'menggerus', 'pulza', 'data', 'habis', 'sdg', 'notifikasi', 'muncul', 'pulza', 'habis', 'mending', 'pindah', 'operator', 'sportif', 'transparan']</t>
  </si>
  <si>
    <t>['info']</t>
  </si>
  <si>
    <t>['semoga', 'aplikasi', 'bermanfaat', 'diberkahi', 'pengguna', 'telkomsel']</t>
  </si>
  <si>
    <t>['telkomsel', 'sinyal', 'payah', 'daerah', 'kalideres', 'payah', 'banget', 'udah', 'mah', 'mahal', 'lelet', 'prefer', 'indosat']</t>
  </si>
  <si>
    <t>['layanan', '']</t>
  </si>
  <si>
    <t>['sinyal', 'stabil', 'sma']</t>
  </si>
  <si>
    <t>['membantu', 'memilih', 'paket', 'internet', 'murah']</t>
  </si>
  <si>
    <t>['kemudahan', 'informasi']</t>
  </si>
  <si>
    <t>['menggunakannya', 'berpengalaman', 'puasa', 'app', 'tamab', 'bintangnya']</t>
  </si>
  <si>
    <t>['mantab', 'cepat', 'singkat']</t>
  </si>
  <si>
    <t>['sangatt', 'bguss', 'dann', 'memuassknn']</t>
  </si>
  <si>
    <t>['masuknya', 'ribet', 'link', 'otp']</t>
  </si>
  <si>
    <t>['sinyal', 'stabil', 'mati', 'lampu', 'sinyal', 'ilang']</t>
  </si>
  <si>
    <t>['buruk', 'ngga', 'aplikasi', 'telkomsel', 'pdhal', 'butuhnya', 'pengen', 'cek', 'saldo', 'kuota', 'beli', 'paket', 'ribet', 'pakai', 'lite', 'udah', 'ngga', 'support', 'pakai', 'berat', 'banget', 'market', 'berat', '']</t>
  </si>
  <si>
    <t>['telkomsel', 'terdepan']</t>
  </si>
  <si>
    <t>['respon', 'refund', 'lambat', 'pengakhiran', 'chat', 'cepat']</t>
  </si>
  <si>
    <t>['udah', 'jam', 'buka', 'data', 'paket', 'malam', 'pulsa', 'slalu', 'makan', 'paket', 'aktif', 'pulsa', 'sedot', 'mengecewakan', 'coba', 'malaysia', 'hidupkan', 'data', 'data', 'makan', 'pulsa', 'ambil', 'data', 'habis']</t>
  </si>
  <si>
    <t>['sinyal', 'ampas', 'kuota', 'mahal', 'sinyal', 'ampas']</t>
  </si>
  <si>
    <t>['kasih', 'bintang', 'semoga', 'telkomsel', 'operator', 'terbaik', 'termurah', 'indonesia', 'harap', 'promo', 'kuota', 'regular', 'diperbanyak']</t>
  </si>
  <si>
    <t>['nggak', 'dibuka', '']</t>
  </si>
  <si>
    <t>['puas', 'perdana', 'telkomsel']</t>
  </si>
  <si>
    <t>['nice', 'sinyal', '']</t>
  </si>
  <si>
    <t>['mudah', 'dpat', 'honda', 'mobilio', 'aamiin', 'aamiin', 'robbal', 'alamin', '']</t>
  </si>
  <si>
    <t>['bagus', 'banget', 'beli', 'paket']</t>
  </si>
  <si>
    <t>['babi', 'pulsa', 'gua', 'kepotong', 'gegara', 'internetan', 'game', 'kuota', 'gamenya']</t>
  </si>
  <si>
    <t>['telkomsel', 'udah', 'lumayan']</t>
  </si>
  <si>
    <t>['kuota', 'mahal', 'sinyal', 'jelek', 'sesuai', 'kualitas', 'harga', 'jam', 'sinyal', 'karuan', '']</t>
  </si>
  <si>
    <t>['sekarng', 'susah', 'buka']</t>
  </si>
  <si>
    <t>['', 'beda', 'nomer', 'beda', 'harga', 'suami', 'lbh', 'murah', 'harga', 'paketannya', 'beli', 'telkomsel']</t>
  </si>
  <si>
    <t>['kasih', 'promo', 'bayak', '']</t>
  </si>
  <si>
    <t>['tolong', 'telkomsel', 'fitur', 'cek', 'umur', 'kartu', 'pakai', 'pas', 'coba', 'diel', 'gabisa', 'orang', 'makan', 'nasi']</t>
  </si>
  <si>
    <t>['semoga', 'mytelkomsel', 'maju', 'sukses', 'jaringannya', 'batas', 'dimanapun']</t>
  </si>
  <si>
    <t>['ngk', 'redeem', 'poin', 'malas', 'banget']</t>
  </si>
  <si>
    <t>['aplikasinya', 'oppo', 'reno', 'bermasalah', 'buka', 'tolong', 'perbaiki', '']</t>
  </si>
  <si>
    <t>['tolong', 'aplikasinya', 'lelet', 'emosi']</t>
  </si>
  <si>
    <t>['', 'telkomsel', 'pelayanan', 'terbaik', 'fitur', 'promo', 'menarik', 'pelanggan', 'setianya', 'bravo', 'telkomsel', 'mari', 'membangun', 'bangsa', 'pelayanan', 'dunia', 'digital', 'salam']</t>
  </si>
  <si>
    <t>['telkomsel', 'tolong', 'perbaiki', 'data', 'paketnya', 'beli', 'data', 'paket', 'gagal', 'pulsa', 'beli', 'ribu', 'pengen', 'beli', 'kuota', 'harga', 'rb', 'tertulis', 'maaf', 'pulsa', 'cek', 'pulsa', 'tolong', 'perbaiki', '']</t>
  </si>
  <si>
    <t>['telkomsel', 'pelayanannya', 'suka', 'berubah', 'hapus', 'aplikasi', 'pelayanan', 'kali', 'berlangganan', 'beli', 'paket', 'aplikasi', 'pembelian', 'langsung', 'tersedia', 'rugi', 'pelanggan', 'kabur', 'jaringan', 'mah', 'sekian', '']</t>
  </si>
  <si>
    <t>['apk', 'gblk', 'beli', 'kuota', 'pulsa', 'terpotong', 'blm', 'proses', 'kuota', 'masuk', 'pulsa', 'terpotong', 'balikin', 'pulsa', 'lgi', 'butuh', 'heh', 'ulangan', 'sekolah', 'potong', '']</t>
  </si>
  <si>
    <t>['tampilan', 'kecepatan', '']</t>
  </si>
  <si>
    <t>['buruk', 'sinyal', 'telkomsel', 'kuota', 'mahal', '']</t>
  </si>
  <si>
    <t>['jaga', 'kepercayaan', 'pupuk', 'bravo', 'telkomsel']</t>
  </si>
  <si>
    <t>['rating', 'manipulasi', 'kualitas', 'pelayanan', 'buruk', '']</t>
  </si>
  <si>
    <t>['tukar', 'poin', 'gimana', '']</t>
  </si>
  <si>
    <t>['sumpah', 'senang', 'banget', 'mytelkomsel', 'jos', 'pokoke', '']</t>
  </si>
  <si>
    <t>['udah', 'main', 'geme', '']</t>
  </si>
  <si>
    <t>['geregetan', 'kombo', 'sakti', 'harga', 'selangit', 'harga', 'orang', 'kaya', 'gimana', 'harga', 'merakyat', 'haaaah', 'harga', 'donk', 'turunin', 'ribu', 'ribu', 'ngembat', 'ribu', 'gajih', 'pejabat', 'mah', 'bro', 'ampun', 'gua', 'huuuuh', 'libur', 'beli', 'paket', 'situ', 'pemasupan', 'sya', 'pengeluran', 'nunggu', 'paket', 'turun', '']</t>
  </si>
  <si>
    <t>['sinyal', 'lelet', 'kota', 'bekasi']</t>
  </si>
  <si>
    <t>['gilak', 'gua', 'beli', 'pulsa', 'ampe', 'gara', 'gua', 'tukar', 'potong', 'trs', 'pulsanya', 'gada', 'kuota', 'dituker', 'jncok', '']</t>
  </si>
  <si>
    <t>['game', 'baguse', 'grafik', 'lumayan', 'bagus', 'rtx', 'khusus', 'suka', 'game', 'fps', 'wajib', 'donglot', 'game', 'dijamin', 'ketagihan', 'kontrolnya', 'lumalayan', 'prime', 'kagak', 'lag', 'ayooo', 'buruuuan', 'donglot', 'kehabisan', 'event', 'gratis', 'scar', 'ak', 'buruuuuan', '']</t>
  </si>
  <si>
    <t>['menikmati', 'layanan', 'telkomsel']</t>
  </si>
  <si>
    <t>['pengen', 'nuker', 'poin', 'paket', 'internet', 'telkomsel', 'gagal', 'alesan', 'system', 'sibuk', 'system', 'sibuk', 'mulu', 'ampe', 'udah', 'nyoba', 'nuker', 'poin', 'paketan', 'ampe', 'kaga']</t>
  </si>
  <si>
    <t>['tolong', 'jaringan', 'area', 'papua', 'waropen', 'lambat', 'tpi', 'kayak', 'sudh', 'beli', 'pkk', 'tpi', 'jaringanya', 'bukak', 'google']</t>
  </si>
  <si>
    <t>['telkomsel', 'sinyalnya', 'jelek', 'harga']</t>
  </si>
  <si>
    <t>['paket', 'doang', 'mahal', 'jaringan', 'kaya']</t>
  </si>
  <si>
    <t>['maaf', 'telkomsel', 'pindah', 'provider', 'mohon', 'perbaiki', 'sinyal', 'game', 'lag', 'parah', 'thanks', 'udah', 'menemani', 'thn']</t>
  </si>
  <si>
    <t>['mantaappp', 'tpi', 'pulsa', 'datanya', 'mahal', 'jdi', 'bintang', 'aj']</t>
  </si>
  <si>
    <t>['cepat', 'registrasi']</t>
  </si>
  <si>
    <t>['provider', 'terbaik', 'jasanya']</t>
  </si>
  <si>
    <t>['memudahkan', 'pembelian', 'paket', 'nelpon', 'data', '']</t>
  </si>
  <si>
    <t>['bingung', 'tombol', 'search']</t>
  </si>
  <si>
    <t>['mhn', 'maaf', 'korupsi', 'aktiv', 'keterlauan', 'beli', 'paket', 'uda', 'aktiv', 'kemana', '']</t>
  </si>
  <si>
    <t>['beli', 'paket', 'data', 'data', 'masuk', 'pembayaran', 'udah', 'berhasil', 'transaksi', 'udh', 'berhasil', 'nnti', 'tambahin', 'bintang', '']</t>
  </si>
  <si>
    <t>['pelanggan', 'telkomsel', 'telkomsel', 'provider', 'nomer', 'the', 'best', 'indonesia', 'jangkauannya', 'mencapai', 'pelosok', 'daerah', 'tinggal', 'cerita', 'sedih', 'telkomsel', 'provider', 'terburuk', 'termahal', 'nomer', 'indonesia', 'telkomsel', 'pelanggan', 'kecewa', 'ditambah', 'pencuri', 'pulsa', 'restui', 'telkomsel', 'telkomsel', 'menggerus', 'pulsa', 'paket', 'data', 'pelanggan', 'habis', 'berbisnis', 'telkomsel']</t>
  </si>
  <si>
    <t>['sumpah', 'telkomsel', 'kesini', 'ngelag', 'kouta', 'mahal', 'kualitas', 'gada', '']</t>
  </si>
  <si>
    <t>['sinyal', 'kalimantan', 'banjarmasin', 'perbaiki', 'selamat', 'konsumen', 'berkurang', 'telkomsel', 'udah', 'main', 'pubg', 'lag', 'parah', 'cuaca', 'mendung', 'telkomsel', 'hilang', 'sinyal', 'provider', 'lancar', 'pindah', 'provider', 'skrg', 'thanks', '']</t>
  </si>
  <si>
    <t>['bayar', 'tagihan', 'kartu', 'halo', 'telat', 'telat', 'dikit', 'langsung', 'dilimpahkan', 'bayar', 'menyesal', 'memakai', 'kartu', 'halo', 'seandainya', 'kartu', 'simpati', 'prabayar', 'kartu', 'udah', 'puluhan', 'sayang', 'dibuang', 'kenangan', 'bersamanya', 'tolong', 'kembalikan', 'kartuku', 'simpati', '']</t>
  </si>
  <si>
    <t>['pelayanan', 'telkomsel', 'baguus']</t>
  </si>
  <si>
    <t>['pokoknya', 'jos']</t>
  </si>
  <si>
    <t>['dlunya', 'kartu', 'sya', 'beli', 'paket', 'murah', 'sejarah', 'mahal']</t>
  </si>
  <si>
    <t>['jaringanya', 'cepat', 'pemakaianya']</t>
  </si>
  <si>
    <t>['', 'tingkatkan', 'kualitas', 'sinyalnya']</t>
  </si>
  <si>
    <t>['promo', 'rekomendasi', 'paketnya', 'bersahabat', 'harganya', 'tingkatkan', 'paket', 'promo', 'murah', 'terima', 'kasih', 'telkomsel']</t>
  </si>
  <si>
    <t>['toloooolllllllll', 'annnjjhhhiiiing', 'bhabii', 'bangsaaaat', 'siaaalll', 'khimak', 'pulsa', 'abis', 'sedot', 'sampay', 'menit', 'sisa', 'beli', 'paket', 'mencukupi', 'tholol']</t>
  </si>
  <si>
    <t>['', 'terima', 'kasih']</t>
  </si>
  <si>
    <t>['cemana', 'daftarnya', '']</t>
  </si>
  <si>
    <t>['semoga', 'bermanfaat', 'pengguna', 'telkomsel']</t>
  </si>
  <si>
    <t>['mohon', 'diperbaiki', 'sirig', 'bsa', 'mlalukan', 'trangsaksi', 'pembelian', '']</t>
  </si>
  <si>
    <t>['telkomsel', 'mahal']</t>
  </si>
  <si>
    <t>['pulsa', 'berkurang', 'ngga', 'dipakai', 'nelfon', 'sms', 'dll', 'tibatiba', 'pulsa', 'dikuras', 'coba', 'infonya', 'dri', 'telkomsel', 'gmna', '']</t>
  </si>
  <si>
    <t>['udh', 'pelanggan', 'telkomsel', 'dri', 'sinyal', 'bagus', 'bngt', 'nge', 'lag', 'kadang', 'hilang', 'sinyalnya', 'pdhl', 'lokasi', 'tngh', 'kota', 'bandung', '']</t>
  </si>
  <si>
    <t>['semenjak', 'tetangga', 'kampung', 'pasang', 'wifi', 'jaringan', 'telkomsel', 'susah', 'kota', 'bagus', '']</t>
  </si>
  <si>
    <t>['jaringan', 'jelek', 'putus', 'jaringan', 'jelek', 'buruk']</t>
  </si>
  <si>
    <t>['aplikasi', 'bagus', 'membantu', 'mengecek', 'pulsa', 'kuota', '']</t>
  </si>
  <si>
    <t>['kesel', 'telkomsel', 'beli', 'paket', 'dati', 'tlkmsel', 'sisa', 'pulsa', 'beli', 'paketnya', 'sms', 'telkomsel', 'pulsa', 'mencukupi', 'membeli', 'paket', 'semenatara', 'pulsa', 'membeli', 'paket']</t>
  </si>
  <si>
    <t>['aplikasi', 'norak', '']</t>
  </si>
  <si>
    <t>['promonya', 'mantap']</t>
  </si>
  <si>
    <t>['bagus', 'wajib', 'tingkatkan', 'kualitas', 'signalnya']</t>
  </si>
  <si>
    <t>['menu', 'ganti', 'jaringan']</t>
  </si>
  <si>
    <t>['beli', 'paket', 'mirah', 'telkomsel', 'mantaaap']</t>
  </si>
  <si>
    <t>['apknya', 'mohon', 'pakai', 'pulsa', 'lock', 'beli', 'paket', 'pulsa', 'terpotong']</t>
  </si>
  <si>
    <t>['mudah', 'telkom']</t>
  </si>
  <si>
    <t>['', 'kecewa', 'telkomsel', 'pulsa', 'berkurang', '']</t>
  </si>
  <si>
    <t>['mudah', 'pengecekan', 'data', 'nonor']</t>
  </si>
  <si>
    <t>['cuman', 'mementingkan', 'uang', 'jaringan', 'lambat', 'banget', 'jaringan', 'terburuk']</t>
  </si>
  <si>
    <t>['internet', 'memilih', 'jaringan', 'telkomsel']</t>
  </si>
  <si>
    <t>['tolong', 'simpati', 'perbaiki', 'sinyalnya', 'rugi', 'simpati', 'sinyal', 'jelek', 'terima', 'kasih']</t>
  </si>
  <si>
    <t>['aplikasi', 'bagoss']</t>
  </si>
  <si>
    <t>['kuota', 'belajar']</t>
  </si>
  <si>
    <t>['paket', 'kemahalan']</t>
  </si>
  <si>
    <t>['tolong', 'adakan', 'paket', 'unlimited', 'harga', 'terjangkau']</t>
  </si>
  <si>
    <t>['yth', 'direksi', 'telkomsel', 'apapun', 'produknya', 'sinyal', 'internet', 'maksimal', 'pelosok', 'desa', 'terjangkau', 'disegala', 'penjuru', 'informasikan', 'daerah', 'desa', 'gunung', 'anten', 'kec', 'cimarga', 'kab', 'lebak', 'banten', 'maksimal', 'bar', 'mohon', 'ditinjau', 'diperbaiki', 'jaringan', 'seluler', '']</t>
  </si>
  <si>
    <t>['sinyal', 'mantul', 'dimanapun']</t>
  </si>
  <si>
    <t>['beli', 'paket', 'internet', 'gb', 'resmi', 'aplikasi', 'senilai', 'rb', 'pembayaran', 'via', 'shopeepay', 'masuk', 'pengaduan', 'mengirimkan', 'data', 'bukti', 'transaksi', 'lengkap', 'penanganan', 'disuruh', 'menunggu', 'kejelasan', 'kecewa', 'telkomsel']</t>
  </si>
  <si>
    <t>['login', 'kenpa', 'telkomsel', 'eror', 'tolong', 'konsisten', 'konfirmasi', 'twiter', 'soale', 'aplikasinya']</t>
  </si>
  <si>
    <t>['mudah', 'praktis']</t>
  </si>
  <si>
    <t>['pulsa', 'ilang', 'pas', 'bayar', 'paket', 'darurat', 'ribu', 'diambil', 'ribu', 'ribu', 'lenyap', 'kemana', 'data', 'kecuali', 'data', 'habis', 'pulsa', 'ilang', 'dkasih', 'peringatan', 'disuruh', 'bayar', 'paket', 'darurat', 'isi', 'ribu', 'ambil', 'otomatis', 'gitu', 'ilang', 'ilang', 'pulsa', 'paket', 'darurat', 'terbayarkan', 'telkomsel', 'duit', 'rebu', 'berharga', 'anak', 'sekolahan', 'bro', 'anak', 'kos', 'hee', 'ilahh', '']</t>
  </si>
  <si>
    <t>['', 'telkomsel', 'buruk', 'kecewa', 'jaringan', 'hilang', 'poin', 'tukar', 'maaf', 'pulsa', 'mencukupi', 'silahkan', 'isi', 'ulang', 'pulsa', 'pdahal', 'habis', 'ngsi', 'ribu', 'ingatkan', 'beli', 'kartu', 'beli', 'menyesal', 'telkomsel', 'buruk', 'semoga', 'baca', 'admin', 'telkomsel', 'selamat', 'tinggal', 'telkomsel', 'beralih', '']</t>
  </si>
  <si>
    <t>['puas', 'aplikasi']</t>
  </si>
  <si>
    <t>['opsi', 'mematikan', 'nada', 'notifikasi', 'aplikasi', 'berfungsi', 'membuka', 'aplikasi', 'pilihan', 'nada', 'notifikasi', 'aktif', 'mengganggu', '']</t>
  </si>
  <si>
    <t>['isi', 'pulsa', 'ribu', 'langsung', 'dipotong', 'ribu', 'pakai', 'paket', 'darurat', 'disuruh', 'balikin', 'alasan', 'gangguan', 'tanggung', 'kecewa', 'sistem', 'paket', 'darurat', 'bayar', 'dialihkan', 'pembayarannya', 'pelanggan', '']</t>
  </si>
  <si>
    <t>['semoga', 'rezekinyamendapatkan', 'motor', 'max', 'hadiah', 'ultah', 'ditanggal', 'tuker', 'poin', 'amin', 'semangat']</t>
  </si>
  <si>
    <t>['saran', 'pembelian', 'kuota', 'khusus', 'kuota', 'utama', 'semoga', '']</t>
  </si>
  <si>
    <t>['signal', 'telkomsel', 'jelek', 'paket', 'doang', 'mahal', 'kecewa', 'upgrade', 'tinggal', 'boro', 'boro', 'mengecewakan', 'telkomsel', '']</t>
  </si>
  <si>
    <t>['aplikasinya', 'membantu', 'kuota', 'gratis', 'tpi', 'kekurangan', 'tolong', 'fitur', 'kunci', 'pulsa', 'pas', 'kuota', 'habis', 'tolong', 'adain', 'kek', 'sebelah', 'udh', 'kek', 'gitu', 'fitur', 'membantu', '']</t>
  </si>
  <si>
    <t>['gimana', 'kuota', 'unlimited', 'berguna', 'buka', 'tiktok', 'ama', 'sosmed', 'tpi', 'buka', 'berguna', 'sumpah']</t>
  </si>
  <si>
    <t>['kasih', 'bintang', 'udah', 'beli', 'paket', 'aplikasi', 'tulisan', 'sistem', 'gangguan', 'jelek', 'aplikasi', '']</t>
  </si>
  <si>
    <t>['', 'promo']</t>
  </si>
  <si>
    <t>['menu', 'app', 'membaik', 'promo', 'spesial', 'harga', 'membantu']</t>
  </si>
  <si>
    <t>['mantep', 'banyakin', 'promo', 'donk', '']</t>
  </si>
  <si>
    <t>['beli', 'download', 'telkomsel', 'kartu', 'mahal', 'nge', 'leg']</t>
  </si>
  <si>
    <t>['kapitalis', 'peduli', 'pengguna']</t>
  </si>
  <si>
    <t>['jaringan', 'lelet', 'mahal', '']</t>
  </si>
  <si>
    <t>['apk', 'lemot']</t>
  </si>
  <si>
    <t>['babi', 'jaringan', 'banget']</t>
  </si>
  <si>
    <t>['woii', 'jaringan', 'kenape', 'siiih', '']</t>
  </si>
  <si>
    <t>['sinyal', 'lemot', 'mahal', 'lancar', '']</t>
  </si>
  <si>
    <t>['membntu']</t>
  </si>
  <si>
    <t>['develover', 'telkomsel', 'tolong', 'perbedaan', 'pemakaian', 'multimedia', 'internet', 'olah', 'internetnya', 'berguna', '']</t>
  </si>
  <si>
    <t>['jaga', 'kualitas', 'tingkatkan', 'pelayanan', '']</t>
  </si>
  <si>
    <t>['tingkatkan', 'kmbali', 'sinyal']</t>
  </si>
  <si>
    <t>['aplikasinya', 'bagus', 'memudahkan', 'belanja', 'transaksi', 'paket', 'mudah', 'okkkk', 'deh']</t>
  </si>
  <si>
    <t>['tertarik', 'adnya', 'lyng']</t>
  </si>
  <si>
    <t>['telkomsel', 'poin', 'hadiahnya', 'beneran', 'undi', 'ndak', 'liat', 'langsung', '']</t>
  </si>
  <si>
    <t>['telkomsel', 'terbaik', 'jaringan', 'parah', 'main', 'game', 'online', 'auto', 'afk', 'tolong', 'perbaiki']</t>
  </si>
  <si>
    <t>['hemat', 'beli', 'paket']</t>
  </si>
  <si>
    <t>['beli', 'pulsa', 'dpt', 'paket', 'telkomsel', 'knp', 'pulsa', 'habis', 'paket', 'aneh', 'telkomsel']</t>
  </si>
  <si>
    <t>['tekomyet', 'tolong', 'adain', 'fitur', 'lock', 'pulsa', 'udah', 'kalu', 'pulsa', 'kesedot', 'ajg', 'liat', 'provider', 'sebelah', 'udah', 'nerapin', 'fitur', 'kemunduran', 'telkomnyet', 'udah', 'internet', 'lelet', 'kalah', 'saing', 'prov', 'sebelah', 'ngebadut', 'cok', '']</t>
  </si>
  <si>
    <t>['mohon', 'berwajib', 'adakan', 'gb', 'gratis', 'pengguna', 'telkomsel', 'mkasih', 'pengertian', '']</t>
  </si>
  <si>
    <t>['memijang', 'pulsa']</t>
  </si>
  <si>
    <t>['poin', 'susah']</t>
  </si>
  <si>
    <t>['', 'tunggu', 'jam', 'losing', 'parah', 'telkomsel']</t>
  </si>
  <si>
    <t>['cobak', 'telkomsel', 'poinnya', 'tukar', 'pulsa', 'kasi', 'bintang', 'langsung']</t>
  </si>
  <si>
    <t>['skian', 'trimakasih']</t>
  </si>
  <si>
    <t>['penjelasan', 'akurat', 'mksh']</t>
  </si>
  <si>
    <t>['bagus', 'internet', 'memudahkan', 'pembelian', 'data']</t>
  </si>
  <si>
    <t>['mantab', 'dahh', 'pokoknya']</t>
  </si>
  <si>
    <t>['semoga', 'mytelkomsel', 'memperhatikan', 'pelanggan', 'setia', 'harapan', 'paket', 'promo', 'murah', 'semoga']</t>
  </si>
  <si>
    <t>['', 'telkomsel', 'hati', 'maju', 'telkomsel']</t>
  </si>
  <si>
    <t>['suka', 'error', 'ngak', 'buka', 'aplikasi', 'mytelkomsel']</t>
  </si>
  <si>
    <t>['astaga', 'sadis', 'harga', 'kouta', 'beras', 'mahalan', 'kouta']</t>
  </si>
  <si>
    <t>['suaranya', 'masuk', 'aplikasi', 'mengganggu', 'dinonaktifkan', 'notifikasinya', 'hidup', 'payah', 'tolong', 'diperbaiki', '']</t>
  </si>
  <si>
    <t>['kemudahan', 'membeli', 'paket']</t>
  </si>
  <si>
    <t>['ojol', 'kadang', 'sinyal', 'bagus', 'kadang', 'jelek', 'pas', 'musim', 'mendung', 'hujan', 'tolong', 'stabil', 'tambahin', 'kuat', 'sinyal']</t>
  </si>
  <si>
    <t>['simpel', 'mantap', 'pokok', '']</t>
  </si>
  <si>
    <t>['info', 'paket', 'beli', 'paket', 'kejelasan', 'bhs', 'estetika', 'mendukung', 'kegiatan', 'sehari', '']</t>
  </si>
  <si>
    <t>['belom', 'uang']</t>
  </si>
  <si>
    <t>['burukk', 'paket', 'pulsa', 'sedot', 'pulsa', 'beli', 'pulsa', 'paket', 'ttep', 'kesedot', 'pulsa', 'pulsa', 'ribu', 'paket', 'abis', 'pulsa', 'ribu', 'gara', 'apk', 'anjg']</t>
  </si>
  <si>
    <t>['dikeluarga', 'nomer', 'telkomsel', 'giliran', 'dinomer', 'pakai', 'harga', 'paket', 'datanya', 'mahal', 'nomer', 'murah', 'spt', 'rb', 'knapa', 'min', 'user', 'diperlakukan', 'pilih', 'kasih', 'gtu', 'beli', 'paket', 'nomer', 'sebelah', 'untung', 'sim', 'ganda']</t>
  </si>
  <si>
    <t>['nyesal', 'pakai', 'telkomsel', 'berlangganan', 'sinya', 'lemot', 'asli', 'kecewa', 'kartu', 'berkelas', 'sinyal', 'lele', '']</t>
  </si>
  <si>
    <t>['jaringang', 'sring', 'setabil', 'youtuban']</t>
  </si>
  <si>
    <t>['aplikasi', 'mantap', 'pokoke', 'ayo', 'kawan', 'sgra', 'download', 'telkomsel']</t>
  </si>
  <si>
    <t>['intinya', 'telkomsel', 'peduli', 'pengguna', 'berat', 'kaya', 'gitu', 'aplikasi', 'kosong', 'tetep', 'lemot', 'lemot', 'superrrrrr', 'lemot', 'mengeluh', 'jaringan', 'telkomsel', 'dimana', 'bilangnya', 'lemooottttttttt', 'parahhhhh', 'tindak', 'sengaja', 'dikasih', 'bintang', 'dibaca']</t>
  </si>
  <si>
    <t>['bagus', 'cepat', 'beli', 'paket', 'nyaaa']</t>
  </si>
  <si>
    <t>['kasih', 'bintang', '']</t>
  </si>
  <si>
    <t>['mudah', 'pahami', 'pilihanya', '']</t>
  </si>
  <si>
    <t>['lemoott', 'aplikasinya', 'jaringan', 'baguss', '']</t>
  </si>
  <si>
    <t>['mudah', 'simple', 'pengunaan', 'telkomsel']</t>
  </si>
  <si>
    <t>['aplikasi', 'berat', 'susah', 'masuk', 'jam', 'klik', 'app', 'masuk', 'alias', 'logo', 'susah', 'ngecek', 'detail', 'dagang', 'nomor', 'dipake', 'bertahun', 'terpaksa', 'hijrah', 'nomor', 'satunya', 'provider', 'dagang', 'terimakasih', 'menemani', 'susah', 'senang', '']</t>
  </si>
  <si>
    <t>['maaf', 'bangga', 'telkomsel', 'ancur', 'bngt', 'lemot', 'kerja', 'skrng', 'urutan', 'ancur', 'provider', 'terpaksa', 'ganti', 'provider', 'sebelah', 'karna', 'udah', 'andalkan', '']</t>
  </si>
  <si>
    <t>['paketan', 'data', 'dibeli', 'suka', 'berubah', 'rubah', 'paketannya', 'menarik', '']</t>
  </si>
  <si>
    <t>['app', 'overall', 'beli', 'paket', 'jaringan', 'daerah', 'bagus', 'jalur', 'data', 'lost', 'terkadang', 'jaringan', 'full', 'jalur', 'data', 'hilang', 'kecewa', 'lancar', '']</t>
  </si>
  <si>
    <t>['', 'main', 'kabur', 'jawabanya', 'nunggu', 'proses', 'buktinya', 'nol']</t>
  </si>
  <si>
    <t>['jaringan', 'parah', 'harian', 'iya', 'jakarta', 'timur', 'sinyal', 'bangkrut', 'gmn', 'telkomsel', 'iya', 'jaringan', 'amburadul', 'kalah', 'indosat', 'kecewa', '']</t>
  </si>
  <si>
    <t>['', 'jujur', 'tolong', 'cantumkan', 'detail', 'history', 'penggunaan', 'pulsa', 'aplikasi', 'orang', 'pulsanya', 'hilang']</t>
  </si>
  <si>
    <t>['dibawah', 'layanan', 'kartu', 'indosat', 'telkomsel', 'blm', 'optimal', 'modem', 'harap', 'diperhatikan', 'genjot', 'sinyalmu', 'orang', 'menyatu', 'telkomsel', '']</t>
  </si>
  <si>
    <t>['tukang', 'sedot', 'pulsa', 'habis', 'kuota']</t>
  </si>
  <si>
    <t>['gag', 'pulsa', 'kepotong']</t>
  </si>
  <si>
    <t>['sumpah', 'pulsa', 'rb', 'rb', 'parah', 'banget', 'asli', 'pakenya', 'wifi', 'telfonan', 'nyesel', 'isi', 'pulsa', 'telkomsel']</t>
  </si>
  <si>
    <t>['apk', 'membantu', 'banget', '']</t>
  </si>
  <si>
    <t>['perbaiki', 'bug', 'jaringan']</t>
  </si>
  <si>
    <t>['puas', 'kartu', 'paketnya', 'mahal', '']</t>
  </si>
  <si>
    <t>['bintang', 'semoga', 'kedepan', 'pelayanannya', 'murah', 'tarifnya']</t>
  </si>
  <si>
    <t>['keren', 'hemat']</t>
  </si>
  <si>
    <t>['sangant', 'mantap']</t>
  </si>
  <si>
    <t>['kasih', 'saran', 'coba', 'fitur', 'key', 'ngunci', 'pulsa', 'min', 'pulsa', 'ambil', 'trs', 'njir', 'ampe', 'ludes', 'paketan', '']</t>
  </si>
  <si>
    <t>['', 'bagus', 'sinyal', 'murah', 'jga', '']</t>
  </si>
  <si>
    <t>['pindah', 'prabayar', 'pascabayar', 'sinyal', 'makah', 'hilang', 'sinyal', 'sinyal', 'cepat', 'sinyal', '']</t>
  </si>
  <si>
    <t>['telkomsel', 'yaa', 'cepet', 'banget', 'nyedot', 'kouta', 'sehari', 'pemakaian', 'lho', 'gilaaa', '']</t>
  </si>
  <si>
    <t>['jaringanku', 'hancur', 'masuk', 'aplikasi', 'susah', 'masuk', 'kowta', 'internet', 'daerah', 'sulawesi', 'selatan', 'daerah', 'maros', 'moncongloe', 'harap', 'perbaiki', 'jaringan', 'internet', 'lambat', 'laun', 'telkomsel', 'peminat']</t>
  </si>
  <si>
    <t>['gimana', 'kirim', 'pulsa', 'kepencet', 'layanan', 'layar', 'tancep', 'taik', 'kucing', 'layanan', 'bioskop', 'jadul', 'gubluk', 'eror', 'telkum', '']</t>
  </si>
  <si>
    <t>['daily', 'check', 'dapet', 'kuota', 'gratis', 'pas', 'buka', 'facebook', 'cek', 'loker', 'dipotong', 'pulsa', 'diinfo', 'internet', 'paket', 'gunanya', 'kuota', 'bab', 'parah', 'moga', 'dapet', 'karma', 'buruk', 'uuuuuu']</t>
  </si>
  <si>
    <t>['kesini', 'bapuk', 'bagusan', 'skrg', 'eror', 'mulu', 'sampe', 'ngeheng', 'buka', 'aplikasinya', 'server', 'update', 'jls', '']</t>
  </si>
  <si>
    <t>['sinyal', 'menyedihkan', 'menyedihkan', 'sungguh', 'menyedihkan', 'jaringan', 'stabil', 'muak', '']</t>
  </si>
  <si>
    <t>['mantap', 'sayang', 'murah', 'pketanya']</t>
  </si>
  <si>
    <t>['jaringannya', 'jelek', 'kuota', 'tetep', 'jelek', 'jaringannya', '']</t>
  </si>
  <si>
    <t>['paket', 'mahal', 'udah', 'beli', 'kualitas', 'signal', 'parah', '']</t>
  </si>
  <si>
    <t>['mudah', 'promo', 'tersedia']</t>
  </si>
  <si>
    <t>['bagus', 'memuaskan', 'puluhan', 'telkomsel']</t>
  </si>
  <si>
    <t>['hati', 'pesan', 'paket', 'darurat', 'sisakan', 'pulsa', 'sepeserpun', 'korban', 'sisa', 'pulsa', 'pesan', 'paket', 'darurat', 'beli', 'kuota', 'terpenuhi', 'paket', 'darurat', 'sisa', 'pulsa', 'hilang', 'terpotong', 'disedot', 'apapun', 'pulsa', 'hilang', 'alasan', 'bayar', 'isi', 'pulsa', 'brap', 'pengguna', 'dirugikan', '']</t>
  </si>
  <si>
    <t>['hallo', 'kasih', 'saran', 'tolong', 'kasih', 'mode', 'kunci', 'pulsa', 'hilang', 'pulsa', 'idupin', 'data', 'seluler', '']</t>
  </si>
  <si>
    <t>['aplikasi', 'bagus', 'lengkap', 'beli', 'pulsa', 'paket', 'kuota', 'internet', 'combo', 'sakti', 'undian', 'berhadiah', 'lengkap', 'deh', 'pokoknya', 'kebutuhan', 'sobat', 'download', 'aplikasi', 'telkomsel', 'rugi', 'banget', 'buruan', 'download', 'aplikasi', 'telkomsel', 'sob', '']</t>
  </si>
  <si>
    <t>['signal', 'busuk']</t>
  </si>
  <si>
    <t>['temkomsel', 'terbaik']</t>
  </si>
  <si>
    <t>['telkomsel', 'suka', 'keceng', 'skarang', 'lemot', 'bnyk', 'oknum', 'pegawai', 'telkomsel', 'udh', 'mles', 'kerja']</t>
  </si>
  <si>
    <t>['bantu', 'kirimin', 'ulang', 'bukti', 'transaksi', 'transfer', 'pulsa']</t>
  </si>
  <si>
    <t>['coba', 'aplikasi']</t>
  </si>
  <si>
    <t>['teruntui', 'tekomsel', 'gini', 'paket', 'data', 'plis', 'turun', 'nin', 'paket', 'data', 'sebulan', 'seminggu', 'plisss', 'turunin', 'harga', 'paket', 'minggu', 'isi']</t>
  </si>
  <si>
    <t>['bintang', 'jaringan', 'kayak', 'keong', 'balas', 'perbaiki', 'jaringannya']</t>
  </si>
  <si>
    <t>['saran', 'tambahkan', 'sistem', 'pengunci', 'pulsa', 'pulsa', 'tersedot', 'trus', 'menjaga', 'kenyamanan', 'pelanggan']</t>
  </si>
  <si>
    <t>['jaringan', 'bagus', 'disekitar', 'telkomsel', 'bagus', 'knapa', 'malahh', 'muncul']</t>
  </si>
  <si>
    <t>['kayak', 'taik', 'quota', 'mahal', 'sinyal', 'lelet', '']</t>
  </si>
  <si>
    <t>['bagus', 'tampilan', 'sayangnya', 'beli', 'paketan', 'via', 'aplikasi']</t>
  </si>
  <si>
    <t>['telkomsel', 'burik', 'udah', 'beli', 'paket', 'internet', 'gb', 'mnt', 'youtube', 'udah', 'habis', 'mohon', 'telkomsel', 'mengembalikan', 'internetnya']</t>
  </si>
  <si>
    <t>['kemudahan', 'pengguna']</t>
  </si>
  <si>
    <t>['membantu', 'akses', 'pulsa', 'tinggal', 'pedesaan', 'trimakasih', 'telkomsel']</t>
  </si>
  <si>
    <t>['mempermudah', 'transaksi', 'pembelian', 'paket', 'dll', '']</t>
  </si>
  <si>
    <t>['telkomsel', 'gimana', 'sinyal', 'ngelag', 'main', 'game', 'lancar', 'ngelag', 'asudahlah', 'bangkrut', 'menyusahkan', 'masyarakat']</t>
  </si>
  <si>
    <t>['telkomsel', 'maju', 'berkualitas', 'dimasa']</t>
  </si>
  <si>
    <t>['terimakasih', 'mytelkomsel', 'mudah', 'suara', 'nitifnya', 'meresehkan', 'dimatikan', 'klau', 'dmatikan', 'notifnya', 'auto', 'aktf', 'keganggu', 'bngat']</t>
  </si>
  <si>
    <t>['jaringan', 'telkomsel', 'memburuk', 'error', 'sinyal', 'ngilang', 'ujan', 'mohon', 'telkomsel', 'memperbaiki', 'kesetabilan', 'jatingan', 'desa', 'jaringan', 'telkomsel', 'tolong', 'tingkatkan', 'performa', 'sinyal', 'pengguna', 'telkomsel', 'nyaman']</t>
  </si>
  <si>
    <t>['alhmdllh', 'mytelkomsel', 'mudah', 'pembelian', 'paket', 'data', 'hadiah', 'hiburan', 'beruntung', 'terima', 'ksh', 'telkomsel', '']</t>
  </si>
  <si>
    <t>['kacau', 'sinyalnya', 'suka', 'susah', 'keterangannya', 'koneksi', 'suka', '']</t>
  </si>
  <si>
    <t>['nggak', 'worth', 'banget', 'telkomsel', 'kuota', 'harganya', 'mahal', 'jaringan', 'sinyalnya', 'jelek', 'turun', 'turun', 'teross']</t>
  </si>
  <si>
    <t>['lambat', 'loadingnya']</t>
  </si>
  <si>
    <t>['telkomsel', 'lemot', 'jaringan', 'stabil']</t>
  </si>
  <si>
    <t>['bagus', 'dibilangi', 'bagus', 'yaa', 'bagus', 'ngeyel']</t>
  </si>
  <si>
    <t>['nilai']</t>
  </si>
  <si>
    <t>['membantu', 'info', 'ttg', 'ketersediaan', 'paket', 'pulsa']</t>
  </si>
  <si>
    <t>['pulsa', 'berkurang', 'langganan', 'apapun', 'cht', 'admin', 'balasan', 'telkomsel', 'tanggung', 'bkal', 'laporkan', 'pencurian', 'polisi', 'sngt', 'emosi', 'pulsa', 'ambil', 'trus', 'tunggu', 'itikad', 'telkomsel']</t>
  </si>
  <si>
    <t>['mudah', 'mendaftar']</t>
  </si>
  <si>
    <t>['', 'malas', 'gua', 'telkomsel', 'sich', 'super', 'murah', 'kuotanya', 'udah', 'mencekik', 'gmn', 'emosi', 'gua', 'beli', 'gb', 'udah', 'terbagi', 'baginya', 'lucu', 'unlimited', 'you', 'tube', 'somed', 'chat', 'reguler', 'gb', 'nonton', 'you', 'tube', 'kuota', 'reguler', 'dipakai', 'kuota', 'unlimitednya', 'dimakan', 'reguler', 'pas', 'reguler', 'abis', 'unlimited', 'kagak', 'you', 'tube', 'taik', 'mending', 'pindah', 'kartu', '']</t>
  </si>
  <si>
    <t>['gardu', 'bangke', 'abis', 'ujan', 'nge', 'lag', 'mulu', 'nyesel', 'make', 'gardu', 'beli', 'paketan']</t>
  </si>
  <si>
    <t>['karyawan', 'telkomsel', 'tolong', 'diperbaiki', 'sinyal', 'telkomsel', 'daerah', 'banyumas', 'iya', 'udah', 'minggu', 'sinyal', 'ilanh', '']</t>
  </si>
  <si>
    <t>['', 'oke', 'jaringannya', 'suka', 'jelek', 'muter', 'muter', 'main', 'game', 'kirain', 'kuota', 'habis', 'tolong', 'perbaiki', 'min', '']</t>
  </si>
  <si>
    <t>['error', 'membeli', 'paket', 'internet', 'jaringan', 'stabil', 'bermain', 'game', 'online', 'semoga', 'cepet', 'diperbaiki']</t>
  </si>
  <si>
    <t>['mantap', 'kali', 'apk']</t>
  </si>
  <si>
    <t>['senang', 'mengunakan', 'telkomsel']</t>
  </si>
  <si>
    <t>['semoga', 'terdepan']</t>
  </si>
  <si>
    <t>['ucapkan', 'terima', 'kasih', 'telkomsel', 'telkomsel', 'slalu', 'mendukung', 'membantu', 'sodarah', 'sodarah', 'pintar', 'memudah', 'butuhkan', 'kebutuhan', 'semuah', 'selamat', 'telkomsel', 'jaya', 'slalu', 'maju', 'dunia', 'amin']</t>
  </si>
  <si>
    <t>['telkomsel', 'laknat', 'harga', 'mahal', 'sinyal', 'suka', 'ditambah', 'saldo', 'link', 'gabisa', 'dipakai', 'isi', 'pulsa']</t>
  </si>
  <si>
    <t>['tukar', 'poin', 'kuota', 'berlaku', 'cepat', 'semoga', 'perubahan', '']</t>
  </si>
  <si>
    <t>['kuota', 'doang', 'mahal', 'jaringan', 'kek', 'siput', 'tlkomnyet', 'sampah']</t>
  </si>
  <si>
    <t>['katnya', 'sinyal', 'kuat', 'lelet', 'bamget']</t>
  </si>
  <si>
    <t>['beil', 'game', 'max', 'silver', 'pale', 'maen', 'doang', 'gmna']</t>
  </si>
  <si>
    <t>['aplikasi', 'bagus', 'pengguna', 'telkomsel', 'smoga', 'slalu', 'update', 'jaringannya', 'tank', '']</t>
  </si>
  <si>
    <t>['maaf', 'kak', 'pakai', 'kartu', 'telkom', 'udah', 'banget', 'molai', 'blom', 'android', 'kemaren', 'sehati', 'kelain', 'hati', 'maaf', 'maaf', 'banget', 'pindah', 'hati', 'percaya', 'cek', 'udah', 'jarang', 'beli', 'paket', 'pulsa', 'telkomsel', 'hapir', 'th', 'jujur', 'nomer', 'pakai', 'anggap', 'proses', 'cerai', 'kau', 'editan', 'bintang', 'ksh', 'bwt', 'penawarany', 'wktu']</t>
  </si>
  <si>
    <t>['sanagat', 'membangakan', 'mytelkomsel']</t>
  </si>
  <si>
    <t>['puas', 'cek', 'kuota', 'ribet', 'kawan', 'ragu', 'download', 'aplikasi', 'rasakan', 'manfaatnya', '']</t>
  </si>
  <si>
    <t>['suka', 'hilang', 'sinyalnya']</t>
  </si>
  <si>
    <t>['telkomsel', 'cacat', 'kualitas', 'signal', 'buruk', 'udah', 'gitu', 'paket', 'gb', 'masuk', 'akal', 'paket', 'sehat', 'developer', 'telkomsel', 'sehat', 'pelayanan', 'signal', 'mending', 'konsumen', 'marah', 'kali', 'gitu', 'waterproof', 'man', '']</t>
  </si>
  <si>
    <t>['mempermudah', 'informasi', '']</t>
  </si>
  <si>
    <t>['leg', 'parah', 'sumpah', 'pengalaman', 'terburuk', 'telkomsel', 'sesuai', 'harga', 'upload', 'tugas', 'nunggu', 'sampe', 'menit']</t>
  </si>
  <si>
    <t>['internet', 'stabil', 'sinyalnya', 'full', '']</t>
  </si>
  <si>
    <t>['kirain', 'harga', 'mahal', 'kualitas', 'bagus', 'mahal', 'lemoooooooot', 'tambh', 'otomatis', 'stop', 'pulsa', 'kuota', 'habis', 'pulsa', 'kemakan', 'habis', 'parahhhhh']</t>
  </si>
  <si>
    <t>['bagus', 'mempermudah', 'transaksi', 'beli', 'paketan', '']</t>
  </si>
  <si>
    <t>['aplikasi', 'bagus', 'berguna', 'khusus', 'pribadi', 'buruan', 'download', 'aplikasi', '']</t>
  </si>
  <si>
    <t>['jaringan', 'telkomsel', 'jaringan', 'rusak', 'eror', 'paketan', 'mahal', 'maslah', 'koneksi', 'eror', 'bener', 'bener', 'jaringan', 'kampretttttr']</t>
  </si>
  <si>
    <t>['teruskan']</t>
  </si>
  <si>
    <t>['telkomsel', 'telkom', 'sich', 'bangkrutnya', 'jual', 'image', 'jaringan', 'luas', 'sinyal', 'kuat', 'faktanya', 'kaya']</t>
  </si>
  <si>
    <t>['lelet', 'lemot', 'jaringan', 'telkomsel', 'yiiiiiiiiiiii', 'yiiiiiiiiii', 'taik']</t>
  </si>
  <si>
    <t>['teruntuk', 'mytelkomsel', 'tolong', 'buatin', 'fitur', 'lock', 'pulsa', 'kesedot', 'isi', 'pulsa', 'pas', 'cek', 'pulsa', 'udh', 'udh', 'habis', 'pulsany', 'kesedot', '']</t>
  </si>
  <si>
    <t>['haduuuh', 'paketan', 'mahal', 'nihhhh', 'kartu', 'maah', 'menghina', 'sekedar', 'kritik']</t>
  </si>
  <si>
    <t>['', 'paket', 'dibagi']</t>
  </si>
  <si>
    <t>['jaringanya', 'lambat', 'kaya', 'keong', 'siputtttttt']</t>
  </si>
  <si>
    <t>['sinyal', 'kaya', 'buruk', 'grimis', 'dikit', 'sinyal', 'internet', 'ilang', 'telkomsel', 'kya', 'dlu', '']</t>
  </si>
  <si>
    <t>['telkomsel', 'jelek', 'jaeingannya', 'paa', 'hujan', 'dapet', 'jaringannya', 'cuaca', 'mendung', 'jaringannya', 'udah', 'dapet']</t>
  </si>
  <si>
    <t>['dapet', 'undiannya']</t>
  </si>
  <si>
    <t>['jaringan', 'stabil', 'pengaduan', 'paketan', 'dibantah', 'penjelasan', 'memuaskan', 'mengecewakan']</t>
  </si>
  <si>
    <t>['mantap', 'serba', 'gampang', 'bayar']</t>
  </si>
  <si>
    <t>['ngasi', 'bintang', 'terpaksa', 'kali', 'belik', 'paket', 'pulsa', 'habis', 'pket', 'masuk', 'merugikan', 'kembalikan', 'pulsa']</t>
  </si>
  <si>
    <t>['kasih', 'bintang', 'full']</t>
  </si>
  <si>
    <t>['ditipu', 'apk', 'kali', 'beli', 'data', 'masuk', 'pulsa', 'hilang', 'sekejap']</t>
  </si>
  <si>
    <t>['harga', 'ajah', 'naikin', 'kualitas', 'jaringan', 'perbaiki', 'udah', 'minggu', 'jaringan', '']</t>
  </si>
  <si>
    <t>['aplikasi', 'payah', 'dibuka']</t>
  </si>
  <si>
    <t>['sinyal', 'hilang', 'tolong', 'diperbaiki']</t>
  </si>
  <si>
    <t>['njaluk', 'cok', 'paketan', 'larang', 'sinyal', 'goib']</t>
  </si>
  <si>
    <t>['apk', 'susah', 'bukak', 'emosi', 'kasih', 'bintang', '']</t>
  </si>
  <si>
    <t>['tolong', 'pertahan', 'stabilan', 'jaringan', '']</t>
  </si>
  <si>
    <t>['harga', 'dimurah']</t>
  </si>
  <si>
    <t>['terima', 'kasih', 'aplikasi', 'telkomsel', '']</t>
  </si>
  <si>
    <t>['login', 'ribet', 'pakai', 'otp', 'magiclink', 'trus', 'kadang', 'logout', 'login', 'ketik', 'nomer', 'ribet']</t>
  </si>
  <si>
    <t>['yai', 'telkomsel', 'tambahin', 'top', 'diamond', 'kak', 'bagus']</t>
  </si>
  <si>
    <t>['wajah', 'mudah', 'murah', 'beli', 'kuotanya']</t>
  </si>
  <si>
    <t>['aplikasi', 'download', 'susah', 'bukanya', 'super', 'jelek', 'telkomsel', '']</t>
  </si>
  <si>
    <t>['telkomsel', 'emg', 'menyebalkn', 'udah', 'paketan', 'mahal', 'sinyal', 'jelek', 'banget']</t>
  </si>
  <si>
    <t>['telkomsel', 'tolong', 'jaringan', 'perbaiki', 'bermain', 'game', 'jaringan', 'ngeleg', 'bagus', 'cuman', 'jam', 'doang', 'sisa', 'ngeleg', 'beli', 'kuota', 'mahl', 'mahal', 'ngeleg']</t>
  </si>
  <si>
    <t>['telkomsel', 'nyedot', 'pulsa', 'alasan', 'makai', 'internet', 'pakai', 'wifi', 'idupin', 'data', 'seluler', 'disedot']</t>
  </si>
  <si>
    <t>['bgmn', 'tlkomsel', 'ktny', 'dpt', 'monetary', 'beli', 'pulsa', 'kuota', 'pulsa', 'dipotong', 'monetary', 'msh', 'utuh', 'boong', 'blngny', 'ksh', 'free', 'dipke']</t>
  </si>
  <si>
    <t>['susah', 'buka', 'aplikasi', 'mendukung', 'oppo', 'reno', 'kesini', 'jelek', 'aplikasi', '']</t>
  </si>
  <si>
    <t>['apk', 'bagus', 'suka', 'banget', 'paketannya', 'murah']</t>
  </si>
  <si>
    <t>['memuasakan', 'semenjak', 'update', 'gagal', 'membeli', 'kuota']</t>
  </si>
  <si>
    <t>['telkomsel', 'knp', 'kyk', 'babi', 'sinyal', 'setabil', 'error', 'udah', 'mahal', 'paketin', 'emosi', 'kesini', 'ancur', 'telkomsel']</t>
  </si>
  <si>
    <t>['tingkatin', 'jaringannya', 'main', 'game', 'suka', 'trouble', 'trimakasih']</t>
  </si>
  <si>
    <t>['oke', 'bermanfaat']</t>
  </si>
  <si>
    <t>['beli', 'paket', 'udah', 'done', 'paketnya', 'aplikasi', 'pulsa', 'udah', 'kepotong']</t>
  </si>
  <si>
    <t>['sukanya', 'memaksa', 'mode', 'gratis', 'kuota', 'tolong', 'perbaiki', 'sistem', 'robot', '']</t>
  </si>
  <si>
    <t>['keren', 'urusan', 'gampang']</t>
  </si>
  <si>
    <t>['mengecewakan', 'sinyal', 'ngk', 'tinggal', 'kota', 'sinyal', 'telkomsel', 'nauzubillah', 'parah', '']</t>
  </si>
  <si>
    <t>['sinyal', 'telkomsel', 'jelek', 'bangett', 'woiiii', 'membaik', 'gara', 'gara', 'ganguan', 'efek', 'ilang', 'parah', 'sunguh', 'lambat', 'respon', 'telkomsel']</t>
  </si>
  <si>
    <t>['aplikasi', 'telkomsel', 'login', 'terdaftar', 'nmr', 'telkomsel', 'nmr', 'jadul', 'logout', 'login', 'mengisi', 'magic', 'link', 'manual', 'dibrowser', 'android', 'sms', 'telat', 'magic', 'link', 'isinya', 'magic', 'link', 'kadaluarsa', 'diisi', 'manual', 'aplikasi', 'telkomsel', 'aplikasi', 'provider', 'simpel', 'angka', 'verifikasi', 'angka', 'angka', 'serumit', '']</t>
  </si>
  <si>
    <t>['jaringan', 'telkomsel', 'didesa', 'sampah', 'banget', 'the', 'best', 'and', 'number', 'one', 'kecewa', 'telkomsel', 'harga', 'termahal', 'dibarengi', 'kualitas', 'jaringan', 'stabil', 'semoga', 'cepet', 'tobat']</t>
  </si>
  <si>
    <t>['jaringan', 'lambat']</t>
  </si>
  <si>
    <t>['nggak', 'login', 'persulit', 'banget']</t>
  </si>
  <si>
    <t>['aplikasi', 'bagus', 'sekli', '']</t>
  </si>
  <si>
    <t>['jaringan', 'tersendat', 'sendat']</t>
  </si>
  <si>
    <t>['beli', 'paket', 'mahal', 'mahal', 'jaringan', 'ngemis', 'ngemis']</t>
  </si>
  <si>
    <t>['mudah', 'cek', 'pulsa', 'membeli', 'paket', 'trima', 'kasih', '']</t>
  </si>
  <si>
    <t>['membaik', 'aplnya', '']</t>
  </si>
  <si>
    <t>['dii', 'ufdate', 'gabisa', 'dibuka']</t>
  </si>
  <si>
    <t>['aplikasi', 'bagus', 'mengerti', '']</t>
  </si>
  <si>
    <t>['jaringan', 'beda', 'kali', 'ter', '']</t>
  </si>
  <si>
    <t>['semoga', 'telkomsel', 'jaya']</t>
  </si>
  <si>
    <t>['membantu', 'bayar', '']</t>
  </si>
  <si>
    <t>['layanan', 'telkomsel', 'memuaskan', 'mengecewakan', 'suruh', 'meng', 'update', 'pulsa', 'kesedot', 'ribu', 'sungguh', 'etis', '']</t>
  </si>
  <si>
    <t>['harga', 'bersaing']</t>
  </si>
  <si>
    <t>['bagus', 'bagus', 'sayang', 'mmmmmmmmmmmmmmmmmbvhwhhahashsbbbabababsbsbsbsbshshshsbhshssbdbssjehsbsbnssbsssbsbnsbbsbsbssshsbsnaigansksbshsjsnsbshsnsndsnshsbsbsbsnsuwbsnsjsjsnsnsnsnsnsnsnsnsbsbsbsbsbsbsnsnsnsnsnsnsnsnsnsnsnsnsnssnsbsbdbsnnnsnsnsmsmmsjsksksksksjsjskskskskjdkdksjsjenenensnsnsnsnsnsnsnsnsnsnsnsjsjsbshsjsjsjsjsjsjsjsjjsjsjsjsjsjsjsjsjsjsjsjjsjsjsjsjsjsjsjsjsjjsjsjsjsjsjsnsnsjjsjsjsjsjsjskksksjsjsjsjssjsjsjsjjsjsjejsjsjsjsjsjsjsjsjsjsjsjsjsjsnsnsnsnsnsn']</t>
  </si>
  <si>
    <t>['paketnya', 'murah', '']</t>
  </si>
  <si>
    <t>['bertahun', 'telkomsel', 'menuukarkan', 'poin', 'berhasil', 'alasan', 'sistem', 'sibuk', 'sombong']</t>
  </si>
  <si>
    <t>['malam', 'doang', 'lumayan']</t>
  </si>
  <si>
    <t>['telkomsel', 'sebagus', 'sinyalnya', 'mendung', 'dikit', 'beda', 'area', 'dikit', 'auto', 'loading', 'manteng', 'kalah', 'dimana', 'tokcer']</t>
  </si>
  <si>
    <t>['sinyal', 'lancar', 'kucur', 'beli', 'paket', 'masi', 'murah', '']</t>
  </si>
  <si>
    <t>['daftar', 'kog', 'pulsa', 'slalu', 'habis', 'terpotong', 'isi', 'rb', 'bru', 'sms', 'kali', 'kog', 'sisanya', 'hilang', 'mohon', 'penjelasan']</t>
  </si>
  <si>
    <t>['beli', 'pulsa', 'canggih']</t>
  </si>
  <si>
    <t>['baguus', 'pengen', 'pulsanyq', 'kunci', 'kuotanya', 'abis', 'pulsanyaga', 'kesedot']</t>
  </si>
  <si>
    <t>['temen', 'sekian', 'promo', 'mudah', 'mudahan', 'dapet', 'motor', 'max', 'hasil', 'tukar', 'poin', 'nuhun', 'mytelkomsel']</t>
  </si>
  <si>
    <t>['membantu', 'koata', 'langsung', 'trimakasih', '']</t>
  </si>
  <si>
    <t>['kemari', 'jaringan', 'telkomsel', 'stabil', 'udah', 'hub', 'jawabannya', 'solusi', '']</t>
  </si>
  <si>
    <t>['pembagian', 'sayang', 'kepake', 'provider', 'sinyal', 'kenceng']</t>
  </si>
  <si>
    <t>['error', 'aplikasi', 'mytelkomsel', 'error', 'kali', 'buka', 'aplikasinya', 'log', 'jaringan', 'error']</t>
  </si>
  <si>
    <t>['menyukai', 'aplikasi']</t>
  </si>
  <si>
    <t>['sinyal', 'stabil', 'suka', 'turun', '']</t>
  </si>
  <si>
    <t>['gratisan', 'bos']</t>
  </si>
  <si>
    <t>['min', 'tolong', 'perbaiki', 'tower', 'desa', 'tanjung', 'peranap', 'kecamatan', 'tebing', 'barat', 'kab', 'kepulauan', 'meranti', 'riau', 'krna', 'gangguan', 'jaringan', 'jaringan', '']</t>
  </si>
  <si>
    <t>['waaaah', 'paraaahh', 'update', 'buka', 'aplikasi', '']</t>
  </si>
  <si>
    <t>['membantu', 'niceee']</t>
  </si>
  <si>
    <t>['bagus', 'banget', 'aolikasi', 'telkomsel', 'membantu']</t>
  </si>
  <si>
    <t>['', 'deh', 'terkadang', 'lelet', 'cuaca', 'bersahabat', '']</t>
  </si>
  <si>
    <t>['tingkat', 'kualitas', 'kouta', 'murah']</t>
  </si>
  <si>
    <t>['praktis', 'membantu']</t>
  </si>
  <si>
    <t>['beli', 'pulsa', 'ribu', 'niat', 'beli', 'unlimited', 'max', 'pulsanya', 'keambil', 'ribu', 'beli', 'pulsa', 'ribu', 'keambil', 'pesan', 'memakai', 'pulsa', 'ribu', 'gua', 'nyalain', 'data', 'buka', 'telkomsel', 'terpaksa', 'beli', 'belinya', 'wifi', 'data', 'takutnya', 'ambil', 'kecewa']</t>
  </si>
  <si>
    <t>['puas', 'pelayanan', 'telkomsel', '']</t>
  </si>
  <si>
    <t>['sinyal', 'memadai', 'kampung', 'maaf', 'bintang']</t>
  </si>
  <si>
    <t>['skrng', 'telkomsel', 'tidk', 'beli', 'pket', 'tlf', 'mnit', 'pdhl', 'bln', 'kmaren', 'pke', 'lho', 'mohon', 'perbaiki', 'min', 'plnggn', 'mkin', 'puas', 'sma', 'layanan', 'telkomsel', 'trimksih']</t>
  </si>
  <si>
    <t>['telkomsel', 'perusahaan', 'bumn', 'berdiri', 'puluhan', 'profesional', 'jelek', 'signal', 'ajah', 'loading', 'jelek', 'urusan', '']</t>
  </si>
  <si>
    <t>['trima', 'kasi', 'kmudahan']</t>
  </si>
  <si>
    <t>['kesini', 'aneh', 'kuota', 'mahal', 'unlimited', 'gabisa', 'sinyal', 'jelek', 'mohon', 'perhatikan', 'telkom']</t>
  </si>
  <si>
    <t>['terimakasih', 'mytelkomsel', 'lanyanannya', 'terbaik', 'kouta', 'kouta', 'murah', 'harganya', 'semoga', 'mytelkomsel', 'jaya']</t>
  </si>
  <si>
    <t>['mantab', 'gan', '']</t>
  </si>
  <si>
    <t>['baguss', 'sekaliiiii', '']</t>
  </si>
  <si>
    <t>['lapor', 'telkomsel', 'pulsa', 'kosong', 'bayar', 'bulam', '']</t>
  </si>
  <si>
    <t>['telkomsel', 'layanan', 'digital', 'mudah', 'indonesia', 'harga', 'murah']</t>
  </si>
  <si>
    <t>['tolong', 'min', 'kouta', 'sosmed', 'lokal', 'gb', 'internat', 'gua', 'lagganan', 'telkomsel', 'sagat', 'gua', 'suka', 'kouta', 'lokal', 'sosmed', 'trus', 'jga', 'habis', 'kouta', 'internat', 'kgk', 'pakai', 'youtube', 'bosen', 'cok', 'bsa', 'line', 'michat', 'tolong', 'perbaiki', 'min', 'trima', 'kasih']</t>
  </si>
  <si>
    <t>['paket', 'combo', 'saktinya', 'hilang', 'kartu', 'beli', 'riwayat', 'pembelian', 'eror', 'tolong', 'proiritaskan', 'pelanggan']</t>
  </si>
  <si>
    <t>['sinyal', 'simpati', 'payah', 'kecewa', 'berat', 'adh', 'beli', 'paket', 'buka', 'youtube', 'loading', 'mulu', 'nyesel', 'bngt', 'suruh', 'hub', 'customer', 'service', 'perubahan', 'membantu']</t>
  </si>
  <si>
    <t>['point', 'dituker', 'udah', 'gitu', 'paket', 'mahal', 'sinyal', 'jelek', 'benerin', 'kau', 'sinyal']</t>
  </si>
  <si>
    <t>['diamon', 'mlbb', 'naikin', 'heheh']</t>
  </si>
  <si>
    <t>['mudah', 'murah', 'bebas', 'roaming']</t>
  </si>
  <si>
    <t>['jrgn', 'tlkmsl', 'parah', 'pdhl', 'tower', 'nggak', 'prbhn', 'apapun', 'didlm', 'game', 'ngelagnya', 'parah', 'skli', 'bgni', 'trus', 'bnya', 'pngguna', 'tlkmsl', 'smakin', 'brkrng', 'akn', 'pindah', 'jrgn']</t>
  </si>
  <si>
    <t>['terimakasih', 'telkomsel', 'udah', 'membantu', 'transaksi', 'rumah', 'siip', 'aplikasi', '']</t>
  </si>
  <si>
    <t>['ganti', 'yukk', 'bencii', 'skrggg', 'udh', 'paket', 'mahal', 'signal', 'jelek', 'udh', 'berlangganan', 'paketan', 'buruk', 'pdhl', 'tgl', 'lingkungan', 'signal', 'kuat']</t>
  </si>
  <si>
    <t>['mahal', 'doank', 'kualitas', 'jempol']</t>
  </si>
  <si>
    <t>['sandang', 'pangan', 'papan']</t>
  </si>
  <si>
    <t>['hadeh', 'beli', 'pulsa', 'cek', 'ribu', 'sejam', 'cek', 'kog', 'ribuan', 'pulsa', 'rugikan', 'pulsa', 'beli', 'paket', 'aplikasih', 'ampas', 'sampah', 'aplikasi', 'telkomsel', '']</t>
  </si>
  <si>
    <t>['sumpah', 'kecewa', 'besarnya', 'telkomsel', 'udah', 'mahal', 'warted', 'lemot', 'sinya', 'kota', 'kota', 'pekanbaru', 'main', 'game', 'warted', 'kuat', 'sinyal', '']</t>
  </si>
  <si>
    <t>['kemarin', 'komplen', 'udah', 'kouta', 'pulsa', 'kesedot', 'tolong', 'penjelasannya', 'rugi', 'rb']</t>
  </si>
  <si>
    <t>['bermasalah', 'membuka', 'aplikasi', 'telkomsel']</t>
  </si>
  <si>
    <t>['paketan', 'datanya', 'mahal', 'sinyalnya', 'buruk', 'setahun', 'perbaikan', '']</t>
  </si>
  <si>
    <t>['anak', 'dajjal', '']</t>
  </si>
  <si>
    <t>['jaringan', 'buruk', 'penipu', 'konsumen', '']</t>
  </si>
  <si>
    <t>['mudah', 'paket', 'pulsa', 'harga', 'spesial']</t>
  </si>
  <si>
    <t>['mohon', 'developer', 'adakan', 'pembelian', 'diamond', 'mobile', 'legend']</t>
  </si>
  <si>
    <t>['jaringannya', 'down', 'tolong', 'dibanahi', 'maksimal', 'menyediakan', 'jasa', 'internet', 'terimakasih']</t>
  </si>
  <si>
    <t>['asik', 'pakai', 'telkomsel', 'jaringan', 'buntau', 'ditambah', 'paket', 'telkomsel', 'mahal', 'turunkan', 'bintang', '']</t>
  </si>
  <si>
    <t>['udah', 'telkomsel', 'kayaknya', 'ganti', 'murah', 'harga', 'paketan', 'internetannya', 'kecepatan', 'menyerah', 'padamu', 'telkomsel', 'trouble', '']</t>
  </si>
  <si>
    <t>['penggunaannya', 'mudah', 'terima', 'kasih', '']</t>
  </si>
  <si>
    <t>['mangkin', 'mangkin', 'susah', 'jaringannya', 'jdi', 'ngeleg', 'parah', 'min', 'tolong', 'perbaiki', 'maen', 'game', 'susah', 'tinggal', 'kota', 'ngeleg', 'kali', 'lahh', 'tolong', 'perbaiki', 'min', '']</t>
  </si>
  <si>
    <t>['paket', 'tlp', 'sgt', 'memuaskan', 'pelanggan', '']</t>
  </si>
  <si>
    <t>['promo', '']</t>
  </si>
  <si>
    <t>['mantaf', 'jaringan', 'meluas', '']</t>
  </si>
  <si>
    <t>['mudah', 'isi', 'data', 'ribet']</t>
  </si>
  <si>
    <t>['kerennn', 'bug']</t>
  </si>
  <si>
    <t>['salut', 'telkomsel']</t>
  </si>
  <si>
    <t>['jelek', 'gajls']</t>
  </si>
  <si>
    <t>['enakk', 'dimana']</t>
  </si>
  <si>
    <t>['kuota', 'termurah']</t>
  </si>
  <si>
    <t>['jaringan', 'kek', 'kon', 'tol']</t>
  </si>
  <si>
    <t>['kesini', 'signal', 'jelek', 'gimana', 'telkomsel', 'menyebalkan', 'pengguna', 'setia', 'kecewa', 'ganggu', 'nonton', 'kuota', '']</t>
  </si>
  <si>
    <t>['aplikasi', 'super', 'lalod', 'telkomsel', 'paketnya', 'super', 'mahal', 'pkonya', 'super', '']</t>
  </si>
  <si>
    <t>['memudahkan', 'cek', 'info']</t>
  </si>
  <si>
    <t>['jaringan', 'telkomsel', 'buruk', 'bintang', 'gabisa']</t>
  </si>
  <si>
    <t>['aplikasinya', 'membutuhkan', 'kecepatan', 'lumayan', 'berat', 'dibanding', 'aplikasi', 'provider', 'tlong', 'diperbaiki', 'diperingan']</t>
  </si>
  <si>
    <t>['wih', 'makasih', 'pulsa']</t>
  </si>
  <si>
    <t>['bagus', 'tolong', 'benerin', 'jaringan', 'secepat', 'terpaksa', 'gnti', 'kartu', 'telkom', 'oke']</t>
  </si>
  <si>
    <t>['gajelas', 'banget', 'paketin', 'data', 'gabisa', 'internet', 'sedot', 'buka', 'aplikasi', 'telkomsel', 'giliran', 'buka', 'pulsa', 'langsung', 'sedot', 'rip', 'banget']</t>
  </si>
  <si>
    <t>['paketnya', 'mahal', 'sinyalnya', 'gajelas', 'hujan', '']</t>
  </si>
  <si>
    <t>['woi', 'kembalikan', 'pulsa', 'ribu', 'gua', 'ngisi', 'potong', 'pdhl', 'hutang', 'ngapin', 'notif', 'memakai', 'pulsa', 'ribu', 'akses', 'internet', 'non', 'paket', 'bangsa', '']</t>
  </si>
  <si>
    <t>['kayanya', 'asyik']</t>
  </si>
  <si>
    <t>['jaringan', 'indonesia', 'fitur', 'aplikasi', 'kalah', 'dengn', 'aplikasi', 'sebelah', 'tolong', 'donk', 'hadirkan', 'fitur', 'kunci', 'pulsa', 'sedot', 'otomatis', 'pket', 'data', 'hbis', 'merugikan', 'bangt', 'pket', 'kuota', 'habis', 'nyedot', 'pulsa', 'reguler', 'izin', 'aplikasi', 'sebelah', 'lengkap', 'fiturnya', 'aktif', 'kartu', 'paket', 'mengurangi', 'kerugian', 'pemakaian', 'pengguna', '']</t>
  </si>
  <si>
    <t>['sinyal', 'emosi', 'jelek', 'bangat']</t>
  </si>
  <si>
    <t>['membantu', 'pengguna', 'telkomsel', 'mudah', 'akurat', 'cepat']</t>
  </si>
  <si>
    <t>['payah', 'paket', 'beli', 'bleum', 'notifikasinya', 'masuk', 'paketnya', 'beli', 'langsung', 'notifikasinya', 'payah', 'aplikasinya', 'jaringan', 'buruk', 'bahodopi', 'morowali', 'sulawesi', 'kasih', 'masukan', 'rasponya', 'dunia', 'pakai', 'teklonogi', 'butuh', 'jaringan', 'ayolah', 'telkomsel', 'jangkau', 'jaringan', 'sluruh', 'indo', 'pelosok', 'kasian', 'pakai', 'jaringan', 'browsing', 'buruk', 'jaringannya', '']</t>
  </si>
  <si>
    <t>['jaringan', 'kecepatan', 'internet', 'stabil', 'mantap']</t>
  </si>
  <si>
    <t>['beli', 'paket', 'combo', 'sakti', 'telkomsel', 'pulsa', 'sya', 'belinya', 'sya', 'isi', 'pulsa', 'selau', 'berkurang', 'berkurang', 'sya', 'isi', 'pulsa', 'berkurang', 'sya', 'buka', 'apk', 'telkomsel', 'tolong', 'combo', 'sakti', 'tertera', 'harga', '']</t>
  </si>
  <si>
    <t>['robohkan', 'tlkomsel', 'klau', 'sdah', 'bangkrut', 'jaringan', 'jelek', 'parah', 'smakin', 'smakin', 'bagus', 'tpi', 'smakin', 'jelek', 'seandainya', 'operator', 'gua', 'pindah', 'dri', 'gblok', '']</t>
  </si>
  <si>
    <t>['mantep', 'pakenya', 'permurah', '']</t>
  </si>
  <si>
    <t>['aplikasi', 'kena', 'tipu', 'udah', 'beli', 'paketan', 'pulsa', 'kesedot', 'paketnya', 'nggk', 'masuk']</t>
  </si>
  <si>
    <t>['kuotanya', 'mahal', '']</t>
  </si>
  <si>
    <t>['mudah', 'canggih', '']</t>
  </si>
  <si>
    <t>['aplikasi', 'bangkek', 'promo', 'murah', 'sayaa', '']</t>
  </si>
  <si>
    <t>['sampah', 'jaringan', 'aplikasi']</t>
  </si>
  <si>
    <t>['memudah', 'khan', 'pngguna', 'tlkomsel']</t>
  </si>
  <si>
    <t>['bagus', 'transaksi', 'beli', 'pulsa', 'paket', 'internet', 'mudah']</t>
  </si>
  <si>
    <t>['parah', 'gada', 'fitur', 'kunci', 'pulsa', 'isi', 'pulsa', 'langsung', 'kepake', 'data', 'non', 'paket', 'lucu', 'kepotong', 'gede', 'bab', '']</t>
  </si>
  <si>
    <t>['senang', 'menggunskan', 'applikasi', 'telkomsel', 'trima', 'kasih', 'telkomsel', '']</t>
  </si>
  <si>
    <t>['yak', 'masuk', 'suara', 'keras', 'suka', 'ngagetin', 'masuk', 'aplikasi', 'headset', 'turunin', 'ratingnya', '']</t>
  </si>
  <si>
    <t>['mahal', 'telkomsel', 'mahal', 'beda', 'beda', 'kdg', 'suka', 'pngen', 'pindah', 'signal', 'ilang', '']</t>
  </si>
  <si>
    <t>['burik', 'pulsa', 'kesedot', 'akses', 'apk']</t>
  </si>
  <si>
    <t>['bagus', 'pelayanan']</t>
  </si>
  <si>
    <t>['apk', 'beli', 'kuota', 'sebulan', '']</t>
  </si>
  <si>
    <t>['telkomsel', 'mohon', 'pecat', 'pegawai', 'becus', 'jaringan', 'parah', 'selesainya', 'sungguh', 'memalukan', 'pindah', 'provider', 'bermasalah']</t>
  </si>
  <si>
    <t>['kaum', 'rebahan', 'cocok', 'salah']</t>
  </si>
  <si>
    <t>['kembalikan', 'sinyal', 'telkomsel']</t>
  </si>
  <si>
    <t>['apk', 'jls', 'sya', 'tdi', 'beli', 'pulsa', 'daftarin', 'kuota', 'masuk', 'pulsa', 'sya', 'habis', 'tolong', 'tindak', 'lanjuti', 'buang', 'ribu', 'masuk', 'tolong', '']</t>
  </si>
  <si>
    <t>['paket', 'unlimited', 'kartu', 'telkomsel', 'mahal', 'paket', 'unlimited', 'bersar', 'semoga', 'kartu', 'telkomsel', 'perbaiki', 'segi', 'harga', 'paket', 'pakai', 'perbulan']</t>
  </si>
  <si>
    <t>['aplikasi', 'memudahkan', 'pengguna', 'nomer', 'telkomsel', 'hadiah', 'ditukarkan', 'poin', '']</t>
  </si>
  <si>
    <t>['kecewa', 'banget', 'jaringab', 'telkomsel', 'musim', 'hujan', 'sinyal', 'bagus', 'kecepatannya', 'parah', 'hadeuh', '']</t>
  </si>
  <si>
    <t>['harga', 'paket', 'data', 'selangit', 'kualitas', 'sinyal', 'kaya', 'hidup', 'segan', 'mati', 'makan', 'gaji', 'buta', '']</t>
  </si>
  <si>
    <t>['operator', 'selluler', 'terjelek', 'telkomsel', 'komen', 'berpendapat', 'buruk', 'tanggapan', 'lagu', 'moman', 'mimin', 'mbok', 'ganti', 'sarimin', '']</t>
  </si>
  <si>
    <t>['telkomsel', 'tolong', 'fitur', 'ngunci', 'pulsa', 'kaya', 'operator', 'pulsa', 'rb', 'hilang', 'sekejap', 'kuota', 'gb']</t>
  </si>
  <si>
    <t>['suka', 'banget', 'mytelkosel', 'poin', 'tukarkan', 'undian', 'dapet']</t>
  </si>
  <si>
    <t>['kebanyakan', 'notif']</t>
  </si>
  <si>
    <t>['telkom', 'diminati', 'karna', 'sinyal', 'bagus', 'fastrespon', 'skrg', 'lelet', 'pulsa', 'terisi', 'penuh', 'ttp', 'beli', 'promo', 'jelek', 'skli', 'skrg', 'telkom', '']</t>
  </si>
  <si>
    <t>['aplikasinya', 'dibuka', 'bolak', 'install', 'ulang', 'tetep', 'dibuka']</t>
  </si>
  <si>
    <t>['wooooooooooo', 'loginnya', 'memuaskan', '']</t>
  </si>
  <si>
    <t>['telkomsel', 'enak', 'dipake', 'jaringannya', 'lemot', 'main', 'game', 'hilang', 'jaringannya', '']</t>
  </si>
  <si>
    <t>['udh', 'bangkrut', 'kayanya', 'neh', 'tsel', 'jaringan', 'berasa', 'kaya', 'pakai', 'esia', 'bagusan', 'esia', 'mahal', 'doank', 'kualitas', 'jaringan', 'kalah', 'provider', 'auto', 'ganti', 'operator', '']</t>
  </si>
  <si>
    <t>['telkom', 'dpt', 'promo', 'data', '']</t>
  </si>
  <si>
    <t>['tolong', 'sampein', 'telkom', 'tolong', 'benerin', 'sinyal', 'daerah', 'tangsel', 'khusus', 'daerah', 'desa', 'ciater', 'udh', 'biaya', 'mahal', 'sinyal', 'lemah', 'bayar', 'gratis']</t>
  </si>
  <si>
    <t>['keren', 'sya', 'suka']</t>
  </si>
  <si>
    <t>['paket', 'internet', 'masuk', 'masuk', 'terpotong', 'biaya', 'pembelian', 'untung', 'nominalnya', '']</t>
  </si>
  <si>
    <t>['tolong', 'paket', 'mytelkomsel']</t>
  </si>
  <si>
    <t>['beli', 'paket', 'internet', 'aplikasi', 'paketnya', 'telat', 'masuk', 'giliran', 'uda', 'paket', 'internet', 'kesedot', 'pulsanya', '']</t>
  </si>
  <si>
    <t>['pagi', 'sinyal', 'jelek', 'pakai', 'main', 'game']</t>
  </si>
  <si>
    <t>['telkomsel', 'gajelas', 'isi', 'pulsa', 'tunggu', 'menit', 'gamasuk', 'masuk', 'gabisa', 'memenuhi', 'permintaan', 'pelanggan', 'gausah', 'buka', 'layanan', 'maaf', 'tegur', 'gini', 'urgent', 'tugas', 'beli', 'kuota', 'ehh', 'pas', 'isi', 'pulsa', 'gamasuk', 'masuk', 'gimana', '']</t>
  </si>
  <si>
    <t>['gimna', 'operator', 'paket', 'data', 'pulsa', 'berkurang', 'males', 'telkomsel', 'kek', 'gini']</t>
  </si>
  <si>
    <t>['sinyal', 'ngelag', 'banget', 'pas', 'main', 'coba', 'daerah', 'madukara', 'banjarnegara', 'jawa', 'laag', 'parah', 'orng', 'ngerasa', 'nyaman', 'banget', 'karna', 'sinyal', 'turun', 'coba', 'perbaiki', 'sinyalnya', 'beli', 'sinyal', 'jelk', 'beli', 'mahal', 'lemot', 'banget', 'tolong', 'perbaiki', 'pergi', 'madukara', 'banjarnegara', 'jawa', 'kota', 'doank', 'bgs', '']</t>
  </si>
  <si>
    <t>['aplikasinya', 'lelet', 'loading', 'wifi', 'stabil', 'nyalahin', 'wifi']</t>
  </si>
  <si>
    <t>['lbh', 'hapus', 'aplikasi', 'krna', 'banyakin', 'dosa', 'lemot', 'khilaf', '']</t>
  </si>
  <si>
    <t>['sinyal', 'terbusuk', 'sejarah']</t>
  </si>
  <si>
    <t>['telkomsel', 'jaringannya', 'jelek', 'jelek']</t>
  </si>
  <si>
    <t>['karna', 'mudah']</t>
  </si>
  <si>
    <t>['paket', 'ganti']</t>
  </si>
  <si>
    <t>['aplikasi', 'buruk']</t>
  </si>
  <si>
    <t>['mbembettt', 'sinyal', 'celeh']</t>
  </si>
  <si>
    <t>['kasi', 'promo', 'kalangan', 'ekonomi', 'lemah']</t>
  </si>
  <si>
    <t>['kessel', 'aplikasi', 'mytelkomsel', 'banget', 'erorr', 'cek', 'kuota', 'dsb', 'tolong', 'diperbaiki', '']</t>
  </si>
  <si>
    <t>['males', 'telkomsel', 'paket', 'beli', 'hpus', 'paket', 'unlimited', 'max', 'gtu', 'krang', 'mah', 'turun', 'sinyal', '']</t>
  </si>
  <si>
    <t>['mudah', 'app', 'telkomsel', 'beli', 'paket', 'isi', 'ulang', 'pulsa', 'enak', 'poin', 'hadiah', 'undian', 'smg', 'rejeki', 'terimakasih', 'telkomsel', '']</t>
  </si>
  <si>
    <t>['blank', 'spot']</t>
  </si>
  <si>
    <t>['waaa', 'sinyal', 'lemot', 'mahal', 'mending', 'three', 'murah', 'diskon', 'nga', 'kek', 'telokomtod', 'main', 'lemot', 'banget', 'miris', 'udh', 'mahal', 'mahal', 'hamdeh']</t>
  </si>
  <si>
    <t>['mantap', 'proses', 'mudah', 'cepat']</t>
  </si>
  <si>
    <t>['mahal', 'lemot', 'ditempat', 'jaringan', 'disney', 'hotstar', '']</t>
  </si>
  <si>
    <t>['semoga', 'aplikasi', 'terbaik']</t>
  </si>
  <si>
    <t>['terima', 'kasih', 'kenyamanannya']</t>
  </si>
  <si>
    <t>['memudahkan', 'transaksi', 'telkomsel']</t>
  </si>
  <si>
    <t>['pelanggan', 'kartu', 'telekom', 'sel', 'pegang', 'hape', 'sampe', 'inih', 'telekomsel', 'sinyal', 'mantap']</t>
  </si>
  <si>
    <t>['sinyal', 'lemah', 'daera', 'pelosok']</t>
  </si>
  <si>
    <t>['semoga', 'promo', '']</t>
  </si>
  <si>
    <t>['sayangkan', 'berlaku', 'kecepatan', 'internet', 'medsos', 'lambat', 'habis', 'aktif', 'paket', 'tks', 'telkomsel', '']</t>
  </si>
  <si>
    <t>['bagus', 'pelayananya']</t>
  </si>
  <si>
    <t>['transaksi', 'gagal', 'pulsa', 'kepotong', 'ribu', 'hebat']</t>
  </si>
  <si>
    <t>['edit', 'ulasan', 'pas', 'jam', 'aktif', 'paket', 'habis', 'knp', 'main', 'potong', 'sja', 'pulsa', 'pdhl', 'jedah', 'non', 'aktifkan', 'mobile', 'data', 'semenit', 'motongnya', 'ngeri', 'jaringan', 'internet', 'mmg', 'msh', 'pegang', 'kendali', 'kota', 'kelahiranku', 'paket', 'internet', 'msh', 'bnyk', 'promo', 'terjangkau', 'dompet', 'guru', 'kontrak', 'coba', 'ulasan', 'pelanggan', 'dijdikan', 'tolok', 'ukur', 'salam', 'sehat', '']</t>
  </si>
  <si>
    <t>['rekomended', 'paketnya', 'murah', 'murah', 'dibanding', 'waruooeng', 'pulsa']</t>
  </si>
  <si>
    <t>['paus', 'mudah']</t>
  </si>
  <si>
    <t>['error', 'jelek']</t>
  </si>
  <si>
    <t>['aplikasinya', 'membantu', 'banget', 'top', 'markotop', 'pokoknya', '']</t>
  </si>
  <si>
    <t>['paket', 'combo', 'sakti', 'unlimited', 'khusus', 'sosial', 'terpakai', 'nunggu', 'kuota', 'utama', 'habis', 'dlu', 'terpakai', 'merugikan']</t>
  </si>
  <si>
    <t>['beli', 'paket', 'kouta', 'aplikasi', 'check', 'koneksi', 'jaringan', 'lancar', 'lancar', 'aplikasi', 'ngga', 'update', '']</t>
  </si>
  <si>
    <t>['semoga', 'murah', 'harganya']</t>
  </si>
  <si>
    <t>['paket', 'abis', 'bsa', 'buka', 'aplikasi', 'hmmm', 'ribet', 'ngeselin', 'pengen', 'buka', 'bli', 'aplikasi', 'skedar', 'ngecek', 'wajah', 'telkomsel', 'brubah', 'bagus', 'keren', 'naikkan', 'bintang', 'deh', 'tolong', 'tuk', 'paket', 'habis', 'tolong', 'aplikasinya', 'bsa', 'buka', 'pakettan', 'aahh', 'aplikasi', 'telkom', 'bener', 'error', 'smlm', 'pakettin', 'combo', 'unlimitid', 'pagi', 'paket', 'udh', 'habis', 'ilang', 'bgtu', 'tinggal', 'doang', '']</t>
  </si>
  <si>
    <t>['buruk', 'performa', 'semenjak', 'indihome', 'masuk', 'pemasangan', 'indihome', 'disekitar', 'rumah', 'fix', 'tsel', 'ampas', 'pindah', 'rumah', 'mending', 'suruh', 'cabut', 'indihome', '']</t>
  </si>
  <si>
    <t>['promo', 'phone', 'jaringan', 'benerin', 'jaringan', 'bermanfaat', 'orang', 'desa', 'provider', 'berkomunikasi', 'telkomsel', 'slogan', 'terbaik', 'indonesia', 'perusahaan', 'negara', 'tarif', 'mahal', 'lho', 'tarif', 'ekonomis', 'provider', '']</t>
  </si>
  <si>
    <t>['kenpa', 'pulsa', 'kepotong', 'data', 'nyalah']</t>
  </si>
  <si>
    <t>['memakai', 'kartu', 'telkomsel', 'otomatis', 'data', 'pakai', 'telkomsel', 'terkadang', 'pindah', 'jaringanx', 'lemah', 'diperhatikan']</t>
  </si>
  <si>
    <t>['kuotanya', 'dipisahkan', 'pengguna', 'nyaman', '']</t>
  </si>
  <si>
    <t>['telkomsel', 'mantaaap', 'terima', 'kasih', 'telkomsel']</t>
  </si>
  <si>
    <t>['aplikasi', 'licik', 'buka', 'aplikasi', 'telkomsel', 'data', 'seluler', 'kuota', 'langsung', 'berjalan', 'henti', 'mb', 'mb', 'terkuras', 'berjalan', 'berhenti', 'menguras', 'kuota', 'diama', 'licik', '']</t>
  </si>
  <si>
    <t>['dibersihkan', 'sampah', 'ponsel', 'pakai', 'aplikasi', 'bawaan', 'samsung', '']</t>
  </si>
  <si>
    <t>['telkomsel', 'promonya', '']</t>
  </si>
  <si>
    <t>['suka', 'beli', 'paket', 'internet', 'gb', 'aplikasi', 'terkadang', 'beli', 'kadang', '']</t>
  </si>
  <si>
    <t>['telkomsel', 'anti', 'lemot', 'kartu', 'sakti', 'beli', 'paket', 'mahal', 'selagit', 'tolong', 'benai', 'jaringan', 'internet', 'jagan', 'hasil', 'udah', 'nyesal', 'gua', 'beli', 'kartu', 'serba', 'lemot', 'lari', 'paket', 'habis', 'kemana', 'lari', 'kebayakan', 'pending', 'serba', 'pending', 'dlm', 'akses', 'jaringan', 'bisnis', 'terbengkalai', 'bls', 'ulansan', 'cepat', 'tindak', 'lanjutin', 'telkomsel', 'lemot', 'jagan', 'bohonggi', 'masyarakat', 'boss', 'coba', 'rilis', 'perbaiki', 'emosi', 'gua', 'terbating', 'gara', 'jaringgan', 'lemot']</t>
  </si>
  <si>
    <t>['meng', 'update', 'telkomsel', 'pakai', 'android', 'mmg', 'kopetibele', 'android', 'versi', 'terbaru', '']</t>
  </si>
  <si>
    <t>['harga', 'mahal', 'sebanding', 'kualitas', 'jaringan', 'buruk', '']</t>
  </si>
  <si>
    <t>['telkomsel', 'didaerah', 'bagus', 'aplikasinya', 'mahal', 'harga', 'pulsanya', 'buruk', 'penerimaan', 'sinyalnya']</t>
  </si>
  <si>
    <t>['promo', 'tambahin']</t>
  </si>
  <si>
    <t>['layanan', 'mempermudah', 'top']</t>
  </si>
  <si>
    <t>['alhamdulillah', 'dlm', 'kota', 'lelet', 'sinyal', 'jelek', 'dibawa', 'perkampungan', 'ngilang', 'lemah', 'sinyal', 'dikasih', 'obat', 'kuat', 'yakinnn', 'kerasss', 'kenceng', 'kayanya', 'paktor', 'tua', 'kali', 'costumer', 'komplen', 'digubris', '']</t>
  </si>
  <si>
    <t>['sinyal', 'bagus', 'harga', 'paket', 'mahal', 'program', 'menit', 'bicara', 'bonus', 'menit', 'adain', '']</t>
  </si>
  <si>
    <t>['udh', 'gua', 'boikot', 'melayang', 'pulsa', 'gua', 'ilang', 'pulsa', 'diam', 'korup', 'pulsa', 'rb', 'gua', 'ilang', 'ditotalin', 'bisaa', 'sue', 'make', 'telkom', 'udah', 'jaringan', 'ampes', 'pdhl', 'gua', 'tinggal', 'kota', 'makasih', 'melayang', 'pulsa', 'dijamin', 'iklas', 'haram']</t>
  </si>
  <si>
    <t>['alhamdulillah', 'aplikasinya', 'bermanfaat', 'mahasiswa', 'membeli', 'pulsa', 'paket', 'data', 'dll', 'aplikasi', 'terima', 'kasih', 'mytelkomsel']</t>
  </si>
  <si>
    <t>['cepat', 'transparan']</t>
  </si>
  <si>
    <t>['tolong', 'telkomsel', 'jaringan', 'perbaiki', 'main', 'game', 'jaringan', 'telkomsel', 'ngelag', '']</t>
  </si>
  <si>
    <t>['sekelas', 'telkomsel', 'aplikasi', 'telkomselnya', 'enak', 'dipakai', 'coba', 'kasih', 'menu', 'pencarian', 'gampang', 'cari', 'daftar', 'kuota', 'cari', 'paket', 'malam', 'susah', 'banget', 'ganti', 'menu']</t>
  </si>
  <si>
    <t>['beli', 'paket', 'susah', 'lemoooot', 'aplikasi', 'bayar', 'shoope', 'pay', 'pulsa', 'kesedot', 'terussss']</t>
  </si>
  <si>
    <t>['bagus', 'mantap', '']</t>
  </si>
  <si>
    <t>['mahal', 'iya', 'bagus', 'kualitas', 'burik', 'stabil', 'habis', 'rilis', 'nda', 'jangkauan', 'sinyal', 'daki', 'kuda', 'nil', 'gwa', 'tower', 'km', 'keliatan', 'tower', '']</t>
  </si>
  <si>
    <t>['sangant', 'memanjakan', 'pelanggan']</t>
  </si>
  <si>
    <t>['terimakasih', 'kunjungan', 'selamat', '']</t>
  </si>
  <si>
    <t>['mudah', 'komunikatif']</t>
  </si>
  <si>
    <t>['kualitas', 'menurun', 'stabil', 'nyedot', 'kuota', 'tetep', 'kenceng', '']</t>
  </si>
  <si>
    <t>['bsa', 'mengisi', 'pulsa']</t>
  </si>
  <si>
    <t>['bagus', 'bagus', 'internet', 'terdaftar', 'jaringan', 'udah', 'ditunggu', 'tetep', 'jaringan']</t>
  </si>
  <si>
    <t>['sinyal', 'njr', 'dipake', 'gede', 'banget', 'buka', 'lancar', 'tpi', 'giliran', 'ngegame', 'codm', 'ilang', 'kadang', 'kosong', 'perbaikin', 'napa']</t>
  </si>
  <si>
    <t>['aplikasi', 'penipu', 'nyedot', 'pulsa', 'telpon', 'sms', 'mobile', 'data', 'pulsa', 'kesedot', '']</t>
  </si>
  <si>
    <t>['jaringan', 'jelek', 'pemain', 'game', 'kesal', 'karna', 'jaringan', 'telkomsel']</t>
  </si>
  <si>
    <t>['buka', 'aplikasi', 'sinyalnya', 'slalu', 'ilang', 'aplikasinya', 'jelek', 'beli', 'paket', 'kuota', 'susah', '']</t>
  </si>
  <si>
    <t>['kasih', 'harga', 'promo', 'termurah']</t>
  </si>
  <si>
    <t>['memmbantu']</t>
  </si>
  <si>
    <t>['berikami', 'kualitas', 'jaringan']</t>
  </si>
  <si>
    <t>['aplikasinya', 'bagus', 'telkomsel', 'bagus', 'jaringan', 'pengen', 'nanya', 'membeli', 'kuota', 'beli', 'berlangganan', 'membeli', 'paket', 'internet', '']</t>
  </si>
  <si>
    <t>['mudah', 'konsisten', 'majuu']</t>
  </si>
  <si>
    <t>['telanjur', 'nasi', 'bubur']</t>
  </si>
  <si>
    <t>['batasan', 'kuota', 'unlimited', 'apps', 'parah', 'youtube', 'murah', 'pas', 'launching', 'pengen', 'ganti', 'kartu', '']</t>
  </si>
  <si>
    <t>['paket', 'unlimited', 'game', 'sosmed', 'musik', 'sedih', 'banget', 'kesini', 'kaga', 'lemot', 'banget', 'buka', 'facebook', 'doang', 'adain', 'ngga', 'kepake', 'pelanggan', 'kasian', 'pelanggan', 'setia', '']</t>
  </si>
  <si>
    <t>['memudahkan', 'pembelian', 'kuota', 'cek', 'kuota']</t>
  </si>
  <si>
    <t>['lumayan', 'membantu', 'pemilihan', 'paket', 'internet']</t>
  </si>
  <si>
    <t>['harga', 'paket', 'mahal', 'kualitas', 'sinyal', 'jelek']</t>
  </si>
  <si>
    <t>['telkomsel', 'hilang', 'sinyalnya']</t>
  </si>
  <si>
    <t>['jaringan', 'jelek', 'parah']</t>
  </si>
  <si>
    <t>['pulsa', 'berkurang', 'mengakses', 'internet', 'kuota', 'penggunaan', 'data', 'provider', 'jaih', 'harga', 'paket', 'mahal', 'telkomsel', 'asyik', 'banget']</t>
  </si>
  <si>
    <t>['asli', 'jaringan', 'telkomsel', 'jelek', 'cok', 'sumpa', 'emosi', 'main', 'game', 'ilang', 'jaringannya', 'asli', 'mending', 'pindah', 'provider', 'sebelah', 'udah', 'muak', 'telkomsel', 'anjirr', 'parahh']</t>
  </si>
  <si>
    <t>['masuk', 'telkomsel', 'nomor', 'dibikin', 'rumit', 'taik']</t>
  </si>
  <si>
    <t>['suka', 'mytelkomsel', 'sangant', 'membantu']</t>
  </si>
  <si>
    <t>['ngk', 'gritasan', 'mmeperpanjng', 'massa', 'aktof', 'gitu']</t>
  </si>
  <si>
    <t>['aplikasi', 'susah', 'dibuka', 'jaringan', 'penuh', 'tampilan', 'jaringan', 'error', '']</t>
  </si>
  <si>
    <t>['sngt', 'membantu']</t>
  </si>
  <si>
    <t>['meningkatkan', 'layanan', 'bagus']</t>
  </si>
  <si>
    <t>['provider', 'mahal', 'lambat', 'pagi', 'siang', 'sore', 'malam', 'jaringan', 'disconnect', 'kuota', 'kuota', 'diisi', 'mahal', 'rb', 'kualitas', 'dapatnya', 'sesuai', 'value', 'bayar', 'rugi', 'deh', 'mending', 'biru', 'kuota', 'mahal', 'kualitas', 'jaringannya', 'stabil', '']</t>
  </si>
  <si>
    <t>['membantu', 'banget', 'pembelian', 'paket', 'kouta', '']</t>
  </si>
  <si>
    <t>['pulsa', 'berkurang']</t>
  </si>
  <si>
    <t>['min', 'curhat', '']</t>
  </si>
  <si>
    <t>['apk', 'bermanfaat', 'disarankan', 'kesusahan', 'membeli', 'kuota', 'pulsa', 'ketoko', 'dirumah', 'bertransaksi', 'semangat', 'telkomsel', 'puas', 'layanan']</t>
  </si>
  <si>
    <t>['membantu', 'pembelian', 'kuota']</t>
  </si>
  <si>
    <t>['telkomsel', 'jaringanny', 'jelek', 'kecewa', '']</t>
  </si>
  <si>
    <t>['memudahkan', 'membeli', 'pulsa', 'cek', 'point', 'dll']</t>
  </si>
  <si>
    <t>['smpai', 'kelen', 'belik', 'kartu', 'simpati', 'unduh', 'apk', 'sinyal', 'jelek', 'unduh', 'apk', 'jga', 'berguna', 'ngaruh', 'sma', 'jaringan', 'ttep', 'jlk', 'mcem', 'taik', 'jaringan', 'telkomsel', 'liat', 'pakai', 'jaringan', 'bagus', 'mcem', 'anjng', 'nyesel', 'pakai', 'telkomsel', 'untk', 'skrang', 'jaringan', 'beres', 'gangguan', 'jaringan', 'sinyal', 'trus', 'stabil', 'skrang', 'patahin', 'kartu', 'simpati', 'bagus', 'bagusnya', 'sinyal', 'kelen', 'bujang', '']</t>
  </si>
  <si>
    <t>['signal', 'kuat']</t>
  </si>
  <si>
    <t>['', 'telkomsel', 'enak', 'kebutuhan', 'akses', 'siiiiip', 'tingkatkan', 'pelayanannya', 'masyarakat', 'luas', '']</t>
  </si>
  <si>
    <t>['', 'bnget', 'mantap', 'aplikasiny', 'beli', 'kuota', 'mudah', 'bnget', 'tggal', 'pilih', 'pencet', 'pencet', 'good', 'very', 'good', '']</t>
  </si>
  <si>
    <t>['telkomsel', 'sinyal', 'bagus']</t>
  </si>
  <si>
    <t>['setia', 'pakai', 'telkomsel', 'telkomsel', 'lelet', 'jaringan', 'turun', 'main', 'game', 'susah', 'pingin', 'pindah', 'seluler']</t>
  </si>
  <si>
    <t>['bayar', 'mahal', 'dpat', 'jaringan', 'bagus', 'buruk', 'telkomsel', 'menang', 'nomor', 'kualitas', 'jaringan', 'buruk', '']</t>
  </si>
  <si>
    <t>['mantap', 'jaringan', 'enak', 'sayangnya', 'paket', 'habis', 'langsung', 'nelan', 'saldo', 'pulsa']</t>
  </si>
  <si>
    <t>['update', 'android', 'instalan', 'mytelkomsel', 'hilang', 'dicoba', 'instal', 'via', 'playstore', '']</t>
  </si>
  <si>
    <t>['singkat']</t>
  </si>
  <si>
    <t>['apk', 'kern', 'tolong', 'kasi', 'murah', 'promo', 'gede', 'sikit', '']</t>
  </si>
  <si>
    <t>['telkomsel', 'maki', 'parah', 'jaringa', 'kaya', 'taik']</t>
  </si>
  <si>
    <t>['kecewa', 'dirugikan', 'daritelkomsel', 'mengunakan', 'telkomsel', 'bertahun', 'paket', 'internet', 'murah']</t>
  </si>
  <si>
    <t>['tolong', 'tolongkan', 'diperbaiki', 'secepatnya', 'sistemnya', 'membeli', 'kuota', 'masuk', 'pulsa', 'tersedot']</t>
  </si>
  <si>
    <t>['bagua', 'bangat', 'apknya']</t>
  </si>
  <si>
    <t>['pke', 'telkomsel', 'mah', 'ngisi', 'vocer', 'ribet', 'sinyal', 'kuning', '']</t>
  </si>
  <si>
    <t>['kmana', 'aplikasi', 'top', '']</t>
  </si>
  <si>
    <t>['woi', 'jaringan', 'perbaiki', 'gua', 'main', 'game', 'leg', 'muluh', 'siang', 'malam', '']</t>
  </si>
  <si>
    <t>['jaringannya', 'rusak', 'bagus', 'produk', 'im', 'msh', 'stabil', 'telkomsel', 'lemah']</t>
  </si>
  <si>
    <t>['bagus', 'transaksi', 'sayang', 'utang', 'pulsa', 'tolong', 'tingkatkan', 'member', 'telkomsel', 'sukses', '']</t>
  </si>
  <si>
    <t>['nukar', 'paket', 'poin', 'pulsa', 'keambil', 'ggwp']</t>
  </si>
  <si>
    <t>['paket', 'ulimited', 'batas', 'kuota', 'provider', 'nyesel', 'berlanganan']</t>
  </si>
  <si>
    <t>['jelekk', 'gimana', 'hapus', 'kuota', 'berlangganan', 'telkomsel']</t>
  </si>
  <si>
    <t>['', 'jaringanya', 'kuenceng', 'stabil']</t>
  </si>
  <si>
    <t>['nggak', 'murah', 'mahalll', '']</t>
  </si>
  <si>
    <t>['update', 'ssh', 'gmn', 'msk', 'telkomsel', 'lemot', 'telkomsel', 'bkn', 'kenceng', 'jaringan', 'telkomsel', '']</t>
  </si>
  <si>
    <t>['jaringan', 'telkomsel', 'susah', 'didaearah', 'telkomsel', 'mudah', 'sinyal', 'buruk', 'temen', 'nyaranin', 'suruh', 'pindah', 'provider', 'karna', 'pelanggan', 'setia', 'telkomsel', 'sinyal', 'buruk', 'pindah', 'tolong', 'pihat', 'terkait', 'perbaiki', 'nggak', 'pindah']</t>
  </si>
  <si>
    <t>['saran', 'kuota', 'roaming', 'roamax', 'gb', 'kecepatan', 'batasi', 'mending', 'kuota', 'kurangin', 'gb', 'kek', 'kek', 'harga', 'cok', 'kuota', 'kecepatan', 'kalah', 'jalan', 'siput', '']</t>
  </si>
  <si>
    <t>['hadiah', 'mytelkomsel', 'menang']</t>
  </si>
  <si>
    <t>['mlam', 'susah', 'beli', 'kuota']</t>
  </si>
  <si>
    <t>['mahal', 'sinyal', 'kualitas', '']</t>
  </si>
  <si>
    <t>['telkomsel', 'skarang', 'sinyal', 'stabil', 'turun', 'tolong', 'tindak', 'lanjuti', 'agr', 'pelangan', 'kecewa']</t>
  </si>
  <si>
    <t>['aplikasinya', 'bagus', 'beli', 'paket', 'data', 'pilihannya', 'pilih', 'sesuai', 'kebutuhan', 'beli', 'paket', 'data', 'paketan', 'buka', 'aplikasinya', 'buka', 'pintu', 'rumah', 'kuncinya', 'dlm', 'rumah', '']</t>
  </si>
  <si>
    <t>['aplikasi', 'mennadi', 'terganggu']</t>
  </si>
  <si>
    <t>['kualitas', 'sinyal', 'karanganyar', 'demak', 'buruk', 'harga', 'kuota', 'mahal', 'lainya', 'kualitas', 'sinyal', '']</t>
  </si>
  <si>
    <t>['', 'pliss', 'partelkom', 'kuranggi', 'harga', 'paket', 'jagan', 'mahal', 'mahal', 'uda', 'jaringan', 'lemot', 'harga', 'paket', 'mahal']</t>
  </si>
  <si>
    <t>['karna', 'udah', 'provider', 'rekan', 'bisnis', 'ntah', 'mengecewakan']</t>
  </si>
  <si>
    <t>['sya', 'kasih', 'bintang', 'update', 'mulu']</t>
  </si>
  <si>
    <t>['ribet', 'loginnya']</t>
  </si>
  <si>
    <t>['bangke', 'paket', 'data', 'abis', 'langsung', 'nyedot', 'pulsa', 'berbeda', 'provider', 'mengambil', 'pulsa', 'paket', 'datanya', 'habis', 'make', 'kartu', 'enak']</t>
  </si>
  <si>
    <t>['telkomsel', 'jaya', 'mantap', 'pokonya', 'telkomsel', 'sllu', 'nyaman']</t>
  </si>
  <si>
    <t>['', 'mantap', 'promo', 'menarik', 'telkomsel']</t>
  </si>
  <si>
    <t>['memuaskan', 'pelayanan', '']</t>
  </si>
  <si>
    <t>['semogga', 'rejeki', 'untk', 'krna', 'suda', 'mendownload', 'aplikasi', 'telkomsel', '']</t>
  </si>
  <si>
    <t>['sgt', 'membantu', 'dlam', 'berlangganan', 'paket', 'internen']</t>
  </si>
  <si>
    <t>['mudah', 'telkomsel', 'mencuri', 'pulsa', 'pelanggan', 'habis', 'transfer', 'pulsa', 'karna', 'berhasil', 'transfer', 'sms', 'premium', 'sampah', 'memcuri', 'orang', 'awas', 'parah', 'kaya', 'begal']</t>
  </si>
  <si>
    <t>['membantu', 'pembelian', 'paket', 'internet', 'menangkan', 'hadiah', 'tukar', 'koin']</t>
  </si>
  <si>
    <t>['kasi', 'bintang', 'solal', 'kali', 'pakex', 'apliksi']</t>
  </si>
  <si>
    <t>['sinyal', 'internetnya', 'parah', 'kaya', 'kutub', 'mahal', 'doang', '']</t>
  </si>
  <si>
    <t>['mahal', 'lemot', 'otw', 'pindah', 'indosat']</t>
  </si>
  <si>
    <t>['php']</t>
  </si>
  <si>
    <t>['tolong', 'jaringan', 'benerin', 'mahal', 'jaringan', 'parah', 'udah', 'coba', 'saran', 'nol', 'besa']</t>
  </si>
  <si>
    <t>['buruk', 'update', 'lancar', 'praktis', 'ribet', 'sinyal', 'ancur', '']</t>
  </si>
  <si>
    <t>['parah', 'telkomsel', 'udah', 'mahal', 'jaringan', 'sring', 'ilang']</t>
  </si>
  <si>
    <t>['mantullllll', 'abis', 'telkomsel', '']</t>
  </si>
  <si>
    <t>['matap', 'mudah', 'cek', 'paket']</t>
  </si>
  <si>
    <t>['apk', 'menguntungkan', 'sukses', 'telkom', 'semoga', 'kedepannya', 'jaringan', 'telkom', 'lancar']</t>
  </si>
  <si>
    <t>['pulsa', 'berkurang', 'buka', 'apl', 'telkomsel', 'kali', 'mohon', 'pencerahanya', 'woi', '']</t>
  </si>
  <si>
    <t>['ngak', 'bangkrut', 'telkomsel', 'semoga', 'karyawan', 'bkerja', 'grapari', 'telkomsel', 'dpannya', 'mndapatkan', 'pkerjaan', 'layak', 'mudahkan', 'rezekinya', 'orang', 'terdzolimi', 'ijabahin', 'telkomsel', 'membebani', 'pelanggan', 'ikhlaskan', 'kartu', 'pakai', '']</t>
  </si>
  <si>
    <t>['udah', 'baguslah', 'semoga', 'maju', 'kedepannya', '']</t>
  </si>
  <si>
    <t>['telkomsel', 'jelek', 'gangguan', 'signal', 'stabil', 'hilang', 'berhari', 'area', 'kalimantan']</t>
  </si>
  <si>
    <t>['pilihan', 'paket', 'omg', 'diperbanyak']</t>
  </si>
  <si>
    <t>['telkom', 'sinyalnya', 'aduh', 'lag', 'parah']</t>
  </si>
  <si>
    <t>['telkomsel', 'paket', 'mahal', 'jaringan', 'gamemuaskan', 'babi', 'emang', 'saria', 'kabeh', 'bangkrut', 'bangkrut', 'haram', 'aing', 'meli', 'paket', 'mahal', 'anjing', 'ngeleg', 'keneh', 'wae', 'sia', 'memek', '']</t>
  </si>
  <si>
    <t>['kasih', 'menang', 'donk', 'undian']</t>
  </si>
  <si>
    <t>['teruntuk', 'telkomsel', 'telkomsel', 'mahal', 'banget', 'harga', 'paket', 'pelanggan', 'setia', 'telkomsel', 'mnghabiskan', 'jt', 'rupiah', 'pulsa', 'telkomsel', 'doang', 'ngak', 'krtu', 'paket', 'murah', 'kecewa', 'telkomsel', 'pertimbangan', 'telkomsel', 'gila', 'paket', 'mahal', 'isi', 'pernh', 'dri', 'minggu', 'paket', 'mahal', 'pertimbangannya', 'operator', '']</t>
  </si>
  <si>
    <t>['berlangganan', 'telkomsel', 'thn', 'telkomsel', 'bobrok', 'jaringan', 'kaga', 'stabil', 'turun', 'muak', 'kesini', 'koneksi', 'buruk']</t>
  </si>
  <si>
    <t>['lemot', 'jaringan', 'kesini', 'nyaman', 'jaringan', 'lemot', 'perbaikan', 'buka', 'lancar', 'haduh', 'pas', 'main', 'game', 'hmmm', 'perbaikilah', 'kenyamanan', '']</t>
  </si>
  <si>
    <t>['weh', 'komsel', 'harga', 'paketan', 'naikin', 'sinyal', 'jelek', 'biariin', 'cari', 'untung', 'gede', 'gini', 'sel', 'komselll', 'gua', 'kasih', 'rating', 'bintang', 'bli', 'kouta', 'gb', 'muter', 'main', 'game', 'muter', 'buka', 'foto', 'buka', 'sope', 'lemot', 'sinyal', 'bgus', 'jaringan', 'luasss', 'preeeeeeeetttttttt', 'hoak', 'tok']</t>
  </si>
  <si>
    <t>['kualitas', 'jaringan', 'payah', 'aplikasi', '']</t>
  </si>
  <si>
    <t>['beli', 'paketan', 'pakai', 'ngebuang', 'budget', 'sayang', 'udah', 'gitu', 'sinyalnya', 'jelek', 'bangettty']</t>
  </si>
  <si>
    <t>['mantap', 'aikasih', 'beli', 'paket', 'murah', 'mytelkomsel']</t>
  </si>
  <si>
    <t>['galakan', 'sinyal', 'paket', 'internet', 'murain', 'masyarakat', 'menengah', 'kebawah', 'mantap', 'telkomsel']</t>
  </si>
  <si>
    <t>['provider', 'cepat', 'luas', 'alah', 'eeq', 'kucing', 'sinyal', 'turun', 'kadang', 'hilang', 'kecewa']</t>
  </si>
  <si>
    <t>['tingkat', 'jaringan', 'mantap']</t>
  </si>
  <si>
    <t>['mantap', 'cepat', 'proses', 'transaksi', 'paket', 'data']</t>
  </si>
  <si>
    <t>['yuk', 'pindah', 'operator', 'telkomsel', 'jaringannya', 'jelek', 'udah', 'mahal', 'mahal', 'kuota', 'muter', 'loading', 'menghubungi', 'admin', 'telkomsel', 'respon', 'kampretlah', 'enakan', 'operator', 'sebelah', 'kuota', 'kecepatannya', 'memuaskan', 'memprioritaskan', 'konsumen', 'yuk', 'pindah', 'operator', 'sebelah', '']</t>
  </si>
  <si>
    <t>['provider', 'mengambil', 'pulsa', 'konsumen', 'hayang', 'untu', 'buuka', 'whatsapp', 'paket', 'whatsapp', 'sisa', 'pulsa', 'ambil', 'konsumen', 'pastinya', 'ganti', '']</t>
  </si>
  <si>
    <t>['baguss', 'harga', 'lumayan', 'terjangkau']</t>
  </si>
  <si>
    <t>['gimana', 'pakai', 'paket', 'gamesmax', 'terhubung', 'main', 'pubg']</t>
  </si>
  <si>
    <t>['telkomsel', 'isi', 'pulsa', 'kepotong', 'mulu', 'udah', 'bilangnya', 'kepotong', 'pulsa', 'non', 'paket', 'pdhal', 'kuota', 'gila', 'kali', 'telkom', 'motong', 'pulsa', 'orang', 'mulu', 'dikata', 'beli', 'daon', '']</t>
  </si>
  <si>
    <t>['tolongdong', 'ubah', 'jadwal', 'jam', 'pemakaian', 'paket', 'internet', 'malam', 'jm', 'papa']</t>
  </si>
  <si>
    <t>['gila', 'jaringan', 'jelek', 'banget', 'dijakarta', 'utara', 'main', 'game', 'stabil', 'kalah', 'im', 'sangatmembanggakan', 'mahal', 'kualitas', 'ptovider', 'bli', 'nomor', 'menyesal', 'syng', 'nomor', '']</t>
  </si>
  <si>
    <t>['sukanya', 'telkomsel', 'bonus', 'cek', 'telkomsel', 'dpt', 'kuota', 'mb', 'sebenernya', 'pakai', 'im', '']</t>
  </si>
  <si>
    <t>['beli', 'mahal', 'maen', 'game', '']</t>
  </si>
  <si>
    <t>['parah', 'sihh', 'udah', 'make', 'telkomsel', 'sinyal', 'down', 'pikir', 'sehari', 'player', 'game', 'online', 'kecewa', 'bnget', 'karna', 'bnget', 'sinyal', 'down', 'berulang', 'kali', 'deh', 'telkomsel', 'merasakan', 'rasakan', 'yuk']</t>
  </si>
  <si>
    <t>['canggih', 'sinyal', 'susah', 'online', 'koq', 'berulang', 'ulang', 'off', 'pakai', 'mode', 'pesawat', 'koq', 'gini', 'kali', 'telkomsel', 'parah', 'telkomsel', 'buka', 'aplikasi', 'menjengkelkan', '']</t>
  </si>
  <si>
    <t>['aplikasi', 'sampaah', 'beli', 'paket', 'dicoba', 'puluhan', 'kali', 'gagal', 'mlulu', 'kerja']</t>
  </si>
  <si>
    <t>['tolong', 'jaringan', 'benahi', 'parah', 'telkomsel', 'paket', 'mahal', 'jaringan', 'parah', 'tolong', 'telkomsel', 'main', 'game', 'ngerasain', 'gimana', 'jaringan', 'bagus', 'skarang', 'buka', 'lelet', '']</t>
  </si>
  <si>
    <t>['mantap', 'telkomsel', 'signal', 'kuat', 'dimanapun']</t>
  </si>
  <si>
    <t>['kacau', 'beli', 'sim', 'card', 'aplikasi', 'kunjung', 'order', 'tanggal', 'november', 'tanggal', 'november', 'blm', 'telepon', 'email', 'call', 'center', 'berkali', 'kali', 'dipercepat', 'difollow', 'lainya', 'sistem', 'aplikasi', 'mytelkomsel', 'kecewa', 'layanan', 'pembelian', 'sim', 'card', 'aplikasi', 'mytelkomsel', '']</t>
  </si>
  <si>
    <t>['terimakasih', 'telkomsel', 'pelayanan', 'terbaik']</t>
  </si>
  <si>
    <t>['telkom', 'please', 'jaringannya', 'stabil', 'gini', 'kuota', 'mahal', 'kalah', 'smartfren', 'telkomsel', 'ngotak', '']</t>
  </si>
  <si>
    <t>['pulsanya', 'ilang', 'kartu', '']</t>
  </si>
  <si>
    <t>['perhatikan', 'kouta', 'internet', 'pengguna', 'kirim', 'sms', 'kouta', 'habis', 'telkomsel', 'mengacaukan', 'pelanggan', 'iklan', 'sms', 'bermutu']</t>
  </si>
  <si>
    <t>['aplikasinya', 'tolong', 'bagusin', 'kali', 'kesal', 'mengunakan', 'aplikasi', 'karna', 'bukak', 'udah', 'terkeluar', 'lemot', 'sperti', 'merusak', 'mengunakan', 'aplikasi', 'tolong', 'diperbaiki', 'kasihan', 'pelanggan', 'masak', 'iya', 'kalah', 'aplikasi', 'jaringan']</t>
  </si>
  <si>
    <t>['sinyalnya', 'gbl', 'kasih', 'ujan', 'sinyal', 'ilangg', 'jelek', 'amattt']</t>
  </si>
  <si>
    <t>['sinyal', 'lemot', 'lapor', 'capaik', 'operator']</t>
  </si>
  <si>
    <t>['dapet', 'gratisan']</t>
  </si>
  <si>
    <t>['sisa', 'pulsa', 'paketannya', 'pulsanya', 'tarik']</t>
  </si>
  <si>
    <t>['sinyal', 'telkomsel', 'bkn', 'hancur', 'kuota', 'mahal', 'sinyal', 'kayak', 'iiiiiii']</t>
  </si>
  <si>
    <t>['jaringanya', 'yaaaa', 'kuota', 'masuh', 'lemot', 'nyaaa', 'asm']</t>
  </si>
  <si>
    <t>['pengen', 'dapet', 'hadiah', 'pulsa']</t>
  </si>
  <si>
    <t>['bagus', 'murah', 'meriah']</t>
  </si>
  <si>
    <t>['telkomsel', 'turunin', 'harga', 'seimbang', 'kualitas', 'jelek', 'ngeleg', 'pagi', 'jam', 'doang', 'habis', 'ngeleg', 'turunin', 'harganya', '']</t>
  </si>
  <si>
    <t>['mhon', 'pertajam', 'sinyal', 'keluhan', '']</t>
  </si>
  <si>
    <t>['gmpng', 'paketin', 'telkomsel', 'terimakasih']</t>
  </si>
  <si>
    <t>['hpku', 'poco', 'pro', 'ram', 'pubg', 'lag', 'turun', 'sinyalnya', 'kecewa']</t>
  </si>
  <si>
    <t>['ngelag', 'trus', 'babi', 'harga', 'pejabat', 'speed', 'kaya', 'kacung']</t>
  </si>
  <si>
    <t>['sinyalnya', 'memburuk', 'kualitas', 'sinyal', 'jelek', 'malu', 'harganya', '']</t>
  </si>
  <si>
    <t>['gangguan', 'sistem', 'membeli', 'paket', 'telkomsel', 'tolong', 'tingkatkan', 'pelanggan', 'setia']</t>
  </si>
  <si>
    <t>['woe', 'login', 'telkomsel', 'alihkan', 'sms', 'magic', 'link', 'negri', 'aplikasinya', 'woeee', 'tolol', 'banget']</t>
  </si>
  <si>
    <t>['kemarin', 'combo', 'sakti', 'uda', 'hilangkan', 'aneh', 'banget', '']</t>
  </si>
  <si>
    <t>['mabok', 'ngabisinnya', '']</t>
  </si>
  <si>
    <t>['optimalkan', 'pelayanan', 'masalh', 'jaringan', 'pengguna', 'telkomsel', 'cinta']</t>
  </si>
  <si>
    <t>['jelek', 'kali', 'telkomsel', 'jaringan']</t>
  </si>
  <si>
    <t>['kecewa', 'telkomsel', 'cepet', 'kirim', 'telkomsel', 'kadang', 'kirim', 'kadang', 'ngak', 'tolong', 'perbaiki', '']</t>
  </si>
  <si>
    <t>['sayakasoh', 'sayang', 'signal', 'bagus']</t>
  </si>
  <si>
    <t>['pulsa', 'berkurang', 'program', 'mengerti', 'isi', 'pulsa', 'rb', 'pembelian', 'aktifkan', 'paket', 'sydah', 'susa', 'chat', 'veronika', 'susah']</t>
  </si>
  <si>
    <t>['tingkat', 'jaringn', '']</t>
  </si>
  <si>
    <t>['paket', 'murah', 'terjangkau', 'min']</t>
  </si>
  <si>
    <t>['parah', 'maketin', 'telkomsel', 'alesannya', 'gangguan', 'sistem', 'udah', 'kya', 'gitu', 'tolong', 'perbaiki', 'malu', 'slogannya', '']</t>
  </si>
  <si>
    <t>['paket', 'telkomsel', 'gila', 'paketnya', 'mahal', 'mahal', 'bener', 'harga', 'paket', 'internet', 'kualitas', 'jaringan', 'jelek']</t>
  </si>
  <si>
    <t>['adakan', 'paket', 'combonya', '']</t>
  </si>
  <si>
    <t>['kualitas', 'ayo', 'tunjukkan', 'jelek', 'banget', 'daerah', 'cibiuk', 'pameungpeuk', 'banjaran', 'ubah', 'sinyal', 'kencang', 'parah', 'musim', 'hujan']</t>
  </si>
  <si>
    <t>['mendaftar', 'faham', 'tolong', 'intruksinya', '']</t>
  </si>
  <si>
    <t>['memuaskan', 'pelanggan']</t>
  </si>
  <si>
    <t>['banyakin', 'donk', 'promo']</t>
  </si>
  <si>
    <t>['bagus', 'keluargaku', 'download', 'bagus', 'banget', '']</t>
  </si>
  <si>
    <t>['suda', 'isi', 'pulsa', 'keterangan', 'tenggang', 'sampe', 'tgl', 'tlp', 'dibilangnya', 'tlp', 'masuk', 'tenggang', 'muter', 'bicara', 'telkomsel']</t>
  </si>
  <si>
    <t>['lemot', 'parahhhhh', 'kota', 'surabaya', 'paraahhhhhhh', 'belinya', 'tunai', 'nyicil', 'parahhh', 'lemooottttt']</t>
  </si>
  <si>
    <t>['bos', 'buatku', 'mahal', 'sinyalnya', 'kadang', 'tolong', 'gitu', '']</t>
  </si>
  <si>
    <t>['gangguan', 'cuy', 'pengguna', 'rugi', 'pengguna', 'cuy', '']</t>
  </si>
  <si>
    <t>['susah', 'sinyal', 'sinyal', 'hilang', 'hilang']</t>
  </si>
  <si>
    <t>['mantap', 'aplikasinya', 'beli', 'kuota', 'enak', 'liat', 'sisa', 'brpa', 'kuotanya', 'enak', 'mantap', 'deh', 'pokoknyq']</t>
  </si>
  <si>
    <t>['pelit']</t>
  </si>
  <si>
    <t>['senang', 'pelayanan', 'telkomsel']</t>
  </si>
  <si>
    <t>['sinyal', 'bagus', 'tingkatkan', 'pelayanan']</t>
  </si>
  <si>
    <t>['bintang', 'yng', 'menentukan']</t>
  </si>
  <si>
    <t>['apk', 'providernya', 'jelek', 'pulsa', 'raib', 'ngisi', 'jaringan', 'sinyal', 'jelek', 'dukung', 'aplikasi', 'terb', 'percaya', 'hati', 'hati', 'uang', 'habis', 'kebijakan', 'puas', '']</t>
  </si>
  <si>
    <t>['mahal', 'belinya', 'jellekkkk', 'jaringannya', 'putus', 'haduuuhh', 'rugii', '']</t>
  </si>
  <si>
    <t>['awas', 'internetnya', 'mahal', 'kasi', 'bintang', '']</t>
  </si>
  <si>
    <t>['bermanfaat', 'memuaskan']</t>
  </si>
  <si>
    <t>['pakai', 'telkomsel', 'udah', 'bertahun', 'harga', 'promonya', 'telkomsel', 'teman', 'harganya', 'murah', 'kali', 'lipat', 'gue', 'coba', 'disamakan', 'harganya', 'dibedakan', 'pengguna', 'mahal', 'pengguna', 'murah', 'banget', 'kali', 'lipat', 'bedanya', 'murah', 'anehhhhhhhhhhhh']</t>
  </si>
  <si>
    <t>['pindah', 'yuk', 'paket', 'mahal', 'setara', 'pembelian', 'wifi', 'kualitas', 'layanan', 'jelek', 'kecewa', 'pelanggan', 'bertahun', 'setia', 'bobrok', 'system', 'layanan', 'pindah', 'three', 'selamat', 'tinggal', 'telkomsel', 'kecewa', 'bertahun', 'bersamamu', '']</t>
  </si>
  <si>
    <t>['lumayan', 'pulsa', 'darurat', 'gua', 'hadiah', 'telkomsel', 'tukar', 'poin', 'gua', 'udah', 'pengguna', 'telkomsel', 'hmmm']</t>
  </si>
  <si>
    <t>['bagus', 'kasih', '']</t>
  </si>
  <si>
    <t>['diwilayah', 'sulsel', 'dibagian', 'pesisir', 'pantai', 'telkomsel', 'kalah', 'indosat', 'seringkali', 'mengalami', 'hilang', 'jaringan', 'tolong', 'ditingkatkan', 'pelayanannya', 'malu', 'operator', 'murah', 'kualitas', 'bagus', '']</t>
  </si>
  <si>
    <t>['metode', 'login', 'mengirim', 'link', 'sms', 'linknya', 'selelu', 'kadaluarsa', 'metode', 'email', 'eror', 'intinya', 'aplikasinya', 'eror']</t>
  </si>
  <si>
    <t>['lancar', 'dimana']</t>
  </si>
  <si>
    <t>['bagus', 'sinyal', 'kuat', 'pelosok', 'kampung', 'cuman', 'tindak', 'lanjuti', 'habis', 'hujan', 'sinyal', 'kadang', 'suka', 'malu', 'malu', 'muncul', '']</t>
  </si>
  <si>
    <t>['boong', 'hayuk', 'palpale']</t>
  </si>
  <si>
    <t>['telkom', 'gimana', 'cape', 'jaringan', 'perbaikannya']</t>
  </si>
  <si>
    <t>['signal', 'telkomsel', 'buruk', 'tarif', 'mahal']</t>
  </si>
  <si>
    <t>['lumayan', 'tampilan', 'beranda']</t>
  </si>
  <si>
    <t>['paketan', 'sebulan']</t>
  </si>
  <si>
    <t>['', 'info', 'pulsa', 'tinggal']</t>
  </si>
  <si>
    <t>['harga', 'kuata', 'pulsanya', 'mahal', 'jaringan', 'terkadang', 'lambat']</t>
  </si>
  <si>
    <t>['nyaman', 'telkomsel', 'paket', 'internetnya', 'mahal', 'jing', 'males', 'gua', 'padaha', 'pelanggan', 'setia', 'pelanggan', 'tetep', 'ajh', 'dimahalin', 'tarif', 'paket', 'internetnya', '']</t>
  </si>
  <si>
    <t>['mantap', 'aplikasinya']</t>
  </si>
  <si>
    <t>['bagus', 'aplikasinya', 'tambahkan', 'fitur', 'lock', 'pulsa', 'terpotong', 'kuota', 'internet', 'habis', 'sediakan', 'pulsa', 'nelpon', 'tersedot', 'pas', 'kuota', 'habis', 'terimakasih', 'kerja', 'bagus', 'develop', '']</t>
  </si>
  <si>
    <t>['mytelkomsel', 'bagus', 'baget']</t>
  </si>
  <si>
    <t>['tambahin', 'menu', 'unlock', 'pulsa', 'pas', 'kuota', 'habis', 'mengurangi', 'pulsa', 'persetujuan']</t>
  </si>
  <si>
    <t>['puas', 'fitur']</t>
  </si>
  <si>
    <t>['mantap', 'bagus', 'aplikasinya', 'lancar']</t>
  </si>
  <si>
    <t>['anu', 'aplikasinya', 'bagus', 'eeee', 'etto', 'emmmm', 'suka', 'kyaaa']</t>
  </si>
  <si>
    <t>['telkomsel', 'gangguan', 'pelajar', 'daring', 'kesulitan', 'tugas', 'pindah', 'kartu', 'mahal', 'paketnya', 'sinyalnya', '']</t>
  </si>
  <si>
    <t>['kartu', 'tsel', 'lost', 'koneksi', 'bar', 'sinyal', 'full', 'harga', 'doang', 'mahal', 'kualitas', 'rendahan', 'udah', 'hubungi', 'buang']</t>
  </si>
  <si>
    <t>['mantap', 'beli', 'paket', 'gampang', 'mudah']</t>
  </si>
  <si>
    <t>['kecewa', 'pulsa', 'berkurang', 'barusan', 'pas', 'cek', 'udah', 'hilang', 'rb', 'isi', 'semalam', 'nyalain', 'data', 'telkomsel', 'data', 'indosat', 'apaa', 'nyolong', 'gaya', '']</t>
  </si>
  <si>
    <t>['pengajuan', 'keluhanan', 'buruk', 'mencobanya', '']</t>
  </si>
  <si>
    <t>['provaider', 'berkwalitas', 'membantu', 'negosiasi', 'bisnis', 'sukses', 'kaleng', 'kaleng', '']</t>
  </si>
  <si>
    <t>['udah', 'harga', 'mahal', 'kuota', 'pelit', 'sinyal', 'pelit', 'bnerin', 'sinyalnya']</t>
  </si>
  <si>
    <t>['mudah', 'jaringan', 'murah']</t>
  </si>
  <si>
    <t>['membantu', 'promo', '']</t>
  </si>
  <si>
    <t>['jaringan', 'stabil', 'sesuai', 'harga', 'paket', 'lumayan', 'mahal', 'harga', 'paket', 'nanggung', 'ribu', 'kuotanya']</t>
  </si>
  <si>
    <t>['sangan', 'menguntungkan', 'penggunanya']</t>
  </si>
  <si>
    <t>['selamat', 'sore', 'play', 'store', 'telkomsel', 'memudah', 'pelanggan', 'dlm', 'menu', 'kebutuhan', 'hadiah', 'menaikan', 'ratting', 'telkomsel', '']</t>
  </si>
  <si>
    <t>['sinyal', 'kuat', 'stabil', 'komunikasi', 'browsing', 'lancar']</t>
  </si>
  <si>
    <t>['link', 'bayar', 'gopay', 'aplikasi', 'error', 'susah', 'link']</t>
  </si>
  <si>
    <t>['memudahkan', 'pengguna', 'setia', 'telkomsel', 'inovasi', 'telkomsel', '']</t>
  </si>
  <si>
    <t>['sukaa', 'mytelkomsel']</t>
  </si>
  <si>
    <t>['sinyal', 'buruk', 'harga', 'paket', 'mahal', 'dibanding', 'operator', 'bangke', 'menang', 'jangkauan', 'luas', 'luas', 'lihat', 'noh', 'gurun', 'sahara', 'luas', '']</t>
  </si>
  <si>
    <t>['membantu', 'pelayanan', 'kemudahan', 'dunia', 'digital', 'rekomendasi', 'jaringan', 'terbaik']</t>
  </si>
  <si>
    <t>['sinyal', 'udh', 'kaya', 'kartu', 'murahan', '']</t>
  </si>
  <si>
    <t>['bonus', 'diskon', 'rp', 'memotong', 'pembelian', 'paket', 'sistemnya', 'aplikasinya', 'bug', 'kali', 'klaim', 'kuota', 'allnet', 'bonus', 'pemakaiannya', 'dihabisin', 'kuota', 'reguler', 'beli', 'kuota', 'bonus', 'terpakai', 'habis', 'berlaku']</t>
  </si>
  <si>
    <t>['memuaskan', 'terimakasih']</t>
  </si>
  <si>
    <t>['jaringan', 'telkomsel', 'buruk', 'kayak', 'stabil', 'jaringan', 'udah', 'bukak', 'aplikasi', 'kadang', 'sampe']</t>
  </si>
  <si>
    <t>['memuaskan', 'min']</t>
  </si>
  <si>
    <t>['isi', 'pulsa', 'pas', 'pakek', 'pulsa', 'cek', 'pulsa', 'tinggal', 'udh', 'pulsa', 'masok', 'tolong', 'telkom', 'maksud', '']</t>
  </si>
  <si>
    <t>['tingkatkan', 'point', '']</t>
  </si>
  <si>
    <t>['bgs', 'jaringanny']</t>
  </si>
  <si>
    <t>['dasar', 'babi', 'telkomsel', 'sinyal', 'kayak', 'tail']</t>
  </si>
  <si>
    <t>['kualitas', 'jaringan', 'buruk']</t>
  </si>
  <si>
    <t>['puas', 'performa', 'telkomsel', 'performa', 'menurun', 'uda', 'game', 'ngelag', 'ngelag', 'sinyal', 'stabil', 'durasi', 'uda', 'terhubung', 'temen', 'terpaksa', 'inj', 'semoga', 'kedepannya', 'aamiin']</t>
  </si>
  <si>
    <t>['ngebantu', 'banget', 'hemat']</t>
  </si>
  <si>
    <t>['tolong', 'sinyalnya', 'diperkuat', 'telkomsel', '']</t>
  </si>
  <si>
    <t>['mudah', 'informatif']</t>
  </si>
  <si>
    <t>['pusat', 'bantuanya', 'robot', 'veronika', 'selesai', 'kesal', 'nanya', '']</t>
  </si>
  <si>
    <t>['suka', 'sedot', 'pulsa']</t>
  </si>
  <si>
    <t>['tolong', 'diperbarui', 'sinyal', 'buruk', 'didesa', 'kabupaten', 'trenggalek', 'desa', 'sumberbening', 'kecamatan', 'dongko']</t>
  </si>
  <si>
    <t>['perbaiki', 'sinyal', '']</t>
  </si>
  <si>
    <t>['simple', 'pelayanan', 'memuaskan']</t>
  </si>
  <si>
    <t>['signal', 'internet', 'maksimal']</t>
  </si>
  <si>
    <t>['semoga', 'lancar', 'signalnya']</t>
  </si>
  <si>
    <t>['telkomsel', 'luarrrr', 'biasaaa', 'harga', 'lumayan', 'bagus', 'turunin', 'telkomsel']</t>
  </si>
  <si>
    <t>['aplikasi', 'harga', 'internetnya', 'murah', 'promo', 'hemat', 'aktif', 'kartunya', 'sprti', 'diputih', 'biru', 'rekomend', 'teman', 'download', 'endorse', 'fakta', 'pengalaman', 'aplikasi', '']</t>
  </si>
  <si>
    <t>['', 'listrik', 'mati', 'signal', 'langsung', 'hilang']</t>
  </si>
  <si>
    <t>['aplikasinya', 'mudah', 'mohon', 'tambahi', 'bonus', 'kurangi', 'harga', 'paketannya', 'terjangkau']</t>
  </si>
  <si>
    <t>['bagus', 'lelet']</t>
  </si>
  <si>
    <t>['bayar', 'pakek', 'linkaja', 'kemaren', 'bayar', 'pakek', 'shopeepay', 'pas', 'beli', 'pulsa', 'aplikasi', 'kecewa']</t>
  </si>
  <si>
    <t>['pengguna', 'mudah', 'mudahan', 'bagus']</t>
  </si>
  <si>
    <t>['jaringan', 'gangguan']</t>
  </si>
  <si>
    <t>['halo', 'telkomsel', 'download', 'aplikasi', 'mytelkomsel', 'terima', 'kasih', '']</t>
  </si>
  <si>
    <t>['paket', 'data', 'harga', 'turunkn']</t>
  </si>
  <si>
    <t>['', 'telkomsel', 'terbaik', 'didunia', 'akhirat', '']</t>
  </si>
  <si>
    <t>['membantu', 'keren']</t>
  </si>
  <si>
    <t>['kesini', 'lemot', 'jaringan', 'telkomsel']</t>
  </si>
  <si>
    <t>['penggunaan', 'telkomsel', 'mudah', 'cepat']</t>
  </si>
  <si>
    <t>['tingkatkan', 'mantap']</t>
  </si>
  <si>
    <t>['telkomsel', 'mohon', 'kerjasama', 'update', 'suruh', 'bukak', 'tautan', 'babanyak', 'kali', 'peroses', 'tolong']</t>
  </si>
  <si>
    <t>['sangatttttt', 'bagusssss', 'promo', 'item', 'ditambahin', 'bonus', 'area', 'kota', 'sekedar', 'saran', 'min']</t>
  </si>
  <si>
    <t>['menyedot', 'paket', 'data', '']</t>
  </si>
  <si>
    <t>['telkomsel', 'sinyal', 'stabil', 'lemot', 'senang', 'pengembangan', 'perubahan', 'jalur', 'rubah', 'rubah', 'stabil', 'jelek', 'hasilnya', 'mengecewakan', '']</t>
  </si>
  <si>
    <t>['mantaf', 'kartu']</t>
  </si>
  <si>
    <t>['cepet', 'gesit', 'keren', 'pokoknya']</t>
  </si>
  <si>
    <t>['aplikasinya', 'oke', 'harga', 'paket', 'mahal', 'harga', 'beda', 'pelanggan', '']</t>
  </si>
  <si>
    <t>['tolong', 'telkomsel', 'khusus', 'wilayah', 'batam', 'mati', 'lampu', 'signal', 'telkomsel', 'almarhum', 'alias', 'mati', 'total', 'blas', 'blas', 'blas', 'kecewa', 'pakai', 'telkomsel', 'puluhan']</t>
  </si>
  <si>
    <t>['pelayan', 'mimin', 'telkomsel', 'memuaskan']</t>
  </si>
  <si>
    <t>['apk', 'bagus', 'karna', 'paketan', 'serba', 'murah', 'hadiah']</t>
  </si>
  <si>
    <t>['senang', 'mengambil', 'paket']</t>
  </si>
  <si>
    <t>['membantu', 'semoga', 'telkomsel', 'maju', 'pelyanan', 'kapada', 'masyaraktnya', 'meningkat']</t>
  </si>
  <si>
    <t>['mohon', 'maaf', 'sistem', 'tolong', 'perbaiki', 'beli', 'kuota', 'telkomsel', 'nggak', 'beli', 'harganya', 'mahal', 'solusi', 'nggak', 'gimana', 'terima', 'kasih']</t>
  </si>
  <si>
    <t>['aplikasi', 'ngecek', 'pulsa', 'kuota', 'ngecek', 'promo', 'paket', 'murah', 'telkomsel', '']</t>
  </si>
  <si>
    <t>['telkomsel', 'dihati', 'telkomsel', '']</t>
  </si>
  <si>
    <t>['terima', 'kasih', 'aplikasinya', 'membantu']</t>
  </si>
  <si>
    <t>['memudahkan', 'pelanggan', 'pelanggan', 'simpati', 'sampe', 'th', 'ganti', 'operator', 'reward']</t>
  </si>
  <si>
    <t>['terbantu', 'banget', 'sekedar', 'saran', 'harga', 'kuota', 'murahin', 'dikit', 'donk', '']</t>
  </si>
  <si>
    <t>['ilang', 'timbul', 'ilang', 'timbul', 'kah', 'stabil']</t>
  </si>
  <si>
    <t>['aplikasi', 'bagus', 'keren']</t>
  </si>
  <si>
    <t>['mudah', 'praktis', 'nyaman']</t>
  </si>
  <si>
    <t>['bagus', 'signal', 'bagus']</t>
  </si>
  <si>
    <t>['sulit', 'sinyalnya', 'dipedesaan', 'tingkatkan', 'layanan', 'terbaiknya', 'thankyou']</t>
  </si>
  <si>
    <t>['aplikasi', 'bagus', 'sayang', 'paketan', 'internet', 'murah']</t>
  </si>
  <si>
    <t>['saran', 'paket', 'data', 'habis', 'memakan', 'pulsa', 'utama', 'pemberitahuan', 'via', 'sms', 'hentikan', 'koneksi', 'internetnya', 'daftar', 'paket', 'data', 'kaya', 'operator', 'sebelah', 'pulsa', 'utama', 'telkomsel', 'habiss', 'ludesssss', 'kaum', 'menengah', 'enggan', 'memakai', 'paket', 'data', 'telkomsel', '']</t>
  </si>
  <si>
    <t>['kacau', 'jaringan', 'telkomsel', 'daerah', 'tolong', 'telkomsel', 'kontrol', 'jaringan', 'daerah', 'mahal', 'jaringan', 'kayak', 'gini', 'cuman', 'buka', 'whatsapp', 'pending', 'pending', 'tolong', 'perbaiki', 'jaringan']</t>
  </si>
  <si>
    <t>['', 'lambat', 'banget', 'simpati', 'lihat', 'duit', 'butuhkan', 'kecepatan']</t>
  </si>
  <si>
    <t>['game']</t>
  </si>
  <si>
    <t>['sinyalnya', 'geleh', 'trus']</t>
  </si>
  <si>
    <t>['memuaskan', 'berguna']</t>
  </si>
  <si>
    <t>['terbaik', 'telkomsel']</t>
  </si>
  <si>
    <t>['selalau', 'setia', 'kmi', 'perlukan']</t>
  </si>
  <si>
    <t>['jaringan', 'telkomsel', 'pling', 'setaaaaannn', 'sok', 'kelola', 'jaringan', '']</t>
  </si>
  <si>
    <t>['paketnya', 'mangkin', 'mangin', 'mahal', 'cok', '']</t>
  </si>
  <si>
    <t>['', 'gb', 'gb', 'kasih', 'bintang', 'deh']</t>
  </si>
  <si>
    <t>['bagus', 'sinyal', 'kadang', 'error']</t>
  </si>
  <si>
    <t>['apapun', 'jaringan', 'telkomsel', 'kartu', 'telkomsel', 'pelayanan', 'thanks', 'you', 'telkomsel']</t>
  </si>
  <si>
    <t>['top', 'game', 'pulsa', 'ambil', 'ludes', 'diamond', 'masuk', 'masuk', 'kemarin', 'gimana', 'telkomsel']</t>
  </si>
  <si>
    <t>['suka', 'bngt', 'membantu']</t>
  </si>
  <si>
    <t>['membantu', 'praktis']</t>
  </si>
  <si>
    <t>['parah', 'telkomsel', 'paket', 'ngakunya', 'kasi', 'sebulan', 'aktif', 'sampe', 'sebulan', 'udah', 'habis', 'paket', 'gua', 'udah', 'duluan', 'gua', 'beli', 'aktif', 'duluan', 'abis', 'telkomsel', 'beda', 'minggu', 'paket', 'gua', 'telkomsel', 'tertulis', 'aktif', 'duluan', 'habis', 'aneh', '']</t>
  </si>
  <si>
    <t>['udh', 'beli', 'kouta', 'mahal', 'jaringan', 'lemot', 'mengecewakan']</t>
  </si>
  <si>
    <t>['', 'suka', 'telkomsel', 'thanks', 'menemani', '']</t>
  </si>
  <si>
    <t>['mohon', 'maaf', 'tolong', 'telkomsel', 'menurunkan', 'pengambilan', 'pulsa', 'non', 'paket', 'kesal', 'tarikan', 'pulsa', 'banget', 'beli', 'paket', 'data', 'apk', 'trus', 'nyalain', 'data', 'pulsa', 'langsung', 'habis', 'cuman', 'detik', 'habis', 'tolong', 'telkomsel', 'menurunkan', 'mengambil', 'pulsa', 'nyalain', 'data', 'nyalain', 'data', 'beli', 'paket', 'data', 'apk', 'terimakasih', '']</t>
  </si>
  <si>
    <t>['jujur', 'kesel', 'banget', 'beli', 'paket', 'diaplikasi', 'masuknya', 'lelet', 'pas', 'butuh', 'banget', 'kuota', 'kali', 'beli']</t>
  </si>
  <si>
    <t>['lelet', 'paket', 'full', 'dipake']</t>
  </si>
  <si>
    <t>['sinyal', 'telkomsel', 'tenggelam', 'kalah', 'provider', 'lemotnya', 'udh', 'siput', 'beli', 'pket', 'mahal', 'rugi']</t>
  </si>
  <si>
    <t>['tolong', 'diperbaiki', 'lhaa', 'beli', 'paket', 'internet', 'lwt', 'applikasi', 'luemoooooot', 'puaraaaaaaaaaah', 'polllllllllll', 'udah', 'dtunggu', 'ujung', 'gagal', '']</t>
  </si>
  <si>
    <t>['isi', 'pulsa', 'langsung', 'kedaftar', 'paket']</t>
  </si>
  <si>
    <t>['ganguan', 'sinyal', 'sinyalnya', 'buruk', 'terkadang', 'jaringan', 'ato', 'sinyal', 'internetan', 'ato', 'ngegem', 'lemot', 'sosial', 'media', 'lemot', 'sinyalnya', 'telkomsel', 'kaya', 'ngapa', 'ngapain', 'lancar', 'sinyal', 'kaya', 'sinyalnya', 'udah', 'beda', 'ngapa', 'sinyal', 'itupun', 'lancar', 'sinyalnya', 'leg', 'gue', 'udah', 'pakai', 'ganti', '']</t>
  </si>
  <si>
    <t>['aplikasi', 'mytelkomsel', 'berhenti', 'jaringannya', 'bagus', '']</t>
  </si>
  <si>
    <t>['pelayan', 'mudah', 'daerah', 'sinyalnya', 'kuat', 'kemah', '']</t>
  </si>
  <si>
    <t>['tolong', 'jaringan', 'tingkatkan']</t>
  </si>
  <si>
    <t>['app', 'mudah', 'nda', 'ribet', 'membantu', 'pengguna', 'mytelkomsel']</t>
  </si>
  <si>
    <t>['sayang', 'ngga', 'gb', 'rb']</t>
  </si>
  <si>
    <t>['paket', 'geratis', 'gb']</t>
  </si>
  <si>
    <t>['dapet', 'bintang', 'pantes', 'main', 'game', 'war', 'udh', 'gitu', 'dapet', 'bonus', 'dipakai', 'tolong', 'benerin', 'min', 'nyiksa', 'banget', 'ngtd', 'tanggepin']</t>
  </si>
  <si>
    <t>['membantu', 'apk', 'telkomsel', 'trimakasih', 'telkomsel']</t>
  </si>
  <si>
    <t>['trmksi', 'kasi', 'telkomsel', 'pketx', 'murah', 'meriah', '']</t>
  </si>
  <si>
    <t>['update', 'masuk', 'aplikasi', 'uninstal', 'instal', 'ulang', 'tolong', 'perbaiki', 'bug', 'butuh', 'aplikasi', 'beli', 'paketan', 'telkomsel']</t>
  </si>
  <si>
    <t>['menukar', 'pulsa', 'paket', 'data', 'pulsanya', 'potong', 'paket', 'datanya', 'masuk']</t>
  </si>
  <si>
    <t>['semoga', 'bantu', 'promo', 'kuota', 'internet']</t>
  </si>
  <si>
    <t>['semoga', 'menipu', 'yak', 'aamiinnnn']</t>
  </si>
  <si>
    <t>['puas', 'layanani']</t>
  </si>
  <si>
    <t>['membut', 'mudah']</t>
  </si>
  <si>
    <t>['buka', 'suruh', 'update', 'melulu']</t>
  </si>
  <si>
    <t>['mantaps', 'jaringannya']</t>
  </si>
  <si>
    <t>['tingkatkan', 'jaringan', 'daerah', 'desa']</t>
  </si>
  <si>
    <t>['bagus', 'kadang', 'suka', 'gangguan', 'membeli', 'paket', 'internet']</t>
  </si>
  <si>
    <t>['tksih', 'telkomsel', 'pelosok', 'kecamatan', '']</t>
  </si>
  <si>
    <t>['aplikasi', 'terhenti', '']</t>
  </si>
  <si>
    <t>['pliss', 'balikin', 'promo', 'gb', 'star', 'deh']</t>
  </si>
  <si>
    <t>['paket', 'internet', 'kemahalan', 'layanan', 'bagus']</t>
  </si>
  <si>
    <t>['jaringan', 'terbaik', 'terpopular', 'murah', 'gini', 'coba', 'deh', 'cek', 'kondisi', 'jaringan', 'didaerah', 'gua', 'kalsel', 'daerah', 'pelaihari', 'desa', 'sumpah', 'lemot', 'banget', 'najis', 'gua', 'make', 'mending', 'ganti', 'provider', 'gua']</t>
  </si>
  <si>
    <t>['tolong', 'sinyal', 'beli', 'kuota', 'telkomsel', 'sinyal', 'jelek', 'banget', 'plis', 'tolong', 'diperbaiki', 'sekian', 'terima', 'kasih']</t>
  </si>
  <si>
    <t>['tolong', 'tingkatkan', 'jaringan', 'telkomsel', 'lemot', '']</t>
  </si>
  <si>
    <t>['madura', 'tampilan', 'tangguh', 'buka', 'youtube', 'langsung', 'berubah', 'suport', 'muter', 'doang', 'menjengkelkan', 'telkomsel']</t>
  </si>
  <si>
    <t>['bagus', 'aplikasinya']</t>
  </si>
  <si>
    <t>['suara', 'notif', 'ngak', 'dihilangkan', 'buka', 'aplikasi', 'jelek']</t>
  </si>
  <si>
    <t>['', 'gimana', 'sii', 'beli', 'kartu', 'telkomsel', 'nelpon', 'gabisaaaa', 'jaringan', 'udah', 'diatur', 'spya', 'gakekunci', 'ttp', 'are', 'gkbisaa', 'cokkk', 'halaaaah']</t>
  </si>
  <si>
    <t>['memudahkan', 'fitur', 'promo', 'paket', 'internet']</t>
  </si>
  <si>
    <t>['', 'maksih', 'suka', 'aplikasi', 'paketnnya', 'murah']</t>
  </si>
  <si>
    <t>['seruh', 'banget', 'mantp', 'dehh']</t>
  </si>
  <si>
    <t>['sinyal', 'bagus', 'area', 'cipinang', 'melayu']</t>
  </si>
  <si>
    <t>['', 'jaringan', 'mabok']</t>
  </si>
  <si>
    <t>['jaringan', 'stabil', 'pingbtinggi', 'pagi', 'siang', 'malam', 'lemot', 'ultimate', 'terimakasih']</t>
  </si>
  <si>
    <t>['bintang', 'coba', 'recommended', 'bintang', '']</t>
  </si>
  <si>
    <t>['sinyal', 'parah', 'kukira', 'sinyal', 'keras', 'kertas', 'bli', 'paket', 'mahal', 'chat', 'slow', 'respon', 'dpr', 'kritik', 'terdengar', '']</t>
  </si>
  <si>
    <t>['kuota', 'nonton', 'lokal', 'dipakai', 'sma', 'coba']</t>
  </si>
  <si>
    <t>['kecewaaaaaaaaa', 'pakai', 'combo', 'sakti', 'minggu', 'kuota', 'ilang', 'pemakain', '']</t>
  </si>
  <si>
    <t>['bagus', 'mas', '']</t>
  </si>
  <si>
    <t>['maaf', 'kartu', 'simpati', 'promo', 'murah', 'adek', 'umur', 'kartunya', 'promo', 'murah', 'menarik', 'tolong', 'balas', 'pelanggan']</t>
  </si>
  <si>
    <t>['sumpah', 'apapun', 'paket', 'ketengan', 'unlimited', 'youtubeku', 'kuota', 'utamaku', 'kepake', 'anjinglah']</t>
  </si>
  <si>
    <t>['mantap', 'markotop']</t>
  </si>
  <si>
    <t>['', 'kecewakan', 'transver', 'pulsa', 'aplikasi', 'telkomsel', 'masuk', 'nomer', 'tujuan', 'pulsanya', 'sudh', 'kepotong', 'pembelian', 'pulsa', 'aplikasi', 'gojek', 'masuk', 'saldo', 'gopay', 'sudh', 'kepotong', 'tolong', 'perbaiki', 'teliti', 'telkomsel', 'parah', 'respon', '']</t>
  </si>
  <si>
    <t>['paket', 'data', 'habis', 'pulsa', 'tergerus', 'otomatis', 'notifikasi', 'pulsa', 'tergerus', 'mohon', 'hilangkan', 'sistem', 'otomatis', 'merugikan', 'pelanggan', 'julukan', 'provider', 'plat', 'merah', 'disandang', 'harga', 'produknya', 'mahal', 'terjangkau', 'masyarakat', 'miskin', 'perusahan', 'visi', 'misi', 'program', 'mensejahterakan', 'masyarakat', 'miskin', 'kekayaan', 'jajaran', 'direksi', 'berguna', 'masyarakat', 'miskin', 'kesulitan', '']</t>
  </si>
  <si>
    <t>['tolong', 'app', 'koq', 'loading', 'gimana', 'pasang', 'paket', 'loading', 'muncul', 'gambar', 'apapun']</t>
  </si>
  <si>
    <t>['telkomsel', 'pelayanannya', 'buruk', 'udah', 'beli', 'paketnya', 'mahal', 'internetnya', 'lambat', 'lemot', 'banget', 'tolong', 'telkomsel', 'bintang', 'kasih', 'bintang', 'geram', '']</t>
  </si>
  <si>
    <t>['cashbacnya', 'ngeprank', 'jancoklah', '']</t>
  </si>
  <si>
    <t>['muda', 'membeli', 'paket', 'data']</t>
  </si>
  <si>
    <t>['santuy', 'telkomsel']</t>
  </si>
  <si>
    <t>['layanannya', 'bagus', 'cepat']</t>
  </si>
  <si>
    <t>['memudahkan', 'transaksi', '']</t>
  </si>
  <si>
    <t>['promo', 'hemat']</t>
  </si>
  <si>
    <t>['sinyalnya', 'diperbaik', 'maen', 'ngelag']</t>
  </si>
  <si>
    <t>['thn', 'telkomsel', 'ganti', 'nomor', 'penipuan', 'ttap', 'ganti', 'nomor', 'telkomsel', 'mudah', 'mengingatnya', 'jaringan', 'kuat', '']</t>
  </si>
  <si>
    <t>['bos', '']</t>
  </si>
  <si>
    <t>['sinkron', 'email', 'penagihan', 'mohon', 'dibantu', 'aktivasi', 'fitur', 'berbulan', '']</t>
  </si>
  <si>
    <t>['kwalitas', 'tolong', 'ditingkatkan', '']</t>
  </si>
  <si>
    <t>['pulsa', 'ilang', 'paket', 'unlimited', 'you', 'tube', 'gunain', 'udah', 'ganti', 'nomor']</t>
  </si>
  <si>
    <t>['lumayan', 'blom', 'terbaik']</t>
  </si>
  <si>
    <t>['terima', 'kasih', 'telkomsel', 'semoga', 'jaringan', 'kaya', 'binatang', 'yaaaa', 'telkomsel', 'babiiiii']</t>
  </si>
  <si>
    <t>['jaringan', 'telkomsel', 'ditempat', 'lancar', 'jaya', 'pbelian', 'paket', 'data', 'mahal', '']</t>
  </si>
  <si>
    <t>['telkomsel', 'kenyamaanan', 'pelangan', 'makasih']</t>
  </si>
  <si>
    <t>['bug', 'live', 'agent', 'veronika', 'slow', 'respon', 'respon', 'jijik', 'pelayanannya']</t>
  </si>
  <si>
    <t>['membantu', 'promo', 'sesuai', 'situasi', 'pandemi', 'semoga', 'kedepannya', 'murah', 'promo', '']</t>
  </si>
  <si>
    <t>['mudah', 'akses', 'tingkatkan']</t>
  </si>
  <si>
    <t>['apknya', 'ntah', 'login', 'susah', 'kali', 'sms', 'verifikasinya', 'mohon', 'diperbaiki']</t>
  </si>
  <si>
    <t>['', 'ribu', 'install', 'plus', 'install', 'roli', 'paket', 'data', 'gratis']</t>
  </si>
  <si>
    <t>['tolong', 'telkomsel', 'tolong', 'kasih', 'gimana', 'cek', 'riwayat', 'transaksi', 'kasih', 'menu', 'riwayat', 'layar', 'pulsa', 'kepotongan', 'kemana', 'veronica', 'belajar', 'tolong', 'pengertian', 'pelanggan', 'setia', 'terimakasih']</t>
  </si>
  <si>
    <t>['harga', 'paket', 'murahh']</t>
  </si>
  <si>
    <t>['mempelajari']</t>
  </si>
  <si>
    <t>['membantu', 'promonya']</t>
  </si>
  <si>
    <t>['pengamanan', 'pulsa']</t>
  </si>
  <si>
    <t>['sesuai', 'harga', 'mantap']</t>
  </si>
  <si>
    <t>['telkomsel', 'skrg', 'sll', 'menemani', 'ist', 'the', 'best']</t>
  </si>
  <si>
    <t>['', 'daera', 'klau', 'listrik', 'jaringan', 'hilang', 'listrik', 'nyala', 'nunggu', 'mnt', 'jaringan', 'normal', 'tolong', 'maksimal']</t>
  </si>
  <si>
    <t>['', 'android', 'blm', 'instal']</t>
  </si>
  <si>
    <t>['min', 'kasih', 'murah', 'donk', 'promo', 'biyar', 'rakya', 'miskin', 'bisah', 'emak', 'jga']</t>
  </si>
  <si>
    <t>['lumayan', 'membantu', 'bantuan', 'konter', 'terdekat', 'telkomsel', 'center']</t>
  </si>
  <si>
    <t>['daerah', 'sulawesi', 'utara', 'penguna', 'nomor', 'simpati', 'combo', 'sakti', 'paket', 'unlimited', 'omg', 'gunanya', 'nyiptain', 'apk', 'bisah', 'apk', 'telkom', 'daerah', '']</t>
  </si>
  <si>
    <t>['kirim', 'nomor']</t>
  </si>
  <si>
    <t>['sesuai', 'bintang']</t>
  </si>
  <si>
    <t>['kouta', 'habis', 'pulsa', 'habis', 'parah', 'kouta', 'habis', 'jngn', 'lari', 'pulsa', 'seting', 'kunci', 'pulsa', '']</t>
  </si>
  <si>
    <t>['paket', 'beli', 'kecewa', 'bngt', '']</t>
  </si>
  <si>
    <t>['mantap', 'berguna', 'bermanfaat']</t>
  </si>
  <si>
    <t>['cepat', 'pembeliannya', 'murah', 'meriah']</t>
  </si>
  <si>
    <t>['sadar', 'data', 'expired', 'pulsa', 'kesedot', 'rb', 'banget', 'sakitnya', 'tuch', '']</t>
  </si>
  <si>
    <t>['aplikasinya', '']</t>
  </si>
  <si>
    <t>['pait', 'bonus']</t>
  </si>
  <si>
    <t>['membantu', 'trima', 'kasih']</t>
  </si>
  <si>
    <t>['', 'min', 'pulsa', 'kesedot', 'ampe', 'pie', 'kuota', 'top', 'game', 'ngga', 'iso', 'kesedot', '']</t>
  </si>
  <si>
    <t>['smga', 'tawaran', 'paketnya', 'lbh', 'murah', 'menarik']</t>
  </si>
  <si>
    <t>['terimah', 'kasih', 'telkomsel', 'tunggu', 'hadiahnya', '']</t>
  </si>
  <si>
    <t>['suruh', 'update', 'udh', 'diupdate', 'lemot', 'buka', 'suruh', 'update', 'cape', 'deh']</t>
  </si>
  <si>
    <t>['sinyal', 'gangguan', 'kayak', 'gini', '']</t>
  </si>
  <si>
    <t>['', 'login', 'facebook', 'app', 'bug']</t>
  </si>
  <si>
    <t>['terimakasih', 'aplikasinya', 'nice']</t>
  </si>
  <si>
    <t>['bosoook', 'kartu', 'mahal', 'sinyal', 'ancurr', 'provider', 'sebelah', 'perbaikan', 'malem', 'malem', 'anjeengg', 'rank', 'gua', 'turun', 'gara', 'gara', 'jaringan', '']</t>
  </si>
  <si>
    <t>['semangat', 'putus', 'asa', 'wani']</t>
  </si>
  <si>
    <t>['kecewa', 'bngt', 'udah', 'telkomsel', 'ditempat', 'jaringannya', 'jelek', 'bangt', 'malem', 'siang', 'pagi', 'sumpahhhh', 'kecewa', 'paketan', 'engga', 'ngaruh', 'pkoknya', 'jelek', 'banget', 'pindah', 'tpi', 'udah', 'make', 'jaringan', 'pusing', 'jelek', 'luu']</t>
  </si>
  <si>
    <t>['terima', 'kasih', '']</t>
  </si>
  <si>
    <t>['bagus', 'semoga', 'ketularan', 'hadiahnya', 'bertahun', 'percayakan', 'telkomsel', 'beli', 'pulsa', 'topup', 'telkomsel', 'ganti', 'semoga', 'poin', 'tukarkan', 'salah', 'hadiah', 'dapatkan', 'mksh']</t>
  </si>
  <si>
    <t>['combo', 'sakti', 'rb', 'hr', 'sipp']</t>
  </si>
  <si>
    <t>['membeli', 'paket', 'pembayaran', 'shope', 'saldo', 'kepotong', 'paket', 'data', 'masuk', 'laporan', 'pusat', 'bantuan', 'masuk', 'kecewa', 'banget', 'app', 'telkomsel', '']</t>
  </si>
  <si>
    <t>['kartu', 'panteek', 'aaa', 'miskin', 'jan', 'buek', 'kartu', 'ang', 'panteek', 'muak', 'kalang', 'den', 'dek', 'ang']</t>
  </si>
  <si>
    <t>['provider', 'bagus', 'banget', 'hadehh']</t>
  </si>
  <si>
    <t>['internet', 'ilang', 'jam', 'skrg', 'suka', 'ilang', 'kadang', 'konek', 'ngabisin', 'paket', 'beli', 'paket', 'internet', 'ganti', 'hilangan', 'user', 'berasa', 'makasih']</t>
  </si>
  <si>
    <t>['makan', 'atap', 'mantap']</t>
  </si>
  <si>
    <t>['sekian', 'aplikasi', 'provider', 'indonesia', 'install', 'salah', 'satunya', 'mytelkomsel', 'menyulitkan', 'penggunanya', 'login', 'masuk', 'dirasakan', 'aplikasi', 'berat', 'perform', 'terkadang', 'gagal', 'lambat', 'mereload', 'merefresh', 'interface', 'harga', 'masuk', 'akal', 'login', 'sms', 'ribet', 'bener', 'otp', '']</t>
  </si>
  <si>
    <t>['sinyal', 'unlimited', 'benerin', 'ajg', 'ngeleg', 'asuuu', 'kontol', 'udah', 'beli', 'mahal', 'mahal', 'paket', 'ngeleg', 'asuu', 'ajg', 'gggg', 'telkomsel', 'ajgggggh']</t>
  </si>
  <si>
    <t>['udah', 'mahal', 'lemot', 'jaringan', 'miris', 'harga', 'kualitas', 'hadehhh']</t>
  </si>
  <si>
    <t>['bagus', 'banget', 'lancar', 'makasih', 'aplikasi', 'telkomsel']</t>
  </si>
  <si>
    <t>['fitur', 'udah', 'lengkap', 'rekomendasi', 'banget', 'pokoknya']</t>
  </si>
  <si>
    <t>['aplikasi', 'telkomsel', 'terbaik', 'terhibur']</t>
  </si>
  <si>
    <t>['kecewa', 'berat', 'simpati', 'udah', 'isi', 'pulsa', 'data', 'udah', 'matiin', 'beli', 'paketan', 'alasan', 'gangguan', 'buka', 'aplikasi', 'telkomsel', 'pulsa', 'langsung', 'kesedot', 'habis', 'tolong', 'perbaiki', 'sistemnya', 'kasian', 'orang', 'udah', 'beli', 'pulsa', 'kesedot', 'tulisan', 'biaya', 'internet', 'non', 'paket', 'giliran', 'beli', 'paketan', 'persulit']</t>
  </si>
  <si>
    <t>['semoga', 'murah', 'paket', 'datanya']</t>
  </si>
  <si>
    <t>['sayang', 'instal', 'telkomsel', 'versi', 'android', 'lawas']</t>
  </si>
  <si>
    <t>['veronika', 'respon', 'cepat', 'membantu']</t>
  </si>
  <si>
    <t>['telkomsel', 'kaget', 'lho', 'karna', 'pulsaku', 'dipotong', 'aktifin', 'paket', 'darurat', 'nonaktifin', 'sistem', 'sibuk', 'pulsa', 'banget', 'lho']</t>
  </si>
  <si>
    <t>['gimna', 'paketnya', 'tpi', 'makan', 'pulsa', 'pulsa', 'udah', 'ambil', 'ribu', 'lantas', 'paket', 'gunain', 'ngeluarin']</t>
  </si>
  <si>
    <t>['', 'jelass', 'poin', 'tuker', 'hadiah', 'apalah', 'pengguna', 'ajha', 'bingung', 'spessial']</t>
  </si>
  <si>
    <t>['pelayanan', 'jaringan', 'lumayan', 'pelosok', 'kekuatan', 'signal', 'daerah', 'daerah', 'pelosok', '']</t>
  </si>
  <si>
    <t>['suka', 'apk']</t>
  </si>
  <si>
    <t>['membeli', 'paket', 'unlimited', 'telkomsel', 'terkendala', 'lag', 'dll', 'giliran', 'paket', 'lancar', 'pas', 'unlimited', 'lag', 'beli', 'maling', 'tunjukkan', 'profesionalitas', 'efektifitas', 'provider', 'nomor', 'kadang', 'nyesel', 'beliin', 'paket', 'telkomsel', 'habis', 'tolong', 'diprrbaiki']</t>
  </si>
  <si>
    <t>['aplksi', 'telkomsel', 'membantu', '']</t>
  </si>
  <si>
    <t>['murah', 'belanja', 'pakai', 'telkomsel']</t>
  </si>
  <si>
    <t>['banget', 'promonya', 'pokoknya', 'the', 'best']</t>
  </si>
  <si>
    <t>['tolong', 'diperbaiki', 'knp', 'aktifkan', 'ulcombo', 'harga', 'rb', 'kesedot', 'kuota', 'nonton', 'you', 'tube', 'youtube', 'terimakasih']</t>
  </si>
  <si>
    <t>['mantap', 'kadang', 'kadang', 'jaringan', 'down']</t>
  </si>
  <si>
    <t>['knapa', 'jaringan', 'suka', 'tolong', 'diperbaiki', 'telkomsel']</t>
  </si>
  <si>
    <t>['aplikasi', 'masuk', 'udah', 'nomornya', 'pas', 'masuk', 'ops', 'kesalahan', 'kesalahannya', 'dimana', 'coba', 'nomor', 'udah', 'mohon', 'diperiksa', '']</t>
  </si>
  <si>
    <t>['sip', 'banget', 'deh', 'pokokx']</t>
  </si>
  <si>
    <t>['tukar', 'poin', 'telkomsel']</t>
  </si>
  <si>
    <t>['kasih', 'star', 'terkadang', 'lemot', 'perkotaan', 'edit', 'ulasan', 'pelanggan', 'telkomsel', 'kecewa', 'jaringan', 'telkomsel', 'lelet', 'harga', 'melunjak', 'bertindak', 'mengambil', 'keputusan', 'memperbaiki', 'jaringan', 'mending', 'ganti', 'kartu', 'kalah', 'kartu', 'prabayar', 'murahan', 'bimbang', 'saldo', 'ribu', 'bingung', 'lemot', 'kepake', 'pls', 'hear', '']</t>
  </si>
  <si>
    <t>['sinyalnya', 'surabaya', 'melemah', 'provider']</t>
  </si>
  <si>
    <t>['paketnya', 'mahal']</t>
  </si>
  <si>
    <t>['mending', 'download', 'kuata', 'masi', 'nelen', 'pulsa', 'internet']</t>
  </si>
  <si>
    <t>['mohon', 'mengoptimalkan', 'kualitas', 'jaringan', 'kemurahan', 'merikan', 'penawaran', 'harga', 'item', 'ditawarkan']</t>
  </si>
  <si>
    <t>['tolong', 'koneksi', 'cepat', 'diperbaiki', 'udah', 'cape', 'telkomsel', 'lemot', 'banget', 'jaringannya', 'ngak', 'setabil']</t>
  </si>
  <si>
    <t>['paket', 'mahal', 'jaringan', 'berkualitas']</t>
  </si>
  <si>
    <t>['jaringan', 'internet', 'kadang', 'hilang', 'dipake', 'parahhh']</t>
  </si>
  <si>
    <t>['puas', 'ditingkatkan', 'penggunanya']</t>
  </si>
  <si>
    <t>['akun']</t>
  </si>
  <si>
    <t>['udah', 'mahal', 'maen', 'game', 'ngelag', 'mending', 'dilay', 'inimah', 'kmgk', 'gerakin', 'putus', 'jaringannya', 'saran', 'ngelag', 'mahal', 'besok', 'beli', 'kartu', 'maen', 'game', 'telkomsel', 'kasih', 'bintang', 'maknya', 'benerin', 'jaringannya', 'diemin']</t>
  </si>
  <si>
    <t>['tolong', 'permurah', '']</t>
  </si>
  <si>
    <t>['promo', 'promo', 'terbaik']</t>
  </si>
  <si>
    <t>['semoga', 'undian', 'telkomsel', 'aminn']</t>
  </si>
  <si>
    <t>['aplikasi', 'mytelkomsel', 'terkoneksi', 'aplikasi', 'dompet', 'digital', 'link', '']</t>
  </si>
  <si>
    <t>['buruk', 'sinyal', 'performa', 'telkomsel', 'sekeren', 'namanya', 'milik', 'bumn', 'gunanya', 'promosi', 'jaringan', 'kenyataanya', 'mengecewakan', 'mahal', 'boros', 'jaringan', 'down', 'trus', 'sya', 'pelanggan', 'kartu', 'halo', 'stop', 'dirugikan', 'membandingkan', 'operator', 'silakan', 'telkomsel', 'berbenah', 'krna', 'milik', 'bumn', 'keluhan', 'pelanggan', 'dtindak', 'lanjuti', 'tumbang']</t>
  </si>
  <si>
    <t>['paket', 'mahal', 'jaringan', 'kayak', 'taik', '']</t>
  </si>
  <si>
    <t>['bagus', 'banget', 'jos', 'pokoknya']</t>
  </si>
  <si>
    <t>['min', 'kali', 'twitter', 'solusi', 'menaikkan', 'sinyal', 'bar', 'operator', 'full', 'jalur', 'telegram', 'bot', 'mengulang', 'ulang', 'solusi', 'nyambung', 'pembicaraan', 'grapari', 'telkomsel', 'bln', 'januari', 'perbaikan', 'sinyal', 'bar', '']</t>
  </si>
  <si>
    <t>['skrng', 'telkom', 'susah', 'jaringannya', '']</t>
  </si>
  <si>
    <t>['jelek', 'lelet', 'wilayah', 'pekanbaru', 'lelet', 'kali']</t>
  </si>
  <si>
    <t>['telkomsel', 'sinyalnya', 'buruk']</t>
  </si>
  <si>
    <t>['lumayan', 'tingkatkan']</t>
  </si>
  <si>
    <t>['nggak', 'ngerti', 'bagus', '']</t>
  </si>
  <si>
    <t>['harga', 'mahal', 'jaringan', 'murahan', '']</t>
  </si>
  <si>
    <t>['good', 'promo', '']</t>
  </si>
  <si>
    <t>['parah', 'jaringanya', 'bnar', 'buruk', 'bumn', 'unggul', 'brand', 'ancur']</t>
  </si>
  <si>
    <t>['suka', 'bnget', 'app', '']</t>
  </si>
  <si>
    <t>['sinyal', 'buruk', 'perumahan', 'wonorejo', 'lumajang', 'jalan', 'utama', 'jalan', 'cmn', 'meteran', '']</t>
  </si>
  <si>
    <t>['baguss', 'banget', '']</t>
  </si>
  <si>
    <t>['jaringan', 'telkomsel', 'bagus', 'paket', 'mahal', 'sesuaikan', 'harga', 'kualitas', 'ngawur', 'jaringan']</t>
  </si>
  <si>
    <t>['gangguan', 'gmnaya', 'top', 'mobile', 'legend', 'tulisanya', 'transaksi', 'berhasil', 'pulsa', 'udh', 'kepotong', 'tpi', 'diamon', '']</t>
  </si>
  <si>
    <t>['udah', 'paketan', 'mahal', 'sinyal', 'busuk']</t>
  </si>
  <si>
    <t>['bagus', 'mudah', 'dimengerti']</t>
  </si>
  <si>
    <t>['lakukan', 'pembelian', 'game', 'coin', 'master', 'pulsa', 'uda', 'terpotong', 'lakukan', 'pembeian']</t>
  </si>
  <si>
    <t>['telkomel', 'jaringan', 'lelet', 'gini', 'kawasan', 'blitr', 'jatim', 'mohon', 'cepat', 'tindak', 'lanjuti', 'konsumen', 'kecewa']</t>
  </si>
  <si>
    <t>['sesuai', 'promo', 'iklan', '']</t>
  </si>
  <si>
    <t>['apk', 'pelayanan', 'masyarakat', 'daerah', 'arso', 'kota', 'keerom', 'papua', 'teidak', 'memiliki', 'jaringan', 'harap', 'apk', 'berkomunikasi', 'telkomsel']</t>
  </si>
  <si>
    <t>['bagus', 'good', 'aplikasi']</t>
  </si>
  <si>
    <t>['pengguna', 'kartu', 'halo', 'jujur', 'kecewa', 'telkomsel', 'udh', 'bayar', 'tagihan', 'mahal', 'tpi', 'jaringan', 'lelet', 'parah']</t>
  </si>
  <si>
    <t>['mantep', 'memudahkan', 'pengguna']</t>
  </si>
  <si>
    <t>['tahap', 'uji', 'coba']</t>
  </si>
  <si>
    <t>['sinyal', 'data', 'perbaiki']</t>
  </si>
  <si>
    <t>['koneksi', 'internet', 'jelek', 'performa', 'anjlok', 'koneksi', 'mengecewakan', '']</t>
  </si>
  <si>
    <t>['pelayanan', 'kecepatan', 'mengatasi', 'maslah', 'gangguan', 'konsumen']</t>
  </si>
  <si>
    <t>['bagus', 'program', 'internetnya', '']</t>
  </si>
  <si>
    <t>['telkomsel', 'jelek', 'banget', 'sinyalnya', 'mohon', 'perbaiki', 'pelanggan', 'terpuaskan', 'terimakasih']</t>
  </si>
  <si>
    <t>['puas', 'promo']</t>
  </si>
  <si>
    <t>['apk', 'tolol', 'ajg', 'mahal', 'isi', 'pulsa', 'sedot', 'ajg', 'saran', 'download']</t>
  </si>
  <si>
    <t>['udah', 'mahal', 'sinyal', 'jelek']</t>
  </si>
  <si>
    <t>['bintang', 'berbicara', '']</t>
  </si>
  <si>
    <t>['tingkatkan', 'kemudahan', 'kenyamanan', 'pengguna', '']</t>
  </si>
  <si>
    <t>['eror', 'beli', 'paket', 'data', 'woi', '']</t>
  </si>
  <si>
    <t>['telkomsel', 'buka', 'banget', 'kebukanya', 'mohon', 'perbaiki']</t>
  </si>
  <si>
    <t>['telkomsel', 'paleng', 'seng', 'bae', 'jaringan', '']</t>
  </si>
  <si>
    <t>['sjnyal', 'ancur']</t>
  </si>
  <si>
    <t>['woy', 'botak', 'jaringan', 'daerah', 'putussibau', 'gua', 'udah', 'cape', 'liat', 'jangkrik', 'tolong', 'kasih', 'tanggapannya', 'daerah', 'sintang', 'ketemu', 'solusinya', 'make', 'telkom', 'daerah', 'atasin', 'engkong', 'gua', 'naikin', 'presiden', 'anjirrrt', 'maaf', 'kasar', '']</t>
  </si>
  <si>
    <t>['pulsa', 'berkurang', 'dipakai', 'paket', 'internet', '']</t>
  </si>
  <si>
    <t>['harganya', 'murah']</t>
  </si>
  <si>
    <t>['coba', 'coba', '']</t>
  </si>
  <si>
    <t>['hijrah', 'provider', 'laen', 'rame', 'saran', 'digubris', 'sprtinya', 'sinyal', 'jelek', 'provider', 'bingung', 'bagus', 'tinggal', 'dmn', 'dijakarta', 'ble', '']</t>
  </si>
  <si>
    <t>['apk', 'penipu', 'top', 'error', 'refund', 'masuk', 'rugi', 'penipu', 'apk', 'rusak', 'jamin', 'nyesel', 'seumur', 'hidup', 'kartu', 'telkom']</t>
  </si>
  <si>
    <t>['memdukung', 'banget', 'kerjaan', 'matur', 'kesuwuunn', 'telkomsel', 'kmnpun', 'pergi', 'kau', 'slalu', 'sinyalnya', '']</t>
  </si>
  <si>
    <t>['aplikasinya', 'membantu', 'jos', 'pokoknya']</t>
  </si>
  <si>
    <t>['isi', 'plsa', 'rb', 'ambil', 'paket', 'nlf', 'harian', 'pas', 'cek', 'paket', 'nlf', 'tinggal', 'menit', 'pulsa', 'tinggal', 'paket', 'internet', 'sim', 'pkai', 'tlg', 'jelasakan', 'telkomsel', 'kemana', 'plsa', 'miskin', 'plsa', 'duit', 'segitu']</t>
  </si>
  <si>
    <t>['bagus', 'telkomsel', 'sinyalnya', 'ditingkatkan', 'biarpun', 'ditempat', 'tower', 'telkomsel', 'pelanggan', 'kecewa', 'terima', 'kasih', '']</t>
  </si>
  <si>
    <t>['paket', 'mahal', 'kualitas', 'ecek', 'signal', 'edge', 'gprs', 'kacaulah']</t>
  </si>
  <si>
    <t>['kembangkan', 'pembayaran', 'top', 'game']</t>
  </si>
  <si>
    <t>['nukerkan', 'poin', 'pakek', 'pulsa', 'mantep', 'seneg', 'sengeng', 'pulsa', 'rb', 'habis', 'gara', 'gara', 'nukerkan', 'paket']</t>
  </si>
  <si>
    <t>['josss', 'gandos', 'banget', 'terbaiklah']</t>
  </si>
  <si>
    <t>['heran', 'knapa', 'jaringan', 'jelek', 'disaat', 'kuota', 'sisa', 'pdahal', 'gb', 'meresahkan', 'disaat', 'jaringan', 'hilang', '']</t>
  </si>
  <si>
    <t>['puas', 'pakai', 'mytelkomsel', 'tawaran', 'kuota', 'murah']</t>
  </si>
  <si>
    <t>['tambahkan', 'promo']</t>
  </si>
  <si>
    <t>['paketan', 'bagus', 'bagus', 'menurutku', 'semoga', 'tetep', 'kayak', 'gini', 'berkurang', 'mahal', 'harga', 'paketan', 'jangam', 'hilangin', 'jenis', 'paketan', 'oke', 'kasih', 'bintang', 'nnti', 'kasih', 'bintang', 'paketan', 'ubah', 'ubah']</t>
  </si>
  <si>
    <t>['memudahkan', 'berkomunikasi', 'dimana', 'fitur', 'promo']</t>
  </si>
  <si>
    <t>['benerin', 'jaringanya', 'masak', 'make', 'smartfren', 'kartu', 'ngalahin', 'masak', 'parah', 'smartfren', 'cok', 'beli', 'kartu', 'karna', 'lancar', 'parah', 'jancoook', 'wilayah', 'semarang', 'jawa', 'tolong', 'devoleper', 'tolonglah', 'dengar', 'isak', 'tangis', 'batin', 'make', 'kartu', 'harga', 'mahal', 'sinyal', 'miskin']</t>
  </si>
  <si>
    <t>['jaringan', 'ngapa']</t>
  </si>
  <si>
    <t>['kencang']</t>
  </si>
  <si>
    <t>['telkomsel', 'nyaman']</t>
  </si>
  <si>
    <t>['knpa', 'unlimited', 'max', '']</t>
  </si>
  <si>
    <t>['provider', 'jaringan', 'terburuk', 'beli', 'paket', 'mahal', 'sinyal', 'full', 'pas', 'main', 'game', 'ping', 'lawak', '']</t>
  </si>
  <si>
    <t>['top', 'pulsa', 'langsung', 'abis', 'tagihan', 'apapun', 'kuota', 'gua', 'kecewa', 'banget']</t>
  </si>
  <si>
    <t>['even', 'login', 'udah', 'klaim', 'ngak', 'masuk', 'coba', 'mengklaim', 'udah', 'poin', 'ngilang', 'pulsa', 'ngilang', '']</t>
  </si>
  <si>
    <t>['apaandah', 'udah', 'beli', 'kuota', 'tetep', 'ngelag', 'dasar', 'lemot']</t>
  </si>
  <si>
    <t>['pengen', 'sepedah']</t>
  </si>
  <si>
    <t>['telkomsel', 'jringanya', 'lelet', 'asli', 'area', 'gorotalo']</t>
  </si>
  <si>
    <t>['muda', 'mudahan', 'rejeki']</t>
  </si>
  <si>
    <t>['isi', 'pulsa', 'langsung', 'kepotong', 'gimana', 'gua', 'rugi', 'pokoknya', '']</t>
  </si>
  <si>
    <t>['kasih', 'promo', 'nambah', 'bintangnya', '']</t>
  </si>
  <si>
    <t>['nyoba', 'entar', 'bagus', 'full', 'star']</t>
  </si>
  <si>
    <t>['lumayan', 'promo']</t>
  </si>
  <si>
    <t>['mntap', 'promo']</t>
  </si>
  <si>
    <t>['menarik', 'paket', 'spesial', '']</t>
  </si>
  <si>
    <t>['pandemi', 'alangkah', 'harga', 'keringanan', '']</t>
  </si>
  <si>
    <t>['mantap', 'terbukti', 'rakyat', 'pedesaan', 'pelosok', '']</t>
  </si>
  <si>
    <t>['bintang', 'ancur', 'sinya', 'beli', 'paketan', 'mahal', 'sinyal', 'maksimal', 'maen', 'game', 'ngelag', 'isinya', 'oelanggan', 'kabur', 'sinyal', 'lemah']</t>
  </si>
  <si>
    <t>['woy', 'spam', 'sms', 'promo', '']</t>
  </si>
  <si>
    <t>['bagus', 'mantep', 'bosa', 'murahin']</t>
  </si>
  <si>
    <t>['terbaik', 'memudahkan', 'belanja', 'paket', '']</t>
  </si>
  <si>
    <t>['semenjak', 'musim', 'hujan', 'sinyal', 'telkomsel', 'lelet', 'gada', 'speed', 'mohon', 'kepadaaa', 'telkomsel', 'daerah', 'terpencil', 'tolonggggg', 'speed']</t>
  </si>
  <si>
    <t>['telkomsel', 'emang', 'mantep', 'sinyal', 'harga', 'mahal', '']</t>
  </si>
  <si>
    <t>['dihati']</t>
  </si>
  <si>
    <t>['mantap', 'langsung', 'cek', 'pulsa', 'kuota', '']</t>
  </si>
  <si>
    <t>['beli', 'paket', 'tik', 'tok', 'via', 'telkomsel', 'gagal', 'saldo', 'ovo', 'terpotong', 'kirim', 'laporan', 'via', 'email', 'kali', 'solusi', 'profesional', '']</t>
  </si>
  <si>
    <t>['kecewa', 'udah', 'lumayan', 'telkomsel', 'sinyal', 'bagus', 'parah', 'banget', 'berharap', 'perbaiki', 'tingkatkan', 'pelayanan', 'telkomsel', '']</t>
  </si>
  <si>
    <t>['apk', 'membantu', 'terima', 'kasih', 'telkomsel', '']</t>
  </si>
  <si>
    <t>['isi', 'pulsa']</t>
  </si>
  <si>
    <t>['tingkatkan', 'kualitas', 'jaringan', 'pedesaan']</t>
  </si>
  <si>
    <t>['aplikasi', 'lemot', 'crash']</t>
  </si>
  <si>
    <t>['mantaul', 'hujan', 'gangguan']</t>
  </si>
  <si>
    <t>['top', 'game', 'pulsa', 'telkomsel', 'pulsa', 'halaman', 'pembwlian', 'top', 'game', 'tertulis', 'tersedia', 'tolong', 'diperbaiki', 'min']</t>
  </si>
  <si>
    <t>['interaksi', 'transaksi', 'inter', 'personal', 'lancar', 'meluas', '']</t>
  </si>
  <si>
    <t>['kinerja', 'jelek', 'internet', 'down', 'unlimited', 'ngk', '']</t>
  </si>
  <si>
    <t>['sinyal', 'lag', 'mahal', 'beli', 'mahal', 'mahal', 'kacau', '']</t>
  </si>
  <si>
    <t>['mudah', 'fraktis']</t>
  </si>
  <si>
    <t>['mantap', 'seru', 'banget', 'gay', '']</t>
  </si>
  <si>
    <t>['lancar', 'hujan', 'kadang', 'lemot', 'semoga']</t>
  </si>
  <si>
    <t>['aplikasinya', 'jelek', 'pas', 'masuk', 'langsung', 'gitu', '']</t>
  </si>
  <si>
    <t>['', 'pulsa', 'gua', 'celeng']</t>
  </si>
  <si>
    <t>['thanks', 'mmbntu']</t>
  </si>
  <si>
    <t>['gimana', 'buka', 'aplikasi', 'datanya', 'empot', 'jam', 'koneksi', 'hilang', 'total', 'beli', 'paket', 'kadang', 'seka', 'elor']</t>
  </si>
  <si>
    <t>['koneksi', 'daerah', 'purwokerto', 'ngga', 'konek', 'min', 'kemaren', 'malam', 'ilang', 'total', '']</t>
  </si>
  <si>
    <t>['bagus', 'pilihan', 'paket']</t>
  </si>
  <si>
    <t>['beli', 'paket', 'gagal', 'mulu', 'pulsanya', 'sedot']</t>
  </si>
  <si>
    <t>['penukaran', 'poin', 'gagal', 'karna', 'pulsa', 'mencukupi', 'koinku', '']</t>
  </si>
  <si>
    <t>['sempurna', '']</t>
  </si>
  <si>
    <t>['bijak', 'empati', 'kpd', 'pelanggan', 'setia', 'hrs', 'kemudahan', 'khusus', 'kuota', 'habis', 'penawaran', 'sifatnya', 'mudah', 'kuota', 'beli', 'data', 'manusiawi', 'betapa', 'sulitnya', 'didaerah', 'terpencil', 'signal', 'lemah', 'sercice', 'memuaskan', 'saran', 'gratis', 'input', 'kpd', 'telkomsel', 'kemana', 'pikiran', 'cari', 'profit', 'mena', 'terpikirkan', 'hargai', 'nasionalisme', '']</t>
  </si>
  <si>
    <t>['suka', 'ngelag', 'aplikasi', 'kadang', 'pas', 'klaim', 'daily', 'check', 'suka', 'ngebug', 'gitu', 'tolong', 'perbaiki', '']</t>
  </si>
  <si>
    <t>['telkomsel', 'bagus', 'hidup', 'dilingkungan', 'pedesaan', '']</t>
  </si>
  <si>
    <t>['jaringan', 'belom', 'merata', 'hujan', 'dikit', 'langsung', 'ilang', 'sinyal']</t>
  </si>
  <si>
    <t>['repot', 'tukar', 'poin', '']</t>
  </si>
  <si>
    <t>['simpati', 'sinyalnya', 'kaya', 'ingus', 'alay', 'turun', 'naek', 'parah', '']</t>
  </si>
  <si>
    <t>['lelet']</t>
  </si>
  <si>
    <t>['', 'sayang', 'banget', 'pokonya', 'telkomsel']</t>
  </si>
  <si>
    <t>['jelek', 'fitur', 'kunci', 'pulsa', 'paket', 'kuota', 'pulsa', 'abis', 'sedot', '']</t>
  </si>
  <si>
    <t>['bnyk', 'kemudahan', 'bnyk', 'pilihan', 'tinggkatkan', 'performa', 'kab', 'sumedang', 'gan']</t>
  </si>
  <si>
    <t>['transaksi', 'app', 'telkomsel', 'keterangannya', 'maaf', 'gangguan', 'sistem', 'udh', 'gangguan', 'trus', 'aneh']</t>
  </si>
  <si>
    <t>['cpt', 'terpecaya']</t>
  </si>
  <si>
    <t>['perpanjangan', 'singkat']</t>
  </si>
  <si>
    <t>['pembayaran', 'masuk', 'proses', 'konformasi', 'delay', 'banget', 'developer', 'coba', 'perbaiki', 'sistemnys', 'lancar']</t>
  </si>
  <si>
    <t>['good', 'pokok']</t>
  </si>
  <si>
    <t>['langsung', 'blum', 'coba']</t>
  </si>
  <si>
    <t>['apk', 'stak', 'mental', 'bro', 'knp', '']</t>
  </si>
  <si>
    <t>['jaringan', 'lelet', 'kak', '']</t>
  </si>
  <si>
    <t>['', 'make', 'aplikasi']</t>
  </si>
  <si>
    <t>['kadang', 'susah', 'masuk']</t>
  </si>
  <si>
    <t>['berat']</t>
  </si>
  <si>
    <t>['sukanya', 'ngedrop']</t>
  </si>
  <si>
    <t>['bagus', 'signalny', '']</t>
  </si>
  <si>
    <t>['dear', 'simpati', 'tolong', 'sinyal', 'perbaiki', 'game', 'slalu', 'lag', 'sesuai', 'sma', 'tarif', 'paketan', 'mahal', 'tpi', 'sinyal', 'mengecewakan', 'pelanggan', '']</t>
  </si>
  <si>
    <t>['pakai', 'pulsa', 'darurat', 'ngepotongnya', 'super', 'parah']</t>
  </si>
  <si>
    <t>['jendral', 'garda', 'informasi']</t>
  </si>
  <si>
    <t>['jaringan', 'telkomsel', 'daerah', 'kota', 'padang', 'eroor', 'tolong', 'perbaiki', '']</t>
  </si>
  <si>
    <t>['simpati', 'lelet', 'banget', '']</t>
  </si>
  <si>
    <t>['udah', 'isi', 'pulsa', 'kesedot', 'pulsanya', 'pas', 'maketin']</t>
  </si>
  <si>
    <t>['butuh', 'kestabilan', 'internet', 'kecepatan', '']</t>
  </si>
  <si>
    <t>['plikasi', 'membantu', 'bnger']</t>
  </si>
  <si>
    <t>['semoga', 'percepat', 'jaringannya', 'indonesia']</t>
  </si>
  <si>
    <t>['telkomsel', 'menawarkan', 'paket', 'data', 'free', 'aktif']</t>
  </si>
  <si>
    <t>['bagus', 'tolong', 'telkomsel', 'memperbaiki', 'poin', 'tukar', 'poinnya', 'paket', 'data', 'berlaku', 'tolong', 'memperbaiki', 'telkomsel']</t>
  </si>
  <si>
    <t>['tampilkan', 'terbaik']</t>
  </si>
  <si>
    <t>['sinyalnya', 'jelek', 'kak']</t>
  </si>
  <si>
    <t>['poin', 'tukarkan', 'telkomsel', '']</t>
  </si>
  <si>
    <t>['isi', 'ulang']</t>
  </si>
  <si>
    <t>['oky', 'oky']</t>
  </si>
  <si>
    <t>['bagus', 'lihat', 'kebawah']</t>
  </si>
  <si>
    <t>['mantap', 'good']</t>
  </si>
  <si>
    <t>['mudah', 'bertransaksi', 'aplikasi', 'telkomsel']</t>
  </si>
  <si>
    <t>['kasih', 'bintang', 'ditingkatkan', 'tipu', 'tipu']</t>
  </si>
  <si>
    <t>['sinyal', 'jelek', 'pulsa', 'kepotong']</t>
  </si>
  <si>
    <t>['telkomsel', 'memuat', 'ulang', 'truzzz']</t>
  </si>
  <si>
    <t>['', 'asik', 'combo', 'sakti', 'max', 'beli', '']</t>
  </si>
  <si>
    <t>['aplikasi', 'mudah', 'gampang', 'tinggal', 'klik', 'beli', 'selesai', 'pulsanya', 'silahkan', 'hub', 'istri', '']</t>
  </si>
  <si>
    <t>['moga', 'mantap', 'jaringan', 'telkomsel']</t>
  </si>
  <si>
    <t>['signal', 'daerah', 'kec', 'blega', 'kab', 'bangkalan', 'bagus']</t>
  </si>
  <si>
    <t>['lumayan', 'bagus', 'apknya']</t>
  </si>
  <si>
    <t>['menangin', 'point']</t>
  </si>
  <si>
    <t>['semoga', 'telkomsel']</t>
  </si>
  <si>
    <t>['', 'apik', 'tingkatkan', 'promo', 'besarnya']</t>
  </si>
  <si>
    <t>['pengguna', 'telkomsel', 'berilah', 'layanan', 'terbaik', 'pakai', 'trims']</t>
  </si>
  <si>
    <t>['nenguntungkan']</t>
  </si>
  <si>
    <t>['mantap', 'membantu', 'thanks']</t>
  </si>
  <si>
    <t>['mudah', 'dlm', 'pembelian', 'paket', 'kuota']</t>
  </si>
  <si>
    <t>['tolong', 'sinyal', 'paket', 'data', 'telkomsel', 'bagusin', 'paket', 'uda', 'mahal', 'jaringanya', 'bagus', 'karna', 'telkomsel', 'uda', 'pakai', 'suka', 'hati']</t>
  </si>
  <si>
    <t>['kuota', 'sinyal', 'kuota', 'ofline', 'simpati', 'jelek', '']</t>
  </si>
  <si>
    <t>['wilayah', 'lamongan', 'cuaca', 'mendungsinyalnya', 'kabur', '']</t>
  </si>
  <si>
    <t>['masuk']</t>
  </si>
  <si>
    <t>['login', 'cepat', 'bagus']</t>
  </si>
  <si>
    <t>['mudah', 'mudahan', 'sinyalnya', 'kuat', 'amin']</t>
  </si>
  <si>
    <t>['bagus', 'mempermudah']</t>
  </si>
  <si>
    <t>['udah', 'download', 'apk', 'maaf', 'taukah', 'permasalahanya', 'jaringan', 'telkom']</t>
  </si>
  <si>
    <t>['dwonload', 'dpt', 'pulsa', 'udah', 'dwonload', 'dpt', 'dasar']</t>
  </si>
  <si>
    <t>['membantu', 'urusan', 'berhubung', 'komunikasi']</t>
  </si>
  <si>
    <t>['layanan', 'buruk', 'sinyal', 'sosial', 'media', 'game', 'dsb']</t>
  </si>
  <si>
    <t>['jaringan', 'cepat', 'aksesnya', '']</t>
  </si>
  <si>
    <t>['udah', 'bagus', 'udh', 'cpat', 'login', 'udah', 'bagus', 'nnti', 'kasih', 'bintang', '']</t>
  </si>
  <si>
    <t>['signal', 'telkomsel', 'udah', 'kayak', 'udah', 'lelet', 'khusus', 'kecamatan', 'mempura', 'kab', 'siak', 'provinsi', 'riau', 'coba', 'cek', 'tower', 'gagguan', 'trims']</t>
  </si>
  <si>
    <t>['info', 'akurat', 'informasi', 'pulsa', 'data', 'paket']</t>
  </si>
  <si>
    <t>['woyy', 'sinyal', 'telkomsel', 'lemot', 'ilang', 'udah', 'sebulan', 'lebihsaya', 'ngalamin', 'perbaiki', 'gua', 'beli', 'kuota', 'mahal', '']</t>
  </si>
  <si>
    <t>['udah', 'make', 'tsel', 'internet', 'sakti', 'kaga', 'muncul', 'muncul', '']</t>
  </si>
  <si>
    <t>['jaringan', 'muncul', 'kartu', 'upgrade']</t>
  </si>
  <si>
    <t>['lumayan', 'bagus']</t>
  </si>
  <si>
    <t>['aplikasi', 'buruk', 'aplikasi', 'operator', 'tanda', 'bintang', 'hadirkan', 'aplikasi', '']</t>
  </si>
  <si>
    <t>['paket', 'murah', 'sinyal', 'main', 'game', 'kuat', 'suka', 'lag']</t>
  </si>
  <si>
    <t>['mantap', 'blm', 'menang', 'undian', 'point']</t>
  </si>
  <si>
    <t>['protes', 'jaringan', 'jelek', 'nggak', 'sepadan', 'harga', 'mahal', 'bro', 'tolong', 'perbaiki', 'sinyal', 'nyaaaaaaaaaaaaaaaaaaaaaaaaaaaaaaaaaaaaaaaaaaaaaaaaaaaaaaaaaaaaaaaaaaaaaaaaaaaaaaaaaaaaaaaaaaaaaaaaaaaaaaa']</t>
  </si>
  <si>
    <t>['kloo', 'bisaa', 'telkomsel', 'mahal', 'paket', 'internetnya', 'yaaa', 'trima', 'kasih']</t>
  </si>
  <si>
    <t>['pokok', 'muantap', 'telkomsel']</t>
  </si>
  <si>
    <t>['banyakin', 'promo', 'langganan']</t>
  </si>
  <si>
    <t>['gampang', 'bertransaksi', 'pulsa', 'paketnya', 'menarik']</t>
  </si>
  <si>
    <t>['harap', 'promo', 'membeli']</t>
  </si>
  <si>
    <t>['mendominasi', 'jaringan', 'daerah']</t>
  </si>
  <si>
    <t>['lumayan', 'promonya', 'mantap']</t>
  </si>
  <si>
    <t>['provider', 'penipuan', 'konsumen', 'jahatttttt', 'susah', 'gini', 'mendholimi', 'konsumen', 'udah', 'beli', 'paket', 'internet', 'kepake', 'pulsa', 'utama', 'tinggal', 'rupiah', 'ngomong', 'kasar', 'takuttt', 'dosa']</t>
  </si>
  <si>
    <t>['mudah', 'mudahan', 'lancar']</t>
  </si>
  <si>
    <t>['jebakan', 'betmen', 'hati', 'hati', 'isi', 'pulsa', 'dinolkan', 'lgsg', 'beli', 'paket', 'habis', 'disedot', 'tersedia', 'kuotanya']</t>
  </si>
  <si>
    <t>['pelayanan', 'nyaaa', 'lemottt', 'beli', 'masuk', 'verifaksi', 'kemana', 'nunggu', 'hariii']</t>
  </si>
  <si>
    <t>['murah', 'promonya']</t>
  </si>
  <si>
    <t>['puya', 'internet', 'tan', 'lag', 'tiktok']</t>
  </si>
  <si>
    <t>['paket', 'ceria', 'gb', 'adain']</t>
  </si>
  <si>
    <t>['kuota', 'tawar', 'variatif', '']</t>
  </si>
  <si>
    <t>['apk', 'bagus', 'mudah', 'transaksi']</t>
  </si>
  <si>
    <t>['semoga', 'maju']</t>
  </si>
  <si>
    <t>['kasi', 'bonus', '']</t>
  </si>
  <si>
    <t>['mytelkomsel', 'memudahkan', 'pengguna']</t>
  </si>
  <si>
    <t>['jaringan', 'telkomsel', 'the', 'best', 'mantap']</t>
  </si>
  <si>
    <t>['beli', 'pulsa', 'muda']</t>
  </si>
  <si>
    <t>['sinyal', 'telkomsel', 'bagus', 'daerah', 'kekurangannya', 'harga', 'paket', 'pulsa', 'mahal', 'tolong', 'turunin', 'dikit']</t>
  </si>
  <si>
    <t>['bismillah', 'komsiaris', 'telkom']</t>
  </si>
  <si>
    <t>['penawaran', 'spesial']</t>
  </si>
  <si>
    <t>['apk', 'bagus', 'membantu', 'berguna']</t>
  </si>
  <si>
    <t>['berguna', 'sinyal', 'setabil']</t>
  </si>
  <si>
    <t>['membantu', 'akses', 'pelayanan']</t>
  </si>
  <si>
    <t>['nggak', 'dibuka', 'aps', 'berat', 'fiuuhh']</t>
  </si>
  <si>
    <t>['aplikasi', 'baguss', 'pengguna', 'kartu', 'telkomsel', 'wajib', 'dowload', 'aplikasi']</t>
  </si>
  <si>
    <t>['baguss', 'tpi', 'saran', 'sya', 'pketnya', 'murahin', 'dkit']</t>
  </si>
  <si>
    <t>['semoga', 'signalnya', 'ilang']</t>
  </si>
  <si>
    <t>['mempermudah', 'lihat', 'saldo', 'pembelian', 'pulsa']</t>
  </si>
  <si>
    <t>['mantapks', 'salam', 'akal', 'sehat']</t>
  </si>
  <si>
    <t>['sinyal', 'telkomsel', 'lemot', 'banget', 'tolong', 'diperbaiki', 'kesel', 'banget']</t>
  </si>
  <si>
    <t>['kesalahan', 'terbesar', 'pembuat', 'aplikasi', 'support', 'versi', 'android', 'pengguna', 'memanfaatkan', 'kelebihan', 'pengembang', 'memaksimalkan', 'penggunanya', 'november', 'mytelkomsel', 'aplikasi', 'ringan', 'notifikasi', 'nyaman', '']</t>
  </si>
  <si>
    <t>['teruji', 'bagus', 'kasih', 'pul', 'bintangnya']</t>
  </si>
  <si>
    <t>['pribadi', 'puas', 'aplikasi', 'sinyal', 'stabil', 'otomatis', 'dibuka']</t>
  </si>
  <si>
    <t>['alangkah', 'ditingkatkan']</t>
  </si>
  <si>
    <t>['pokok', 'mantap', 'telkomsel']</t>
  </si>
  <si>
    <t>['cepat', 'bagus']</t>
  </si>
  <si>
    <t>['mantab', 'gampang', 'sisa', 'pulsa', 'pulsa', 'paketan', 'kali', 'klik']</t>
  </si>
  <si>
    <t>['paket', 'internet', 'pulsaku', 'dikurangi', 'akses', 'internet', 'non', 'paket', '']</t>
  </si>
  <si>
    <t>['migrasi', 'online', '']</t>
  </si>
  <si>
    <t>['kuota', 'lokal', 'sya', 'pakai', 'internet', 'youtube', 'lambat', 'padhal', '']</t>
  </si>
  <si>
    <t>['mudah', 'mudahan', 'rezeki']</t>
  </si>
  <si>
    <t>['sinyal', 'jelek', 'menganggu', 'aktivitas']</t>
  </si>
  <si>
    <t>['tida', 'paket', 'suka', 'hilang', 'berubah', 'rubah']</t>
  </si>
  <si>
    <t>['jangkauan', 'luas', 'pelosok', 'negeri']</t>
  </si>
  <si>
    <t>['banyakan', 'pakai', 'karna', 'log', 'susah', 'udah', 'susah', 'log', 'gampang', 'gampang', 'masuk']</t>
  </si>
  <si>
    <t>['bagus', 'lancar', 'kedepannya', 'dark', 'theme', 'terima', 'kasih', '']</t>
  </si>
  <si>
    <t>['dikasih', 'murah', 'kota', 'maha']</t>
  </si>
  <si>
    <t>['mahal', 'ngak', 'kuota', 'kadang', 'beli', 'kadang', 'ngak']</t>
  </si>
  <si>
    <t>['bacot', 'bye', 'telkomsel', 'mahal', 'jaringan', '']</t>
  </si>
  <si>
    <t>['alhamdulilah', 'bsa', 'membantu', 'komunikasi', 'lancar', '']</t>
  </si>
  <si>
    <t>['zona', 'beli', 'sim', 'card', 'serumah', 'harga', 'paket', 'telkomsel', 'beda', 'gue', 'adek', 'gue', 'aneh', 'gue', 'mahal', 'adek', 'murah', 'dijelasin', 'oke', 'beda', 'zona', 'beda', 'harga', 'serumah', 'zona']</t>
  </si>
  <si>
    <t>['', 'banget', 'telkomsel']</t>
  </si>
  <si>
    <t>['serba']</t>
  </si>
  <si>
    <t>['jaringan', 'telkomsel']</t>
  </si>
  <si>
    <t>['beli', 'paket', 'ilmu', 'pedia', 'kuota', 'belajar', 'kuota', 'utama', 'kepotong']</t>
  </si>
  <si>
    <t>['respon', 'aplikasinya', 'cepat']</t>
  </si>
  <si>
    <t>['diem', 'diem', 'pulsa', 'berkurang', 'sepengetahuan', 'aneh', 'kouta', 'msh', 'koq', 'nyedot', 'pulsa', 'reguler', 'terkadang', 'transaksi', 'berkurang', 'knp', '']</t>
  </si>
  <si>
    <t>['telkomsel', 'belajar', 'mudah', 'terimakasih', 'telkomsel']</t>
  </si>
  <si>
    <t>['aflikasi', 'emng', 'bagu']</t>
  </si>
  <si>
    <t>['', 'telkomsel', 'membantu', 'cepat', 'trimakasih']</t>
  </si>
  <si>
    <t>['jaringan', 'kayak', 'siput', 'daerah', 'lampung', 'barat', 'mengeluhkan', 'bermain', 'game', 'lancar', 'lelet', '']</t>
  </si>
  <si>
    <t>['harga', 'paket', 'terima', 'paket', 'malam', 'hilang', 'mending', 'ganti', 'operator', 'makasih', 'menemani', 'bye', '']</t>
  </si>
  <si>
    <t>['pelanggan', 'mohon', 'paket', 'tarif', 'internet', 'telepon', 'sms', 'harganya', 'murahkan', 'pelanggan', '']</t>
  </si>
  <si>
    <t>['', 'telkomsel', 'licik', 'kuota', 'nelpon', 'nelpon', 'motong', 'pulsa', 'abis', 'kuota', 'lansung', 'pulsa', 'dipotong', 'peringantan', 'kuota', 'abis', 'potong', 'pulsa', 'sms', 'hubungi', 'veronika', 'jawabannya', 'diputar', 'pokonya', 'telkomsel', 'licik', '']</t>
  </si>
  <si>
    <t>['aplikasi', 'bagus', 'bermanfaat', 'walupun', 'paketan', 'lbh', 'mahal', 'lbh', 'murah', '']</t>
  </si>
  <si>
    <t>['good', 'paketan', 'giga', 'nelp', 'kemana', 'sinyal', 'ngojek', 'kemana', 'kehilangan', 'sinyal', '']</t>
  </si>
  <si>
    <t>['', 'mantap', 'cepat', 'ribet']</t>
  </si>
  <si>
    <t>['memudahkan', 'pembelian', 'paket', 'dll']</t>
  </si>
  <si>
    <t>['update', 'pembayarab', 'via', 'link', '']</t>
  </si>
  <si>
    <t>['aplikasi', 'memudahkan', 'informasi', 'telkomsel', 'paket', 'telp', 'internet']</t>
  </si>
  <si>
    <t>['verifikasi', 'link', 'otp', 'aplikasi', 'langsung', 'berhenti', 'tolong', 'perbaiki', 'login']</t>
  </si>
  <si>
    <t>['', 'telkomsel', 'mantap', 'aplikasinya', 'berguna', 'tolong', 'dioptimalkan', 'kinerjanya', 'terkadang', 'jeda', 'aplikasi', 'lelet', '']</t>
  </si>
  <si>
    <t>['', 'ngerti', 'sma', 'maunya', 'aplikasi', '']</t>
  </si>
  <si>
    <t>['membantu', 'pokokx', 'mantap']</t>
  </si>
  <si>
    <t>['hemat', 'hadiah']</t>
  </si>
  <si>
    <t>['kondisi', 'kantor', 'sinyal', 'putus', 'nybung']</t>
  </si>
  <si>
    <t>['loadingnya', 'lambat', 'update']</t>
  </si>
  <si>
    <t>['paketnya', 'mahal', 'downgrade', 'kondisi', 'pandemi', '']</t>
  </si>
  <si>
    <t>['hemat', 'murah', 'meriah', 'berkualitas', '']</t>
  </si>
  <si>
    <t>['update', 'aplikasi', 'buka', 'cek', 'kuota', 'lodingnya', 'berat', 'kebanyakn', 'fitur', 'iklan', 'ngelag', 'saran', 'kurangi', 'program', 'diskon', 'pembelanjaan', 'geray', 'dananya', 'dialih', 'fungsikan', 'program', 'pembelian', 'paket', 'kuota', 'internet', 'murah', 'terjangkau', 'telkomsel', 'blm', 'kepengen', 'klik', 'program', 'cashback', 'voucher', 'diskon', 'pembelanjaan', 'pembelian', 'paket', 'internet', 'murah', '']</t>
  </si>
  <si>
    <t>['mantap', 'cepat', 'simple']</t>
  </si>
  <si>
    <t>['kadang', 'eror', 'loading']</t>
  </si>
  <si>
    <t>['harga', 'paket', 'klu', 'dikurangin', '']</t>
  </si>
  <si>
    <t>['lemot', 'harga', 'paketan', 'bagus', 'banget']</t>
  </si>
  <si>
    <t>['mantap', 'telkomsel', 'pakai', 'katru']</t>
  </si>
  <si>
    <t>['kasih', 'bintang', 'pulsa', 'dimakan', 'sms', 'pulsa', 'dipotong', 'otomatis', 'paket', 'non', 'internet', '']</t>
  </si>
  <si>
    <t>['semoga', 'meningkatkan', 'pelayanan', 'kepuasan', 'pelanggan']</t>
  </si>
  <si>
    <t>['aplikasi', 'memudahkan', 'mengecek', 'paket']</t>
  </si>
  <si>
    <t>['pengalaman', 'buruk', 'memakai', 'telkomsel', 'pulsaaa', 'terpotong', 'telkomsel', 'pencuri', 'pulsaaa', 'masyarakat', 'contoh', 'pagi', 'pulsa', 'terpotong', 'rupiah', 'data', 'off', 'jaringan', 'rubah', 'memakai', 'wifi', 'rumah', 'pulsa', 'terpotong', 'cuman', 'seringggggg', 'terjadiiii', 'mohon', 'tanggapannn', 'telkomselll', 'jangannn', 'lahhh', 'pencuriii', 'pulsaaa', 'provider', 'besarrr', 'pencuriiii']</t>
  </si>
  <si>
    <t>['bgs', 'aza', 'krnp', 'lemot', 'buka', '']</t>
  </si>
  <si>
    <t>['update', 'buka', 'suruh', 'perbaharui', 'maksudnya', '']</t>
  </si>
  <si>
    <t>['harga', 'mahal', 'hikhikhiksss']</t>
  </si>
  <si>
    <t>['kecewa', 'tlkomsel', 'koin', 'udah', 'tukarin', 'paket', 'internet', 'gb', 'kagak', 'kadaluarsa', 'kasih', 'bintang', 'permintaan', 'kabulkan', 'tlkomsel', 'khusus', 'mbak', 'veronica']</t>
  </si>
  <si>
    <t>['membeli', 'isi', 'ulang', 'paket', 'internet', 'tersedia', 'signal', 'turun']</t>
  </si>
  <si>
    <t>['mudah', 'nyaman', 'cek', 'kuota', 'saldo']</t>
  </si>
  <si>
    <t>['lumayanlah', 'kadang', 'troublenya']</t>
  </si>
  <si>
    <t>['puas', 'memudah', '']</t>
  </si>
  <si>
    <t>['faktor', 'kemudahan', '']</t>
  </si>
  <si>
    <t>['parah', 'sinyal', 'skrng']</t>
  </si>
  <si>
    <t>['keren', 'mantap', '']</t>
  </si>
  <si>
    <t>['buruk', 'belasan', 'pelanggan', 'telkomsel', 'berkali', 'pulsa', 'terpotong', 'sll', 'pinter', 'ngotak', 'atik', 'pelanggan', 'bersalah', 'nomor', 'oama', 'udh', 'byk', 'dikenal', 'teman', 'saudara', 'rasany', 'pengen', 'buang', 'kejadian', 'dialami', 'nomer', 'provider', 'jenis', 'kartunya', 'beda', 'iya', 'kepotong', 'bbrp', 'ratus', 'perak', 'kali', 'kepotong', 'bayangkan', 'kejadianny', 'berkali', 'kalikan', 'jml', 'pelanggan', 'ratusan', 'juta', 'gede', '']</t>
  </si>
  <si>
    <t>['aplikasi', 'membantu', 'memudahkan', 'cepat', 'saldo', 'pulsa', 'pembelian', 'data', 'internet', 'sisa', 'pemakaian', 'data', 'internet', 'aplikasi', 'infokan', 'promo', 'pembelian', 'data', 'internet', 'sesuai', 'kebutuhan', 'terima', 'kasih', 'mytelkomsel']</t>
  </si>
  <si>
    <t>['tega', 'maau', 'kasih', 'rating', 'tpi', 'kesini', 'menerus', 'update', 'blum', 'parah', 'telkomsel', 'sinyal', 'jelek', 'bnget', 'pdahl', 'tinggal', 'ditengah', 'kota', 'udah', 'paket', 'mahal', 'sinyal', 'jelek', 'mohon', 'diperbaiki']</t>
  </si>
  <si>
    <t>['aplikaai', 'sanggat', 'membantu']</t>
  </si>
  <si>
    <t>['membantu', 'pembelian', 'paket', 'pulsa', 'mudah', 'sisa', 'paket', 'data']</t>
  </si>
  <si>
    <t>['cek', 'kuata', 'susah', 'balasan', 'telkomsel']</t>
  </si>
  <si>
    <t>['mudah', 'han', 'bermanfaat']</t>
  </si>
  <si>
    <t>['kualitas', 'informasi', 'memuaskan']</t>
  </si>
  <si>
    <t>['tambahin']</t>
  </si>
  <si>
    <t>['smoga', 'tingkat', 'kualitas', 'jaringan', 'bnyak', 'promo', 'paket']</t>
  </si>
  <si>
    <t>['ribet', 'aplikasi', 'maksa', 'ngasih', 'rate', 'banget', 'muncul', 'iklan', 'rate', 'udah', 'kasih', 'rating', 'banget', 'buka', 'app', 'rate', 'turunin', 'ratenya']</t>
  </si>
  <si>
    <t>['kasih', 'bintang', 'pakai', 'telkomsel']</t>
  </si>
  <si>
    <t>['klau', 'poin', 'mencoba', 'undian', 'sapa', 'menang', 'telkomsel', 'mantep']</t>
  </si>
  <si>
    <t>['bintang', 'isi', 'paket', 'susah', 'banget', 'klik', 'belinya', '']</t>
  </si>
  <si>
    <t>['perbaiki', 'kualitas', 'sinyal', 'tarif', 'mahalin', 'qualitas', 'buruk']</t>
  </si>
  <si>
    <t>['woi', 'telkomsel', 'bener', 'beli', 'paket', 'jam', 'udah', 'habis', 'jam', 'setan', 'rugi', 'beli', 'kartu', 'kek', 'gini']</t>
  </si>
  <si>
    <t>['', 'kmrn', 'errot', 'mulu', 'login', 'cek', 'beli', 'kuota', '']</t>
  </si>
  <si>
    <t>['mantap', 'tingkatkan', 'jaringan']</t>
  </si>
  <si>
    <t>['parah', 'jaringan']</t>
  </si>
  <si>
    <t>['ngasih', 'hadiah', 'voucer', 'bos', 'pulsa', 'kuota', 'maaf', 'bos', 'sekedar', 'saran', '']</t>
  </si>
  <si>
    <t>['harga', 'internet', 'mahal']</t>
  </si>
  <si>
    <t>['berat', 'buka']</t>
  </si>
  <si>
    <t>['puas', 'aplikasinya', '']</t>
  </si>
  <si>
    <t>['klw', 'telkomsel', 'seru', 'rame', 'paketan', 'bulanan', 'permudah', 'bosku', '']</t>
  </si>
  <si>
    <t>['harga', 'paket', 'mahal', 'pelayanan', 'signal', 'buruk']</t>
  </si>
  <si>
    <t>['paket', 'unlimited', 'aktif', 'kuota', 'tetep', 'sedot', '']</t>
  </si>
  <si>
    <t>['parraahhhh', 'jaringan', 'signal', 'internetnya', 'sangaattt', 'lemmot', 'ditindak', 'perbaiki', 'kepuasan', 'kenyamanan', 'pelanggan', 'coustomer', 'pengguna', 'telkomsel', 'terpenuhi', '']</t>
  </si>
  <si>
    <t>['mantap', 'maju', 'trus', 'telkomsel', 'merdeka', 'indonesia']</t>
  </si>
  <si>
    <t>['sinyal', 'buruk', 'kemarin', 'kemarin', 'ngga', 'kaya', 'gini', 'beli', 'pulsa', 'murah', 'pandemi', 'kaya', 'gini', 'parahnya', 'meeting', 'sinyal', 'kualitas', 'turun', 'harga', 'turuninlah', 'rugi', 'udah', 'beli', 'sinyal', 'lemot']</t>
  </si>
  <si>
    <t>['parah', 'kau', 'telkomsel', 'sialan', 'kalauada', 'penilaian', 'bintang', 'kukasih', 'kau', 'minus', '']</t>
  </si>
  <si>
    <t>['gunanya', 'kuota', 'multimedia', 'kepakai', 'kuota', 'utama']</t>
  </si>
  <si>
    <t>['kecewa', 'kartu', 'mahal', 'kualitas', 'beda', 'murahan', 'tingkatkan', 'parahhh']</t>
  </si>
  <si>
    <t>['combo', 'sakti', 'mantap']</t>
  </si>
  <si>
    <t>['lumayan', 'mempermudah']</t>
  </si>
  <si>
    <t>['paketnya', 'bagus', 'tipu', 'tipu', 'kayak', 'indosat']</t>
  </si>
  <si>
    <t>['tolong', 'telkomsel', 'perbaiki', 'ulang', 'beli', 'kuota', 'sistem', 'sibuk', 'trsss']</t>
  </si>
  <si>
    <t>['pajak', 'biaya', 'admin', 'ngotak', 'top', 'beli', 'itemku']</t>
  </si>
  <si>
    <t>['sinyal', 'lelet', 'patut', 'diapresiasi', 'jempol']</t>
  </si>
  <si>
    <t>['telkomsel', 'lelet']</t>
  </si>
  <si>
    <t>['membantu', 'beribadah']</t>
  </si>
  <si>
    <t>['undian', 'bintang', 'iya', 'leg']</t>
  </si>
  <si>
    <t>['aapaaan', 'kelas', 'simpati', 'maen', 'mobile', 'legend', 'sinyal', 'langsung', 'luplep', 'parah']</t>
  </si>
  <si>
    <t>['beli', 'paket', 'data', 'gratis']</t>
  </si>
  <si>
    <t>['ampun', 'aplikasi', 'butuh', 'bandwidth', 'gede', 'banget', 'leletnya', 'ampun']</t>
  </si>
  <si>
    <t>['oke', 'memudahkan', 'pelanggan']</t>
  </si>
  <si>
    <t>['senang', 'kali', 'kartu', 'telkomsel']</t>
  </si>
  <si>
    <t>['gue', 'kasih', 'saran', 'telkomtol', 'ilang', 'sinyal', 'angin', 'udah', 'kek', 'cwk', 'banget', 'tutup', 'perusahaan', 'gue', 'saranin', '']</t>
  </si>
  <si>
    <t>['maaf', 'simpati', 'jelek', 'jaringan', 'sinyal', 'full', 'lemot', 'banget', 'semenjak', 'kartu', 'hallo', 'isi', 'kuota', 'udah', 'habis', 'pakai', 'udah', 'gtuh', 'bayar', 'notif', 'blokir', 'permanen', 'kartu', '']</t>
  </si>
  <si>
    <t>['mahal', 'banget', 'kartu', 'gua']</t>
  </si>
  <si>
    <t>['kecewa', 'pelayanan', 'jaringan', 'telkom', 'isi', 'paket', 'pulsa', 'tarik', 'duluan', 'pilihan', 'paket', 'mahal', 'pelayanan', 'daptkan', 'seduai', 'data', 'pakai', 'hangus', 'tolong', 'perhatikan', 'mas', 'mba']</t>
  </si>
  <si>
    <t>['telkomsel', 'slalu']</t>
  </si>
  <si>
    <t>['tolong', 'paketnya', 'dimurahin', 'dikit']</t>
  </si>
  <si>
    <t>['min', 'tolong', 'paket', 'ceria', 'ilang', 'situasi', 'paket', 'sqngat', 'membantu', 'banget', '']</t>
  </si>
  <si>
    <t>['bagus', 'promo', 'jga']</t>
  </si>
  <si>
    <t>['aplikasinya', 'lemot', 'kadang', 'dibuka']</t>
  </si>
  <si>
    <t>['mengecewakan', 'makai', 'aplikasi', 'dibuka', 'berulang', 'ulang', 'beda', 'banget']</t>
  </si>
  <si>
    <t>['jaringan', 'jelek', 'bangat', 'perbaiki', 'masak', 'kuota', 'msh', 'jaringannya', 'muter', 'perhatian', 'telkomsel', 'jaringanmu', 'jelek', 'bangat', 'sengaja', 'ditinggal', 'pengguna', 'jeleknya', 'jaringan', 'internet', 'telkomsel', '']</t>
  </si>
  <si>
    <t>['aplikasi', 'lambat', 'pindah', 'menu', 'lemot', 'kali', 'tolong', 'perbaiki', '']</t>
  </si>
  <si>
    <t>['kecewa', 'jaringannya', 'kuota', 'mahal', 'tpi', 'jaringan', 'ngelek', 'saranku', 'perbaiki', 'nyaman', 'pengguna', 'telkomsel']</t>
  </si>
  <si>
    <t>['terhebat', 'jaringan', '']</t>
  </si>
  <si>
    <t>['layanan']</t>
  </si>
  <si>
    <t>['blm', 'dicoba', 'ribet']</t>
  </si>
  <si>
    <t>['aplikasi', 'lemot', 'bayar', 'langsung', 'pakai', 'shopepay', 'pulsa', 'kesedot', 'padalah', 'kuota', 'utama', 'buru']</t>
  </si>
  <si>
    <t>['susah', 'sinyal', 'iyaa', 'tsel', 'knp', 'inii', 'tolong', 'perbaiki', 'mahalin', 'harga', 'paketan', 'sinyal', 'mendukung']</t>
  </si>
  <si>
    <t>['mempermudah', 'pembelian', 'pulsa']</t>
  </si>
  <si>
    <t>['aplikasinya', 'baguuss']</t>
  </si>
  <si>
    <t>['sinyal', 'baguss', 'suka', 'pakai', 'telkomsel', '']</t>
  </si>
  <si>
    <t>['beli', 'kuota', 'mahal', 'mahal', 'jaringan', 'sumpah', 'menjijik', '']</t>
  </si>
  <si>
    <t>['bintang', 'karna', 'jaringannya', 'agag', 'lemot', 'mohon', 'perbaiki', 'jaringan', 'gnya', '']</t>
  </si>
  <si>
    <t>['coba', 'deh', 'bagus']</t>
  </si>
  <si>
    <t>['susah', 'transaksi', 'ganguan']</t>
  </si>
  <si>
    <t>['menunggu', 'hacker', 'nyerang', 'telkomsel', 'sadar', 'sinyal', 'lemot']</t>
  </si>
  <si>
    <t>['iya', 'bagus', 'daapet', 'diff']</t>
  </si>
  <si>
    <t>['sinyalll', 'malem', 'kaya', 'orang', 'pusing', 'muter', '']</t>
  </si>
  <si>
    <t>['ain', 'promo', 'cicilan', 'hape']</t>
  </si>
  <si>
    <t>['mantap', 'jaya', 'telkomsel']</t>
  </si>
  <si>
    <t>['bagus', 'promo', 'hadiah', 'telkomsel', 'mudah', 'kena', 'penipuan']</t>
  </si>
  <si>
    <t>['', 'make', 'telkomsel', 'rugi', 'kuota', 'doank', 'mahal', 'jaringan', 'kena', 'ujan', 'doank', 'langsung', 'melempem', 'mending', 'kartu', 'tri', 'ajah', 'murah', 'gais', 'ganti', 'kartu', '']</t>
  </si>
  <si>
    <t>['sinyal', 'buriq', 'muluu']</t>
  </si>
  <si>
    <t>['paket', 'combo', 'sakti', 'unlimited', 'multimedia', 'tolong', 'tambahin', 'fitur', 'online', 'shop']</t>
  </si>
  <si>
    <t>['telkom', 'mending', 'benerin', 'jaringan', 'keseluruh', 'indo', 'maen', 'lag', 'lag', 'mulu', 'harga', 'kuota', 'mahal', 'gini', 'kuota', 'mahal', 'jaringan', 'kenceng', 'beli', 'tpi', 'kagak', 'udah', 'jaringan', 'blom', 'lag', 'lag', 'harga', 'kuota', 'mahal', 'bet', 'mohon', 'telkom', 'benerin', 'jaringan', 'lgi', 'jaringan', 'didaerah', 'kenceng', 'bye', '']</t>
  </si>
  <si>
    <t>['apl', 'telkomsel', 'smua', 'transaksi', 'mudah', 'trimksh', 'telkomsel', 'smga', 'sukses', 'slalu', 'trus', 'sukses', '']</t>
  </si>
  <si>
    <t>['suka', 'signal', 'lemot', 'tolong', 'perbaiki']</t>
  </si>
  <si>
    <t>['jaringan', 'lelet', 'kuota', 'tpi', 'lelet', 'ampun', 'nyesal', 'pakek', 'kartu', 'telkomsel', 'tolong', 'bos', 'perbaiki', 'jaringan', 'mahal', 'pulak', 'harga', 'paket', 'sesuai', 'harapan', 'bgsatttttt']</t>
  </si>
  <si>
    <t>['aplikasi', 'telkomsel', 'kali', 'membuka', 'erorr', 'tulisan', 'aplikasi', 'terhenti', 'tutup', 'aplikasi', 'mohon', 'perbaiki', 'kepentingan', 'terima', 'kasih']</t>
  </si>
  <si>
    <t>['lemot', 'sungguh', 'mengecewakan', 'pelanggan', 'telkomsel', 'siang', 'malam', 'perubahan', 'tolong', 'perbaiki', 'jaringan', 'terluas', 'indonesia']</t>
  </si>
  <si>
    <t>['', 'telkomsel', 'sngat', 'mudah', 'pngecekanx', 'pmakaianx', 'tpi', 'tolong', 'knpa', 'jaringanx', 'ngelek', '']</t>
  </si>
  <si>
    <t>['hadeeeeh', 'kartu', 'telkomsel', 'prabayar', 'ganti', 'pascabayar', 'kartu', 'halo', 'internet', 'jelek', 'putus', '']</t>
  </si>
  <si>
    <t>['jari', 'telkomsel', 'menjasi', 'burik', 'tolong', 'telkomsel', 'menyelidiki', 'ahir', 'singal', 'telkomsel', 'jelak', 'melu', 'singal', 'penuh', 'kecepatan', 'jelek', 'tolong', 'telkomsel', 'perbaiki', 'utuk', 'penguna', 'telkomsel', 'janagn', 'beli', 'telkomsel', 'singal', 'jelek']</t>
  </si>
  <si>
    <t>['membantu', 'memudahkan', 'pengguna']</t>
  </si>
  <si>
    <t>['sinyal', 'jelek', 'perbaiki']</t>
  </si>
  <si>
    <t>['sinyal', 'setabil']</t>
  </si>
  <si>
    <t>['sinyalnya', 'stres', 'kayak', 'lemot', 'banget', 'tolong', 'diperbaiki', 'sinyal', 'lancar', '']</t>
  </si>
  <si>
    <t>['aneh', 'banget', 'paket', 'unlimited', 'dipake', 'kuota', 'utama', 'udh', 'abis', 'trus', 'udh', 'mode', 'pesawat', 'ulang', 'tetep', 'dipake', 'kuotanya', 'rugi', 'banget', 'gede', 'kuota', 'unlimited', 'tpi', 'gabisa', 'dipake', 'huft', '']</t>
  </si>
  <si>
    <t>['woiii', 'tolong', 'telkomsel', 'sinyal', 'bagusin', 'hancurr', 'kali', 'main', 'game', '']</t>
  </si>
  <si>
    <t>['sinyal', 'ilang', 'mulu', 'gini', 'rugi', '']</t>
  </si>
  <si>
    <t>['pengisian', 'pembayaran', 'kuota', 'paket', 'darurat', 'masuk', 'pembayarannya', 'dianggap', 'membayar', 'paket', 'payah', 'telkomsel']</t>
  </si>
  <si>
    <t>['pertahankan', 'jngan', 'mahal', 'sinyalnya', 'benerin', 'hujan', 'usahain', 'sinyalnya', 'bagus', 'jngan', 'lemot']</t>
  </si>
  <si>
    <t>['kasi', 'bintang', 'karna', 'jaringan', 'internet', 'daerah', 'jelek', 'buka', 'aplikasi', 'facebook', 'eror']</t>
  </si>
  <si>
    <t>['adain', 'paket', 'unlimited', 'murce']</t>
  </si>
  <si>
    <t>['jelek', 'jaringan', 'cepat', 'mati']</t>
  </si>
  <si>
    <t>['siyalnya', 'cakep']</t>
  </si>
  <si>
    <t>['telkomsel', 'parah', 'banget', 'jaringannya', 'kabupaten', 'bangka', 'tpi', 'pingnya', 'gede', 'banget', 'lag', 'ampun', 'telkomsel', 'suport', 'main', 'game', '']</t>
  </si>
  <si>
    <t>['telekomsel', 'ber', 'mengecek', 'data', 'suka', '']</t>
  </si>
  <si>
    <t>['aplikasinya', 'gampang', 'isi', 'kuota', 'internet', 'thanks', '']</t>
  </si>
  <si>
    <t>['tolong', 'jaringan', 'perbaiki', 'perubahan', 'paket', 'larang', 'larang', 'tolong', 'jaringan', 'stabilkan', '']</t>
  </si>
  <si>
    <t>['tolong', 'kurangi', 'mengambil', 'pulsanya', 'buka', 'aplikasi', 'telkomsel', 'kepake', 'mb', 'udh', 'keambil', 'pulsa', '']</t>
  </si>
  <si>
    <t>['', 'buka', 'udah', 'update', 'aplikasi', '']</t>
  </si>
  <si>
    <t>['', 'lumayan', 'membantu']</t>
  </si>
  <si>
    <t>['jaringannya', 'bagus', 'wilayah']</t>
  </si>
  <si>
    <t>['aplikasinya', 'mudah', 'mempermudah', 'check', 'kondisi', 'pulsa', 'kuota']</t>
  </si>
  <si>
    <t>['mudahh', 'enak', 'lezat']</t>
  </si>
  <si>
    <t>['terimakasih', 'bantuan', 'isi', 'ulang', 'pembelian', 'pulsa']</t>
  </si>
  <si>
    <t>['sinyal', 'tolong', 'dibagusi', 'perusahaan', 'kualitas']</t>
  </si>
  <si>
    <t>['terbaik', 'membantu']</t>
  </si>
  <si>
    <t>['jaringan', 'busuk', '']</t>
  </si>
  <si>
    <t>['maytekomsel', 'pingin', 'paketan', 'murah', '']</t>
  </si>
  <si>
    <t>['telkomsel', 'mengecewakan', 'banget', 'nomer', 'udah', 'nomer', 'udah', 'hangus', 'kartunya', 'ilang', 'line', 'aktif', 'nomernya', 'daur', 'ulang', 'kartu', 'perdana', 'jual', 'pagi', 'akun', 'ilang', 'cek', 'udah', 'orang', 'nomernya', 'daftarin', 'akun', 'konfirmasi', 'telkomselnya', 'nyuruh', 'konfirmasi', 'line', 'nomer', 'udah', 'hangus', 'daur', 'ulang']</t>
  </si>
  <si>
    <t>['aplikasi', 'sampah', 'pulsa', 'dipotong', 'paket', 'data']</t>
  </si>
  <si>
    <t>['min', 'coba', 'jaringan', 'telkomsel', 'lemot', '']</t>
  </si>
  <si>
    <t>['membantu', 'deng', 'memakai', 'aplikasi', '']</t>
  </si>
  <si>
    <t>['butuh', 'bantuan', 'masuk', 'mohon', 'bantuannya', 'master']</t>
  </si>
  <si>
    <t>['susah', 'buka', 'aplikasi']</t>
  </si>
  <si>
    <t>['paket', 'mahal', 'jaringan', 'kaya', 'berak']</t>
  </si>
  <si>
    <t>['harga', 'paketnya', 'mahal', '']</t>
  </si>
  <si>
    <t>['telkomsel', 'cacat', 'jaringannya', 'parah', 'mulu', 'lag', 'parah', '']</t>
  </si>
  <si>
    <t>['signalnya', 'buruk', 'harga', 'telkomsel', 'modal', 'luas', 'jaringan', 'kualitas', 'kalah', 'murah']</t>
  </si>
  <si>
    <t>['tolong', 'segi', 'sinyal', 'diperbagus']</t>
  </si>
  <si>
    <t>['gmna', 'app', '']</t>
  </si>
  <si>
    <t>['tolong', 'perbaiki', 'sinyal', 'gara', 'nge', 'lag', 'gua', 'lose', 'treak']</t>
  </si>
  <si>
    <t>['', 'telkomsel', 'hebat']</t>
  </si>
  <si>
    <t>['', 'bintang', 'dlu']</t>
  </si>
  <si>
    <t>['transaksi', 'jdi', 'cepet', 'pke', 'aplikasi', 'telcomsel', 'ribet', '']</t>
  </si>
  <si>
    <t>['telkomsel', 'penipu', 'pembelian', 'paket', 'benefit', 'akses', 'disney', 'hotstar', 'tulis', 'emang', 'pakai', 'pelayanannya', 'jelek', 'pura', 'denger']</t>
  </si>
  <si>
    <t>['isi', 'pulsa', 'udah', 'langsung', 'dipotong', 'data', 'tepuk', 'tangan', 'meriah', 'pencuri', '']</t>
  </si>
  <si>
    <t>['download', 'pas', 'login', 'susahnya', 'ampun', 'sampe', 'seharian', 'seandainya', 'pilihan', 'ngasih', 'bintang', 'separo', 'gue', 'kasih', 'separo']</t>
  </si>
  <si>
    <t>['terimah', 'ksih', 'telkomsel', 'apliksinya', 'bgus', 'memudahkan', 'sya', 'membeli', 'plsa', 'koata', 'dll', 'ditambh', 'harganya', 'terjangkau', '']</t>
  </si>
  <si>
    <t>['', 'kasih', 'fitur', 'lock', 'pulsa', 'pengguna', 'dirugikan']</t>
  </si>
  <si>
    <t>['halo', 'teman', 'teman', 'make', 'aplikasih', 'hapus', 'ajadeh', 'kartu', 'ganti', 'telkomsel', 'perbaiki', 'kualitas', 'jaringan']</t>
  </si>
  <si>
    <t>['layanan', 'sanget']</t>
  </si>
  <si>
    <t>['puas', 'signal', 'paten']</t>
  </si>
  <si>
    <t>['provider', 'ngakunya', 'jaringan', 'stabil', 'terluas', 'faktanya', 'termahal', 'lemot', 'main', 'main', 'kubar', 'tauk', 'jaringan', 'telkom', 'kaya', 'gangguan', 'jaringan', 'seminggu', 'jarang', 'rusak', 'solusinya', 'membantu', 'bayar', 'mahal', 'feedbacknya', 'nol', '']</t>
  </si>
  <si>
    <t>['bagusss', 'bangetttt', 'aplikasi', 'nyaaaa']</t>
  </si>
  <si>
    <t>['telkomsel', 'mahal', 'paketnya', 'kartu', '']</t>
  </si>
  <si>
    <t>['keren', 'aplikasinya']</t>
  </si>
  <si>
    <t>['menjangkau', 'pelosok', '']</t>
  </si>
  <si>
    <t>['kouta', 'gamemax', 'ngegame', 'lemot', 'banget', 'nyesel', 'telkomsel', '']</t>
  </si>
  <si>
    <t>['maen', 'nge', 'lag', 'mulu', 'gue', 'coba', 'kartu', 'tri', 'stabil', 'malu', 'in', 'gue', 'tri', 'murah', 'stabil', '']</t>
  </si>
  <si>
    <t>['mantap', 'semoga', 'promo']</t>
  </si>
  <si>
    <t>['pengen', 'dapet', 'pulsa', 'harga', 'ribu']</t>
  </si>
  <si>
    <t>['senang', 'unlimitied', 'smoga', 'telkomsel', 'kalah', '']</t>
  </si>
  <si>
    <t>['tingkat', '']</t>
  </si>
  <si>
    <t>['dasar', 'jaringan', 'jelek', 'dibaiki', 'harganya', '']</t>
  </si>
  <si>
    <t>['jaringan', 'kayak', 'sampah', 'kesini', 'bagus', 'hancur', 'jaringan', 'rusak', 'trus', 'sampah']</t>
  </si>
  <si>
    <t>['telkomsel', 'babi', 'jaringan', 'bagus', 'makan', 'untung', 'bnyk', 'data', 'pelanggan', 'telkomsel', 'bintang']</t>
  </si>
  <si>
    <t>['mahal', 'kali', 'kuota', 'kek', 'kemaren', 'gb', 'minggu', 'udah', 'langganan', 'kasih', 'mahal', '']</t>
  </si>
  <si>
    <t>['paketan', 'mahal', 'jaringan', 'ngajak', 'gelud', '']</t>
  </si>
  <si>
    <t>['mantap', 'memakai', 'apk', 'pemakaian', 'kendala', 'pketan', 'murahin', 'harganya', 'tks']</t>
  </si>
  <si>
    <t>['', 'telkomsel']</t>
  </si>
  <si>
    <t>['lbih', 'murah', '']</t>
  </si>
  <si>
    <t>['tolon', 'tambahkan', 'kualitas', 'internet', 'telkomselnya', 'leluasa', 'dlm', 'pemakaian', 'mohon', 'maaf', 'kayaknya', 'lumayan', 'lemah', 'jaringannya']</t>
  </si>
  <si>
    <t>['kagak', 'telkomsel', 'udh', 'paketan', 'data', 'udh', 'paketii', 'seminggu', 'pas', 'nyalahii', 'data', 'pulsa', 'potong', 'rb']</t>
  </si>
  <si>
    <t>['sedot', 'pulsa']</t>
  </si>
  <si>
    <t>['perbaiki', 'jaringan', 'telkomsel', 'udah', 'mahal', 'lemot', 'massa', 'kalah', 'jaringan', 'smartfren', 'paket', 'internetnya', 'murah', 'huhuhu', 'telkonsel', 'goblog']</t>
  </si>
  <si>
    <t>['bagus', 'sinyal', 'kuat']</t>
  </si>
  <si>
    <t>['kekuatan', 'sinyal', 'diperkuat', '']</t>
  </si>
  <si>
    <t>['bintang', 'kebanyakan', 'lemot', '']</t>
  </si>
  <si>
    <t>['lemot', 'aplikasi']</t>
  </si>
  <si>
    <t>['login', 'aplikasi', 'respon', 'hadehhhh', '']</t>
  </si>
  <si>
    <t>['', 'kasih', 'dus', 'serba', 'mahal']</t>
  </si>
  <si>
    <t>['kocak', 'provider', 'isi', 'pulsa', 'rbu', 'aktifin', 'mobile', 'banking', 'cuman', 'sms', 'cek', 'sisal', 'pulsa', 'maasih', 'ribu', 'pulsa', 'telpon', 'karna', 'penggunaan', 'data', 'data', 'seluler', 'aktif', 'sim', 'diluar', 'dijalan', 'doang', 'kepake', 'dirumah', 'dikantor', 'pakai', 'wifi', 'gimana', 'ceritanya', 'kepake', 'sim', 'data', 'seluler', 'sim', '']</t>
  </si>
  <si>
    <t>['rahma', 'wati', 'jaringan']</t>
  </si>
  <si>
    <t>['min', 'jaringan', 'jelek', 'banget', 'min', 'siang', 'min', '']</t>
  </si>
  <si>
    <t>['kasih', 'promo', 'bener', 'min', 'dapet', 'notif', 'kuota', 'bergiga', 'giga', 'ribu', 'pas', 'dicek', 'promo', 'ditemuin', '']</t>
  </si>
  <si>
    <t>['membuka', 'perpindahan', 'halamannya', 'lambat', 'poin', 'user', 'donasikan', 'harap', 'kelipatannya', 'donasi', 'poin', 'memakan', 'poin', 'mohon', 'kelipatan', 'donasi', 'undian', 'mobil', 'motor', 'hape', 'menang', 'poin', 'donasikan', '']</t>
  </si>
  <si>
    <t>['terbaik', 'aplikasi', 'mempermudah', 'pembelian', 'pulsa', 'apapun', 'pembayaran', 'pakai', 'aplikasi', 'pendukung', '']</t>
  </si>
  <si>
    <t>['error', 'telkomsel', 'udah', 'coba', 'pakai', 'kartu', 'sakti', 'telkomsel', 'beli', 'kuota', 'gb', 'rb', 'dihp', 'fitur', 'itung', 'penggunaan', 'kuota', 'bulanan', 'itungannya', 'pas', 'kuota', 'app', 'fitur', 'semenjak', 'pakai', 'kuota', 'kartu', 'sakti', 'ilang', 'mulu', 'kuota', 'sisa', 'gb', 'gb', 'app', 'udah', 'sisa', 'mb', 'kirain', 'itungan', 'dihp', 'error', 'itungan', 'telkomsel', 'kagak', 'sedekah', 'kuota', 'empunya', 'kuota', 'namanya', '']</t>
  </si>
  <si>
    <t>['mytelkomsel', 'memuaskan', '']</t>
  </si>
  <si>
    <t>['gua', 'beli', 'pulsa', 'rb', 'beli', 'kuota', 'promo', 'telkomsel', 'seharga', 'rb', 'gb', 'minggu', 'masuk', 'trus', 'gua', 'cek', 'ilang', 'sisany', 'rb', 'hadeeehh']</t>
  </si>
  <si>
    <t>['tolong', 'paket', 'unlimitednya', 'unlimited', 'beli', 'kali', 'rugi', 'banget', 'tolong', 'telkomsel', 'bertanggung']</t>
  </si>
  <si>
    <t>['beli', 'paket', 'cepat']</t>
  </si>
  <si>
    <t>['bagus', 'beli', 'paket', 'promo', 'murah']</t>
  </si>
  <si>
    <t>['harga', 'mahal', 'kualitas', 'murah', 'telkomsel']</t>
  </si>
  <si>
    <t>['gua', 'edit', 'nihh', 'bintang', 'bintang', 'gua', 'bayar', 'tagihan', 'susah', 'pencet', 'bayar', 'virtual', 'akun', 'layar', 'putih', 'doang', 'aneh', 'liat', 'rincian', 'tagihan', 'bill', 'email', 'dll', 'dimintain', 'password', 'disuruh', 'masukin', 'tanggal', 'lahir', 'salah', 'mulu', 'tanggal', 'lahir', 'gua', 'emangg', '']</t>
  </si>
  <si>
    <t>['promo', 'kuota', 'mahal', 'gimana', 'udh', 'gua', 'make', 'kartu', 'telkomsel', 'dapet', 'diskon']</t>
  </si>
  <si>
    <t>['notif', 'menyesatkan', 'sms', 'koneksi', 'mati']</t>
  </si>
  <si>
    <t>['payah', 'jaringan', 'lemot', 'merosot', 'drastis', 'diperbaiki', 'pelayanannya', 'pelanggan', 'kecewa', '']</t>
  </si>
  <si>
    <t>['aplikasinya', 'keren', 'banget']</t>
  </si>
  <si>
    <t>['jaringan', 'internet', 'kayak', 'kezel', 'banget', 'gitu', 'kepotong', 'pulsa', 'kgk', 'pas', 'ngisi', 'pulsa', 'beli', 'paket', 'mahal', 'mahal', 'kayak', '']</t>
  </si>
  <si>
    <t>['tolong', 'paketanya', 'murahin', 'dikit', '']</t>
  </si>
  <si>
    <t>['akui', 'aplikasi', 'bagus', 'kemaren', 'beli', 'pulsa', 'berkurang', 'berlangganan', 'telkomsel', 'hutang', 'pulsa', 'tolonglah', 'optimalkan']</t>
  </si>
  <si>
    <t>['mantab', 'pokoknya', 'pakek', 'murah']</t>
  </si>
  <si>
    <t>['bonus', 'bng']</t>
  </si>
  <si>
    <t>['telkomsel', 'parah', 'top', 'diamond', 'mlbb', 'via', 'google', 'play', 'gagal', 'pulsa', 'mencukupi', 'pulsa', 'berkurang', 'top', 'gagal', 'udah', 'berkurang', 'nyesel', 'pakai', 'telkomsel']</t>
  </si>
  <si>
    <t>['todak', 'install', 'google', 'pixel', 'update', 'android', 'tolong', 'perbaikannya', '']</t>
  </si>
  <si>
    <t>['muantap', 'bener', 'terima', 'kasih', 'telkomsel', 'membantu']</t>
  </si>
  <si>
    <t>['jaringan', 'men', '']</t>
  </si>
  <si>
    <t>['sinyal', 'gampang', 'terganggu', 'harga', 'paket', 'mahal', '']</t>
  </si>
  <si>
    <t>['mohon', 'perhatiannya', 'cek', 'wilayah', 'cidokom', 'gunung', 'sindur', 'signal', 'telkomsel', 'maximal']</t>
  </si>
  <si>
    <t>['telkomsel', 'lelet', 'jaringanya', 'buka', 'telkomsel', 'iklannya', '']</t>
  </si>
  <si>
    <t>['', 'bagus', 'banget', 'promo', 'nyessel', 'kalu', 'download']</t>
  </si>
  <si>
    <t>['gara', 'gara', 'simpati', 'kuisi', 'paket', 'kuota', 'dipakai', 'internetan', 'isi', 'pulsa', 'pulsanya', 'disedot', 'habis', 'males', 'isi', 'pulsa', 'adakah', 'solusinya', '']</t>
  </si>
  <si>
    <t>['proses', 'pembelian', 'paket', 'cepat', 'murah', 'dibandingkan', '']</t>
  </si>
  <si>
    <t>['kadang', 'turun', 'sinyall', 'kuota', 'pulsa', 'aman']</t>
  </si>
  <si>
    <t>['aplikasi', 'butut', 'responsif', 'komplainan', 'minggu', 'proses']</t>
  </si>
  <si>
    <t>['puas', 'layanannya']</t>
  </si>
  <si>
    <t>['mudah', 'han', 'kedepannya', '']</t>
  </si>
  <si>
    <t>['membantu', 'terimakasih']</t>
  </si>
  <si>
    <t>['sinyal', 'internet', 'telkomsel', 'kalah', 'kota', 'tetep', 'bagus', 'kyk', 'gini', 'mending', 'pakai', 'operator', 'murah', 'sinyal', 'bagus']</t>
  </si>
  <si>
    <t>['emang', 'the', 'best', 'telkomsel', 'main', 'game', 'game', 'data', 'dikit', 'banget', 'jam', 'nyampe', 'parah', 'kirim', 'tugas', 'banget', 'cuman', 'edit', 'telkomsel', 'harinya', 'bener', 'jaringanya', 'november', '']</t>
  </si>
  <si>
    <t>['mending', 'make', 'indosat', 'telkomsel', 'udah', 'mahal', 'gangguan', 'gajelas', 'pelayanannya']</t>
  </si>
  <si>
    <t>['tolong', 'perbaiki', 'kecepatan', 'thanks']</t>
  </si>
  <si>
    <t>['ngerti', 'adakan', 'poin', 'tukarkan']</t>
  </si>
  <si>
    <t>['berharap', 'mahal']</t>
  </si>
  <si>
    <t>['kasih', 'promo', 'sekirnaya', 'beli', 'beli', 'beli', 'paket', 'paketnya', 'nyampe', 'pulsanya', 'ilang', 'perhatikan', 'keluhan']</t>
  </si>
  <si>
    <t>['isi', 'pulsa', 'mbanking', 'berhasil', 'pulsa', 'masuk', 'kali', 'komplain']</t>
  </si>
  <si>
    <t>['jaringan', 'telkom', 'kemarin', 'siang', 'mlm', 'error', 'parah', 'internetnya', 'kerja', 'tolong', 'perbaiki', 'jaringan', 'internetnya', 'kepuasan', 'pelanggan', 'kemajuan', 'telkom', 'makasih', 'perhatiannya', '']</t>
  </si>
  <si>
    <t>['aplikasi', 'isinya', 'oke', 'oke', 'bedanya', 'promo', 'fatal', 'kubuka', 'aplikasi', 'langsung', 'panas', 'kensel', 'ram', 'cacat', 'aplikasi', 'blom', 'kartu', 'kartu', 'promo', 'kuota', 'dibanding', 'kartu', 'parah', 'telkomsel']</t>
  </si>
  <si>
    <t>['pakai', 'telkomsel', 'byk', 'hadiah', 'promonya', 'sinyal']</t>
  </si>
  <si>
    <t>['aplikasi', 'mudah', 'pembelian', 'paket', 'internet', 'promonyaa', '']</t>
  </si>
  <si>
    <t>['signal', 'jelek', 'musim', 'hujan', 'gini', 'payahhhhh']</t>
  </si>
  <si>
    <t>['enak', 'harga', 'lumayan', 'kuantitas', 'kualitas', 'maknyuss', 'hujan', 'badai', 'angin', 'ribut', 'halilintar', 'tetep', 'lanvcar', 'menang', 'kualitas', '']</t>
  </si>
  <si>
    <t>['', 'isi', 'pulsa', 'tgl', 'nov', 'tgl', 'nov', 'cek', 'pulsa', 'berkurang', 'udah', 'paket', 'tlp', 'internet', 'kali', 'jt', 'pelanggan', 'telkomsel', 'udah', 'utung', 'perminggu', '']</t>
  </si>
  <si>
    <t>['gilllaa', 'murah', 'bangett', 'paketnya', 'gb', 'sekinggu', 'bermain', 'game', 'seharian']</t>
  </si>
  <si>
    <t>['quota', 'murah']</t>
  </si>
  <si>
    <t>['tolong', 'diskon', 'yaa', '']</t>
  </si>
  <si>
    <t>['senang', 'telkomsel', 'muak', 'sinyal', 'stabil', 'turun', 'permainan', 'game', 'pengguna', 'telkomsel', 'gamers', 'disayangkan', 'konsumen', 'terbesar', 'mengalami', 'kekecewaan', 'mendalam', 'beralih', 'provider', 'memiliki', 'kualitas', 'sinyal', 'bagus', 'stabil', 'bermain', 'game', 'telkom', 'mohon', 'dengar', 'keluh', 'kesah', 'kualitas', 'sinyalmu', 'seindah', '']</t>
  </si>
  <si>
    <t>['bermanfaat', 'mengontrol', 'penggunaan', '']</t>
  </si>
  <si>
    <t>['membantu', 'rumah', 'mengisi', 'pulsa', 'data']</t>
  </si>
  <si>
    <t>['lope', 'lope', 'pkkny']</t>
  </si>
  <si>
    <t>['top', 'keren', 'mantap']</t>
  </si>
  <si>
    <t>['login', '']</t>
  </si>
  <si>
    <t>['makasih', 'telkomsel', 'ngecek', 'paket']</t>
  </si>
  <si>
    <t>['aplikasi', 'asik', 'operator', 'selular', 'telkomsel', '']</t>
  </si>
  <si>
    <t>['memudahkan', '']</t>
  </si>
  <si>
    <t>['perbaiki', 'sinyal', 'voucher', 'mahal', 'sinyal', 'kek', 'kntl', 'main', 'game', 'ping', 'main', 'game', 'enak', 'ping', 'perbaiki', 'sinyal', 'dlu', 'taik']</t>
  </si>
  <si>
    <t>['redem', 'point', 'fanta', 'alfamart', 'toko', 'alfamart', 'salah', 'fanta', 'jalan', 'bambu', 'kasirnya', 'mengerti', 'lucu', 'toko', 'jalan', 'pancing', 'medan', 'stok', 'kosong', 'promo', 'stok', 'simpulkan', 'telkomsel', 'promo', 'koordinasi', 'merchat', 'alfamart', 'perjalanan', 'lewati', 'menghabiskan', 'jalan', 'kaki', 'hasil', 'kali', 'berani', 'coba', '']</t>
  </si>
  <si>
    <t>['cek', 'pulsa', 'gampang']</t>
  </si>
  <si>
    <t>['lbh', 'cpt', 'dlm', 'cek', 'kuota']</t>
  </si>
  <si>
    <t>['paket', 'sakti', 'murah']</t>
  </si>
  <si>
    <t>['app', 'telkomsel', 'menu', 'combo', 'sakti', 'unlimited', '']</t>
  </si>
  <si>
    <t>['nonton', 'youtube', 'pketan', 'utama', 'berkurang', 'paketan', 'youtube', 'penipu']</t>
  </si>
  <si>
    <t>['apknya', 'baguss']</t>
  </si>
  <si>
    <t>['kecewa', 'banget', 'provider', 'telkomsel', 'kali', 'mengalami', 'paket', 'data', 'aktif', 'paket', 'data', 'gb', 'tolong', 'penjelasannya']</t>
  </si>
  <si>
    <t>['tolong', 'mahal', 'bagus', 'jaringan', 'harga', 'mulah', 'kada', 'bagus', 'jaringan', 'mahal', 'babi', '']</t>
  </si>
  <si>
    <t>['mantap', 'pokok', '']</t>
  </si>
  <si>
    <t>['mantap', 'sinyal']</t>
  </si>
  <si>
    <t>['ulasan', 'ringkas', 'bahasa', 'masyarakat', 'simple', 'sederhana', 'memikat']</t>
  </si>
  <si>
    <t>['sumpah', 'bangke', 'aplikasi', 'udah', 'mah', 'sinyal', 'ilang', 'mulu', 'paket', 'mahal', 'kualitas', 'ambruk', 'parahhh', 'buka', '']</t>
  </si>
  <si>
    <t>['mudah', 'cek', 'kuota', 'beli', 'paket', 'data']</t>
  </si>
  <si>
    <t>['telkomsel', 'kuota', 'nonton', 'lokal', 'kesedot', 'kuota', 'reguler', 'kuota', 'nonton', 'lokal', 'berkurang']</t>
  </si>
  <si>
    <t>['kuotanya', 'mahal', 'ganguan', 'telkomsel', 'kalah', 'tri', '']</t>
  </si>
  <si>
    <t>['jaringanmu', 'kaya', 'tolol', 'main', 'game', 'online', 'kaga', 'lancar', 'gonta', 'ganti', '']</t>
  </si>
  <si>
    <t>['sinyal', 'jelek', 'ruangan', 'mah']</t>
  </si>
  <si>
    <t>['membantu', 'pembelian', 'paket', 'data']</t>
  </si>
  <si>
    <t>['bsa', 'log', 'susah', 'isikan', 'paket', 'data', 'sodara', 'dikampung', '']</t>
  </si>
  <si>
    <t>['telkomsel', 'nutup', 'dibuka', 'tolong', 'admin', 'penjelasanya']</t>
  </si>
  <si>
    <t>['bagus', 'banget', 'murah']</t>
  </si>
  <si>
    <t>['gagal', 'download', 'mulu', 'memori', 'full', 'udah', 'hapus', 'apk', '']</t>
  </si>
  <si>
    <t>['menambah', 'tower', 'telkomsel', 'didaerah', 'abai', 'sangir', 'batabg', 'kabupaten', 'solok', 'selatan', 'pengguna', 'menyebabkan', 'lola']</t>
  </si>
  <si>
    <t>['habis', 'download', 'aplikasi', 'mendaftar', 'internet', 'langsung', 'ngeleg', 'lancar']</t>
  </si>
  <si>
    <t>['sayang', 'kadang', 'sms', 'promo', 'cek', 'ndak']</t>
  </si>
  <si>
    <t>['bagus', 'membantu', 'aplikasi', 'telkomsel', 'banyakin', 'promo', 'kupon', '']</t>
  </si>
  <si>
    <t>['pembayaran', 'via', 'ovo', 'bermasalah', 'pas', 'udh', 'ngisi', 'pulsa', 'pembayaran', 'paket', 'tetep', 'maunya', 'aplikasi', 'mending', 'hapus', 'pembayaran']</t>
  </si>
  <si>
    <t>['tingkatkan', 'pembelian', 'kuotan', 'tambahan']</t>
  </si>
  <si>
    <t>['kesini', 'jelek', 'aplikasi', 'buka', 'susah', 'uninstall', 'download', 'gitu', 'gitu', 'trs', 'bkn', 'bermasalah', 'orang', 'mengalami', 'kendala', 'perbaiki', 'aplikasi', 'kepuasan', 'pelanggan', 'telkomsel', 'terima', 'kasih', '']</t>
  </si>
  <si>
    <t>['liat', 'isi', 'aaakeet', 'beli', 'paket']</t>
  </si>
  <si>
    <t>['sinyal', 'suka', 'ilang', 'emang', 'telkom', 'coba', 'alesan', '']</t>
  </si>
  <si>
    <t>['sangan', 'memudahkan']</t>
  </si>
  <si>
    <t>['pulsa', 'terkuras', 'paket', 'internet']</t>
  </si>
  <si>
    <t>['telkomsel', 'poin']</t>
  </si>
  <si>
    <t>['parah', 'pulsa', 'habis', 'kepotong', 'paket', 'internet', 'aktif', '']</t>
  </si>
  <si>
    <t>['mahal', 'doang', 'sinyal', 'kaya', 'make', 'provider', 'murah', 'lemot', 'banget', '']</t>
  </si>
  <si>
    <t>['thank', 'you', 'layanan', 'bagus', '']</t>
  </si>
  <si>
    <t>['jaringan', 'internet', 'lemot']</t>
  </si>
  <si>
    <t>['kasik', 'bintang', 'sinyal', 'telkomsel', 'dirumah', 'paket', 'unlimeted', 'pakek', 'telkomsel', 'daerah', 'rumah', 'tenggelis', 'mejoyo', 'kendang', 'sari', 'mohon', 'dibantu', '']</t>
  </si>
  <si>
    <t>['buka', 'aplikasi', 'lemot', 'banget', 'perusahaan', 'negara', 'pelayanan', 'banget', 'banding', 'produk', 'swasta', 'internet', 'lemot', 'banget', 'harga', 'mahal', 'banget', 'wooooy', 'menteri', 'bumn', 'selidiki', 'perusaan', 'korupsi']</t>
  </si>
  <si>
    <t>['kecewa', 'paket', 'combo', 'sakti', 'unlimited', 'multimedia', 'pakai', 'internet', 'utamanya', 'habis', 'sosmed', 'isi', 'paket', '']</t>
  </si>
  <si>
    <t>['membantu', 'keperluan', 'sosmed', '']</t>
  </si>
  <si>
    <t>['paket', 'kombo', 'sakti', 'app', 'yaa', 'mohon', 'pencerahanya', '']</t>
  </si>
  <si>
    <t>['suka', '']</t>
  </si>
  <si>
    <t>['mudah', 'pilihan']</t>
  </si>
  <si>
    <t>['posisi', 'genting', 'hidup', 'mati', 'cari', 'bantuan', 'tlp', 'pakai', 'internet', 'telkomsel', 'jamin', 'orang', 'mati', 'tertolong', '']</t>
  </si>
  <si>
    <t>['heran', 'telkomsel', 'internet', 'pulsa', 'ambil']</t>
  </si>
  <si>
    <t>['telkomsel', 'promo']</t>
  </si>
  <si>
    <t>['aplikasi', 'beli', 'kuotanya', 'murah', 'promonya', 'memuaskan', 'jaringan', 'lumayan', 'bagus', '']</t>
  </si>
  <si>
    <t>['setia', 'pengguna', 'telkomsel']</t>
  </si>
  <si>
    <t>['tolong', 'paket', 'darurat', 'gausah', 'isi', 'pulsa', 'terpotong', 'nyari', 'kesalahan', '']</t>
  </si>
  <si>
    <t>['sya', 'komplain', 'tdak', 'sms', 'kluar', 'sdgkan', 'saran', 'telkomsel', 'sya', 'jlnkan', 'ttpi', 'tdak', 'sms', 'kluar', 'gmna', 'mhon', 'penjelasannya']</t>
  </si>
  <si>
    <t>['harga', 'selangit', 'jaringan', 'ngelag']</t>
  </si>
  <si>
    <t>['aplikasih', 'jelek', 'masuk', 'aplikasi']</t>
  </si>
  <si>
    <t>['kadang', 'jaringannya', 'suka', 'lemot']</t>
  </si>
  <si>
    <t>['kouta', 'unlimited', 'game', 'tulisan', 'unlimited', 'game', 'aneh']</t>
  </si>
  <si>
    <t>['puas', 'telkomsel', '']</t>
  </si>
  <si>
    <t>['unreg', 'paket', 'datanya']</t>
  </si>
  <si>
    <t>['oke', 'jaya', 'pertahankan', 'kulitasnya']</t>
  </si>
  <si>
    <t>['bagus', 'mudah', 'cepat']</t>
  </si>
  <si>
    <t>['bagus', 'beli']</t>
  </si>
  <si>
    <t>['', 'daerah', 'sinyal', 'hilang']</t>
  </si>
  <si>
    <t>['operator', 'termahal', 'pakai', 'karna', 'terpaksa', 'opertaor', 'pulsa', 'ribu', 'kartu', 'seimpati', 'daftar', 'paket', 'boros', '']</t>
  </si>
  <si>
    <t>['mantap', 'aplikasinya', 'beli', 'pulsa']</t>
  </si>
  <si>
    <t>['buruk', 'koneksinya', 'telkomsel', 'andalan', 'kalah', 'im', 'lambat', 'pulsa', 'ilang', 'tnpa', 'sepengetahuan']</t>
  </si>
  <si>
    <t>['paketan', 'bagus', 'murah', 'disayangkan', 'pulsa', 'kunci', 'apk', 'axis', 'net', 'sinyalnya', 'knp', 'luplep', 'tolong', 'diperbaiki', '']</t>
  </si>
  <si>
    <t>['bro', 'perbaiki', 'gua', 'war', 'mobalegend', 'merah', 'sinyal', 'ajigg', 'kenpa', 'gua', 'kasih', 'bintang', 'lahk']</t>
  </si>
  <si>
    <t>['bantu', 'paket', 'ceria', '']</t>
  </si>
  <si>
    <t>['sangaaat', 'mantap', 'bissmillah', 'semoga', 'hadiah', 'yaallah']</t>
  </si>
  <si>
    <t>['kasi', 'bintang', 'susah', 'makenya', 'lapangan', 'kerja', 'huuft', '']</t>
  </si>
  <si>
    <t>['ribet', 'mudah']</t>
  </si>
  <si>
    <t>['sinyal', 'kenceng', 'banget', 'mahal', 'nggak', 'kualitas', 'oke', 'sinyal', 'lemot', 'kecewa', 'kualitas', 'tsel', 'skrg', 'kualitas', 'kuantitas', '']</t>
  </si>
  <si>
    <t>['mantulll', 'murah', 'meriah', 'paket', 'hri', 'membantu', 'terima', 'kasih', '']</t>
  </si>
  <si>
    <t>['banget', 'annjiiir', 'muat', 'halaman', 'butuh', 'susah', 'bener', 'kesalahan', 'sistem', 'kesalahan', 'sistem', 'taikkkk']</t>
  </si>
  <si>
    <t>['bagus', 'bangt', 'makasih', 'developer', 'telkomsel', 'bias', 'mempermudah', 'beli', 'kuota', '']</t>
  </si>
  <si>
    <t>['trimakasih', 'telkomsel', 'mempermudah', '']</t>
  </si>
  <si>
    <t>['permudah']</t>
  </si>
  <si>
    <t>['ngelagg', 'tes', 'main', 'game']</t>
  </si>
  <si>
    <t>['semoga', 'keren']</t>
  </si>
  <si>
    <t>['jaringan', 'telkomsel', 'diseluruh', 'indonesia', 'bahka', 'diseluruh', 'dunia', 'mudah', 'mendapatkannya', 'sarankan', 'pengguna', 'jaringan', 'telkomsel', 'kelancaran', 'komunikasi', '']</t>
  </si>
  <si>
    <t>['siyal', 'jelek', 'harga', 'mahal', 'negara', 'tetangga']</t>
  </si>
  <si>
    <t>['', 'wilayah', 'bagus', 'sinyalnya', '']</t>
  </si>
  <si>
    <t>['menyetujui', 'paket', 'darurat', 'pesan', 'mengembalikan', 'pulsa', 'memakai', 'paket', 'darurat']</t>
  </si>
  <si>
    <t>['pakai', 'paham']</t>
  </si>
  <si>
    <t>['', 'pokok']</t>
  </si>
  <si>
    <t>['android', 'tidam', 'support', 'telkomsel', 'versi', 'terbaru', 'ambil', 'apk', 'google', 'playstore']</t>
  </si>
  <si>
    <t>['sinyal', 'woiiii', 'tolong', 'perbaiki', 'mahal', 'doang', 'sinyal', 'lemot', 'tolol', '']</t>
  </si>
  <si>
    <t>['mahal', 'kasian', 'masyarakat', 'menenggah', 'kebawah', '']</t>
  </si>
  <si>
    <t>['telkomsel', 'menyesal', 'pengguna', 'bukanya', 'sinyal', 'bagus']</t>
  </si>
  <si>
    <t>['sisa', 'kuota', 'pkt', 'bicara', 'hangus', 'memperpanjang', 'paket', 'coba', 'pertimbangkan', 'masukan']</t>
  </si>
  <si>
    <t>['pokoknya', 'bagus', '']</t>
  </si>
  <si>
    <t>['hedeh', 'isi', 'kuota', 'poin', 'udah', 'ditukar', 'kuota', 'ajah', 'mendingan', 'pindah', 'operator', '']</t>
  </si>
  <si>
    <t>['diupdate', 'telkomselnya', 'terbuka', '']</t>
  </si>
  <si>
    <t>['gampang', 'pemakaiannya', 'sinyal', 'okelah']</t>
  </si>
  <si>
    <t>['paket', 'murah', 'meriah']</t>
  </si>
  <si>
    <t>['apk', 'telkomsel', 'bagus', '']</t>
  </si>
  <si>
    <t>['sinyal', 'down', 'pas', 'ujan', '']</t>
  </si>
  <si>
    <t>['jaringan', 'oke', 'dech']</t>
  </si>
  <si>
    <t>['kasih', 'promo', 'menarik']</t>
  </si>
  <si>
    <t>['membantu', 'aplikasi']</t>
  </si>
  <si>
    <t>['pulsa', 'dipotong', 'internet', 'dihidupin']</t>
  </si>
  <si>
    <t>['', 'masuk', 'aplikasi', 'buruk', 'muka', 'kau']</t>
  </si>
  <si>
    <t>['bingung', 'paket', 'multimedia', 'banget', 'sosmed', 'buka', 'musik', 'buka', 'sosmed', 'kouta', 'utama', 'terkuras', 'paket', 'multimedia', 'terpakai', 'ngapain', 'pembagian', 'paket', '']</t>
  </si>
  <si>
    <t>['', 'android', 'google', 'pixel', 'install', 'reset', 'setelan', 'pabrik', 'diinstall']</t>
  </si>
  <si>
    <t>['mudah', 'semoga', 'dpt', 'undian']</t>
  </si>
  <si>
    <t>['memperingan']</t>
  </si>
  <si>
    <t>['ckup', 'membantu', 'potongan', 'harga', 'paket', 'semoga', 'jaringan', 'terkomsel', 'daerah', 'plosok', 'perkut', 'memuaskan']</t>
  </si>
  <si>
    <t>['tingakatkan', 'internet', 'lemoot']</t>
  </si>
  <si>
    <t>['kadang', 'paket', 'telpon', 'nunggu', 'komplain', 'pulsa', 'utama', 'ilang', 'paket', 'kepake', 'sedih', '']</t>
  </si>
  <si>
    <t>['', 'telkomsel', 'pilhan', 'terbaik', 'buatku', 'disaat', 'signal', 'telkomsel', 'lancar', 'jaya', 'pokonya', 'mantap', 'deh']</t>
  </si>
  <si>
    <t>['aplikasi', 'bagus', 'wajib', 'download']</t>
  </si>
  <si>
    <t>['', 'telkomsel', 'emang', 'mantap']</t>
  </si>
  <si>
    <t>['berlangganan', 'instal', 'telkomsel', 'notifikasi', 'langganan', 'disney', 'hotstar', 'aktif', 'tonton', 'wandavision', 'soul', 'grey', 'anatomy', 'tayangan', 'global', 'lokal', 'terbaik', 'tsel', 'dp', 'mm']</t>
  </si>
  <si>
    <t>['stabil', 'lancar']</t>
  </si>
  <si>
    <t>['paket', 'telkomsel', 'memuaskan', 'bagus']</t>
  </si>
  <si>
    <t>['bintang', 'astaghfirullah', 'mengalami', 'kerusakan', 'bolak', 'grapari', 'udh', 'upgrade', 'jaringan', 'nomor', 'inget', 'mngkin', 'udh', 'buang', 'nomor', 'tolonglah', 'jaringan', 'benerin', 'nemu', 'lancar', 'seumur', 'hidup', 'tanah', 'abang', 'doang', 'paketan', 'mahal', 'dipake', '']</t>
  </si>
  <si>
    <t>['sinyal', 'kuat', 'rada', 'mahal', 'skrang']</t>
  </si>
  <si>
    <t>['goodnbangt', 'gini', 'pulsa', 'ngecek', 'isi', 'pulsa']</t>
  </si>
  <si>
    <t>['susah', 'akses']</t>
  </si>
  <si>
    <t>['aplikasi', 'telkomsel', 'membeli', 'kouta', 'dll', 'isi', 'ulang', 'pulsa', 'beli', 'kouta', 'apk', 'telkomsel', 'menghidupkan', 'data', 'menghidupkan', 'data', 'pulsa', 'langsung', 'habis', 'gblk', '']</t>
  </si>
  <si>
    <t>['beli', 'internet', 'malam', 'kemaren', 'paket', 'data', 'dibeli', 'dikit', 'dibeli', 'mahal']</t>
  </si>
  <si>
    <t>['alhamdulillah', 'paket', 'internet', 'nomor', 'murah', 'meriah', 'mkasih', 'telkomsel']</t>
  </si>
  <si>
    <t>['woiilah', 'aplikasi', 'kali', 'beli', 'paketan', 'gagal', 'error', 'isi', 'ulang', 'pulsa', 'pulsa', 'kesedot', 'habis', 'pulsa', 'sepeser', 'paketan', 'internet', 'kali', 'udah', 'berulang', 'kali', 'astaga', 'mudah', 'telkomsel', 'kedepannya', 'fitur', 'perlindungan', 'pulsa']</t>
  </si>
  <si>
    <t>['aplikasinya', 'jelek', 'berat', 'berjalan', 'lambat', 'iklan', 'sekarag', 'login', 'melulu', 'masuk', '']</t>
  </si>
  <si>
    <t>['mudah', 'mudahan', 'hadiahnya', 'telkomsel', 'mantaaap']</t>
  </si>
  <si>
    <t>['oke', 'banget', 'pokoknya']</t>
  </si>
  <si>
    <t>['aplikasihnya', 'bagus']</t>
  </si>
  <si>
    <t>['kepuasan']</t>
  </si>
  <si>
    <t>['bagus', 'tolong', 'tingkat', 'login', 'cepet', '']</t>
  </si>
  <si>
    <t>['proses', 'cepat', 'bahasa', 'informasi', 'mudah', 'dipahami', 'tampilan', 'fitur', 'aplikasi', 'simple']</t>
  </si>
  <si>
    <t>['kualitas', 'jaringan', 'bagus', 'perbedaan', 'harga', 'paket', 'data', 'telkomsel', 'terkadang', 'promo', 'beda', 'harga', 'data', 'mahal', 'bandingkan', 'operator', '']</t>
  </si>
  <si>
    <t>['recommended', 'banget', 'aplikasi']</t>
  </si>
  <si>
    <t>['mantap', 'memudahkan']</t>
  </si>
  <si>
    <t>['sinyal', 'buruk', 'posisi', 'kota', 'trus', '']</t>
  </si>
  <si>
    <t>['mantap', 'coba', 'tsel', 'enak', 'banget', 'mkasih', 'telkomselll', 'love', 'uuu', '']</t>
  </si>
  <si>
    <t>['pulsa', 'kesedot', 'paket', 'data', 'aneh', 'bankrut', 'gini', 'cari', 'untung', 'ditawarin', 'pindah', 'kartu', 'hallo', 'untung', 'tanggepin', 'mending', 'ganti', 'nomer', 'ganti', '']</t>
  </si>
  <si>
    <t>['app', 'telkomsel', 'canggih', 'serba', 'serba', '']</t>
  </si>
  <si>
    <t>['tukar', 'poin', 'tukar', 'contoh', 'tukar', 'poin', 'undian', 'ngeklik', 'males']</t>
  </si>
  <si>
    <t>['beli', 'kartu', 'ebleg', 'sinyalnya', 'merah', 'truss', 'elorrr']</t>
  </si>
  <si>
    <t>['aplikasi', 'lambat', 'terbuka', '']</t>
  </si>
  <si>
    <t>['terbaik', 'mudah', 'cepat', 'praktis']</t>
  </si>
  <si>
    <t>['bermanfaat', 'mudah', 'mencari', 'fitur', 'kartu', 'telkomsel']</t>
  </si>
  <si>
    <t>['memudahkan', 'urusan']</t>
  </si>
  <si>
    <t>['puas', 'dengab', 'aplikasi']</t>
  </si>
  <si>
    <t>['tingkatkan', 'pemberian', 'bonus', 'tingkkan', 'diskon', 'harga', 'paketnya', 'hehehe']</t>
  </si>
  <si>
    <t>['paketan', 'mahal', 'donk']</t>
  </si>
  <si>
    <t>['langsung', 'potong', 'pulsa', 'customer', 'bgitu', 'paket', 'internet', 'hbs', 'iya', 'brp', 'detik', 'potong', 'pulsa', 'berpuluh', 'ribu', 'sungguh', 'kelewatan']</t>
  </si>
  <si>
    <t>['beli', 'pulsa', 'pakai', 'virtual', 'akun', 'bayar', 'pulsa', 'masuk']</t>
  </si>
  <si>
    <t>['nomor', 'telkomsel', 'terhubung', 'wallet', 'dana', 'gopay', 'shopeepay', 'linkaja', 'paypal', 'dll', 'terhubung', 'bank', 'mandiri', 'bank', 'mandiri', 'bank', 'mandiri', 'aktif', 'terblokir', 'upgrade', 'telkomsel', 'grapari', 'terdekat', 'takutnya', 'upgrade', 'khan', 'sia', 'sia', 'grapari', 'mohon', 'dibalas', 'terimakasih']</t>
  </si>
  <si>
    <t>['tolong', 'promo', 'internetnya']</t>
  </si>
  <si>
    <t>['maaf', 'turukan', 'bintang', 'karenakan', 'jaringan', 'internet', 'stabil', 'tolong', 'say', 'top', 'games', 'make', 'metode', 'pembayaran', 'pulsa', 'iya', 'ngga', 'admin']</t>
  </si>
  <si>
    <t>['', 'bintang', 'soalx', 'coba', 'afknya']</t>
  </si>
  <si>
    <t>['mohon', 'maaf', 'knp', 'pembayaran', 'gopay', 'dihilangin', '']</t>
  </si>
  <si>
    <t>['mengesankan', 'penggunay', 'telkomsel', 'sekolah', 'terima', 'kasih', 'telkomsel', 'jaya', 'teruss', 'tingkatkan', 'kualitas']</t>
  </si>
  <si>
    <t>['', 'udah', 'masuk', 'ditambah']</t>
  </si>
  <si>
    <t>['pulsa', 'kepotong', 'paket', 'data']</t>
  </si>
  <si>
    <t>['wowwwwww', 'telkomsel', 'membantu', 'menemukan', 'paket', 'murah', 'bagusssssssssd']</t>
  </si>
  <si>
    <t>['jaringan', 'terluas', 'menjangkau', 'pelosok', 'negeri', 'plosok', 'kota', 'pinggiran', 'kota', 'sinyal', 'ngangkat', 'browsing', 'google', 'main', 'game', 'nntn', 'youtube', 'trpksa', 'patah', 'kartu', 'perdana', 'pdhl', 'bertahun', 'berlangganan', 'telkomsel', 'brtahan', 'bkl', 'bagus', 'jaringan', 'internet', 'mlh', 'mkin', 'mkin', 'parah', 'telkomsel', 'terimakasih', 'slma', 'menghambat', 'aktivitas', 'emosi', 'jaringan', 'lmot']</t>
  </si>
  <si>
    <t>['metode', 'pembayarannya', 'ilang', 'mulu']</t>
  </si>
  <si>
    <t>['', 'pinjam', 'pulsa']</t>
  </si>
  <si>
    <t>['', 'angel', 'ilang', 'paketan', 'sek', 'murah', 'monyet', 'bintang', 'wae']</t>
  </si>
  <si>
    <t>['bagus', 'mudah', 'menjalani', 'pembelian', 'pulsa', 'paket']</t>
  </si>
  <si>
    <t>['alhamdulillah', 'telkomsel', 'lancar', '']</t>
  </si>
  <si>
    <t>['telkomsel', 'yahud']</t>
  </si>
  <si>
    <t>['metode', 'pembayaran', 'ngilang']</t>
  </si>
  <si>
    <t>['utama', 'tetep', 'nyedot', 'pulsa', 'otomatis', 'paket', 'data', 'habis', 'kayak', 'provider', 'sebelah', '']</t>
  </si>
  <si>
    <t>['puas', 'responsif', '']</t>
  </si>
  <si>
    <t>['mudah', 'transaksi', 'langsung', '']</t>
  </si>
  <si>
    <t>['telkomsel', 'bab', 'kartu', 'sinyal', 'tinggal', 'kota', '']</t>
  </si>
  <si>
    <t>['aplikasi', 'perubahan', 'tampilan', 'berubah', 'isinya', 'berfungsi', 'cek', 'saldo', 'pulsa', 'cek', 'saldo', 'kouta', 'data', 'internet', 'saldo', 'bonus', 'telpon', 'sms', 'nomer', 'perdana', 'selebihnya', 'menambah', 'bintang', 'aplikasi', 'pelayanan', 'sesuai', 'tawarkan', 'kebohonggan', 'tolong', 'apknya', 'bug', 'pembayaran']</t>
  </si>
  <si>
    <t>['kecewa', 'telkomsel', 'byk', 'kasih', 'bonus', 'isi', 'kuota', 'dikasih', 'bonus', 'pulsa', 'hny', 'dipake', 'nelpon', 'sms', 'berlaku', 'dikasih', 'pulsa', 'trilyun', 'terpakai', 'pelitt', 'parah', 'isi', 'paket', 'isi', 'pulsa', 'pilihan', 'bayar', 'pakai', 'link', 'pilihan', 'pakai', 'kartu', 'kredit', 'indomaret', 'salahnya', 'dimasukkan', 'pilihan', 'link', 'parah', 'pelitnya', '']</t>
  </si>
  <si>
    <t>['pulsa', 'gratis']</t>
  </si>
  <si>
    <t>['developer', 'mohon', 'dipertimbangkan', 'kesekian', 'kali', 'mengisi', 'pulsa', 'pulsanya', 'berkurang', 'pemberitahuan', 'telkomsel', 'itupun', 'jaraknya', 'detik', 'mengisi', 'pulsa', 'membeli', 'paket', 'data', 'saldo', 'mencukupi', 'refresh', 'saldonya', 'berkurang', 'kemana', 'truma', 'kasih']</t>
  </si>
  <si>
    <t>['paket', 'internetnya', 'mahal', 'dibanding', 'sebelah', 'speed', 'bersaing', 'mohon', 'turunkan', 'harganya']</t>
  </si>
  <si>
    <t>['tolong', 'perbaiki', 'buka', 'telkomsel', 'nyedotnya', 'banget']</t>
  </si>
  <si>
    <t>['membatu', 'informasi', 'dipermudah']</t>
  </si>
  <si>
    <t>['transaksi', 'pakai', 'gopay', 'shopee', 'pay', 'biyasa', '']</t>
  </si>
  <si>
    <t>['jaringang', 'udah', 'jelek', 'intenet', 'lelet', 'udah', 'th', 'lagangan', 'jelekkkkkkkk', 'jelekkkkkk', '']</t>
  </si>
  <si>
    <t>['perbaiki', 'jaringannya']</t>
  </si>
  <si>
    <t>['jaringan', 'termahal', 'seindonesia', 'kualitas', 'terburuk', 'sedunia', 'didalam', 'koruptornya', '']</t>
  </si>
  <si>
    <t>['hadehhh', 'harga', 'naikin', 'jaringan', 'lemot']</t>
  </si>
  <si>
    <t>['aplikasi', 'mudah', 'pengguna', 'mytelkomsel', 'trsnsaksi', 'pembelian', 'pulsa', 'kuota', 'murah', 'adakalanya', 'disaat', 'kuota', 'pulsa', 'iklan', 'masuk', 'kuota', 'habis', 'pastikan', 'data', 'seluler', 'data', 'terpotong', 'pulsa', 'namanya', 'pengguna', 'paham', 'beli', 'pulsa', 'kuota', 'lho', 'kormesil', 'spt', 'dikaji', 'ulang', 'nama', 'mytelkomsel', 'hati', 'warga', '']</t>
  </si>
  <si>
    <t>['paket', 'mahal', 'kualitas', 'signal', 'berkualitas', 'parah']</t>
  </si>
  <si>
    <t>['very', 'good', 'semoga', 'dapet', 'lucky', 'drawnya', 'tgl', 'desember']</t>
  </si>
  <si>
    <t>['pesen', 'mending', 'smartfreen', 'indosat', 'sumpah', 'beda', 'kelas', 'malu', 'gua', 'tinggal', 'kota', 'yaa', 'bkn', 'dipedalaman', 'bkn', 'pesisir', 'laut', 'jga', 'telkomsel', 'pagi', 'siang', 'sore', 'blm', 'jam', 'mlm', 'kebawah', 'sampe', 'jam', 'pagi', 'dibawah', 'jam', 'pagi', 'sinyal', 'udh', 'epetan', 'maen', 'ping', 'merah', 'kuning', 'trs', 'streaming', 'lelet', 'lbh', 'load', 'ketimbang', 'muternya', 'lancar', 'kirim', 'chat', 'doang', 'ngirim', 'foto', 'vidio', 'buset', 'dahh', 'sumpah', 'load', 'anjirr']</t>
  </si>
  <si>
    <t>['gabisa', 'beli', 'paket', 'pia', 'dana', 'prasaan', 'kemaren', 'pembayaran', 'dihapus', 'dihapus', 'kecewa', 'udah', 'jaringan', 'lemot', 'bayar', 'pembayaran', 'dahlah', '']</t>
  </si>
  <si>
    <t>['knp', 'skrg', 'pakai', 'gopay', '']</t>
  </si>
  <si>
    <t>['indonesia', 'puyak', 'degan', 'peberania', 'barsama']</t>
  </si>
  <si>
    <t>['mohon', 'degan', 'sagat', 'jaringan', 'telkomsel', 'macet', 'macet', 'lelet', 'lubai', 'muwaraenim', 'mohon', 'tanggulangi', '']</t>
  </si>
  <si>
    <t>['kartu', 'sial', 'beli', 'pulsa', 'langung', 'terpotong', 'dapet', 'sms', 'kaya', 'gini', 'memakai', 'pulsa', 'rp', 'akses', 'internet', 'non', 'paket', 'beli', 'paket', 'tsel', 'tsel', 'mode', 'pesawat', 'sumpah', 'kartu', 'pulsa', 'hilang', 'alasan', 'kasih', 'ganti', 'rugi', '']</t>
  </si>
  <si>
    <t>['moga', 'kedepannya', 'sinyalnya', 'bagus', 'lagii', 'telkom', 'emang', 'asikk', 'makasih', 'telkom', '']</t>
  </si>
  <si>
    <t>['terhubung', 'pembayaran', 'link']</t>
  </si>
  <si>
    <t>['bagus', 'terjangkau']</t>
  </si>
  <si>
    <t>['tolong', 'donk', 'sinyal', 'tingkatkan', 'lgi', 'dsni', 'bnr', 'simpati', 'kyk', 'dlu', 'skrg', 'kalah', 'provider', 'bnyk', 'peminat', '']</t>
  </si>
  <si>
    <t>['price', 'mahal', 'sinyal', 'card', 'dendam', 'ape', 'kau', 'awak', '']</t>
  </si>
  <si>
    <t>['mantab', 'kali', 'keren', 'pokoknya']</t>
  </si>
  <si>
    <t>['knpa', 'skrng', 'transaksi', 'via', 'dana']</t>
  </si>
  <si>
    <t>['mohon', 'telkomsel', 'promo', 'murah', 'kartu', 'trimakasih']</t>
  </si>
  <si>
    <t>['puas', 'promo', 'gb', 'rp']</t>
  </si>
  <si>
    <t>['min', 'bayar', 'kuota', 'via', 'dana', '']</t>
  </si>
  <si>
    <t>['apllikaasii', 'bagguuss', '']</t>
  </si>
  <si>
    <t>['knpa', 'gagal', 'dlm', 'pembayaran']</t>
  </si>
  <si>
    <t>['istimewa', 'mempermudah', 'proses', 'pemilihan', 'paket', 'monitor', 'penggunaan', 'kuota', 'dipakai', 'sisa', 'sisa', 'kouata', 'ditampilkan', 'kelar', 'mudab', 'dipahami']</t>
  </si>
  <si>
    <t>['puas', 'pelayananya', 'mempermudah', 'pengguna', 'pemula', '']</t>
  </si>
  <si>
    <t>['mantap', 'mohon', 'bantuannya', 'kartu', 'jaringannya', 'jelek', '']</t>
  </si>
  <si>
    <t>['tolong', 'kasi', 'murah', 'harga', 'data', 'telkomsel']</t>
  </si>
  <si>
    <t>['edit', 'ulasan', 'aplikasinya', 'eror']</t>
  </si>
  <si>
    <t>['sinyal', 'daerah', 'turun', 'drastis', 'sulit', 'berkomunikasi', 'sinyal', 'telkomsel']</t>
  </si>
  <si>
    <t>['gabisa', 'byr', 'pke', 'gopay']</t>
  </si>
  <si>
    <t>['', 'boong']</t>
  </si>
  <si>
    <t>['udah', 'nggak', 'fitur', 'bayar', 'shoppe', 'pay', 'min', 'dlu', 'tpi', 'skarng', 'nggak', 'tolong', 'penjelasannya', 'min', '']</t>
  </si>
  <si>
    <t>['telkomsel', 'taik', 'udah', 'mahal', 'jelek', 'jaringannya', 'nda', 'hujan', 'angin', 'petir', 'towernya', 'sampe', 'tpi', 'pas', 'main', 'game', '']</t>
  </si>
  <si>
    <t>['', 'sgt', 'senang']</t>
  </si>
  <si>
    <t>['jaringan', 'lemah', 'provider', 'oke', 'indonesia', 'telkomsel', 'lemah', 'troble', 'terusan', 'paket', 'data', 'mahal', 'sesuai', '']</t>
  </si>
  <si>
    <t>['aplikasi', 'kereen']</t>
  </si>
  <si>
    <t>['tolong', 'kak', 'knapa', 'setial', 'hujan', 'maen', 'game', 'gini', 'jelek', 'sinyal', 'nyy', 'tolong', 'perbaiki']</t>
  </si>
  <si>
    <t>['telkomsel', 'terbantu', 'maju', 'teruss']</t>
  </si>
  <si>
    <t>['signal', 'kuat', 'manapun']</t>
  </si>
  <si>
    <t>['telkomsel', 'pulsa', 'terkuras', 'perak', 'ribu', 'hadehh', 'kesal']</t>
  </si>
  <si>
    <t>['jaringan', 'terbaik', 'indonesia', 'main', 'game', 'ngelag', 'parah', 'pdhal', 'udh', 'sinyal', 'full', 'telkom', 'monyet', 'udh', 'kuota', 'mahal', 'main', 'game', 'suram', 'hdehh', 'nyari', 'untung', 'doank', 'kagak', 'mikirin', 'konsumen']</t>
  </si>
  <si>
    <t>['kartu', 'babi', 'harganya', 'sesuai', 'ama', 'kualitas', 'tolol', 'kartu', 'ampas', 'lose', 'streak', 'mending', 'ganti', 'sinyal', 'murah', 'kaya', 'mahal', 'doang']</t>
  </si>
  <si>
    <t>['telkomsel', 'pelayanan', 'terbaik', 'konsumennya', 'semoga', 'mengembangkan', 'sistem', 'jaringan', 'internetnya', 'pelosok', 'negri', '']</t>
  </si>
  <si>
    <t>['sagat', 'membatu']</t>
  </si>
  <si>
    <t>['tutup', 'gerai', 'fokus', 'konten', 'jaringan', 'kayak', 'taik', 'paket', 'mahal', 'jaringan', 'kayak', 'kartu', 'murahan', 'tutup', 'gerai', 'fokus', 'youtube', 'jaringan', 'wilayah', 'pekanbaru', 'khusunya', 'rumbai', 'barat', 'jaringan', 'telkomsel', 'hancur', 'buruk']</t>
  </si>
  <si>
    <t>['aplikasi', 'pokoknya', '']</t>
  </si>
  <si>
    <t>['vitur', 'pembayaran', 'wallet', 'bingung', 'luhut', 'binsar', 'min', '']</t>
  </si>
  <si>
    <t>['sinyal', 'tpi', 'maen', 'game', 'jembut', 'beli', 'paket', 'mahal', 'sinyal', 'lemah', 'teros', 'telkomsel']</t>
  </si>
  <si>
    <t>['produk', 'baguss', 'nyata', 'hujan', 'dikit', 'aduuh', 'tlol']</t>
  </si>
  <si>
    <t>['', 'telpon', 'operator', 'telkomsel', 'nelpon', 'nawarin', 'pindah', 'telkomsel', 'hallo', 'engga', 'minat', 'trus', 'nanya', 'alesannya', 'blom', 'udah', 'matiin', 'gitu', 'operator', 'telkomsel', 'sopan']</t>
  </si>
  <si>
    <t>['memakai', 'telkom', 'jaringan', 'lag', 'telkom', 'gangguan', 'sinyal', 'asalnya', '']</t>
  </si>
  <si>
    <t>['aplikasi', 'membantu', 'promonya']</t>
  </si>
  <si>
    <t>['puas', 'telkomsel', 'skarang', 'jaringan', 'jelek', 'banget', 'udah', 'harga', 'mahal', 'sesuai', 'jaringan', 'telkomsel', 'bauk', 'gausah', 'make', 'telkomsel', 'kecewa']</t>
  </si>
  <si>
    <t>['spam', 'nanya', 'mulu', 'kualitas', 'gmna', 'penilaian', 'menggangu', 'tampilan', 'app', 'mytelkomsel', 'loading', 'download', 'disuruh', 'download', 'udh', 'download', 'isi', 'emosi', 'udah', 'dinilai', 'nilai', '']</t>
  </si>
  <si>
    <t>['membantu', 'mempermudah', '']</t>
  </si>
  <si>
    <t>['pulsa', 'berkurang', 'paket', 'internet', 'aktif', 'tolong', 'berbenah', 'berkurang', '']</t>
  </si>
  <si>
    <t>['knpa', 'simpati', 'lemot', 'pdahal', 'kota', 'sinyal', 'ilng']</t>
  </si>
  <si>
    <t>['aplikasinya', 'top', 'banget', 'langgeng', 'telkosel', '']</t>
  </si>
  <si>
    <t>['apasih', 'maunya', 'telkomsel', 'males', 'pakai', 'telkomsel', 'jaringan', 'bagusnya', 'telkomsel', 'bagus', 'tinggal', 'kota', 'emang', 'dasar', 'busuk', 'jaringan', 'telkomsel', 'tanggung', 'jawablah', 'ketua', 'telkomsel', 'udah', 'ngerasain', 'berbulan', 'jaringan', 'telkomsel', 'malam', 'busuk', 'kali', 'jaringannya', 'gaguna', 'kali', 'nyesel', 'pakai', 'telkomsel', 'gaguna', 'ngomongnya', 'perbaiki', 'secepatnya', 'bacot', 'doang', 'gaada', 'bukti', 'taikk', 'gaguna', 'telkomsel', '']</t>
  </si>
  <si>
    <t>['tukar', 'poin', 'endingnya', 'beli', 'paket', 'telkomsel', 'masuk', 'heran', '']</t>
  </si>
  <si>
    <t>['kali', 'mencoba', 'app', 'semoga', 'membantu']</t>
  </si>
  <si>
    <t>['better', 'apk', 'update', 'super', 'duper', 'lemot', 'pol', 'polan', 'allah', '']</t>
  </si>
  <si>
    <t>['coba', 'ultimax', 'murah', 'kuota']</t>
  </si>
  <si>
    <t>['jaga', 'kualitas', 'jaringan', 'lokasi', 'terkoneksi', 'setabil', 'trimakasih']</t>
  </si>
  <si>
    <t>['trima', 'kasih', 'mantap', '']</t>
  </si>
  <si>
    <t>['pulsa', 'terkuras', 'hilang', 'sayaaa', 'pakai', 'pulsa', 'hilang', 'total', 'rb', 'menyalakan', 'data', '']</t>
  </si>
  <si>
    <t>['paket', 'mahal', 'lemot', 'sinyal', 'maksimal', 'unfollow']</t>
  </si>
  <si>
    <t>['jaringan', 'kesini', 'jelek', 'yaa']</t>
  </si>
  <si>
    <t>['bintang', 'yaa', 'pilihan', 'paket', 'mahal', '']</t>
  </si>
  <si>
    <t>['udah', 'uang', 'isi', 'pulsa', 'uang', 'ditarik', 'pulsanya', 'masuk', 'doa', 'semoga', 'perusahaan', 'dijauhkan', 'karma', 'buruk', 'terima', 'kasih']</t>
  </si>
  <si>
    <t>['sinyal', 'jelek', 'banget', 'udah', 'paket', 'mahal', 'daerah', 'kejangkau', 'udah', 'deket', 'sutet', 'mohon', 'diperbaiki', 'perhitungkan', 'memperbaiki', 'sinyal', 'pelosok']</t>
  </si>
  <si>
    <t>['membantu', 'cek', 'kuota', 'beli', 'paket']</t>
  </si>
  <si>
    <t>['aplikasi', 'telkomsel', 'membantu', 'konsumen', 'ber', 'transaksi', 'bentuk', 'apapun', 'semoga', 'telkomsel', 'maju', 'ungul', 'kususnya', 'indonesia', 'salam', 'rakyat', 'aceh', '']</t>
  </si>
  <si>
    <t>['transaksi', 'pembelian', 'pulsa', 'metode', 'pembayaran', 'gopay', 'chasback', 'dijanjikan', '']</t>
  </si>
  <si>
    <t>['membantu', 'keseharian', 'tugas', 'sekolah', 'ekstra', 'kurikuler']</t>
  </si>
  <si>
    <t>['udah', 'mahal', 'nge', 'lag', 'lgi']</t>
  </si>
  <si>
    <t>['bagut', 'mendukung']</t>
  </si>
  <si>
    <t>['kasih', 'bintang', 'jaringan', 'error']</t>
  </si>
  <si>
    <t>['terimakasih', 'aplikasi', 'membantu']</t>
  </si>
  <si>
    <t>['allhamd', 'lillah', 'penguna', 'singg', 'banyakin', 'bonuss', 'nyaa']</t>
  </si>
  <si>
    <t>['tingkatkan', 'kualitas', 'sinyal', 'bagus']</t>
  </si>
  <si>
    <t>['sinyal', 'tolong', 'mnurun', 'perpormanya']</t>
  </si>
  <si>
    <t>['selamat', 'malam', 'admin', 'transfer', 'pulsa', 'pulsa', 'mencukupi', 'transfer', 'nominal', 'sekian', 'terima', 'kasih', '']</t>
  </si>
  <si>
    <t>['jaringan', 'jelek', 'beli', 'paket', 'mahal', 'jaringan', 'jelek', 'kerjaan', 'via', 'internet', 'beres', 'ganti', 'kartu', 'ajalah']</t>
  </si>
  <si>
    <t>['sinyal', 'jelek', 'keperluan', 'kerja', 'ganti', 'layanan', '']</t>
  </si>
  <si>
    <t>['puss', 'sayang', 'harganya', 'paketan', 'mahal']</t>
  </si>
  <si>
    <t>['setia', 'telkomsel', 'semoga', 'top']</t>
  </si>
  <si>
    <t>['susah', 'transaksi', 'instruksinya', 'coba', 'menit', 'gitu']</t>
  </si>
  <si>
    <t>['siip', '']</t>
  </si>
  <si>
    <t>['nyesal', 'pndahin', 'kartu', 'halo', 'internet', 'jdi', 'lelet', 'bnget', 'tolong', 'perbaiki', 'pls']</t>
  </si>
  <si>
    <t>['sinyal', 'nyh', 'bagus']</t>
  </si>
  <si>
    <t>['', 'ganti', 'kartu', 'sinyalag', 'tros', 'kuota', 'mahal']</t>
  </si>
  <si>
    <t>['semoga', 'promo', 'produk', 'meningkat', 'sya', 'suka', 'aplikasi', '']</t>
  </si>
  <si>
    <t>['beli', 'kuota', 'promo', 'gagal', 'sms', 'keterangan', 'maret', 'februari', 'udah', 'gabisa', 'dibeli', 'pembelian', 'gagal', 'keterangan', 'maaf', 'sitem', 'sibuk', 'kecewa', 'banget']</t>
  </si>
  <si>
    <t>['penukaran', 'poin', 'sms', 'jaringan', 'sibuk', 'coba', 'tetep', 'hak', 'nukerin', 'poin', 'persulit', 'bintang', 'enakan', 'langsung', 'bintang', 'karna', 'fakta', 'jelek', 'coba', 'perbaiki', 'pemilik', 'aplikasi', '']</t>
  </si>
  <si>
    <t>['suka', 'trm', 'kasih', 'paket', 'datanya', 'beli', 'diperpanjang', 'otomatis', 'isi', 'pulsa', 'paket', 'terima', 'kasih', 'tolong', 'ditingkatkan', 'sinyalnya', 'seputaran', 'kec', 'labuapi', 'perumahan', 'btn', 'muhajirin', 'asri', '']</t>
  </si>
  <si>
    <t>['lemot', 'banget', 'jaringan', 'astagaaaaaaaa']</t>
  </si>
  <si>
    <t>['recommended', 'banget', 'download']</t>
  </si>
  <si>
    <t>['app', 'memuaskan', 'mantap']</t>
  </si>
  <si>
    <t>['game', 'rekomen', 'kalah', 'biru']</t>
  </si>
  <si>
    <t>['memiliki', 'paket', 'internet', 'pakwt', 'unlimited', 'paket', 'internet', 'berkurang', 'unlimited']</t>
  </si>
  <si>
    <t>['kesini', 'telkomsel', 'gua', 'jijik', 'couta', 'puluhan', 'buka', 'lemot', 'buka', 'lemot', 'gua', 'risih', 'sinyal', 'jelek', 'couta', 'terkuras', 'cepat', 'sebenernya', 'ngabisin', 'duit', 'gua', 'doang', 'perbaiki', 'krna', 'membeli', 'membayar', 'gratis', 'penguna', 'telkomsel', 'mingat', '']</t>
  </si>
  <si>
    <t>['telkomsel', 'daerah', 'kayu', 'agung', 'low', 'respon', 'sinyalnya', 'kdang', 'kdang', 'susah', '']</t>
  </si>
  <si>
    <t>['andalkan']</t>
  </si>
  <si>
    <t>['gimana', 'beli', 'paketan', 'telkom', 'masuk', 'masuk', 'gimana', 'emang', 'pulsa', 'ngurang', 'paketan', 'masuk', 'masuk']</t>
  </si>
  <si>
    <t>['', 'telkomsel', 'emang', 'oke', 'mengunci', 'pulsa', 'habis', 'data', 'biyar', 'ambil']</t>
  </si>
  <si>
    <t>['telkomsel', 'password', 'jaringan', 'lemot', 'nyusahin', 'orang', 'skuy', 'pindah', 'operator', 'ngecewain', 'nyedot', 'pulsa', 'cepat', 'jaringan', 'lambat', 'telkomsel', 'udh', 'bnyk', 'ngirim', 'ulasan', 'buruk', 'jaringan', 'telkomsel', 'tpi', 'bnerin', 'mmang', 'tolol', 'pakai', 'telkomsel', 'kecewa', 'yuk', 'pindah', 'operator']</t>
  </si>
  <si>
    <t>['beli', 'paket', 'malam', 'gb', 'hri', 'gabisa', 'bayar', 'gopay', 'tolong', 'fix']</t>
  </si>
  <si>
    <t>['cepat', 'prosesnya', '']</t>
  </si>
  <si>
    <t>['kalaw', 'sistem', 'diakses', 'pas', 'beli', 'pulsa', 'dikasih', 'akses', 'pembayaran', 'giliran', 'udah', 'dibeli', 'pulsa', 'masuk', 'ditunggu', 'kaga', 'hadeh', 'payaaaj', 'apk']</t>
  </si>
  <si>
    <t>['bgs', 'memudahkan', 'mengatifkan', 'paket', 'mudah']</t>
  </si>
  <si>
    <t>['ngasinya', 'bintang', 'yaaa', 'paket', 'tahunan', 'beli', 'combo', 'max', 'gb', 'muncul', 'menu', 'beli', 'gb', 'sebulannnn', 'eeeh', 'setelahnya', 'mincul', '']</t>
  </si>
  <si>
    <t>['aplikasinya', 'dipakai', 'beli', 'paket', '']</t>
  </si>
  <si>
    <t>['uda', 'main', 'game', 'sinyal', 'bagus', 'aktual', 'main', 'game', 'pink', 'san', 'merah', 'banget', 'gerak', 'ngebug', 'main', 'game', 'pensiun', 'mesti', 'support', 'sinyal', 'sinyal', 'wifi', 'bagus', 'pasang', 'wifi', 'full', 'slot', 'daerah', 'mesti', 'nambah', 'kabel', 'adehhh']</t>
  </si>
  <si>
    <t>['mudah', 'bertransaksi', 'pembelian', 'paket', 'data', 'bnyak', 'promo']</t>
  </si>
  <si>
    <t>['sinyal', 'telkomsel', 'ujan', 'hancur', 'ujan', 'mahal', 'perbaiki', 'jaringan', 'susah', 'udah', 'kebeli']</t>
  </si>
  <si>
    <t>['tutup', 'telkomsel', 'benerin', 'koneksi', 'kuota', 'mahal', 'doank']</t>
  </si>
  <si>
    <t>['minggu', 'sinyal', 'gangguan', 'mulu', '']</t>
  </si>
  <si>
    <t>['paket', 'hemat', 'kaya', 'combo', 'sakti', 'terjangkau', '']</t>
  </si>
  <si>
    <t>['mksih', 'mkin', 'maju', 'telkomsel']</t>
  </si>
  <si>
    <t>['enak']</t>
  </si>
  <si>
    <t>['aplikasi', 'anjiiiiing', 'liat', 'liat', 'emang', 'anjiiing']</t>
  </si>
  <si>
    <t>['beli', 'paketan', 'gagal', 'keterangannya', 'gangguan', 'sistem', 'becus', '']</t>
  </si>
  <si>
    <t>['barusan', 'beli', 'paket', 'telkomsel', 'membayar', 'shopee', 'pay', 'sukses', 'bayar', 'kuotanya', 'masuk']</t>
  </si>
  <si>
    <t>['paket', 'data', 'habis', 'terkontrol', 'menyedot', 'pulsa', 'habis', 'membuka', 'browser', 'telkomsel', 'pamit', 'telkomsel', '']</t>
  </si>
  <si>
    <t>['harap', 'paket', 'ekstra', 'unlimited', 'membantu']</t>
  </si>
  <si>
    <t>['pengguna', 'telkomsel', 'paket', 'internet', 'ngga', 'dapet', 'murah', 'pengguna', 'setahun', 'paket', 'kuota', 'murah', 'gimana', '']</t>
  </si>
  <si>
    <t>['memuaskan', 'telkomsel', 'kasih', 'bintang', 'kartu', 'say', 'promo', 'murah']</t>
  </si>
  <si>
    <t>['mencoba', 'kasih', 'bintang', 'dlu', '']</t>
  </si>
  <si>
    <t>['nyesel', 'psg', 'aplikasi']</t>
  </si>
  <si>
    <t>['maaf', 'bintang', 'tarik', 'sinyal', 'telkomsel', 'mengecewakan', '']</t>
  </si>
  <si>
    <t>['menyesal', 'elah', 'setia', 'susah', 'ortu', 'kartu', 'hangus', 'coba', 'dibaliikin', 'yahhh', 'mending', 'kartu', 'murah', 'bagus']</t>
  </si>
  <si>
    <t>['jaringan', 'telkomsel', 'diandalkan', 'membuka', 'website', 'video', 'porno', 'dewasa', 'dibanding', 'provider', 'recommended', '']</t>
  </si>
  <si>
    <t>['update', 'bagus']</t>
  </si>
  <si>
    <t>['exstra', 'unlimited', 'pubg', 'playstore', 'lemot', 'kyak', 'kmaren', '']</t>
  </si>
  <si>
    <t>['applikasinya', 'bermanfaat', '']</t>
  </si>
  <si>
    <t>['dear', 'contact', 'center', 'stroomnet', 'mohon', 'bantuannya', 'open', 'tiket', 'gangguan', 'pelanggan', 'nama', 'pln', 'alamat', 'email', 'paket', 'gangguan', 'terima', 'kasih', 'perangkat', 'wifi', 'lampu', 'hijau', 'abg', 'suruh', 'restart', 'lakukan', 'kak', '']</t>
  </si>
  <si>
    <t>['', 'main', 'game', 'jaringan', 'stabil', '']</t>
  </si>
  <si>
    <t>['oke', 'lumayan', 'bagus', 'semoga', 'mempermudah', 'urusan']</t>
  </si>
  <si>
    <t>['baguss', 'aplikasinya', 'love', 'buanget']</t>
  </si>
  <si>
    <t>['topup', 'pulsa', 'telkomsel', 'saldo', 'berkurang', 'tpi', 'pulsa', 'masuk', 'jam', 'pulsa', 'masuk', 'knp', 'telkomsel', 'down', 'pelayanannya', '']</t>
  </si>
  <si>
    <t>['puas', 'aplikasi', 'telkomsel']</t>
  </si>
  <si>
    <t>['orang', 'telat', 'bayar', 'jatuh', 'tempo', 'tanggal', 'udah', 'ditelponin', 'tanggal', 'sehari', 'pelanggan', 'pengutang', '']</t>
  </si>
  <si>
    <t>['puas', 'telkomsel', 'apl', 'nua', 'mudah', '']</t>
  </si>
  <si>
    <t>['uda', 'nukar', 'poin', '']</t>
  </si>
  <si>
    <t>['sinyal', 'jelek', 'main', 'games', 'online', '']</t>
  </si>
  <si>
    <t>['pulsa', 'guaa', 'berkurang', 'udahh', 'mah', 'sinyalnyaa', 'nambahh', 'jelek', '']</t>
  </si>
  <si>
    <t>['telkomsel', 'lemot']</t>
  </si>
  <si>
    <t>['teruslah', 'berkembang', 'berkarya', '']</t>
  </si>
  <si>
    <t>['awet', 'promonya', '']</t>
  </si>
  <si>
    <t>['fungsi', 'kuota', 'multimedia', 'dipakai', 'apk', 'disney', 'pas', 'nonton', 'kuota', 'utama', 'kesedot', 'kayak', 'gitu', 'mending', 'ditiadakan', 'multimedia', 'ujung', 'ujungnya', 'kuota', 'utama', 'kesedot', '']</t>
  </si>
  <si>
    <t>['sinyal', 'jelek', 'stabil', 'drop', '']</t>
  </si>
  <si>
    <t>['emang', 'bagus', 'banget', 'telkomsel', 'sinyalnya', 'kuat', 'dimana', '']</t>
  </si>
  <si>
    <t>['', 'ganti', 'paketan', 'telkomsel', 'batalin', 'sinyalnya', 'suka', 'jelek', 'mending', 'beralih', 'paketan', 'provokasi', 'emang', 'kenyataan']</t>
  </si>
  <si>
    <t>['tolong', 'teruntuk', 'telkomsel', 'perbaiki', 'sinyalnya', 'harga', 'paket', 'mahal', 'mahal', 'doang', 'jaringan', 'buruk', 'kasih', 'bintang', 'makasih', '']</t>
  </si>
  <si>
    <t>['sinyal', 'kuat', 'biarpun', 'didalam', 'gedung']</t>
  </si>
  <si>
    <t>['mahal', 'doang', 'sinyal', 'masuk', 'blass']</t>
  </si>
  <si>
    <t>['jaringannya', 'luas', '']</t>
  </si>
  <si>
    <t>['bangsattttttttttt', 'mahal', 'doang']</t>
  </si>
  <si>
    <t>['bismillah', 'dpt', 'mempermudah']</t>
  </si>
  <si>
    <t>['undian', 'aplikasi', 'hoax', 'alias', 'tipu', 'tipu', 'bukti', 'org', 'dpt', 'undian', 'ngabisin', 'poin', 'sia', 'dpt', 'mending', 'tuker', 'poin', 'data', 'internet', 'telkomsel', 'monyet']</t>
  </si>
  <si>
    <t>['sinyal', 'perbaiki', 'bos']</t>
  </si>
  <si>
    <t>['mantap', 'cepet', '']</t>
  </si>
  <si>
    <t>['signal', 'telkomsel', 'buruk', 'pelanggan', 'bingung', 'komplain', 'tlf', 'centernya', 'biadap', 'emang', 'tagihan', 'suruh', 'byar', 'lancar', 'pelayanan', 'kayak', 'amatiran', '']</t>
  </si>
  <si>
    <t>['trima', 'ksih', 'telkomsel']</t>
  </si>
  <si>
    <t>['tingkatkan', 'keamanan']</t>
  </si>
  <si>
    <t>['selaluh', 'terbaik', 'pelanggan', 'setia', 'terimah', 'kasih', 'selaluh', 'hadiah', 'hadia', 'menarik', 'perna', 'hehehe']</t>
  </si>
  <si>
    <t>['tolong', 'perbaikin', 'sinyal', 'bos', 'narik', 'orderan', 'gara', 'orderan', 'mahal', 'harga', 'kualitas', 'dijamin', '']</t>
  </si>
  <si>
    <t>['jaringan', 'lemah']</t>
  </si>
  <si>
    <t>['kartu', 'udh', 'jelek', 'jelek', 'dimna', 'pke', 'telkomsel', 'beli', 'pkt', 'susah', 'pindah', 'telkomsel', 'benerin', 'sinyal', 'gimna', 'seneng', 'buka', 'lancar']</t>
  </si>
  <si>
    <t>['koneksi', 'memburuk', 'provider', 'milik', 'bumn', 'buruk', 'banget', '']</t>
  </si>
  <si>
    <t>['mines']</t>
  </si>
  <si>
    <t>['woy', 'perbaiki', 'jarinag', 'kon', '']</t>
  </si>
  <si>
    <t>['harga', 'paketan', 'mahal', 'dijangkau', 'kalangan', 'menengah', '']</t>
  </si>
  <si>
    <t>['min', 'pulsanya', 'terpakai', 'kuota', 'pulsanya', 'beli', 'paket', '']</t>
  </si>
  <si>
    <t>['aplikasinya', 'bagus', 'banget', 'penggunaannya', 'bagus', 'sayangnya', 'lock', 'button', 'paket', 'data', 'habis', 'data', 'seluler', 'dimatikan', 'sisa', 'pulsa', 'sisa', 'pulsanya', 'langsung', 'abis', 'keambil']</t>
  </si>
  <si>
    <t>['', 'telkomsel', 'jaringan', 'celuler', 'ragu', 'edasssss', 'beli', 'quota', 'mahal', 'pisan', 'lakh', 'ceria', 'maaf', 'sistem', 'eror']</t>
  </si>
  <si>
    <t>['ganti', 'telkomsel', 'jaringan', 'kayak', 'mmek', 'tolol', 'sumpahkn', 'tekkom', 'mati']</t>
  </si>
  <si>
    <t>['membantu', 'pembelian', 'paket', 'cepat', 'mudah', 'pkoknya', 'mantap', '']</t>
  </si>
  <si>
    <t>['makasih', 'telkomsel']</t>
  </si>
  <si>
    <t>['beli', 'paket', 'internet', 'telkomsel', 'gagal', 'aktivasi', 'saldo', 'terpotong', 'telpon', 'solusi', 'menunggu', 'jam', 'ttp', 'hasil']</t>
  </si>
  <si>
    <t>['asw', 'lemotnya', 'gila', 'udah', 'gitu', 'hilang', 'hilang']</t>
  </si>
  <si>
    <t>['sinyal', 'stabil', 'aplikasi', 'dibuka', 'buka', 'youtube', 'browser', 'membuka', 'aplikasi', 'telkomsel']</t>
  </si>
  <si>
    <t>['aplikasi', 'instal', 'pixel', 'pdhl', 'sblm', 'android', 'app', 'brjln', 'lancar']</t>
  </si>
  <si>
    <t>['pengen', 'masuk', 'telkomsel', 'susahnya', 'ampun', '']</t>
  </si>
  <si>
    <t>['bagus', 'mudah', 'akses']</t>
  </si>
  <si>
    <t>['', 'telkomsel', 'mantap', 'promosi', 'pilihan']</t>
  </si>
  <si>
    <t>['mohon', 'maaf', 'sinyal', 'jelek', 'kali', 'mohon', 'perbaiki', 'karna', 'sinyal', 'jelek']</t>
  </si>
  <si>
    <t>['bagus', 'banget', 'jaringannya', 'banget', 'bermasalah', 'paket', 'kuotanya', 'cepat', 'terkuras', 'jdi', 'nyesel', 'blik', 'kuota', '']</t>
  </si>
  <si>
    <t>['buka', 'apps', 'telkomsel', 'apps', 'tulisan', 'apps', 'tutup', 'bahkn', 'sistem', 'tutup', 'restart', 'aplikasi', 'ngerusak', '']</t>
  </si>
  <si>
    <t>['suka', 'promo', 'ceria', 'pelanggan', 'setia']</t>
  </si>
  <si>
    <t>['kartu', 'sultan']</t>
  </si>
  <si>
    <t>['blm', 'pengalaman', 'mohon', 'bantuan', 'beli', 'pulsa', 'paket', 'internet', 'bgmn', 'bank', 'transaksi', 'pembayarannya', 'contoh', 'bank', 'bri', 'gmna', 'spy', 'connec', '']</t>
  </si>
  <si>
    <t>['lumayan']</t>
  </si>
  <si>
    <t>['kwaliatas', 'jaringan', 'buruk']</t>
  </si>
  <si>
    <t>['sesuai', 'janji', 'bintang', '']</t>
  </si>
  <si>
    <t>['sinyal', 'suka', 'hilang', 'harga', 'mahal', 'sesuai', 'kualitas']</t>
  </si>
  <si>
    <t>['memudahkan', 'counter']</t>
  </si>
  <si>
    <t>['jaringanya', 'jelek', 'ibukota', 'provinsi', 'tinggal', 'kabupaten', 'sulit', 'ditambah', 'paketan', 'dibeli', 'terhitung', 'mahal', 'didukung', 'koneksi', 'bagus', 'kestabilan', 'akses', 'internetnya', 'memainkan', 'game', 'online', 'diperbaiki', 'bagus', 'telkomsel', 'layanan', 'jaringan', 'terbaik', 'indonesia', 'semangat', 'telkomsel', '']</t>
  </si>
  <si>
    <t>['membantu', 'membeli', 'pkrt']</t>
  </si>
  <si>
    <t>['perbaiki', 'kualitas', 'jaringannya', 'kalteng', 'kab', 'pulang', 'pisau', 'jaringan', 'hilang', 'udah', 'banget']</t>
  </si>
  <si>
    <t>['pembelian', 'pulsa', 'telkomsel', 'membantu', 'tawaran', 'hadia', 'menarik', '']</t>
  </si>
  <si>
    <t>['paketan', 'kertu', 'mahal', 'yak']</t>
  </si>
  <si>
    <t>['makasih', 'udahh', 'nunggu', 'kak', 'kendala', 'pulsa', 'terpotong', 'dialami', 'nomor', 'total', 'rp', 'mimin', 'cek', 'nomor', 'kakak', 'tanggal', 'jam', 'pemotongan', 'pulsa', 'nominal', 'rp', 'tanggal', 'jam', 'pemotongan', 'pulsa', 'nominal', 'rp', 'terkena', 'terpotong', 'tarif', 'akses', 'internet', 'gprs', 'normal', 'dicek', 'nomor', 'kakak', 'memiliki', 'kuota', 'internet', 'kak', 'informasi', 'kuota', 'internet', 'indika']</t>
  </si>
  <si>
    <t>['bagus', 'banget', 'kasih', 'promo', 'telkomsel']</t>
  </si>
  <si>
    <t>['', 'min', 'blom', 'promo', 'kartu']</t>
  </si>
  <si>
    <t>['agk', 'lelet', 'daan', 'seru', 'mhn', 'perbaiki', 'kakak']</t>
  </si>
  <si>
    <t>['paket', 'combo', 'unlimited', 'hilang', 'isu', 'pulsa', '']</t>
  </si>
  <si>
    <t>['siapp', 'josss', 'pokokee']</t>
  </si>
  <si>
    <t>['kadang', 'bingung', 'sinyal', 'hilang']</t>
  </si>
  <si>
    <t>['aplikasi', 'mytelkomsel', 'terbaik']</t>
  </si>
  <si>
    <t>['layanan', 'paket', 'memuaskan', 'cuman', 'signal', 'kadang']</t>
  </si>
  <si>
    <t>['pas', 'masuk', 'apk', 'telkomsel', 'kluar', 'putih', 'trs', 'kluar', 'gtu', 'doang', 'pdhl', 'bli', 'paket', 'data', 'udh', 'bln', 'perbaiki', 'pkt', 'pas', 'bka', 'sinyal', 'oke', 'tpi', 'ska', 'ilng', 'ulangan']</t>
  </si>
  <si>
    <t>['update', 'jaringan', 'kek', 'taik', 'telkomsel', 'anjiiiiiiiiiiiiinnngg', 'pengguna', 'setia', 'telkomsel', 'kecewa', 'mari', 'ganti', 'kartu', 'laiiinnnn', 'ngeeennnnnntoooott', 'babi', 'telkomsel', 'setaaaaaannnnn', 'perbaikin', 'sinyal', 'kek', 'babi']</t>
  </si>
  <si>
    <t>['gini', 'otp', 'maen', 'sms', 'otp', 'dibuka', 'halaman', 'transaksi', 'langsung', 'hilang', 'trus', 'otp', 'masuk', 'gitu', 'trus', 'tujuan', 'angka', 'otp', 'ditempatkan', 'baris', 'sms', 'pdhl', 'digit', 'otp', 'baris', 'dibaca', 'notifikasi', 'masuk', 'buka', 'sms', 'berakibat', 'hilangnya', 'halaman', 'transaksi', '']</t>
  </si>
  <si>
    <t>['kecewa', 'pulsa', 'ribu', 'kepake', 'hadeh']</t>
  </si>
  <si>
    <t>['sinyal', 'bagus', 'bapuk', '']</t>
  </si>
  <si>
    <t>['sinyal', 'koneksi', 'internetnya', 'jeblok', '']</t>
  </si>
  <si>
    <t>['unlimitedmax', 'tinggal', 'nama', 'unlimited', 'akses', 'apapun', 'stelah', 'kuota', 'utama', 'habis', 'kayak', 'msh', 'akses', 'apk', 'trtntu', 'habis']</t>
  </si>
  <si>
    <t>['menukarkan', 'poin']</t>
  </si>
  <si>
    <t>['kualitas', 'jaringan', 'telkomsel', 'buruk', 'ping', 'ms']</t>
  </si>
  <si>
    <t>['terimakasih', 'layanan', 'saran', 'operator', 'telkomsel', 'mengupgrade', 'jariangan', 'kalimantan', 'main', 'game', 'online', 'pubg', 'mobile', 'legend', 'lemot', 'terimakasih', '']</t>
  </si>
  <si>
    <t>['bagus', 'aplikasi', 'tolong', 'sertakan', 'pembayaran', 'bank', 'transfer']</t>
  </si>
  <si>
    <t>['veronika', 'respon', 'customer']</t>
  </si>
  <si>
    <t>['suka', 'telkomsel', 'paket', 'internet', 'iming', 'kouta', 'multimedia', 'telepon', 'but', 'pribadi', 'suka', 'kebebasan', 'memilih', 'nonton', 'app', 'apapun', '']</t>
  </si>
  <si>
    <t>['telkomsel', 'bangkrut', 'payah', 'jaringannya', 'perbaiki', 'bangkrut', 'kualitasnya', 'kalah', 'provider', 'murah', 'sbagai', 'planggan', 'kecewa', 'kualitasnya', 'sperti', '']</t>
  </si>
  <si>
    <t>['kartu', 'sampah', 'kartu', 'bekas', 'orang', 'jual']</t>
  </si>
  <si>
    <t>['pemakaian', 'mudah']</t>
  </si>
  <si>
    <t>['harga', 'pakenya', 'berubah', 'ubah', 'trs']</t>
  </si>
  <si>
    <t>['sinyalnya', 'lemah', 'main', 'game', 'mobile', 'legends', 'kebanyakan', 'lag', 'blum', 'perubahan']</t>
  </si>
  <si>
    <t>['pakai', 'simple']</t>
  </si>
  <si>
    <t>['semenjak', 'kejadian', 'rusaknya', 'kabel', 'viber', 'ditanam', 'didasar', 'laut', 'buruk', 'koneksinya', 'beli', 'kuotanya', 'mahal', 'mahal', 'kecepatan', 'internetnya', 'anehnya', 'jelang', 'malam', 'lancarnya', 'ampun', 'begadang', 'malam', '']</t>
  </si>
  <si>
    <t>['undian', 'perbanyak', '']</t>
  </si>
  <si>
    <t>['kesinih', 'sinyal', 'telkomsel', 'memburuk', 'terikasih', 'menemani', 'berpaling', 'sinyal', 'telkomsel']</t>
  </si>
  <si>
    <t>['bagus', 'promo', 'menarik']</t>
  </si>
  <si>
    <t>['beli', 'kuota', 'diapk', 'eror', 'mulu', 'sinyal', 'bagus']</t>
  </si>
  <si>
    <t>['mohon', 'signal', 'diperbaiki', 'daerah', 'daerah', 'perkotaan', 'signal', 'hilang', 'terima', 'kasih']</t>
  </si>
  <si>
    <t>['lengkap', 'mudah', 'mengunduhnya', '']</t>
  </si>
  <si>
    <t>['operator', 'jaringan', 'telkomsel', 'buruk', 'sarankan', 'pakai', 'telkomsel', 'internet', 'game', 'online', 'afk']</t>
  </si>
  <si>
    <t>['signal', 'telkomsel', 'contooooool', 'lelet', 'bgat', 'tolong', 'perbaiki']</t>
  </si>
  <si>
    <t>['pulsa', 'dibeli', 'trpakai', 'otomatis', 'habis', 'otomatis', 'pdhl', 'dpke', 'sms', 'ndk', 'dipake', 'data', 'sel', '']</t>
  </si>
  <si>
    <t>['jaringan', 'telkomsel', 'lelet', 'hilang', 'kota', 'support', 'jaringan', 'lelet', 'pelanggan', 'telkomsel', 'kecewa', 'info', 'telkomsel', '']</t>
  </si>
  <si>
    <t>['baaggguuuusssss', 'buangat', 'and', 'best', 'telkomsel', '']</t>
  </si>
  <si>
    <t>['pulsa', 'gue', 'abis', 'mulu', 'abis', 'paan', 'aseli', 'parah', 'banget', 'telkomsel']</t>
  </si>
  <si>
    <t>['murah', 'simpel']</t>
  </si>
  <si>
    <t>['masak', 'beli', 'paket', 'paket', 'ngk', 'masuk', 'nyedot', 'pulsa', 'utama', 'malas', 'pakai', 'beli', 'paket', 'ribu', 'isi', 'pulsa', 'ribu', 'pulsa', 'potong', 'paket', 'ngk', 'masuk', 'gini', 'cari', 'duit', 'nipu', 'konsumen', 'goceng', 'sikat', 'astaga', 'malas', 'pakai', 'kartu', 'internet', 'pulsa', 'nyedot', 'tolong', 'dengar', 'keluhan', 'kali', 'kayak', 'gini', 'buruk', 'ajha', 'dijaman']</t>
  </si>
  <si>
    <t>['telkomsel', 'sinyalnya', 'lelet', 'tolong', 'perbaiki']</t>
  </si>
  <si>
    <t>['bangga', 'telkomsel', 'apalgi', 'semenjak', 'app', 'kecewa', 'safety', 'pulsa', 'reguler', 'pas', 'buka', 'aplikasi', 'aktifin', 'kuota', '']</t>
  </si>
  <si>
    <t>['lampu', 'padam', 'sinyalnya', 'hilang', '']</t>
  </si>
  <si>
    <t>['membantu', 'pemula']</t>
  </si>
  <si>
    <t>['berguna', 'banget', '']</t>
  </si>
  <si>
    <t>['aplikasinya', 'bagus', 'banget', '']</t>
  </si>
  <si>
    <t>['mahal', 'mahal', 'beda', 'oprator', 'sebelah']</t>
  </si>
  <si>
    <t>['kualitas', 'jaringan', 'didaerah', 'ane', 'min', '']</t>
  </si>
  <si>
    <t>['mantap', 'banget', 'pokokelah']</t>
  </si>
  <si>
    <t>['apk', 'telkomsel', 'bagus']</t>
  </si>
  <si>
    <t>['semoga', 'sukses', 'pelanggan', 'lupa', 'harga', 'paket', 'murah', 'terima', 'kasih', '']</t>
  </si>
  <si>
    <t>['telkomsel', 'curang', 'bayar', 'berhasil', 'pakai', 'shopeepay', 'kuata', 'masuk', 'namanya', 'pencurian']</t>
  </si>
  <si>
    <t>['sinyal', 'telkomsel', 'bagus', 'menu', 'telkomsel', 'berbeda', 'kategorikan', 'mahal', 'mohon', 'bantuannya']</t>
  </si>
  <si>
    <t>['baikkkk', 'bagusss', 'banget']</t>
  </si>
  <si>
    <t>['aplikasi', 'amanah']</t>
  </si>
  <si>
    <t>['puas', 'aplikais']</t>
  </si>
  <si>
    <t>['sinyal', 'jelek', 'pulsa', 'mahal', 'data', 'boros', 'mahal', 'bumn', 'service', 'jelek', 'banget', 'kasihan', 'rakyat', 'pengguna', 'seleksi', 'karyawan', 'persyaratannya', 'selangit', 'kerjanya', 'jelek', 'terbukti', 'output', 'pelayanan', 'males', 'pakai', 'telkomsel']</t>
  </si>
  <si>
    <t>['menambah', 'ilmu']</t>
  </si>
  <si>
    <t>['teruslah', 'berkembang', 'bangsa']</t>
  </si>
  <si>
    <t>['tolonglah', 'perbaiki', 'sinyal', 'ganti', 'plosok', 'kalah', 'im', '']</t>
  </si>
  <si>
    <t>['telkomsel', 'abis', 'beli', 'kouta', 'signal', 'jelek', 'habis', 'kouta', 'signal', 'bagus']</t>
  </si>
  <si>
    <t>['bagus', 'ngecek', 'kuota', 'tinggal', 'brp', 'beli', 'apo', 'tsb', 'rumah', 'males', 'rumah']</t>
  </si>
  <si>
    <t>['bgs', 'cok']</t>
  </si>
  <si>
    <t>['aplikasi', 'layarnya', 'gelapa', 'nggak', 'dikeluarin', 'nunggu', 'muncul']</t>
  </si>
  <si>
    <t>['coba', 'ikutan']</t>
  </si>
  <si>
    <t>['login', 'diperbaiki', 'gangguan', 'jaringan', 'perbaiki', '']</t>
  </si>
  <si>
    <t>['mati', 'signalnya', 'jln', 'kemana']</t>
  </si>
  <si>
    <t>['mudah', 'membeli', 'paket', 'internet']</t>
  </si>
  <si>
    <t>['promonya', 'terbatas', 'mohon', 'ditambah', '']</t>
  </si>
  <si>
    <t>['konsumen', 'mempermasalahkan', 'harga', 'menitik', 'beratkan', 'kualitas', 'kualitas', 'layanan', 'produk', 'jasa', 'semoga', 'sinyal', 'lemah', 'hilang', 'hilang', 'labil', 'sigap', 'keluhan', 'konsumen', 'alur', 'penyelesaian', 'dibuktikan', 'action', 'nyata', 'terimakasih', '']</t>
  </si>
  <si>
    <t>['kecewa', 'berat', 'telkomsel', 'siyal', 'ping', 'daerah', 'gua', 'beli', 'paket', 'bayar', 'lansung', 'saldo', 'aplikasi', 'dana', 'main', 'memikirkan', 'mencari', 'untung', 'membuncitkan', 'perut', 'kerja', 'bmkg', 'wajar', 'negara', 'maju']</t>
  </si>
  <si>
    <t>['udah', 'hargaa', 'kuotaa', 'nyaa', 'jaringannyaa', 'kayak']</t>
  </si>
  <si>
    <t>['beli', 'pulsa', 'lgsg', 'aplikasi', 'mlh', 'masuk', 'pulsa', 'udah', 'seharian', 'mending', 'beli', 'shope', 'gercep', 'nipu', 'nipu']</t>
  </si>
  <si>
    <t>['sinyal', 'telkomsel', 'gatau', 'lemot', 'kek', 'paketan', 'doank', 'mahal', 'sinyal', '']</t>
  </si>
  <si>
    <t>['aplikasinya', 'bagus', 'tarif', 'pulsa', 'provider', 'terbesar', 'bodoh', 'cuman', 'pulsa', 'mahal', 'bank', 'menyediakan', 'berkompetisi', 'gratis', 'nggak', '']</t>
  </si>
  <si>
    <t>['game', 'burik', 'pintunya']</t>
  </si>
  <si>
    <t>['promo', 'murahnya', 'banyakin', 'boke', 'bingung']</t>
  </si>
  <si>
    <t>['semoga', 'lemot']</t>
  </si>
  <si>
    <t>['eror', 'cek', 'pulsa', 'beli', 'paket', 'internet']</t>
  </si>
  <si>
    <t>['makasi', 'membantu']</t>
  </si>
  <si>
    <t>['mantap', 'pisan']</t>
  </si>
  <si>
    <t>['mantap', 'udah', 'beli', 'pulsa', 'ovo']</t>
  </si>
  <si>
    <t>['sanggat', 'membantu', 'thank', 'telkomsel', '']</t>
  </si>
  <si>
    <t>['senang', 'harga', 'pketnya', 'lumayan', 'mahal', 'sinyalnya', 'terjangkau', 'trimakasih', 'telkomsel', '']</t>
  </si>
  <si>
    <t>['pelayanan', '']</t>
  </si>
  <si>
    <t>['jarang', 'masuk', 'prmo', 'kota', 'internet', 'telkomsel']</t>
  </si>
  <si>
    <t>['kartu', 'doang', 'mahal', 'jaringan', 'buruk', 'keluhan', 'pelanggan', 'balas', 'bot', 'perbaikan', 'asik', 'promo', 'semoga', 'keluhan', 'pelanggan', 'karma', 'telkomsel', '']</t>
  </si>
  <si>
    <t>['senang', 'layanan', 'telkomsel']</t>
  </si>
  <si>
    <t>['pagi', 'jam', 'nge', 'leg', 'mulu', 'telkomsel', 'untung', 'doang']</t>
  </si>
  <si>
    <t>['telkomsel', 'kalow', 'paket', 'mahal', 'mahal', 'sesuai', 'hargay']</t>
  </si>
  <si>
    <t>['beli', 'paket', 'mudah', 'telkomsel']</t>
  </si>
  <si>
    <t>['paket', 'data', 'jelasssssss', 'pilihan', 'kebanyakan', 'beli', 'paketan', 'dibutuhkan', 'menyebalkan']</t>
  </si>
  <si>
    <t>['suara', 'notifikasi', 'udah', 'promonya', 'ganti', 'gb', 'rb', 'udah', '']</t>
  </si>
  <si>
    <t>['tawaran', 'paket', 'murah', '']</t>
  </si>
  <si>
    <t>['kurangi', 'pemakaian', 'harga', 'pulsa']</t>
  </si>
  <si>
    <t>['gakan', 'rubah', 'sblm', 'jaringan', 'membaik', 'gada', 'respon', 'twitter', 'telkomsel', 'hadeh']</t>
  </si>
  <si>
    <t>['puas', 'dgan', 'aplikasi', 'mytelkomsel']</t>
  </si>
  <si>
    <t>['permudah', 'isi', 'ulang', 'voucer']</t>
  </si>
  <si>
    <t>['kecewa', 'bangattt', 'aplikasinya', 'suka', '']</t>
  </si>
  <si>
    <t>['paket', 'data', 'dapet', 'sms', 'kuota', 'habis', 'isi', 'ulang', 'koneksi', 'jelek', 'bagus', 'jelek']</t>
  </si>
  <si>
    <t>['buka', 'aplikasi', 'berat', 'banget', 'gimana', 'transaksi', 'transaksi', 'pembelian', 'paket', 'internet', 'gagal', 'pulsanya', 'hilang', 'paket', 'internet', 'tolol']</t>
  </si>
  <si>
    <t>['alhamdulillah', 'terbaik']</t>
  </si>
  <si>
    <t>['murah', 'pketnya', 'sayangnya', 'multimedia', 'disneystar', 'motong', 'paket', 'utama', '']</t>
  </si>
  <si>
    <t>['pagi', 'kka', 'tukar', 'poin', 'paket', 'data', 'ambil', 'paket', 'data', 'poin', 'muncul', 'tulisan', 'redeem', 'poin', 'berhasil', 'maaf', 'nmr', 'memenuhi', 'syarat', 'mengikuti', 'program']</t>
  </si>
  <si>
    <t>['download', 'telkomsel', '']</t>
  </si>
  <si>
    <t>['tingkatkan', 'sinyal', 'telkomsel']</t>
  </si>
  <si>
    <t>['semoga', 'dipembaruan', 'fitur', 'perlindungan', 'pulsa', 'pelanggan', 'seringkali', 'pulsa', 'habis', 'mengaktifkan', 'paket', '']</t>
  </si>
  <si>
    <t>['doong', 'harganya']</t>
  </si>
  <si>
    <t>['kedepannya', 'harga', 'terbaik', 'mahal', '']</t>
  </si>
  <si>
    <t>['terbaik', 'penggunanya', '']</t>
  </si>
  <si>
    <t>['ditingkatkan', 'jaringannya']</t>
  </si>
  <si>
    <t>['pilihan', 'faket', 'mahal', 'mahal', 'orang', 'engga', 'sanggup', 'beli', 'mohon', 'aplikasinya', 'tambahin', 'fitur', 'kunci', 'pulsa', 'terima', 'kasih']</t>
  </si>
  <si>
    <t>['paketan', 'mahal', 'sinyal', 'jelek', 'tolong', 'perbaiki', 'yaaaaaa']</t>
  </si>
  <si>
    <t>['jaringan', 'internet', 'kuat', 'pembelian', 'ribet']</t>
  </si>
  <si>
    <t>['membantu', 'kemudahan', 'info', 'tawaran', 'paket', 'menarik']</t>
  </si>
  <si>
    <t>['kuota', 'paket', 'gratis', 'pokoknya']</t>
  </si>
  <si>
    <t>['mantap', 'aplikasi', 'memudahkan', 'pengguna', 'telkomsel', 'download', 'aplikasi', '']</t>
  </si>
  <si>
    <t>['saran', 'filter', 'pulsa', 'tersedot', 'terpakai', 'internet']</t>
  </si>
  <si>
    <t>['gratis', 'kuota', 'internet', 'program', 'daily', 'check', 'sukses', 'pulsanya', 'disedot', 'menerus', 'ampe', 'habis', 'beli', 'kuota', 'internet', '']</t>
  </si>
  <si>
    <t>['enak', 'murah', 'paketannya', 'gampang', 'ngecek', 'sisa', 'kuota', 'good', 'job', '']</t>
  </si>
  <si>
    <t>['pas', 'beli', 'pulsa', 'pembayaran', 'berhasil', 'pulsanya', 'masuk', 'pemberitahuan', 'apapun', '']</t>
  </si>
  <si>
    <t>['perbaiki', 'tingkat', 'pelayanan', 'koneksi', 'internet', 'harga', 'data', 'mahal', 'sesuaikan', 'koneksi', 'internet', 'stabil', 'plosok', 'skalipun', 'hentikan', 'penyedotan', 'pulsa', 'kepentingan', 'tingkat', 'keamanan', 'karna', 'pesan', 'masuk', 'menguras', 'pulsa', 'mengikuti', 'layanan', 'terima', 'kasih', '']</t>
  </si>
  <si>
    <t>['pembelian', 'paket', 'internet', 'mudah']</t>
  </si>
  <si>
    <t>['telkomsel', 'terbaik', '']</t>
  </si>
  <si>
    <t>['paket', 'komplit', 'murah', 'mudah']</t>
  </si>
  <si>
    <t>['bagus', 'skali', '']</t>
  </si>
  <si>
    <t>['terimakasih', 'mudah']</t>
  </si>
  <si>
    <t>['bagus', 'paketnya', 'terjangkau', 'internet', 'sakti', 'jaringan', 'tetep', 'stabil', 'mantap', 'telkomsel']</t>
  </si>
  <si>
    <t>['jaringan', 'mrmuaskan']</t>
  </si>
  <si>
    <t>['terimakasih', 'pelayanan', 'kebelakang', 'penghargaan', 'dikehidupan', 'semoga', 'telkomsel', 'jaya', 'menggantikan', 'pelayanan', 'nga', 'perusak', 'menggalah', 'pergi', 'nga', 'tanggapi', 'perbaiki', 'keluh', 'kesah', 'pelangganggan', 'setia', 'dpat', 'dimainkan', 'dibodohi', 'anggaplah', 'kebelakang', 'kebodohan', 'terima', 'kasih']</t>
  </si>
  <si>
    <t>['redeem', 'kuota', 'gimana']</t>
  </si>
  <si>
    <t>['aplikasi', 'telkomsel']</t>
  </si>
  <si>
    <t>['mantapp', 'beli', 'pulsa', 'malam', 'sial', 'mengecewakan', 'sekelas', 'provider', 'telkomsel', 'error', 'bener', 'kemana', 'ahli', 'ahli', '']</t>
  </si>
  <si>
    <t>['aplikasi', 'asik', '']</t>
  </si>
  <si>
    <t>['senang', 'mengunakan', 'telkomsel', 'kualitas', 'sinyalnya', 'bagus', 'promo', 'paket', 'menarik', 'harga', 'murah', 'aplikasi', 'telkomsel', '']</t>
  </si>
  <si>
    <t>['poin', 'dtukar']</t>
  </si>
  <si>
    <t>['suka', 'memakai', 'apk']</t>
  </si>
  <si>
    <t>['simple', 'pembelian', 'paket', 'data', 'pulsa', 'beli', 'dicounter', 'pulsa', 'terdekat', 'buka', 'aplikasi', 'mytelkomsel', 'tetima', 'kasih', 'pelayanannya', 'maju', 'mytelkomsel', '']</t>
  </si>
  <si>
    <t>['udah', 'beli', 'paket', 'lemot']</t>
  </si>
  <si>
    <t>['beli', 'paket', 'via', 'ovo', 'gabisa', 'astaga', 'mendesak', 'gini']</t>
  </si>
  <si>
    <t>['error', 'gimana', 'jualan', 'kuota', 'abis', 'tpi', 'knp', 'isi', 'pulsa', '']</t>
  </si>
  <si>
    <t>['telkomsel', 'lemot', 'error', 'mulu', '']</t>
  </si>
  <si>
    <t>['balikin', 'duit', 'pulsa', 'kepotong', 'trs', 'trs', 'pakai', 'payahhhhhhh', 'kapok', 'pakai', 'luuu']</t>
  </si>
  <si>
    <t>['kesel', 'beli', 'paket', 'gopay', 'rekening', 'kga', 'motede', 'alesanya', 'sistem', 'sibuk', 'mulu', 'gini', 'ngisi', 'kouta', 'gimana', 'malem', 'emng', 'tukang', 'pulsa', 'jam', 'tolong', 'perbaiki']</t>
  </si>
  <si>
    <t>['ewalet', 'kadang', 'kadang', 'konsisten']</t>
  </si>
  <si>
    <t>['jaringan', 'telek']</t>
  </si>
  <si>
    <t>['bagus', 'pembayaran', 'membeli', 'paket', 'data', 'pilihan', 'pakai', 'dana', 'mohon', 'terimakasih']</t>
  </si>
  <si>
    <t>['telkomsel', 'kek', 'siput', 'masyarakat', 'segeralah', 'pindah', 'kartu', 'udah', 'paket', 'mahal', 'jaringan', 'jelek', 'lambat', 'lemot', 'pokok', 'jelek', 'udah', 'beda']</t>
  </si>
  <si>
    <t>['top', 'pulsa', 'link', 'kemaren', 'habis', 'update', 'aneh', '']</t>
  </si>
  <si>
    <t>['kasih', 'bintang', 'dlu', 'metode', 'pembayaran', 'kadang', 'tersedia', 'cuman', 'bayar', 'pulsa', 'doang', 'metode', 'pembayaran', 'kasih', 'bintang', '']</t>
  </si>
  <si>
    <t>['aplikasi', 'update', 'buruk', 'berantakan', 'metode', 'pembayaran', 'erorr']</t>
  </si>
  <si>
    <t>['perna', 'undian', 'kasih', 'bintang', 'duluh', '']</t>
  </si>
  <si>
    <t>['erorr', 'mulu']</t>
  </si>
  <si>
    <t>['sinyalnya', 'bagus', '']</t>
  </si>
  <si>
    <t>['udh', 'pakai', 'apk', 'kendala', 'kemarin', 'beli', 'paket', 'pulsa', 'metode', 'pembayaran', 'shopeepay', 'tersedia', 'metodepembayaran', 'pulsa', 'indomaret', 'tolong', 'telkomsel', 'kasih', 'penjelasan', 'metode', 'pembayaran', 'dihilangkan', 'apknya', 'eror', 'karna', 'diperbaharui', '']</t>
  </si>
  <si>
    <t>['aplikasi', 'bagus', 'cuman', 'bingung']</t>
  </si>
  <si>
    <t>['perbanyak', 'hadiah', 'menarik']</t>
  </si>
  <si>
    <t>['bagus', 'pisan']</t>
  </si>
  <si>
    <t>['kecewa', 'banget', 'metode', 'pembayaran', 'ewallet', 'ngk', '']</t>
  </si>
  <si>
    <t>['jaringan', 'telkomsel', 'bobrok', 'dikota', 'medan', 'susah', 'jaringannya', 'puas', 'make', 'telkomsel', 'harga', 'mahal', 'kualitas', 'nol']</t>
  </si>
  <si>
    <t>['mahal', 'kuota', 'hangus', 'jaringan', 'down', 'pulsa', 'nyedot', 'cuman', 'pelanggan', 'setia', 'beli', 'telkomsel']</t>
  </si>
  <si>
    <t>['jaringannya', 'makassar', 'jelek', 'kalah', 'indosat', 'perbaiki', 'jaringannya', 'klau', 'pelanggannya', 'nyesel', 'beli', 'kuota', 'telkomsel', 'payah', 'payah', '']</t>
  </si>
  <si>
    <t>['pembelian', 'pulsa', 'bermasalah', 'beli', 'pulsa', 'jam', 'pending', 'pelayanan', 'hrs', 'memakai', 'pulsa', 'terbaik', 'taunya', '']</t>
  </si>
  <si>
    <t>['aplikasi', 'mytelkomsel', 'mudah', 'membeli', 'paket', 'data']</t>
  </si>
  <si>
    <t>['kecewa', 'bayar', 'pulsa', 'link', 'gambar', 'dancok']</t>
  </si>
  <si>
    <t>['pembelian', 'paket', 'ewallet', '']</t>
  </si>
  <si>
    <t>['proses', 'pembelian', 'kuota', 'lambat', 'pulsa', 'utama', 'habis', 'tersedot', 'duluan', 'kuota', 'terbeli']</t>
  </si>
  <si>
    <t>['babi', 'kau', 'lelet', 'sllu', '']</t>
  </si>
  <si>
    <t>['internet', 'lemoot', 'urgen', 'muter', 'doang']</t>
  </si>
  <si>
    <t>['maintenance', 'trus', '']</t>
  </si>
  <si>
    <t>['tolong', 'tngah', 'malem', 'jaringan', 'jngan', 'down', 'main', 'game', 'ping', 'trs', '']</t>
  </si>
  <si>
    <t>['kasih', 'bintang', 'dak', 'hadiah', 'telkomsel']</t>
  </si>
  <si>
    <t>['aplikasi', 'slow', 'respon', 'udah', 'beli', 'pulsa', 'udahndapet', 'sms', 'aplikasi', 'blm', 'muncul']</t>
  </si>
  <si>
    <t>['okay', 'pakai', 'apk', 'mytelkomsel', 'kesel', 'banget', 'metode', 'pembayaran', 'gopay', 'ovo', 'pakai', 'pulsa', 'dipakai', 'kesel', 'banget', 'udah', 'complain', 'via', 'twitter', 'nomor', 'cust', 'care', 'solusi', 'ngasi', 'tips', 'udah', 'dpraktekin', 'tetep', '']</t>
  </si>
  <si>
    <t>['kecewa', 'knp', 'beli', 'pkaet', 'ullimited', 'youtub', 'dibuka']</t>
  </si>
  <si>
    <t>['mantap', 'semoga', 'murah', 'bos', '']</t>
  </si>
  <si>
    <t>['provider', 'internasional', 'jaringan', 'kaya', 'provider', 'sebelah', 'leletnya']</t>
  </si>
  <si>
    <t>['mahal', 'telkomsel']</t>
  </si>
  <si>
    <t>['manfaat', 'reward', 'menarik']</t>
  </si>
  <si>
    <t>['knp', 'beli', 'telkomsel', 'rada', 'mahal', 'yak', 'beli', 'kartu', 'perdana', 'trz', 'beli', 'paket', 'murah', 'gb', 'rb', 'kartu', 'telkom', 'sllu', 'beli', 'telkomsel', 'gb', 'rb', 'bedanya', 'bgd', 'rb', 'udah', 'setia', 'kartu', 'telkomsel', 'diksih', 'harga', 'khusus', 'murah', 'drpd', 'beli', 'kartu', 'untung', 'jaringan', 'bagus', 'huh', 'jelek', 'psti', 'bnyak', 'beralih', 'payah', 'telkomsel']</t>
  </si>
  <si>
    <t>['semenjak', 'kartu', 'kartu', 'halo', 'berlangganan', 'lelet', 'kartu', 'halo', 'sinyal', 'putus', 'lemot', 'kecewa']</t>
  </si>
  <si>
    <t>['kartu', 'kartu', 'telkomsel', 'koneksinya', 'cepat', 'jaringannya', 'dimanapun', 'diplosok', 'pedesaan', 'didesa', 'belongkut', 'kedalam', 'kebun', 'sawitan', 'tower', 'pemancar', 'sinyal', 'suara', 'jernih', 'menelphon', 'internet', 'tetep', 'cepat', 'signal', 'dilayar', 'cuman', 'lancar', 'mendonload', 'fail', 'aplikasi', 'sesuai', 'harga', 'kualitas', 'trimakasih', 'telkomsel']</t>
  </si>
  <si>
    <t>['turunin', 'bintangnya', 'karna', 'sinyalnya', 'udh', 'lemooot', '']</t>
  </si>
  <si>
    <t>['pokok', 'mytelkomsel', 'mantaaaaaaaap']</t>
  </si>
  <si>
    <t>['', 'provider', 'udah', 'mahal', 'lemot', 'gue', 'bayar', 'paketan', 'duit', 'gara', 'gue', 'kalah', 'mulu', 'lol', 'udah', 'hr', 'jaringan', 'bafuk', 'maksimalin', 'sinyal', 'gue', 'sebarin', 'buruknya', 'sinyal', 'simpati', 'nyelem', 'ditelen', 'buaya', 'ikan', 'hiu', 'bodo', 'kalah', 'smartfreen', 'payah']</t>
  </si>
  <si>
    <t>['sippp', 'memuaskan']</t>
  </si>
  <si>
    <t>['mudah', 'membantu', 'kemudahan', 'penguna', 'telkomsel']</t>
  </si>
  <si>
    <t>['layanannya', 'bagus', 'promo', 'kuota', 'murah', 'meriah']</t>
  </si>
  <si>
    <t>['telkomsel', 'parah', 'bnget', 'kuota', 'cepet', 'abis', 'liat', 'facebook', 'menit', 'kuota', 'abis', 'mb', 'gmna', 'lngsung', 'ludes', 'kuota', 'pemerasan', 'telkomsel', 'mending', 'provider', 'laen', 'deh', '']</t>
  </si>
  <si>
    <t>['unlimited', 'youtube']</t>
  </si>
  <si>
    <t>['suka', 'aplikasi', 'mudah', 'murah', 'pembelian', 'paket', 'internet', 'bulanannya']</t>
  </si>
  <si>
    <t>['min', 'bonus', 'pelanggan', 'setia', 'poin', 'tukar', '']</t>
  </si>
  <si>
    <t>['knpa', 'sinyal', 'hallo', 'hilang', 'hilang', 'stabil', 'ngalir', 'datanya', 'udah', 'ngajukan', 'keluhan', 'suruh', 'nunggu', 'jam', 'tindak']</t>
  </si>
  <si>
    <t>['mengecewakan', 'isi', 'pulsa', 'aplikasi', 'jam', 'pulsa', 'masuk', 'transaksi', 'riwayat', 'pemesanan', 'muncul', 'aplikasi', 'hilang', 'kemana', 'menghubungi', 'telkomsel', 'memproses', '']</t>
  </si>
  <si>
    <t>['', 'telkomsel', 'daerah', 'perumahan', 'bkd', 'kualu', 'riau', 'susah', 'sinyal', 'layar', 'tertulis', 'internet', 'aktifkan', 'langsung', 'berubah', 'kejaringan', 'habis', 'susah', 'akses', 'internetnya', 'sesuai', 'visi', 'misi', 'telkomsel', 'telkomsel', 'pikir', 'pakai', 'jaringan', 'gratis', 'beli', 'pulsa', 'paket', 'akses', 'jaringan', '']</t>
  </si>
  <si>
    <t>['kadang', 'sinyalnya', 'hilang', 'hilang', 'pas', 'hujan']</t>
  </si>
  <si>
    <t>['ringan', 'harga', 'kuota', 'pandemi', 'terima', 'kasih']</t>
  </si>
  <si>
    <t>['bagus', 'dipercaya']</t>
  </si>
  <si>
    <t>['', 'paket', 'unlimited', 'kemarin', 'walupun', 'udah', 'habis', 'data', 'msi', 'buka', 'youtube', 'kenpa', 'skrng', 'udah', 'tlong', 'adakan', 'please', '']</t>
  </si>
  <si>
    <t>['biat', 'kartu', 'anak', 'anjeng', 'jaringan', 'kayak', 'babi', 'kartu', 'doang', 'mahal', 'babi', 'babi']</t>
  </si>
  <si>
    <t>['like', 'pokoknya', 'mah']</t>
  </si>
  <si>
    <t>['signal', 'hilang']</t>
  </si>
  <si>
    <t>['kayaknya', 'enak', 'apk', 'insyaallah', '']</t>
  </si>
  <si>
    <t>['paketan', 'mahal', 'jaringan', 'lelett', 'sammpaaahh']</t>
  </si>
  <si>
    <t>['signal', 'telkomsel', 'lancar']</t>
  </si>
  <si>
    <t>['signal', 'lambat']</t>
  </si>
  <si>
    <t>['aplikasinya', 'kebanyakan', 'menu', 'ampe', 'bingung', 'make', 'voucher', 'gua', 'gua', 'redeem', 'tselpoin', 'gofood', 'hadeh', 'veronika', '']</t>
  </si>
  <si>
    <t>['wilayah', 'sumatera', 'selatan', 'kabupaten', 'muara', 'enim', 'tolong', 'kualitas', 'kestabilan', 'jaringan', 'sesuaikan', 'harga', 'pakrt', 'internet', 'minggu', 'stabil', 'jaringan', 'malam']</t>
  </si>
  <si>
    <t>['hujan', 'dikit', 'jaringan', 'internet', 'lemot', 'hadeh']</t>
  </si>
  <si>
    <t>['aplikasi', 'rusak', 'berusaha', 'masuk', 'nomer', 'aktif', 'ponsel', 'tautan', 'masuk', 'sms', 'memiliki', 'poin', 'hasil', 'isi', 'ulang', 'pulsa', 'kecewa', 'aplikasi']</t>
  </si>
  <si>
    <t>['tukar', 'poin', 'gagal', 'poin', '']</t>
  </si>
  <si>
    <t>['sinyal', 'telkomsel', 'nggk', 'bener', 'lelet', 'mohon', 'telkomsel', 'membenahi', 'jaringannya', 'sekian', '']</t>
  </si>
  <si>
    <t>['masuk', 'memasukan', 'nomor', 'ponsel', 'masuk', 'ribetttt', 'soak']</t>
  </si>
  <si>
    <t>['jaringan', 'bagus', 'cepat', 'lgi']</t>
  </si>
  <si>
    <t>['mantsp', 'aplikasinya', 'tks']</t>
  </si>
  <si>
    <t>['kasih', 'perbaiki', 'sinyal', 'telkomsel', 'pagi', 'sore', 'sinyal', 'stabil', 'penyakit', 'provider', 'melekat', 'telkomsel', 'mendung', 'sinyal', 'ancur', 'udah', 'sewa', 'banwidth', 'gausah', 'bot']</t>
  </si>
  <si>
    <t>['program', 'promo', '']</t>
  </si>
  <si>
    <t>['paket', 'gamemax', 'buka', 'gem', 'paket', 'penipuan', 'rugi', 'lbih', 'tre', 'pket', 'game']</t>
  </si>
  <si>
    <t>['apk', 'membantu', '']</t>
  </si>
  <si>
    <t>['telkomsel', 'sinyalnya']</t>
  </si>
  <si>
    <t>['trimakasih', 'telkomsel', 'mudah', 'cepat', 'bertransaksi', '']</t>
  </si>
  <si>
    <t>['sngat', 'membantu']</t>
  </si>
  <si>
    <t>['sinyal', 'woy', 'paketan', 'mahal', 'sinyal', 'ngadat']</t>
  </si>
  <si>
    <t>['bagus', 'mudah', 'simpel']</t>
  </si>
  <si>
    <t>['telkomtol', 'bagus', 'jaringannya', 'tolol']</t>
  </si>
  <si>
    <t>['', 'telkomsel', 'gada', 'kuota', 'murah', 'gitu', 'mahal', 'mahal', 'banget']</t>
  </si>
  <si>
    <t>['aplikasi', 'nggak', 'sinyal', 'telkomsel', 'buruk', 'jam', 'akses', 'internet', 'kadang', 'malam', 'sinyal', 'lelet', 'beli', 'kuota', 'bulanan', 'sia', 'habis', 'berlakunya', 'mohon', 'perbaiki', '']</t>
  </si>
  <si>
    <t>['app', 'dgunakan', 'kondisi', 'offline', 'data', 'online', 'beli', 'paket', 'data', 'pulsa', 'kering', 'terkuras', 'app', 'berjalan', '']</t>
  </si>
  <si>
    <t>['kali', 'pakek', 'paket', 'data', 'telkomsel', 'enak', 'berjalan', 'jaringan', 'ilang', 'ngegame', 'ngelag', 'kayak', 'gini', 'pelanggan', 'pindah', 'provider']</t>
  </si>
  <si>
    <t>['sinyal', 'bagus', 'kenceng', 'zonk', 'telkomsel', 'kota', 'sinyalnya', 'parah']</t>
  </si>
  <si>
    <t>['lumayan', 'yaaaa']</t>
  </si>
  <si>
    <t>['manatap', 'bagus', 'skali']</t>
  </si>
  <si>
    <t>['harganya', 'mahal', 'merakat', 'terusan', 'lari', 'pelanggan', 'telkomsel', 'pindah', 'operator', 'tolong', 'harganya', 'kondisikan', '']</t>
  </si>
  <si>
    <t>['pulsanya', 'berkurang', 'paket', 'internet', '']</t>
  </si>
  <si>
    <t>['telkomsel', 'semoga']</t>
  </si>
  <si>
    <t>['telkomsel', 'jaringan', 'lemot', 'harga', 'mahal', 'harga', 'murah', 'jaringan', 'lemot', 'gpp', 'mahal', 'lemot', '']</t>
  </si>
  <si>
    <t>['mohon', 'murah', 'paketan', '']</t>
  </si>
  <si>
    <t>['semoga', 'undianya', 'undi', 'real']</t>
  </si>
  <si>
    <t>['enak', 'cepet', 'ribet']</t>
  </si>
  <si>
    <t>['telkomsel', 'kek', 'ampas', 'benci', 'gua', 'ngelag', '']</t>
  </si>
  <si>
    <t>['beli', 'pulsa', 'masuk', 'makan', 'untung', 'telkomsel', '']</t>
  </si>
  <si>
    <t>['lancar', 'kendala']</t>
  </si>
  <si>
    <t>['pngn', 'ganti', 'telkomsel', 'sesak', 'nafas', 'liat', 'sinyal', 'sinyal', 'bla', 'ble', 'hadeeeeh', 'slamat', 'tinggal', 'veronica']</t>
  </si>
  <si>
    <t>['proses', 'cepat', 'bagus', '']</t>
  </si>
  <si>
    <t>['aplikasi', 'bagus', 'banget', 'terimakasih']</t>
  </si>
  <si>
    <t>['habis', 'instal', 'telkomsel', 'kuota', 'gb', 'rb', 'mlh', 'kebeli']</t>
  </si>
  <si>
    <t>['simcardku', 'telkomsel', 'aplikasiku', 'telkomsel', 'bagus', 'sinyal', 'lemah', 'khusus', 'wilahku', 'gimana', '']</t>
  </si>
  <si>
    <t>['membutuhkan', 'apk', 'undianya']</t>
  </si>
  <si>
    <t>['buruk', 'sinyal', 'memuaskan', '']</t>
  </si>
  <si>
    <t>['dikasih', 'paket', 'data', 'ribu', 'minggu', 'gangguan', 'sinyal', 'stabil', '']</t>
  </si>
  <si>
    <t>['jaringannya', 'susah', 'dimna', 'lancar', 'jaya']</t>
  </si>
  <si>
    <t>['apk', 'lumayan', 'bagus', 'jaringan', 'telkomsel', 'jelek', 'beli', 'kuota', 'dipake', 'lemoootttt']</t>
  </si>
  <si>
    <t>['', 'pakai', 'telkomsel', 'papua', 'enak', 'makasih', 'telkomsel']</t>
  </si>
  <si>
    <t>['terima', 'kasih', 'telkomsel', 'membantu', 'berkomunikasi', 'efektif']</t>
  </si>
  <si>
    <t>['pembelian']</t>
  </si>
  <si>
    <t>['', 'bagus', '']</t>
  </si>
  <si>
    <t>['aplikasi', 'telkomsel', 'membantu', 'bagus', 'terima', 'kasih']</t>
  </si>
  <si>
    <t>['jaringan', 'simpati', 'jelek', 'harga', 'mahal', 'kualitas', 'noll']</t>
  </si>
  <si>
    <t>['klw', 'ngak', 'kasih', 'layanan', 'signal', 'bagus', 'mendingan', 'usa', 'internet', 'mahal', 'signal', 'lelet']</t>
  </si>
  <si>
    <t>['sinyal', 'susah', 'bangkrut']</t>
  </si>
  <si>
    <t>['membantu', 'bertransaksi', 'beberahal', 'aplikasi', '']</t>
  </si>
  <si>
    <t>['pelanggan', 'kasih', 'harga', 'murah']</t>
  </si>
  <si>
    <t>['nge', 'lag', 'anjing']</t>
  </si>
  <si>
    <t>['aplikasi', 'sungguh', 'memuaskan']</t>
  </si>
  <si>
    <t>['sinyal', 'telkomsel', 'kek', 'nggk', 'bener', 'udah', 'paket', 'data', 'mahal', 'sinyal', 'rusak', 'gimana', 'sinyal', 'rusak', 'kurangi', 'kek', 'harga', 'paket', 'data', 'nggak', 'mhal', 'gaji', 'pejabat']</t>
  </si>
  <si>
    <t>['nyesel', 'beli', 'paket', 'internetnya', 'udah', 'beli', 'mahal', 'mahal', 'sinyalnya', 'mulu']</t>
  </si>
  <si>
    <t>['telkomsel', 'ngga', 'bngsd', 'nol', 'merugikan', 'mengecewakan', 'harga', 'doang', 'gede', 'sinyal', 'kek', 'ampas', 'kapok', 'seminggu', 'kedepan', 'ngga', 'dibenerin', 'gwe', 'pindah', 'provider', '']</t>
  </si>
  <si>
    <t>['mahal', 'gb', 'rb', 'anjay']</t>
  </si>
  <si>
    <t>['tolong', 'paket', 'darurat', 'bayar', 'senilai', 'membayar', 'membayar', 'membayar', 'tolong', 'bantu']</t>
  </si>
  <si>
    <t>['aplikasinya', 'terbaikkkk']</t>
  </si>
  <si>
    <t>['sinyal', 'ngak', 'otak', 'setahun', 'nge', 'lag', 'parah', 'daerah', 'palembang', 'orang', 'ngeluh', 'knp', 'ikan', 'hiu', 'ngigit', 'kabel', 'kah', 'pohon', 'tumbang']</t>
  </si>
  <si>
    <t>['terima', 'kasih', 'layanan', 'bertahun', 'telkomindojaya', '']</t>
  </si>
  <si>
    <t>['asli', 'jaringan', 'lemot', 'parah', 'mahal', 'peningkatan', 'makim', 'down', 'parah', 'asli', 'kecewa', 'telkom']</t>
  </si>
  <si>
    <t>['jelek', 'sinyal', 'udah', 'mendung', 'hujan', 'udah', 'mahal', 'sinyal', 'jelek', 'pelanggan', 'pergi', 'pkai', 'kartu', 'sinyal', 'bosok', 'bosok', '']</t>
  </si>
  <si>
    <t>['pulsanya', 'terpakai']</t>
  </si>
  <si>
    <t>['jaringannya', 'kalah', 'prov', 'setiapendung', 'hujan', 'internetan', 'mahal', 'doang', 'gagal', 'internet', '']</t>
  </si>
  <si>
    <t>['tolong', 'kartu', 'kasih', 'promo', 'beli', 'paket', 'data']</t>
  </si>
  <si>
    <t>['telkom', 'syanh', 'daerah', 'sya', 'sanagat', 'lemot', 'aliyas', 'ilang', 'sya', 'kasi', 'bitang', 'ppalah']</t>
  </si>
  <si>
    <t>['kualitas', 'jaringan', 'harap', 'diperbaiki']</t>
  </si>
  <si>
    <t>['telkomsel', 'skrg', 'lemot']</t>
  </si>
  <si>
    <t>['mantap', 'banget', 'paketnya', 'murah', '']</t>
  </si>
  <si>
    <t>['', 'bagus', 'duitku', 'ambil', 'pulsanya', 'masuk']</t>
  </si>
  <si>
    <t>['aplikasi', 'memudahkan', 'transaksi', 'menghemat', 'telkomsel', 'terbaik']</t>
  </si>
  <si>
    <t>['transaksi', 'terima', 'saldo', 'dana', 'udah', 'kepotong', 'pulsa', 'masuk', 'jam', 'tolong', '']</t>
  </si>
  <si>
    <t>['tolong', 'paket', 'ekstra', 'unlimited', 'aplikasi', 'twiiter', 'masukkan', 'twitter', 'sosmed', '']</t>
  </si>
  <si>
    <t>['promo', 'buruk', 'pakai', 'combo', 'sakti', 'skrng', 'program', 'hilangkan', 'kali', 'pakai', 'telkomsel', 'paket', 'data']</t>
  </si>
  <si>
    <t>['beli', 'kuota', 'telkomsel', 'transaksi', 'gopay', 'pas', 'udah', 'selesai', 'transaksi', 'kuota', 'masuk', 'saldo', 'gopay', 'udah', 'berkurang', 'solusinya', 'gimana', 'saldo', 'gopay', '']</t>
  </si>
  <si>
    <t>['mahal', 'pemakaian', 'kuota', 'bos', '']</t>
  </si>
  <si>
    <t>['mantap', 'bosku', 'telkomsel']</t>
  </si>
  <si>
    <t>['murah', 'gampang']</t>
  </si>
  <si>
    <t>['', 'coba', 'lbih', 'murah', '']</t>
  </si>
  <si>
    <t>['isi', 'voucher', 'menit', 'terkuras', 'mb', 'membuka', 'aplikasi', 'apapun', 'mengecewakan']</t>
  </si>
  <si>
    <t>['kasih', 'bintang', 'karna', 'lemot', 'banget', 'aplikasi', 'kerap', 'update', 'udah', 'gitu', 'pulsa', 'kesedot', 'paket', 'internet', 'pulsa', 'udah', 'beli', 'paket', 'harga', 'murah', 'nyolongin', 'pulsa', 'dih', 'malu', 'atuh', 'jengkel', 'kompline', 'pelanggan', 'dibalas', 'pakai', 'templete', 'doang', 'aplikasi', 'kemajuan', 'pdhal', 'update', 'bumn', 'indonesia', 'gini', 'deh', 'hadehh', '']</t>
  </si>
  <si>
    <t>['slalu', 'terbaik']</t>
  </si>
  <si>
    <t>['beli', 'paket', 'telkomsel', 'tertulis', 'periksa', 'sambungan', 'internet', 'sinyal', 'internet', 'nonton', 'youtube', 'lancar', '']</t>
  </si>
  <si>
    <t>['langkah', 'cepat', 'simpel']</t>
  </si>
  <si>
    <t>['simpel', 'terima', 'kasih', 'telkomsel']</t>
  </si>
  <si>
    <t>['hos', 'semoga', 'dpt', 'pulsa']</t>
  </si>
  <si>
    <t>['isi', 'pulsa', 'aplikasi', 'mytelkomsel', 'metode', 'pembayaran', 'ovo', 'pulsanya', 'masuk', 'ovocash', 'terpotong', 'kecewa', 'banget', 'pelayanannya', 'internet', 'patah', 'patah', 'ngelag', 'main', 'pubg', '']</t>
  </si>
  <si>
    <t>['promo', 'menarik', 'undian', 'menarik', 'beruntung', '']</t>
  </si>
  <si>
    <t>['perbaiki', 'sinyal', 'wilayah', 'sumatera', 'jaringan', 'stabil', 'terganggu', '']</t>
  </si>
  <si>
    <t>['beli', 'kuota', 'internet', 'ribu', 'aplikasi', 'masuk', 'kuotanya', 'saldo', 'ovo', 'udah', 'terpotong', 'coba', 'terselesaikan', 'history', 'pembelian', 'muncul', 'aplikasi', 'aneh', 'memuaskan', 'app', 'bug', 'upload', '']</t>
  </si>
  <si>
    <t>['aplikasi', 'bagus', 'berguna']</t>
  </si>
  <si>
    <t>['telkomsel', 'emang', 'terbaik', 'kartu', 'indonesia', 'jaringan', 'lancar', 'kasih', 'bintang', 'pokokny', 'telkomsel', 'the', 'best', '']</t>
  </si>
  <si>
    <t>['desan', 'bamasco', 'km', 'kec', 'tuah', 'negeri', 'kab', 'musi', 'rawas', 'sumsel', 'tolong', 'kapasitas', '']</t>
  </si>
  <si>
    <t>['jaringan', 'telkomsel', 'lag', 'pemain', 'game', 'berat', 'disarankan', '']</t>
  </si>
  <si>
    <t>['pngen', 'mobil']</t>
  </si>
  <si>
    <t>['sinyal', 'mantaap']</t>
  </si>
  <si>
    <t>['lambat', 'menjalankan', 'app', 'tampilan', '']</t>
  </si>
  <si>
    <t>['sumpah', 'buka', 'apk', 'telkomsel', 'banget']</t>
  </si>
  <si>
    <t>['telkomsel', 'anjg', 'pulsa', 'orang', 'disedot', 'provider', 'nyimpen', 'pulsa', 'sisa', 'pulsa', 'langsung', 'disedot', '']</t>
  </si>
  <si>
    <t>['ngak', 'suka', 'pulsa', 'berkurang', 'telkomsel', 'bobrooook', '']</t>
  </si>
  <si>
    <t>['kasih', 'promo', 'murah', 'min', '']</t>
  </si>
  <si>
    <t>['unlimitidnya', 'murah']</t>
  </si>
  <si>
    <t>['mudah', 'simple', 'beli', 'kouta', 'ribet', 'cek', 'saldo', 'pulsa', 'tukar', 'poin', 'gampang', 'beruntung', 'next', 'time', '']</t>
  </si>
  <si>
    <t>['bagus', 'udh', 'baguss']</t>
  </si>
  <si>
    <t>['beli', 'paket', 'dibayar', 'notif', 'pembelian', 'ovo', 'terbayar']</t>
  </si>
  <si>
    <t>['kualitas', 'terpercaya', '']</t>
  </si>
  <si>
    <t>['', 'bagus', 'kekurangan', 'jelek', 'jelek', '']</t>
  </si>
  <si>
    <t>['telkomsell', 'jancokk', 'bakaln', 'gua', 'jaringan', 'ancurr', 'mahal', 'doang']</t>
  </si>
  <si>
    <t>['bagus', 'pokok', 'guuud']</t>
  </si>
  <si>
    <t>['paket', 'combo', 'sakti', 'kartu', 'tolong', 'konfirmasi', 'telkomsel']</t>
  </si>
  <si>
    <t>['sya', 'sdikit', 'tdi', 'sya', 'menonton', 'youtube', 'kmudian', 'muncul', 'notif', 'telkomsel', 'berisi', 'salah', 'paket', 'internet', 'mb', 'sya', 'cek', 'mytelkomsel', 'tpi', 'error', 'pulsa', 'aktif', 'kuota', 'sya', 'nonton', 'youtube', 'smpai', 'sya', 'kmbali', 'cek', 'pulsa', 'sya', 'sms', 'sya', 'terkejut', 'krna', 'sisa', 'pulsa', 'sya', 'tnggal', 'pdahal', 'sbelumny', 'pulsa', 'sya', 'msih', 'sya', 'kmbali', 'terkejut', 'krena', 'paket', 'internet', 'sya', 'msih', 'mb', 'jujur', 'sya', 'sngt', 'kecewa']</t>
  </si>
  <si>
    <t>['bumn', 'negeri']</t>
  </si>
  <si>
    <t>['pulsa', 'daftar', 'paket', 'payah']</t>
  </si>
  <si>
    <t>['kecewa', 'kualitas', 'jaringan', 'khusus', 'lombok', 'barat', 'pas', 'main', 'game', 'laq', 'pas', 'zoom', 'leq', 'sumpah', 'fokus', 'kota', 'kota', 'kualitas', 'jaringan']</t>
  </si>
  <si>
    <t>['paket', 'malam', 'hilang', 'kukasih', 'bintang', 'perbaiki', 'semangat', 'telkom', 'hilang', 'kakih', 'bintang', '']</t>
  </si>
  <si>
    <t>['combo', 'sakti']</t>
  </si>
  <si>
    <t>['', 'paham', 'telkomsel', 'sinyal', 'jelek', 'promo', 'spesial', 'beli', 'kali', 'coba', 'layanan', 'serang', 'sibuk', 'truss', 'biarin', 'buka', 'aplikasinya', 'ehh', 'ngilang', 'paket', 'promonya', 'emang', 'dasar', 'telkom', 'yet']</t>
  </si>
  <si>
    <t>['sinyal', 'jelek', 'banget', 'diperbaiki', '']</t>
  </si>
  <si>
    <t>['mempermudah', 'akses']</t>
  </si>
  <si>
    <t>['nyepam', 'sehari', 'dikirimin', 'iklan', 'sampe', 'kali', 'pelayanan', 'tingkatin', 'nyepamnya', '']</t>
  </si>
  <si>
    <t>['nomor', 'pakai', 'gps', 'udah', 'sekian', 'login', 'jelek', 'aplikasi', '']</t>
  </si>
  <si>
    <t>['sngat', 'membantu', 'peguna']</t>
  </si>
  <si>
    <t>['aplikasinya', 'lambat', 'berat', 'asik', 'mutar']</t>
  </si>
  <si>
    <t>['harap', 'percepat', 'login']</t>
  </si>
  <si>
    <t>['paketannya', 'campur', 'aduk', 'kaya', 'muntah', 'pinginnya', 'paket', 'kuota', 'utama', 'bln', 'paket', 'gandengan', 'lainya', 'ngikut', 'butuh', 'paket', 'aneh', 'tidk', 'langsung', 'paksa', 'beli', 'good', 'marketing', 'strategi', 'bosss']</t>
  </si>
  <si>
    <t>['aplikasinya', 'oke', '']</t>
  </si>
  <si>
    <t>['bagus', 'bangettt', 'apk', 'praktis', '']</t>
  </si>
  <si>
    <t>['perbaikan']</t>
  </si>
  <si>
    <t>['salah', 'aplikasi', 'berguna', 'bermanfaat', 'masyrakat', 'pengguna', 'kartu', 'tekomsel', 'semoga', 'kedepannya', 'program', 'fitur', 'bermanfaat', 'mudah', 'seluruj', 'masyrakat', 'negri', 'tercinta', '']</t>
  </si>
  <si>
    <t>['coba', 'dlu', 'aplikasinya', 'udah', 'buktinya', 'mantap', 'kasih', 'pull', 'bintangnya']</t>
  </si>
  <si>
    <t>['jaringan', 'telkomsel', 'lemot', 'kali', 'harga', 'paket', 'mahal', 'jaringan', 'sesuai', 'harga', 'ayg', 'make', 'telkomsel', 'sore', 'lemot', 'jaringan']</t>
  </si>
  <si>
    <t>['aplikasi', 'aji', 'tolong', 'yaa', 'berkaitan', 'apk', 'tolong', 'perbaiki', 'gua', 'beli', 'pulsa', 'paketin', 'jaringan', 'mulu', 'jaringannya', 'bagus', 'bet', 'aji', '']</t>
  </si>
  <si>
    <t>['beli', 'paket', 'maxtream', 'nggak', 'chat', 'nggak', 'jawabannya', 'nggak', 'penanganan', 'blass', '']</t>
  </si>
  <si>
    <t>['mantap', 'bantu', 'lgi', 'terdesak', 'mkanya', 'kasih', 'bintang', 'pull']</t>
  </si>
  <si>
    <t>['senengnya', 'aplikasi', 'beli', 'lihat', 'kuota', 'mudah']</t>
  </si>
  <si>
    <t>['', 'pelanggan', 'telkomsel', 'puas', 'byk', 'gratisannya', 'bokis', '']</t>
  </si>
  <si>
    <t>['mantap', 'bagus']</t>
  </si>
  <si>
    <t>['payah', 'harga', 'ubah', 'ubah', 'pas', 'murah', 'pembelian', 'gagal', '']</t>
  </si>
  <si>
    <t>['makasih', 'sudh', 'membantu', 'mantap', 'jiwa']</t>
  </si>
  <si>
    <t>['coba', 'kouta', 'gede', '']</t>
  </si>
  <si>
    <t>['jaringanya', 'diperbaiki', 'udah', 'mahal', 'mahal', 'beli', 'berpuluhan', 'giga', 'lagnya', 'minya', 'ampun', 'kemaren', 'sampe', 'make', 'data', 'ntah', 'hujan', 'kaga', 'kaga', 'astaga', 'astaga', 'gini', 'jaringan', 'mahal']</t>
  </si>
  <si>
    <t>['ulasan', 'hapus', 'emang', 'faktanya', 'sinyal', 'jelek', 'gajelas', 'pindah', 'provider', 'mahal', 'doang', 'sinyal', 'amburadul', '']</t>
  </si>
  <si>
    <t>['mudah', 'cepat', 'murah', 'tingkatkan', 'murahnya']</t>
  </si>
  <si>
    <t>['praktis', 'efisien']</t>
  </si>
  <si>
    <t>['dibuka', 'kesalahan', 'sistem', '']</t>
  </si>
  <si>
    <t>['kasi', 'bintang', 'paket', 'darurat', 'karna', 'membeli', 'paket', 'darurat', 'aktif', 'sepengetahuan', 'pulsa', 'tersedot', 'kouta', 'masi', 'membeli', 'paket', 'darurat', 'meresahkan']</t>
  </si>
  <si>
    <t>['gimana', 'siihh', 'telkomsel', 'gangguan', 'beli', 'pulsa', 'gangguan', 'aktivasi', 'paket', 'susah', 'dibilang', 'gangguan', 'coba', 'hadeuuhhhhh', 'kadang', 'sinyal', 'ilang', 'chat', 'susah', 'kekirim', 'tolong', 'perbaiki', 'telkomsel', 'biaya', 'paket', 'internet', 'mahal', 'dibanding', 'perbaiki', 'kualitas', 'beli', 'paket', 'aplikasi', 'gangguan', 'trs', 'maaf', 'gni', 'kesel', 'abisnya']</t>
  </si>
  <si>
    <t>['telkomsel', 'tolong', 'perbaiki', 'eror', 'beli', 'kuota', 'susah', 'buka', 'aplikasi']</t>
  </si>
  <si>
    <t>['', 'telat']</t>
  </si>
  <si>
    <t>['boros', 'mahal']</t>
  </si>
  <si>
    <t>['smn', 'dpt', 'kuota', 'gb', 'game', 'diselengarakan', 'dana', 'inta', 'chek', 'telkomsel']</t>
  </si>
  <si>
    <t>['enak', 'beli', 'pakey', 'manuat', 'pesan', 'membeli', 'produk', 'gilirin', 'pakek', 'aplikasi', 'masuknya', 'ribet', 'pakak', 'link', 'sgala', 'knapa', 'pakek', 'kode', 'gampang', 'masuknya', 'ampun', 'ngerti', 'produk', '']</t>
  </si>
  <si>
    <t>['tolong', 'bantuanyah', 'telkom', 'beli', 'paket', 'saldo', 'dana', 'keambil', 'paket', 'kuota', 'nyah', 'masuk', 'tolong', 'kerja', 'samanyah']</t>
  </si>
  <si>
    <t>['telkomsel', 'gangguan', 'pemberitahuan', 'contohnya', 'membeli', 'paket', 'data', 'dri', 'aplikasi']</t>
  </si>
  <si>
    <t>['puas', 'koneksi', 'stabil']</t>
  </si>
  <si>
    <t>['benahin', 'beli', 'paketan', 'data', 'jaringan', 'jaringan', 'nonton', 'youtube', 'lanjar', 'patah', 'patah', 'tolong', 'perbaiki', 'servernya', 'kasih', 'bintang', 'ntar', 'udah', 'kena', 'kasih', 'bintang']</t>
  </si>
  <si>
    <t>['knpa', 'beli', 'paket', 'nelpon']</t>
  </si>
  <si>
    <t>['kuota', 'entertaimen', 'ngga', 'tolong', 'perbaikin']</t>
  </si>
  <si>
    <t>['sebelom', 'beli', 'pulsa', 'daftar', 'paket', 'telkomsel', 'tersedia', 'pilihan', 'beli', 'pulsanya', 'ganguuan', 'sistem', 'memuaskan', '']</t>
  </si>
  <si>
    <t>['beli', 'paketan', 'susah', 'server', 'gangguan', 'mulu', 'udah', 'gitu', 'jaringan', 'buruk', 'kuota', 'harganya', 'mahal']</t>
  </si>
  <si>
    <t>['knpa', 'membeli', 'paket', 'aplikasi', 'telkomsel', 'tolong', 'perbaiki', 'pelanggan', 'setia', 'telkomsel']</t>
  </si>
  <si>
    <t>['knapa', 'isi', 'data', 'eror']</t>
  </si>
  <si>
    <t>['mahal', 'doang', 'ganguan', 'mulu']</t>
  </si>
  <si>
    <t>['eror', 'mahal', 'mahal']</t>
  </si>
  <si>
    <t>['jaringan', 'sibuk', 'ngisi', 'kuota', 'cepetan', 'woooiii']</t>
  </si>
  <si>
    <t>['sistem', 'sibuk', 'trus', 'trus', 'uninstall', 'apk']</t>
  </si>
  <si>
    <t>['aplikasi', 'cacat', 'unable', 'load', 'didalam', 'aplikasi', 'membuka', 'aplikasi', 'lelet', 'banget', '']</t>
  </si>
  <si>
    <t>['jelass', 'isi', 'saldo', 'masuk', 'mengisinya', 'berhasil', 'kayak', 'gini']</t>
  </si>
  <si>
    <t>['update', 'berhasil', 'membaik', 'error', '']</t>
  </si>
  <si>
    <t>['terbantu', 'aplikasi', 'semoga', 'sukses', 'trus']</t>
  </si>
  <si>
    <t>['buka', 'beranda', 'susah', 'kesalahan', 'sistem', 'download', 'aplikasi', 'parah']</t>
  </si>
  <si>
    <t>['beli', 'paketan', 'error']</t>
  </si>
  <si>
    <t>['mahal', 'doanggggggg', 'jaringan', 'murahan', '']</t>
  </si>
  <si>
    <t>['error', 'pas', 'buka', 'aplikasi']</t>
  </si>
  <si>
    <t>['pinter', 'yee', 'telkomsel', 'die', 'org', 'beli', 'pulsa', 'isi', 'data', 'trus', 'masuk', 'aplikasi', 'mytelkomsel', 'kaga', 'wifi', 'data', 'kepotong', 'gtu', 'pulsa', 'mantaap', 'akal']</t>
  </si>
  <si>
    <t>['gangguan', 'males']</t>
  </si>
  <si>
    <t>['puas', 'jaringan', 'tambh', 'jlek', 'aplikasi', 'pengecekan', 'kuota', 'rugi', 'pasang', 'aikasi', 'sring', 'eror']</t>
  </si>
  <si>
    <t>['jaringanya', 'jelek', 'mengevewakan', '']</t>
  </si>
  <si>
    <t>['ehh', 'isi', 'pulsa', 'beli', 'kuota', 'pas', 'buka', 'aplikasi', 'nyedot', 'pulsa', 'make', 'hotspot', 'eror', 'eror', 'mulu']</t>
  </si>
  <si>
    <t>['pas', 'beli']</t>
  </si>
  <si>
    <t>['bosan', 'ngeselin', 'notifikasi', 'sms', 'sangan', 'terganggu', 'telkomsel', 'itundia', 'jaringan', 'jelek', 'lemoootttttt', '']</t>
  </si>
  <si>
    <t>['disaat', 'genting', 'beli', 'paket', 'data', 'gangguan', 'mahal', 'kualitas', 'murahan']</t>
  </si>
  <si>
    <t>['aneh', 'beli', 'paket', 'internet', 'pulsa', 'dibeli', 'tulisannya', 'maaf', 'pembelian', 'produk', '']</t>
  </si>
  <si>
    <t>['sinyal', 'telkomsel', 'jelek', 'kondisi', 'darurat', 'susah', 'ajak', 'kerjasamanya', 'dam', 'suami', 'kasian', 'kuliahnya', 'zoom', 'kasih', 'sinyal', 'jelek', 'uring', 'uringan', 'iya', 'ganti', 'kartu', 'udah', 'telkomsel', '']</t>
  </si>
  <si>
    <t>['sinyal', 'hancur', 'tolong', 'perbaiki', 'asik', 'naikin', 'harga', 'beli', 'rb', 'lelet', 'emosi']</t>
  </si>
  <si>
    <t>['upgrade', 'app', 'telkomselnya', 'buka', '']</t>
  </si>
  <si>
    <t>['siang', 'cek', 'paket', 'data', 'unlimited', 'malam', 'beli', '']</t>
  </si>
  <si>
    <t>['menguntungkan']</t>
  </si>
  <si>
    <t>['membantu', 'promo', 'telkomsel', '']</t>
  </si>
  <si>
    <t>['bagus', 'kang', 'bro', '']</t>
  </si>
  <si>
    <t>['jaringan', 'luas', 'signal', 'kuat', 'pokokx', 'mantap']</t>
  </si>
  <si>
    <t>['telkomsel', 'terbaik', 'ditempat', '']</t>
  </si>
  <si>
    <t>['kinerja', 'telkomsel', 'maksimal', 'daerah', 'sinyalnya', 'full', 'hilang', 'jam', 'browser', 'datanya', 'mati', 'kecewa', 'udah', 'belain', 'beli', 'paket', 'mahal', 'tolong', 'dibenahi', 'browser', 'lancar', '']</t>
  </si>
  <si>
    <t>['suka', 'bnget', 'ama', 'aplikasi', 'terbaik']</t>
  </si>
  <si>
    <t>['mantap', 'tukar', 'point', 'kuota', 'pulsa', 'minggu', 'kemarin', 'mohon', 'perbaiki', 'terimakasih']</t>
  </si>
  <si>
    <t>['berkualitas']</t>
  </si>
  <si>
    <t>['android', 'support', 'instal', 'developernya', 'kmana', '']</t>
  </si>
  <si>
    <t>['jaringan', 'internetnya', 'jelek', 'tolong', 'kapasitasnya', 'ditambah', 'khusus', 'sulawesi', 'selatan', 'jaringannya', 'jelek', 'kota', 'profinsi', 'daerah', 'kabupatennya', 'menerus', 'pelanggan', 'beralih', 'jaringan', 'sebelah', 'jaringannya', 'jelek', 'tolong', 'kapasitasnya', 'ditambah', 'eupaya', 'pengguna', 'puas', 'paketnya', 'mahal', 'kepuasaan', 'penggunanya', 'terima', 'kasih']</t>
  </si>
  <si>
    <t>['apk', 'baby', 'suka', 'menjebak', 'beli', 'pulsa', 'darurat', 'ayo', 'tinggalkan', 'pakai']</t>
  </si>
  <si>
    <t>['tingkatkan', 'area', 'kota', 'cirebon', 'kec', 'harja', 'mukti']</t>
  </si>
  <si>
    <t>['semga', 'kedepan']</t>
  </si>
  <si>
    <t>['heran', 'beli', 'kartu', 'sakti', 'keluaran', 'terbaru', 'kombo', 'sakti', 'bulanan', 'rb', 'gb', 'kali', 'beli', 'abis', 'kombo', 'saktinya', 'ilang', 'lngsung', 'jdi', 'gb', 'rb', 'males', 'beli', 'paket', 'ajg', 'udh', 'bela', 'in', 'ganti', 'kartu']</t>
  </si>
  <si>
    <t>['membatu', 'berguna', '']</t>
  </si>
  <si>
    <t>['telkomsel', 'setuju', 'beli', 'paket', 'darurat', 'paket', 'pas', 'ngisi', 'pulsa', 'langsung', 'pulsanya', 'ksedot', 'rugi', 'cok']</t>
  </si>
  <si>
    <t>['update', 'berat', 'aplikasinya', 'olah', 'telkomsel', 'spek', 'spek', 'rendah', 'penggunanya', 'komen', 'sedap', 'terlontarkan', 'dikolom', 'komentar', 'pelayanan', 'memuaskan', 'jebakan', 'betmen', 'pulsa', 'habis', 'ntah', 'kemana', 'untung', 'beralih', 'indihome', 'beli', 'paket', 'internet', 'pilah', 'pilah', 'dirvariasikan', 'harganya', 'melambung', 'salam', 'sehat', '']</t>
  </si>
  <si>
    <t>['min', 'sinyal', 'super', 'lemot', 'separah', 'tolong', 'perbaiki', 'nyaman', 'beli', 'kuota', 'uang', 'iya', 'kepake', 'kuotanya', 'tolong', 'min', 'perbaiki', 'secepatnya', '']</t>
  </si>
  <si>
    <t>['telkomsel', 'parah', 'bayar', 'paketan', 'mahal', 'sinyal', 'buruk', 'rugi', 'rugi']</t>
  </si>
  <si>
    <t>['mantap', 'tap', 'tap', 'makasih', 'telkomsel']</t>
  </si>
  <si>
    <t>['udh', 'jaringan', 'internet', 'butut', 'jelek', 'ditambah', 'harga', 'pket', 'data', 'mahal', 'mahal', 'blum', 'pakai', 'recommended', 'jngan', 'pakai', 'skrang', 'bnyak', 'internet', 'murah', 'jaringan', 'stabil', '']</t>
  </si>
  <si>
    <t>['good', 'buka', 'buka', '']</t>
  </si>
  <si>
    <t>['mantaappp', 'aplikasinya']</t>
  </si>
  <si>
    <t>['', 'kecewaan', 'internet', 'putus', '']</t>
  </si>
  <si>
    <t>['apk', 'mytelkomsel', 'bawaanya', 'berat', 'apk', 'buka', 'aplikasinya', 'terkadang', 'berputar', 'putar', 'kamana', 'iklannya', 'apk', '']</t>
  </si>
  <si>
    <t>['telkomsel', 'sinyal', 'jlek', 'bruk', 'bru', 'beli', 'pket', 'internet', 'bsa', 'dipakai', 'apes', 'tolong', 'diperbaiki', '']</t>
  </si>
  <si>
    <t>['jalan', 'jalan', 'aplikasi', 'mytelkomsel', 'beli', 'paket', 'combo', 'pakai', 'metode', 'pembayaran', 'shoopepay', 'telkomsel', 'paketnya', 'masuk', 'uangnya', 'hilang', 'ampyunnn', 'mytelkomsel']</t>
  </si>
  <si>
    <t>['give', 'hadiah', 'giga', 'internet', 'malam', 'kirim', 'paket', 'internet', 'skrg', 'mundur']</t>
  </si>
  <si>
    <t>['kebapa', 'buka', 'pls', '']</t>
  </si>
  <si>
    <t>['woi', 'telkomsel', 'gimana', 'paket', 'omg', 'udah', 'mahal', 'sinyal', 'ngga', 'maunya', 'gimana', 'pelanggan', 'kecewa', '']</t>
  </si>
  <si>
    <t>['telkomsel', 'ank', 'harram', 'jaringan', 'kek', 'taekk', 'nyesel', 'beli', 'paketan', 'telkom', 'babi', '']</t>
  </si>
  <si>
    <t>['benerin', 'koneksi', 'jelek', 'bermain', 'game']</t>
  </si>
  <si>
    <t>['mahal', 'doank', 'sinyal', 'jls']</t>
  </si>
  <si>
    <t>['apk', 'terbaik']</t>
  </si>
  <si>
    <t>['terbaik', 'tolong', 'jaringan', 'perkuat']</t>
  </si>
  <si>
    <t>['telkomsel', 'bejad', 'pulsa', 'bobol', 'terburuk', 'telkomsel', 'laknat', '']</t>
  </si>
  <si>
    <t>['mahal', 'worth', '']</t>
  </si>
  <si>
    <t>['harga', 'paket', 'standart', 'berbeda', 'orang', 'down', 'time', 'harga']</t>
  </si>
  <si>
    <t>['kuota', 'chat', 'games', 'sosmed', 'kecepatannya', 'lambat', 'diakses', 'game', 'gabisa', 'tolong', 'dibenerin', 'kecepatan', 'sinyalnya', 'nyaman', 'banget', 'tolong', 'dibenerin', '']</t>
  </si>
  <si>
    <t>['semoga', 'gratisnya']</t>
  </si>
  <si>
    <t>['sinyal', 'jelek', 'paket', 'mahal', 'pulsa', 'kesedot', 'udha', 'komplain', 'ngga', 'tindakan', 'tolong', 'perbaiki']</t>
  </si>
  <si>
    <t>['loginnya']</t>
  </si>
  <si>
    <t>['kartu', 'halo', 'paket', 'habis', 'pakai', 'unlimited', 'maks', 'bayar', 'tagihan', 'masuk', 'pasca', 'bayar', 'nomor', '']</t>
  </si>
  <si>
    <t>['mantap', 'banget', 'semoga', 'jaringan', 'kencang']</t>
  </si>
  <si>
    <t>['perbaikan', 'aplikasi', 'solusinya', 'log', 'pakai', 'kartu', 'halo', 'send', 'gift', '']</t>
  </si>
  <si>
    <t>['perasaan', 'paket', 'darurat', 'pls', 'tarik', 'smua', 'telkomsel', 'eror', 'skrg']</t>
  </si>
  <si>
    <t>['loding', 'ngadat']</t>
  </si>
  <si>
    <t>['plis', 'telkomsel', 'bosok', 'banget', '']</t>
  </si>
  <si>
    <t>['terimaksih', 'kasih', 'promo', 'hati', 'senang']</t>
  </si>
  <si>
    <t>['bayar', 'sikit', 'sikit', 'bayar']</t>
  </si>
  <si>
    <t>['gila', 'diperbarui', 'klik', 'bukaaa', 'eeeeee', 'mnta', 'diperbarui', 'lagiii', 'bravoo', 'dech', 'kaya', 'gila', 'klen', 'dilangganin', 'bknny', 'service', 'bagus', 'mlh', '']</t>
  </si>
  <si>
    <t>['semoga', 'telkomsel', 'sejahtera']</t>
  </si>
  <si>
    <t>['jaringannya', 'payah', 'kali', 'perubahan', 'kemari', 'ngelag']</t>
  </si>
  <si>
    <t>['', 'mahal', 'telkomsel', 'bagus', 'banyakk', 'wkwkwk', 'gtu', 'suka', 'malak', 'paketan', 'cma', 'standby', 'cpt', 'abis', 'ampasss', 'ampas', '']</t>
  </si>
  <si>
    <t>['jaringan', 'kya', 'sampah', 'usaha', 'rugi', 'gara', 'jaringan', 'lemot', 'udah', 'mahal', 'lemot']</t>
  </si>
  <si>
    <t>['good', 'pke', 'aplikasi', 'lbh', 'hemat']</t>
  </si>
  <si>
    <t>['signal', 'data', 'area', 'jayapura', 'perbaiki', 'area', 'timur', 'beli', 'paket', 'data', 'mahal', 'kualitas', 'hrus', 'bagus', '']</t>
  </si>
  <si>
    <t>['sinyal', 'jelek', 'tolong', 'diperbaiki', 'nyaman', 'lag', '']</t>
  </si>
  <si>
    <t>['rampok', 'pulsa', 'isi', 'pulsa', 'buka', 'apk', 'beli', 'paket', 'pas', 'dicek', 'pulsanya', 'diapa', 'apain', 'ludes', 'rampok', 'rampok', '']</t>
  </si>
  <si>
    <t>['sinyal', 'jelek', 'banget', 'gangguannya', 'bertahun', 'pakai', 'telkomsel', 'kecewa', 'banget', 'telkomsel', 'kemunduran', 'telkomsel']</t>
  </si>
  <si>
    <t>['telkomsel', 'didepan', '']</t>
  </si>
  <si>
    <t>['menyenangkan', 'aplikasi', 'mytelkomsel', 'langsung', 'pulza', 'internetnya', 'pulza', 'telponnya']</t>
  </si>
  <si>
    <t>['poin', 'ditukar', 'data']</t>
  </si>
  <si>
    <t>['sinyal', 'telkomsel', 'ngelag']</t>
  </si>
  <si>
    <t>['tolong', 'diperbaiki', 'disaat', 'menukarkan', 'point', '']</t>
  </si>
  <si>
    <t>['operator', 'murah', 'pengen', 'ganti', '']</t>
  </si>
  <si>
    <t>['wilayah', 'pik', 'jakarta', 'utara', 'sinyal', 'internet', 'bagus']</t>
  </si>
  <si>
    <t>['ruang', 'untok', 'program', 'beta']</t>
  </si>
  <si>
    <t>['jaringan', 'jelek', 'harga', 'mahal', 'promo', 'bersyarat', 'terpaksa', 'pakai', 'kartu', 'telkomsel', 'kayak', 'perampokan', 'mengutamakan', 'keuntungan', 'ajg']</t>
  </si>
  <si>
    <t>['parah', 'telkomsel', 'unlimited', 'lelet', 'tolong', 'perbaiki', 'telkomsel', 'pelanggan', 'beralih', 'telkomsel', 'kecewa', '']</t>
  </si>
  <si>
    <t>['lancar', '']</t>
  </si>
  <si>
    <t>['sinyal', 'telkomsel', 'ancur', 'ancur', 'udah', 'belinya', 'mahal', 'sinyal', 'bagus', '']</t>
  </si>
  <si>
    <t>['pemberian', 'harapan', 'palsu', 'layar', 'kenyataannya', 'speed', 'detik', 'turun', 'terpaksa', 'informasi', 'via', 'medsos', 'koneksi', 'internet', 'jelek', 'wamena', 'distrik', 'wamena', 'kabupaten', 'jayawijaya', '']</t>
  </si>
  <si>
    <t>['signal', 'buruk', 'papua']</t>
  </si>
  <si>
    <t>['tolong', 'perjelas', 'knapa', 'plsa', 'kepotong', 'meminjam', 'paket', 'baca', 'ulasan', 'komplen', 'aneh', 'banget', 'hapus', 'apk', 'klwbbgini', '']</t>
  </si>
  <si>
    <t>['senang', 'telkomsel']</t>
  </si>
  <si>
    <t>['pokok', 'kasi', 'murah', 'murah', 'retak', 'ginjal', 'mahal', 'mahal', 'kasi', 'oke', 'salam', 'medan']</t>
  </si>
  <si>
    <t>['telkomsel', 'jan', 'maling', 'tenan', 'paketan', 'mahal', 'sinyal', 'maksimal', 'nomer', 'kenangan', 'lgi', 'telkomsel', '']</t>
  </si>
  <si>
    <t>['terkenal', 'sinyal', 'bagusssssss', '']</t>
  </si>
  <si>
    <t>['jaringan', 'simpati', 'bagus']</t>
  </si>
  <si>
    <t>['kasih', 'bintang', 'karna', 'murah', 'harga', 'paketnya']</t>
  </si>
  <si>
    <t>['telkomsel', 'ajar', 'paket', 'combo', 'sakti', 'diganti']</t>
  </si>
  <si>
    <t>['lelet', 'sinyal']</t>
  </si>
  <si>
    <t>['maaf', 'kasih', 'bintang', 'sinyal', 'telkomsel', 'jelek', 'banget', 'sampe', 'tolong', 'perbaiki', 'kecewa', 'menggaggu', 'pekerjaan', 'terimakasih', 'semoga']</t>
  </si>
  <si>
    <t>['beli', 'paket', 'internet', 'ngga', 'pulsa', 'pas', 'pulsa', 'mengendap', 'auto', 'pindah', 'provider', 'not', 'recomended']</t>
  </si>
  <si>
    <t>['', 'sumpah', 'login', 'mulu', 'kode', 'verifikasi', 'nongol', 'lgi', 'google', 'heran', 'banget', 'apk', 'udah', 'sabar', 'banget', 'buka', 'apk', 'suruh', 'login', 'mulu', 'udah', 'sabar', 'banget', 'apk', 'ksl', 'banget']</t>
  </si>
  <si>
    <t>['mudah', 'mengerti']</t>
  </si>
  <si>
    <t>['telkomsel', 'anjg', 'ngasih', 'kuota', 'bonus', 'games', 'ikhlas', 'pas', 'dipake', 'nge', 'game', 'serba', 'loading', 'lag', 'gajelas']</t>
  </si>
  <si>
    <t>['semoga', 'undian', 'utama', 'mobil', 'telkomsel', 'amiinnn']</t>
  </si>
  <si>
    <t>['konsumen', 'informasi', 'lengkap', 'mengakses', 'pembelian', 'produk', 'telkomsel', 'dll', 'mohon', 'menurunkan', 'harga', 'paket', 'mohon', 'penambahan', 'jaringan', 'dijalan', 'trankalimantan']</t>
  </si>
  <si>
    <t>['langsung', 'kring', 'mantappp']</t>
  </si>
  <si>
    <t>['membeli', 'paket', 'games', 'silver', 'menerima', 'voucher', 'gamesnya', 'menerima', 'voucher', 'mlbb', 'pembelian', 'paket', 'gamesnya', 'mengecewakan', '']</t>
  </si>
  <si>
    <t>['android', 'blm', 'tolong', 'update', 'ganti', '']</t>
  </si>
  <si>
    <t>['cepat', 'aksesnya', 'bagus']</t>
  </si>
  <si>
    <t>['kuota', 'internet', 'memakan', 'pulsa', 'beli', 'pulsa', 'kemarin', 'trus', 'jujur', 'mengecewakan', 'konsultasi', 'akun', 'twitter', 'telkomsel', 'solusi', 'menambah', 'kekecewaan']</t>
  </si>
  <si>
    <t>['paket', 'murah', 'mahal', 'banget', 'pandemi', 'gini']</t>
  </si>
  <si>
    <t>['leluasa', 'beli', 'kuota', 'sesuai', 'dana']</t>
  </si>
  <si>
    <t>['senang', 'telkomsel', 'setia', 'kartu', 'telkomsel', 'smp', 'dlu', 'ttp', 'setia', 'bnyak', 'keuntungan', 'dri', 'telkomsel', 'trus', 'brsedekah', 'poin', 'pokoknya', 'senang', 'telkomsel', 'sukses', 'sllu', 'telkomsel', 'love', 'telkomsel', '']</t>
  </si>
  <si>
    <t>['jaringan', 'aplikasi', 'cuman', 'paketnya', 'mahal', 'pelajar', 'mhn', 'murahnya', 'paketan', 'datanya', 'donk', 'telkomsel', 'trimakasi', 'sblmnya', '']</t>
  </si>
  <si>
    <t>['temen', 'ngirim', 'uang', 'ribu', 'masuk', 'kepulsa', 'adapaun', 'dana', 'tlong', 'dibalikiin', 'uang', 'nmr', 'cek', 'diapk', 'dana', 'muncul', 'saldo', 'satupun', 'apk', 'mytelkomsel', 'tanggal', 'wib', 'hri', 'minggu']</t>
  </si>
  <si>
    <t>['boros', 'sumpah', 'buka', 'instagram', 'nyampek', 'menit', 'mb', 'melayang', 'habis', 'sia', 'sia', 'tinggal', 'tidur', 'terkunci', 'mb', 'habis', 'tersisa', 'udah', 'paket', 'harga', 'mahal', 'boros', '']</t>
  </si>
  <si>
    <t>['mudah', 'beli', 'kuota', 'moga', 'lancar', 'applikasi', '']</t>
  </si>
  <si>
    <t>['susah', 'sinyal']</t>
  </si>
  <si>
    <t>['telkomsel', 'operator', 'seluler', 'terbaik', 'indonesia']</t>
  </si>
  <si>
    <t>['', 'banget', 'telkomsel', 'pelanggan', 'setiamu', '']</t>
  </si>
  <si>
    <t>['pelayanan', 'bagus', 'memuaskan', '']</t>
  </si>
  <si>
    <t>['mudah', 'memenangkan', 'undian', 'honda', 'beat']</t>
  </si>
  <si>
    <t>['kali', 'geser', 'cek', 'bonus', 'telfon']</t>
  </si>
  <si>
    <t>['login', 'link', 'sms', 'klik', 'fitur', 'email', 'veronica', 'dibuka', 'bawa', 'grapari', 'buka', 'alasannya', 'izin', 'aplikasi', 'kecentang', 'update', 'terbaru', 'udah', 'centang', 'izin', 'gitu', 'jaringan', 'internet', 'keket', 'harga', 'paket', 'mahal', 'malu', 'provider', 'sebelah', 'harga', 'paket', 'peningkatan', 'kwalitas', 'jaringan']</t>
  </si>
  <si>
    <t>['mohon', 'promo', 'perbanyak', 'jangkauan', 'perluas', 'plosok', 'lancar', 'dipakai', 'dimana', 'trimaksih']</t>
  </si>
  <si>
    <t>['alhamdulillah', 'wilayah', 'bagus', 'signalnya', 'kuat']</t>
  </si>
  <si>
    <t>['perbaiki', 'jaringan', 'internet']</t>
  </si>
  <si>
    <t>['', 'telkomsel', 'telkomsel', 'kunjung', 'membaik', 'pelayanan']</t>
  </si>
  <si>
    <t>['coba', 'bagus', 'ditambah', 'bintangnya']</t>
  </si>
  <si>
    <t>['lancar', 'menyenangkan', 'sederhana', 'cepat']</t>
  </si>
  <si>
    <t>['banyakin', 'promo', 'min', '']</t>
  </si>
  <si>
    <t>['suka', 'bingung', 'paketan', 'nomor', 'beda', 'beda']</t>
  </si>
  <si>
    <t>['point', 'udah', 'kadaluarsa', 'dituker', 'pulsa', 'kuota', 'apalah', 'menguntungkan']</t>
  </si>
  <si>
    <t>['telkomsel', 'sinyalnya', 'jeleeek', 'bangeeet', 'mengganggu', 'aktifasi', 'pekerjaan', 'jelek', 'hrsnya', 'bagus', 'menurun', 'kwalitasnya', '']</t>
  </si>
  <si>
    <t>['isi', 'paket', 'kuota', 'pakai', 'shopeepay', 'saldo', 'kepotong', 'paket', 'masuk', 'gimana', 'rugi']</t>
  </si>
  <si>
    <t>['membantu', 'terima', 'kasih', 'tekomsel']</t>
  </si>
  <si>
    <t>['pokoknya', 'tiada', 'kandungan', 'mantap']</t>
  </si>
  <si>
    <t>['beli', 'paket', 'geme', 'telkomsel', 'internet', 'geme', 'mobile', 'legend', 'free', 'firee', 'pubg', 'mobile', 'coc', 'login', 'nyesel', 'banget', 'beli', 'paket', 'geme', 'telkomsel', '']</t>
  </si>
  <si>
    <t>['suka', 'layanan', 'telkomsel']</t>
  </si>
  <si>
    <t>['trm', 'ksh', 'paketnya', 'top', '']</t>
  </si>
  <si>
    <t>['tukar', 'poin', 'hadiah', 'telkomsel', 'enggk', 'jlas', 'ditukar', 'kupon', 'egk', 'keliatan', 'pdhl', 'poin', 'tukarkan', 'gtu', 'ngundi', 'egk', 'terang', 'egk', 'liat', 'enth', 'dmn', 'liat', 'pemenang', 'undian', 'diperbaharui', 'egk', 'jlas', '']</t>
  </si>
  <si>
    <t>['bagus', 'sinyal', 'kuat', 'pokonya', 'toplah']</t>
  </si>
  <si>
    <t>['aplikasi', 'membantu', 'semoga', 'hadiah', 'undian', 'poin', 'telkomsel', '']</t>
  </si>
  <si>
    <t>['puas', 'paket', 'koutanya']</t>
  </si>
  <si>
    <t>['semangat', 'tingkatkan', 'kualitas', 'jaringan', 'kuota', 'unlimited', 'kcepatan', 'standar', '']</t>
  </si>
  <si>
    <t>['gua', 'isi', 'pulsa', 'pulsa', 'ngurang']</t>
  </si>
  <si>
    <t>['bagus', 'mudah', 'transaksi', 'telkomsel']</t>
  </si>
  <si>
    <t>['woy', 'knp', 'ngisi', 'pulsa', 'potong', 'pulsa', 'nggk', 'pinjaman', 'nggk', 'jls', 'emng', 'ntah', 'maunya', 'gitu', 'suruh', 'ngelunasin', 'maksudnya', 'tipu', 'tipu', 'jdnya']</t>
  </si>
  <si>
    <t>['memudahkan', 'anti', 'ribet', 'murah']</t>
  </si>
  <si>
    <t>['banyakin', 'promonya', 'bos']</t>
  </si>
  <si>
    <t>['perfoma', 'signalnya', 'daerah', 'bagus', 'tlg', 'tingkatkan', '']</t>
  </si>
  <si>
    <t>['jaringan', 'kuat', 'harga', 'bersahabat']</t>
  </si>
  <si>
    <t>['paketnya', 'diturunin']</t>
  </si>
  <si>
    <t>['berharap', 'telkomsel', 'pilihan', 'kuota', 'harga', 'terjangkau', '']</t>
  </si>
  <si>
    <t>['menang', 'undian']</t>
  </si>
  <si>
    <t>['mudah', 'mudahan', 'dpt', 'keberuntungan']</t>
  </si>
  <si>
    <t>['good', 'tolong', 'perbaiki', 'dikiiiit', 'yha', 'pengen', 'kasih', 'hadiah', 'dha', 'pelanggan', 'kartu', 'telkomsel', 'blum', 'hadiah', 'tolong', 'bos']</t>
  </si>
  <si>
    <t>['fungsi']</t>
  </si>
  <si>
    <t>['beli', 'paket', 'aplikasinya', 'udah']</t>
  </si>
  <si>
    <t>['udah', 'bertahun', 'langganan', 'telkomsel', 'sinyal', 'lemot', 'paket', 'internet', 'mahal', 'bngt']</t>
  </si>
  <si>
    <t>['pelajar', 'mahal', 'kak']</t>
  </si>
  <si>
    <t>['kouta', 'mahal', 'jaringannya', 'buriq']</t>
  </si>
  <si>
    <t>['males', 'hadiah', 'abal', 'kulai', 'zaman', 'nenenk', 'moyang', 'orang', 'indonesia', 'hadiah', 'udah', 'kepo', 'dunia', 'maya', 'hadiah', 'orang', 'bodong', '']</t>
  </si>
  <si>
    <t>['blm', 'maximal', 'fitur', 'menu', 'donasi']</t>
  </si>
  <si>
    <t>['sya', 'suka', 'aplikasi']</t>
  </si>
  <si>
    <t>['tolong', 'perbaiki', 'login', 'link', 'eror', 'permudah', 'persulit']</t>
  </si>
  <si>
    <t>['nyesel', 'telkomsel']</t>
  </si>
  <si>
    <t>['bagus', 'adakalanya', 'lambat', 'eror', 'tolong', 'diperbaiki', 'pulsa', 'dipotong', 'berlangganan', 'apapun', 'memakai', 'internet', 'telkomsel', 'check', 'pulsa', 'berkurang']</t>
  </si>
  <si>
    <t>['mantap', 'menguntungkan']</t>
  </si>
  <si>
    <t>['bagus', 'promo', '']</t>
  </si>
  <si>
    <t>['aplikasinya', 'berat', 'praktis', 'banget']</t>
  </si>
  <si>
    <t>['nyaman', 'banget', 'telkomsel', 'kadang', 'sinyal', 'hilang', 'kadang', 'lemot', 'parahnya', 'kemarin', 'beli', 'paket', 'data', 'harga', 'pembayaran', 'ovo', 'status', 'ovo', 'berhasil', 'telkomselnya', 'masuk', 'paket', 'datanya', 'pengguna', 'nyaman']</t>
  </si>
  <si>
    <t>['', 'telkomsel', 'mambantu', 'dlm', 'langganan', 'pembelian', 'paket', 'data', 'paket', 'pulsa', '']</t>
  </si>
  <si>
    <t>['memudahkan', 'pengisian', 'paket', 'pulsa', 'diluar', 'daerah']</t>
  </si>
  <si>
    <t>['sugnal', 'kuat']</t>
  </si>
  <si>
    <t>['simpati', 'signalnya', 'bagus', '']</t>
  </si>
  <si>
    <t>['suprisedeal', 'banyakin', '']</t>
  </si>
  <si>
    <t>['telkomsel', 'ahir', 'ahir', 'lelet', 'jaringan', 'husus', 'daerah', 'sungai', 'lilin', 'musi', 'banyuasin', 'sumsel']</t>
  </si>
  <si>
    <t>['telkomsel', 'hambatan', 'kuota', 'limit', 'posisi', 'pedalaman', 'mudah', 'ekstra', 'kuota', 'jaya', 'telkomsel', '']</t>
  </si>
  <si>
    <t>['mudah', 'operasional', 'fungsi']</t>
  </si>
  <si>
    <t>['', 'simpati', 'sinyal', 'ilang', '']</t>
  </si>
  <si>
    <t>['mantul', 'telkomsel', 'like', '']</t>
  </si>
  <si>
    <t>['keren', 'aplikasi', 'mytelkomsel', 'ribet', 'cek', 'promo', 'promo', 'terbaru']</t>
  </si>
  <si>
    <t>['serbanudah', 'urusannya', '']</t>
  </si>
  <si>
    <t>['beli', 'paket', 'jam', 'malem', 'aktif', '']</t>
  </si>
  <si>
    <t>['mudah', 'cepat', 'praktis']</t>
  </si>
  <si>
    <t>['kuota', 'belom', 'masuk', 'mb', 'perhari', 'laporan', 'bertele', 'tele', 'seharga', 'masuk', 'toilet', 'numpang', 'kencing']</t>
  </si>
  <si>
    <t>['paket', 'combo', 'saktinya', 'nelpon', 'suara', 'tolong', 'diperbanyak', 'rajin', 'beli', 'combo', 'saktinya']</t>
  </si>
  <si>
    <t>['tingkatkan', 'khusus', 'sinyal', 'telkomsel']</t>
  </si>
  <si>
    <t>['aplikasi', 'buruk', 'install', 'login', 'disuruh', 'veronica', 'maaf', 'mengerti', 'bahasa', 'klik', 'tautan', 'dikirim', 'sms', 'sms', 'tolong', 'diperjelas', 'aplikasi', 'sulit', 'login']</t>
  </si>
  <si>
    <t>['transfer', 'pulsa']</t>
  </si>
  <si>
    <t>['bagus', 'sekli']</t>
  </si>
  <si>
    <t>['aneh', 'banget', 'sinyalnya', 'stabil', 'login', 'sinyal', 'langsung', 'gsm', 'berubah', 'nyesek', 'main', 'udah', 'draftpick', 'auto', 'gsm', 'kena', 'cheat', 'udah', 'gitu', 'kredit', 'sekorku', 'turun', 'maksih', 'telkomsel']</t>
  </si>
  <si>
    <t>['fungsi', 'harganya']</t>
  </si>
  <si>
    <t>['mahal', 'doang', 'kualitas', 'jaringan', 'jelek']</t>
  </si>
  <si>
    <t>['nice', 'paket', 'murah', '']</t>
  </si>
  <si>
    <t>['trimakasih', 'admin', 'sya', 'puas', '']</t>
  </si>
  <si>
    <t>['mantap', 'telkomsel', 'promo', 'kouta']</t>
  </si>
  <si>
    <t>['muter', 'muter', 'muter', 'muter', 'habis', 'kuota', 'karna', 'muter', 'muter', 'boros', 'sebanding', 'terima', '']</t>
  </si>
  <si>
    <t>['masuk', 'dikasih', 'link', 'kedaluarsa', 'baruu', 'dikirim', 'telkomsel', 'beli', 'paket']</t>
  </si>
  <si>
    <t>['udah', 'paketnya', 'mahal', 'gangguan', 'ngbisin', 'uang', 'kerja', 'susah', 'gara', 'telkomsel']</t>
  </si>
  <si>
    <t>['kartu', 'paketnya', 'mahal', 'combo', 'sakti', 'murah', 'harga', 'combo', 'dibawah']</t>
  </si>
  <si>
    <t>['mantap', 'telkomsel', 'semoga', 'sukses', 'kedepannya', '']</t>
  </si>
  <si>
    <t>['menikmati', 'aplikasi']</t>
  </si>
  <si>
    <t>['simpel', 'mudah', 'pakai', 'mytelkomsel', 'terimakasih']</t>
  </si>
  <si>
    <t>['', 'bintang', 'coba']</t>
  </si>
  <si>
    <t>['nmr', 'orang', 'coba', 'jlskan']</t>
  </si>
  <si>
    <t>['good', 'kalilahh', 'pokoknya', 'kaleng', 'kaleng']</t>
  </si>
  <si>
    <t>['terkadang', 'problem', 'beli', 'paket', 'darurat']</t>
  </si>
  <si>
    <t>['vocher', 'telkomsel', 'mahal', 'buaaanget', 'beda', 'sebelah', 'ttd', 'pengguna', 'simpati', '']</t>
  </si>
  <si>
    <t>['sip', 'bgus', 'skli']</t>
  </si>
  <si>
    <t>['murahin', 'promonya']</t>
  </si>
  <si>
    <t>['poin', 'coy', 'tuker', 'kuota']</t>
  </si>
  <si>
    <t>['pengguna', 'setia', 'telkom', 'bonus', 'promo', 'puas', 'bonus', 'pengguna', 'terima', 'kasih']</t>
  </si>
  <si>
    <t>['pulsa', 'berkurang', 'apk', 'buruk', 'ambil', 'pulsa', 'permisi']</t>
  </si>
  <si>
    <t>['sinyal', 'dimana', 'hadiah']</t>
  </si>
  <si>
    <t>['', 'telkomsel', 'kemudahan', 'ber', 'trimah', 'kasi', 'telkom', 'sal']</t>
  </si>
  <si>
    <t>['simple', 'praktis']</t>
  </si>
  <si>
    <t>['beli', 'paket', 'internetan', 'aplikasi', 'trus', 'ditambah', 'pulsa', 'kesedot', 'paket', 'internet', 'banget', 'dibilang', 'pulsa', 'kesedot', 'karna', 'memakai', 'pulsa', 'akses', 'internet', 'non', 'paket']</t>
  </si>
  <si>
    <t>['promonya', 'tambahin', 'gan']</t>
  </si>
  <si>
    <t>['sekedar', 'saran', 'telkomsel', 'coba', 'aplikasi', 'isi', 'ulang', 'vocer', 'tingal', 'scan', 'kode', 'vocernya', 'ribet', 'ketik', 'terimasih']</t>
  </si>
  <si>
    <t>['semoga', 'telkomsel', 'ngeluarin', 'fitur', 'cicilan', 'pulsa', 'bagus', 'kayanya', 'adakan', 'pulsa', 'cicilan', 'pulsa', 'darurat', '']</t>
  </si>
  <si>
    <t>['kesini', 'jelek', 'jaringan', 'telkomsel', 'tolong', 'jaringan', 'perbaiki', 'sia', 'sia', 'beli', 'data', 'mahal', 'mahal']</t>
  </si>
  <si>
    <t>['telkomsel', 'jaringan', 'jelek', 'nyesel', 'gua', 'beli', 'telkomsel', 'bela', 'cabut', 'kartu', 'parahh', 'main', 'game', '']</t>
  </si>
  <si>
    <t>['gakk', 'ngotak', 'sinyal', 'mending', 'pindah', 'sinyal', 'gaje']</t>
  </si>
  <si>
    <t>['telkomsel', 'mending', 'bubar', 'perusahaan', 'merugikan', 'konsumen', 'harga', 'paket', 'mahal', 'kualitas', 'juara', 'jeleknya', 'kalah', 'im']</t>
  </si>
  <si>
    <t>['', 'telkomsel', 'emang', 'top', '']</t>
  </si>
  <si>
    <t>['telkomsel', 'isi', 'paket', 'gb', 'dipake', 'youtube', 'jam', 'paketnya', 'udah', 'tinggal', 'mb', 'doang', 'paketnya', 'udah', 'bener', 'youtube', 'dll', 'pulsa', 'kesedot', 'paket', 'data', 'udah', 'ngga', 'telkomsel', 'mahal', 'bukanya', 'bagus', 'jelek', 'males', 'trs', 'jaringannya', 'jelek', 'masak', 'kalah', 'paket', 'data', 'murahan']</t>
  </si>
  <si>
    <t>['telkomsel', 'lelet', 'ketulungan', 'udah', 'kepakai', 'udah', 'pindah', 'indosat', 'sayang', 'ama', 'kartu', 'isi', 'pulsa', 'malas', 'pakai', 'enak', 'pakai', 'indosat']</t>
  </si>
  <si>
    <t>['penggunaan', 'mudah', 'cepat', 'murah']</t>
  </si>
  <si>
    <t>['telkomsel', 'jaringan', 'koyo', 'beli', 'beli', 'mahal', 'paket', 'internet', 'orang', 'darah', 'telkomsel', 'medan', 'labuhan']</t>
  </si>
  <si>
    <t>['msih', 'tahap', 'percobaan']</t>
  </si>
  <si>
    <t>['telkomsel', 'telkomsel', 'kesini', 'parah', 'jaringan', 'nda', 'ngasi', 'jasa', 'pengguna', 'telkomsel', 'provider', 'kalain', 'tolong', 'kasi', 'kualitas', 'harga', 'mahal', 'kualitas', 'samapah', '']</t>
  </si>
  <si>
    <t>['harga', 'paket', 'mahal', 'paket', 'murahnya', 'bos']</t>
  </si>
  <si>
    <t>['internet', 'lemot', 'log', 'app', 'susah', 'mending', 'smart', 'jaringan', 'stabil', '']</t>
  </si>
  <si>
    <t>['enak', 'operator', 'kota', 'ilang', 'timbul', 'sinyal', 'pas', 'main', 'pubg', 'turun', 'okey', 'liat', 'perubahan', 'ganti', 'operator', '']</t>
  </si>
  <si>
    <t>['jaringan', 'telkomsel', 'mengecewakan', 'pelanggan', 'telkomsel', 'kecewakan', 'alasan', 'telkomsel', 'jaringannya', 'buruk', '']</t>
  </si>
  <si>
    <t>['hadiah', 'mudahan']</t>
  </si>
  <si>
    <t>['aplikasi', 'bumn', 'buruk', 'isi', 'pulsa', 'motode', 'pembayaran', 'pakai', 'shopeepay', 'dianggap', 'berhasil', 'saldo', 'shopeepay', 'hilang', 'shopee', 'pembayaran', 'berhasil', 'telkomsel', 'gagal', 'berkali', 'masuk', 'akal', 'bertahun', 'pakai', 'telkomsel', 'bantu', 'bumn', 'kecewakan']</t>
  </si>
  <si>
    <t>['informatif', 'fiturnya', 'sinyal', 'dimana', '']</t>
  </si>
  <si>
    <t>['selamat', 'malam', 'misi', 'min', 'pas', 'paketin', 'suka', 'gabisaa', 'gaada', 'pesan', 'mohon', 'diperbaiki', 'layanan', 'kedepan', 'sekian', 'terimaksih', '']</t>
  </si>
  <si>
    <t>['payah', 'main', 'potong', 'pulsa', 'enaknya']</t>
  </si>
  <si>
    <t>['mahal', 'mahal', 'betol', 'paket', 'telkomsel', 'mah']</t>
  </si>
  <si>
    <t>['aplikasi', 'membantu', 'tingkatkan', 'mutu', 'pelayanannya', 'jaringannya', 'semoga', 'jaya', 'telkomsel']</t>
  </si>
  <si>
    <t>['sampah', 'jaringan', 'mahal', 'doang', 'kualitas', 'minus', 'ping', 'nggk', 'stabil', 'kota', 'kek', 'gini', 'sinyalnya', 'gmna', 'pelosok', '']</t>
  </si>
  <si>
    <t>['telkomsel', 'bagus', 'sinyal', 'jelek', 'udh', 'kalah', 'indosat']</t>
  </si>
  <si>
    <t>['jaringan', 'kuat', 'indonesia']</t>
  </si>
  <si>
    <t>['jaringan', 'jelek', 'anggap', 'ngomong', '']</t>
  </si>
  <si>
    <t>['', 'belik', 'paket', 'mahal', 'jaringan', 'full', 'main', 'game', 'kayak', 'kbtllll', 'babi', 'ashuu', 'laq', 'parah', 'kecewa', 'liat', 'telkomsel', 'belik', 'paket', 'unlimited', 'hri', 'malam', 'siang', 'cuman', 'ama', 'facebook', 'kayak', 'kntl', 'perbaikin', 'ajg', 'kartu', 'udah', 'promo', 'murah', 'belik', 'pulsa', 'isi', 'paket', 'laq', 'parahhhh', 'ajgg', 'ancur', 'belik', 'pulsa', 'rb', 'top', 'hilang', 'rb', 'kemana', 'coba', 'data', 'hidup', 'berlangganan']</t>
  </si>
  <si>
    <t>['bagus', 'semoga', 'kirim', 'pulsa']</t>
  </si>
  <si>
    <t>['membantu', 'praktis', 'cek', 'kuota', 'beli', 'kuota', '']</t>
  </si>
  <si>
    <t>['provider', 'terburuk', 'pakai', 'sumpah', 'mending', 'axis', 'jaringan', 'stabil', 'provider', 'mikirin', 'duit', 'paketan', 'mahal', 'hadeh', 'mending', 'tutup', 'telkomnyet']</t>
  </si>
  <si>
    <t>['bagus', 'muaskan']</t>
  </si>
  <si>
    <t>['curang', 'banget', 'harga', 'paket', 'surprise', 'deal', 'murah', 'mah', 'iya', 'kartu', '']</t>
  </si>
  <si>
    <t>['niat', 'aplikasi', 'menuhin', 'data', 'buka', 'putih', 'layar']</t>
  </si>
  <si>
    <t>['pulsa', 'rb', 'tinggal', 'ngga', 'masuk', 'akal', 'kemana', 'pulsa', 'nyaa', 'aplikasi', 'sngt', 'burukk']</t>
  </si>
  <si>
    <t>['perbanyak', 'promo', 'paketannya', 'yaa', 'unlimited', 'terima', 'kasih']</t>
  </si>
  <si>
    <t>['apl', 'bagus', 'sayang', 'update', 'paket', 'telkomsel', 'mahal', '']</t>
  </si>
  <si>
    <t>['aplikasi', 'telkomsel', 'skrng', 'mudah', 'sisa', 'brp', 'kuota', 'tersisa', 'pilihan', 'pembelian', 'paket', 'internetnya', 'trima', 'kasih', 'telkomsel', 'mudah', '']</t>
  </si>
  <si>
    <t>['paket', 'internet', 'kesedot', 'menghidupkan', 'paket', 'data', 'kecewa']</t>
  </si>
  <si>
    <t>['mahal', 'harga']</t>
  </si>
  <si>
    <t>['mudah', 'aplikasi']</t>
  </si>
  <si>
    <t>['jaringan', 'lemot', 'indonesia']</t>
  </si>
  <si>
    <t>['skrng', 'jaringan', 'telkomsel', 'buruk', 'buruk', 'jaringan', 'telkomsel', 'jaringan', 'bagus', 'pribadi', 'sekrang', 'mengecewakan', 'udah', 'beli', 'data', 'mahal', 'jaringannya', 'sebanding', 'dgan', 'harganya', 'mohon', 'jaringan', 'diperkuat', 'mengecewakan', 'pengguna', 'pecinta', 'may', 'telkomsel', 'trimakasih']</t>
  </si>
  <si>
    <t>['maju', 'bosku']</t>
  </si>
  <si>
    <t>['semoga', 'hadiah', 'telkomsel', 'amin', 'allah', '']</t>
  </si>
  <si>
    <t>['murah', 'beli', 'kuota', 'internet', 'mantap', 'telkomsel', '']</t>
  </si>
  <si>
    <t>['suka', 'banget']</t>
  </si>
  <si>
    <t>['jos', 'jaya', 'sllu', 'simpati', 'terima', 'kasih']</t>
  </si>
  <si>
    <t>['cari', 'pemenang', 'undian', 'poin', 'telkomsel', 'kah', 'undian', 'fake']</t>
  </si>
  <si>
    <t>['heh', 'promo', 'mahal']</t>
  </si>
  <si>
    <t>['koneksi', 'kesini', 'jelek', 'kalah', 'murah', 'telkomsel', 'paket', 'mahal', 'koneksi', 'murah']</t>
  </si>
  <si>
    <t>['ngga', 'ribet']</t>
  </si>
  <si>
    <t>['paket', 'pulsa', 'ribu']</t>
  </si>
  <si>
    <t>['beli', 'kuota', 'membeli', 'karna', 'pulsa', 'isi', 'pulsa', '']</t>
  </si>
  <si>
    <t>['sllu', 'galau']</t>
  </si>
  <si>
    <t>['sanggat', 'membatu', 'syang', 'peningkatan', 'jaringan', 'pulau', 'kalimantan', 'maksimal', 'kota', 'kota', 'sepertikami', 'pelosok', 'pertambangan', 'sulit', 'mengakses', 'internet', 'toling', 'ditingkat', 'wilayah', 'pulau', 'kalimantan', 'terimakasih']</t>
  </si>
  <si>
    <t>['intinya', 'kasih', 'paket', 'combo', '']</t>
  </si>
  <si>
    <t>['halo', 'beli', 'paket', 'gb', 'harganya', 'ribu', 'gangguan', 'kuotanya', 'masuk', 'pulsanya', 'berkurang', 'gimana', 'tolong', 'diperbaiki', 'rugi', '']</t>
  </si>
  <si>
    <t>['diskon', 'brooo']</t>
  </si>
  <si>
    <t>['mantap', 'deh', 'pokoknya']</t>
  </si>
  <si>
    <t>['sampah', 'sinyalnya', 'awl', 'beli', 'aman', 'aia', 'giliran', 'udh', 'pemakaian', 'langsung', 'ampas', 'sinyalnya', 'lemot', 'banget', 'kek', 'siput', '']</t>
  </si>
  <si>
    <t>['jaringan', 'susah']</t>
  </si>
  <si>
    <t>['coba', 'dlu', 'bagus', 'kasi', '']</t>
  </si>
  <si>
    <t>['asli', 'jaringannya', 'lemot', 'bnget', 'ampas', 'nyesel', 'beli', 'telkom', 'worth', 'bnget', 'menang', 'harga', 'doang', 'dikasih', 'bintang', 'layak', '']</t>
  </si>
  <si>
    <t>['telkomsel', 'lemot', 'banget', 'jaringan', 'data', 'kayak', 'penguna', 'telkomsel', 'nyaman', 'tolong', 'update', 'jaringan', 'urusin', 'harga', 'paket', 'mahal', 'jaringan', 'jelek', 'paket', 'mahal', 'ngotak', 'telkomsel']</t>
  </si>
  <si>
    <t>['tukar', 'point', 'telkomsel', 'gagal', 'trs', 'tolong', 'bantuannya', 'bintang', 'turunkan']</t>
  </si>
  <si>
    <t>['bgus', 'isi', 'pulsa']</t>
  </si>
  <si>
    <t>['jaringan', 'telkomsel', 'hilang', 'hilang', 'susah', 'buka', 'internet', 'paket', 'tolang', 'telkomsel', 'perbaiki', 'jaringan']</t>
  </si>
  <si>
    <t>['aplikasi', 'membantu', 'jaringan', 'indonesia', 'mantap', '']</t>
  </si>
  <si>
    <t>['', 'bagus', 'jelek', 'karna', 'make', 'telkomsel']</t>
  </si>
  <si>
    <t>['nonton', 'youtube', 'buffering', 'mending', 'jual', 'china', 'nie', 'telkomsel']</t>
  </si>
  <si>
    <t>['tolong', 'perbaiki', 'beli', 'paket', 'nelpon', 'seharian', 'kuota', 'telpon', 'dipakai', 'menelpon', 'dikenakan', 'tarif', 'normal', 'terkadang', 'sadar', 'pulsa', 'habis', 'cek', 'kuota', 'telpon', 'kadang', 'utuh', '']</t>
  </si>
  <si>
    <t>['bermanfaat', 'orang']</t>
  </si>
  <si>
    <t>['alhamdulillah', 'membantu']</t>
  </si>
  <si>
    <t>['sinyal', 'jelek', 'paket', 'mahal']</t>
  </si>
  <si>
    <t>['kwalitas', 'jaringan', 'kota', 'kota']</t>
  </si>
  <si>
    <t>['alikasi', 'telkomsel', 'peningkatan', 'jelek', 'maubuka', 'aplikasi', 'telkomsel', 'terputus', 'thn', 'pelanggan', 'telkomsel', 'bagus', 'aplikasinya', 'mohon', 'maaf', 'kasih', 'bintang']</t>
  </si>
  <si>
    <t>['bagus', 'mendukung']</t>
  </si>
  <si>
    <t>['aplikasi', 'sampah', 'kalah', 'provider', 'nyediain', 'aplikasi', 'kayak', 'gini', 'sedot', 'kuota', 'nggak', 'sedot', 'pulsa', 'fitur', 'safe', 'pulsa', 'pikirin', 'rakyat', 'beli', 'pulsa', 'pas', 'pasan', 'trus', 'dipotong', 'gitu', 'rp', 'tetep', 'pas', 'beli', 'kuota', '']</t>
  </si>
  <si>
    <t>['speed', 'pilah', 'pilih', 'area', 'plosok', 'kecewa', 'mahal', 'berkualitas']</t>
  </si>
  <si>
    <t>['aplikasi', 'keren', 'paket', 'data', 'kasih', 'diskon', 'donk']</t>
  </si>
  <si>
    <t>['nyisi', 'paket', 'tertera', 'harga', 'pulsa', 'todak']</t>
  </si>
  <si>
    <t>['mudah', 'mudahan', 'dpt', 'hokky']</t>
  </si>
  <si>
    <t>['jaringan', 'telkomsel', 'memuaskan', 'tolong', 'diperbaiki', 'imigrasi', 'pelanggan', 'terima', 'kasih']</t>
  </si>
  <si>
    <t>['', 'mencoba']</t>
  </si>
  <si>
    <t>['buka', 'apk', 'telkomsel', 'masuk', 'sinyal', 'jaringan', 'bagus', '']</t>
  </si>
  <si>
    <t>['kasi', 'kencang', 'jaringanmu', 'telkomsel']</t>
  </si>
  <si>
    <t>['bener', 'bener', 'mengecewakan', 'sintal', 'sulit', 'mengecewakan', 'sel']</t>
  </si>
  <si>
    <t>['sinyal', 'nomer', 'buktiya', 'lemot']</t>
  </si>
  <si>
    <t>['telkomsel', 'kartu', 'hallo', 'sinyalnya', 'jelek', 'kota', 'telkomsel', 'unggul', 'tolong', 'perbaiki', '']</t>
  </si>
  <si>
    <t>['jelek', 'jaringan', 'min', 'tolong', 'diperbaiki', 'kayak', 'gini', 'pindah', 'capek', 'main', 'game', 'lelet', 'tolong', 'min', 'diperbaiki']</t>
  </si>
  <si>
    <t>['mengecewakan', 'sinyal', 'drop', 'mengganggu', 'kegiatan', 'tolong', 'perbaiki', 'langganan', 'pakai', 'telkomsel', 'mengecewakan']</t>
  </si>
  <si>
    <t>['apk', 'butuh', 'versi', 'android', 'kasih', 'solusi', 'ponsel', 'versi', 'androidnya', 'tersedia', 'pembaharuan', 'perangkat', 'lunaknya', 'beli', 'ponsel', '']</t>
  </si>
  <si>
    <t>['harga', 'berubah', '']</t>
  </si>
  <si>
    <t>['pembelian', 'paket', 'aplikasi', 'telkomsel', 'mudah', 'informasinya', 'rasakan', 'kualitas', 'internet', 'sinyal', 'telkomsel', 'berkurang', 'buruk', 'mohon', 'maap', 'adil', 'unek', 'unek', 'semoga', 'depannya']</t>
  </si>
  <si>
    <t>['asli', 'jaringan', 'parah']</t>
  </si>
  <si>
    <t>['gilak', 'beli', 'paket', 'data', 'kali', 'nggak', 'masuk', 'uang', 'hangus', 'pulak']</t>
  </si>
  <si>
    <t>['tolong', 'sinyalnya', 'perbaikin', 'buka', 'tugas', 'sinyalnya', 'knp', 'hilang', 'min', 'paketnya', 'mahal', 'tolong', 'rugi', 'donk']</t>
  </si>
  <si>
    <t>['mantap', 'memudahkan', '']</t>
  </si>
  <si>
    <t>['boss', 'maaff', 'sinyal', 'telkomsel', 'ilng', 'bossa', '']</t>
  </si>
  <si>
    <t>['jaringan', 'memuaskan']</t>
  </si>
  <si>
    <t>['', 'telkomsel', 'tampilan', 'sulit', 'dioperasikan', 'kadang', 'layarnya', 'digeser', 'kanan', 'kiri']</t>
  </si>
  <si>
    <t>['jaringan', 'lemot', 'paket', 'data', 'diturunin', 'harganya', 'harga', 'doang', 'mahal', 'jaringannya', 'lemot', 'chuaksss']</t>
  </si>
  <si>
    <t>['udah', 'mahal', 'sinyal', 'bagus', 'tolol']</t>
  </si>
  <si>
    <t>['ditempat', 'wonosari', 'wetan', 'gang', 'surabaya', 'sinyal', 'telkomsel', 'khusus', 'data', 'jelek', '']</t>
  </si>
  <si>
    <t>['telkomsel', 'jaringan', 'meluas', 'menghubungkan', 'jarak']</t>
  </si>
  <si>
    <t>['telkomsel', 'mempermudah', 'layanan', 'jaringan', 'informasi', 'komunikasi', 'mendukung', 'percepatan', 'kemajuan', 'disegala', 'bidang', 'telkomsel', 'layanan', 'kian', 'meningkat', 'batas', 'pengguna', '']</t>
  </si>
  <si>
    <t>['jaringan', 'tolong', 'perbaiki', 'buruk', 'sinyal', 'tolong', 'pliss', 'perbaiki', 'thx']</t>
  </si>
  <si>
    <t>['lancar', 'jaya', 'mantap', 'gan']</t>
  </si>
  <si>
    <t>['telkomsel', 'asik', 'keren', 'semoga', 'sukses', 'aamiin']</t>
  </si>
  <si>
    <t>['kali', 'pakai', 'aplikasi', 'telkomsel', 'manfaat', 'hadiah', '']</t>
  </si>
  <si>
    <t>['tolong', 'jaringan', 'internet', 'bagus', 'lemot', 'kesini', 'jelek', 'jaringan', 'internet', 'parah', '']</t>
  </si>
  <si>
    <t>['sinyal', 'jelek', 'pisan', 'bagus', 'kalah']</t>
  </si>
  <si>
    <t>['sinyalnya', 'jelek', 'mulu', 'parah', '']</t>
  </si>
  <si>
    <t>['pengguna', 'telkomsel', 'puluhan', 'harga', 'mahal', 'kali', 'dibanding', 'medan', 'jaringan', 'parah', 'lelet', 'tolong', 'diperbaiki', '']</t>
  </si>
  <si>
    <t>['mudah', 'aplikasinya']</t>
  </si>
  <si>
    <t>['bintang', 'bagus', 'bagus', 'sinyalnya', 'kasi', 'bintang', '']</t>
  </si>
  <si>
    <t>['sinyal', 'jelek', 'udah', 'beli', 'kuota', 'mahal', 'jaringan', 'stabil', 'buruk', 'sinyal', 'telkomsel', 'hubungi', 'telkomsel', 'via', 'gmail', 'respon', 'otomatis', 'sesuai']</t>
  </si>
  <si>
    <t>['sebulan', 'ngelag', 'internetnya']</t>
  </si>
  <si>
    <t>['burick', 'sinyal', 'patah', 'patah']</t>
  </si>
  <si>
    <t>['jaringan', 'rusak', 'area', 'mojokerto', 'cacat', 'jaringan', 'gabisa', 'unreg', 'data', 'udah', 'habis', 'bangkrut', 'udah']</t>
  </si>
  <si>
    <t>['jaringan', 'blm', 'stabil']</t>
  </si>
  <si>
    <t>['tingkatkan', 'area', 'liang', 'anggang', 'landasan', 'ulin', '']</t>
  </si>
  <si>
    <t>['jaringan', 'telkomsel', 'bagus', 'tolong', 'diperbaiki', '']</t>
  </si>
  <si>
    <t>['paket', 'internet', 'konsisten']</t>
  </si>
  <si>
    <t>['telkomsel', 'mantap', 'bnnggeeettt']</t>
  </si>
  <si>
    <t>['puas', 'jaringannya', 'luas']</t>
  </si>
  <si>
    <t>['lemot', 'gimana']</t>
  </si>
  <si>
    <t>['mantaapp', 'posisi', 'teratas', '']</t>
  </si>
  <si>
    <t>['kuota', 'gamesmax', 'nyusahin', 'login', 'game', 'pakai', 'kuota', 'utama', 'kayak', 'kena', 'fup', 'banhkan', 'ngaruh', 'aplikasi', 'udah', 'gitu', 'nggak', 'unreg', 'paket', '']</t>
  </si>
  <si>
    <t>['menyayangkan', 'telkom', 'sebenernya', 'jaringannya', 'merakyat', 'berkali', 'beli', 'paket', 'internet', 'pulsa', 'berkurang', 'wkwkw', 'salahkuu', 'wkwkwk', 'perbaikan', 'yaa', 'min']</t>
  </si>
  <si>
    <t>['diskon', 'doang', 'murah', 'beli', 'kuota', 'jaringan', 'jelek', 'main', 'merah', 'kuning', 'jarang', 'hijau', 'perbaiki', 'mengklaim', 'jaringan', 'nomor', 'indo']</t>
  </si>
  <si>
    <t>['', 'paham', 'poin', 'bintang', '']</t>
  </si>
  <si>
    <t>['kartu', 'babi', 'pulsa', 'gua', 'kesedot', 'mulu', 'gua', 'minjem', 'pulsa', 'berlangganan', 'apapun', 'isi', 'pulsa', 'kesedot', 'mulu', 'taiiiiiii', '']</t>
  </si>
  <si>
    <t>['akurat', 'cepat', 'manfaat']</t>
  </si>
  <si>
    <t>['telkomsel', 'lemooooot']</t>
  </si>
  <si>
    <t>['beli', 'paket', 'data', 'app', 'telkomsel', 'sms', 'aktif', 'pulsa', 'kesedot', 'berulang', 'kali', '']</t>
  </si>
  <si>
    <t>['kartu', 'mahal', 'bos', 'jaringan', 'isi', 'paket', 'pas', 'main', 'game', 'sinyal', 'jelak', 'kali', '']</t>
  </si>
  <si>
    <t>['sinyalnya', 'kuat', 'kualitas', 'kecepatan', 'internetny', 'jelek', 'tolong', 'tingkatkan', 'jaringan', 'telkomselnya']</t>
  </si>
  <si>
    <t>['aksesnya', 'mudah']</t>
  </si>
  <si>
    <t>['langsung', 'respon', 'trmksih']</t>
  </si>
  <si>
    <t>['jaringan', 'lumayan']</t>
  </si>
  <si>
    <t>['aplikasi', 'bagus', 'memudahkan', 'transaksi', 'paket', 'telepon', '']</t>
  </si>
  <si>
    <t>['buruk', 'lemot', 'sampah', 'tolong', 'diperbaiki', 'bnr', 'merugikan', 'mengecewakan', '']</t>
  </si>
  <si>
    <t>['afiliasi', 'bagus', 'sdan', 'menyenangkan']</t>
  </si>
  <si>
    <t>['quota', 'bicara', 'menit', 'apk', 'operator', 'tolong', 'kalimatnya', '']</t>
  </si>
  <si>
    <t>['dibedakan', 'pengguna', 'paket', 'ditawarkan', 'reply', 'menghubungi', 'twitter', 'maaf', 'mbak', 'faza', 'ngga', 'aktif', 'twitter', '']</t>
  </si>
  <si>
    <t>['telkom', 'jeringan', 'lemot', 'harga', 'mahal']</t>
  </si>
  <si>
    <t>['suka', 'aplikasinya']</t>
  </si>
  <si>
    <t>['parah', 'parah']</t>
  </si>
  <si>
    <t>['jaringan', 'mantap', 'cuman', 'memakn', 'data', 'sikit', 'ngeleg', 'beralih', 'ganti', 'kartu', 'jaringan', 'burik', '']</t>
  </si>
  <si>
    <t>['kecewa', 'telkomsel', 'sumpah', 'jelek', 'banget', 'udaah', 'paketnya', 'mahal', 'mahal', 'ujan', 'signalnya', 'gada', 'sma', 'makinnnnn', 'mengecewakannnnnnnnnlah', 'pokonya', 'mah', '']</t>
  </si>
  <si>
    <t>['pulsa', 'kesedot', 'kuota']</t>
  </si>
  <si>
    <t>['nyesel', 'beli', 'kartu', 'perdana', 'isi', 'pulsa', 'pulsa', 'terpotong', 'pulsa', 'mintalah', 'diam', 'ambil', 'pulsa', '']</t>
  </si>
  <si>
    <t>['telkomsel', 'emang', 'cepet', 'nyebelin', 'mahal', 'buka', 'telkomsel', 'menit', 'pulsa', 'kepotong', 'pemakaina', 'kuota', 'boros', 'alias', 'mudah', 'habis', 'nonton', 'youtube', 'menit', 'pakai', 'kartu', 'mb', 'pakai', 'telkomsel', 'mb']</t>
  </si>
  <si>
    <t>['', 'kartu', 'telkomsel', 'oke', 'jaringan', 'bagus', 'stabil', 'kesini', 'jelek', 'jaringan']</t>
  </si>
  <si>
    <t>['mempermudah', 'pengisian', 'paket', 'promonya']</t>
  </si>
  <si>
    <t>['super', '']</t>
  </si>
  <si>
    <t>['kecewa', 'sinyal', 'jelek', 'pengisian', 'voucher', 'susah', 'sistem', 'sibuk', 'mulu', 'adminnya', 'lelet', 'skp', 'sesuai', 'harga', 'persetan', 'wajib', 'ganti', 'provider', 'kecewa']</t>
  </si>
  <si>
    <t>['ndak', 'sinyal', 'trekomsel']</t>
  </si>
  <si>
    <t>['sinyal', 'kuat', 'jarang', 'gangguan', 'pokok', 'puas', 'memakai', 'kartu', 'simpati']</t>
  </si>
  <si>
    <t>['bagus', 'jaringan', 'ngilang', 'harga', 'paket', 'mahal', 'sinyal', 'kek', 'gitu', '']</t>
  </si>
  <si>
    <t>['telkomsel', 'serba', 'murah']</t>
  </si>
  <si>
    <t>['telkomsel', 'jaringannya', 'burik', 'busuk', 'kota', 'beli', 'kuota', 'ngemis']</t>
  </si>
  <si>
    <t>['isi', 'data', 'ful']</t>
  </si>
  <si>
    <t>['pulsa', 'nelpon', 'pulsa', 'data']</t>
  </si>
  <si>
    <t>['keren', 'aplikasinya', 'mohon', 'yaa', 'menang', 'undian', 'telkomsel', 'hadiah', 'mobil', '']</t>
  </si>
  <si>
    <t>['', 'telkomsel', 'parah', 'jaringan', 'hilang', 'telkomsel', '']</t>
  </si>
  <si>
    <t>['rugi', 'gue', 'langganan', 'telkomsel', 'rugi', 'gue', 'beli', 'paket', 'internet', 'lemot', 'kasih', 'paket', 'internet', 'susah', 'orang']</t>
  </si>
  <si>
    <t>['jaringan', 'sinyal', 'konsisten']</t>
  </si>
  <si>
    <t>['sinyal', 'telkomsel', 'buruk', 'kota', '']</t>
  </si>
  <si>
    <t>['kecewa', 'telkomsel', 'nyedot', 'pulsa', 'jaringan', 'jelek']</t>
  </si>
  <si>
    <t>['jaringan', 'emosi', 'gara', 'gara', 'jaringan', 'nggak', 'main', 'game', 'mohon', 'perbaiki']</t>
  </si>
  <si>
    <t>['paket', 'telkomsel', 'kenapah', 'mahal', 'omg', 'seharus', '']</t>
  </si>
  <si>
    <t>['heran', 'telkomsel', 'kuota', 'masuk', 'beli', 'kuota', 'kuota', 'masuk', 'gb', 'heran']</t>
  </si>
  <si>
    <t>['kualitas', 'jaringan', 'jelek', 'harga', 'mahal', 'jaringan', 'busuk', '']</t>
  </si>
  <si>
    <t>['sinyal', 'lelet']</t>
  </si>
  <si>
    <t>['jaringan', 'murahan', 'hilang']</t>
  </si>
  <si>
    <t>['emg', 'terbaik', 'telkomsel']</t>
  </si>
  <si>
    <t>['berisi', 'promo', 'promo', 'senang']</t>
  </si>
  <si>
    <t>['murah', 'cepat']</t>
  </si>
  <si>
    <t>['jaringan', 'parah', 'lemot', 'dlu', 'cepat', 'parah', '']</t>
  </si>
  <si>
    <t>['kecewa', 'kartu', 'halo', 'udah', 'minggu', 'koneksi', 'internetnya', 'bayar', 'paket', 'dipake', 'tetep', 'bayar', 'mending']</t>
  </si>
  <si>
    <t>['diperbaharui', 'lelet']</t>
  </si>
  <si>
    <t>['sinyal', 'kuat', 'paket', 'hemat']</t>
  </si>
  <si>
    <t>['', 'mantap', 'kali', 'banding', 'beli', 'paket', 'dial', 'mahal', 'apps', 'lumayan', 'potongan', 'ditambah', 'kadang', 'hadiah', 'paketan', 'murah', 'mantap', 'kali', 'baahh']</t>
  </si>
  <si>
    <t>['pelanggan', 'kecewa', 'jaringan', 'jelek', '']</t>
  </si>
  <si>
    <t>['telkomsel', 'juoos']</t>
  </si>
  <si>
    <t>['membantu', 'skali', 'pokonya', 'telkomsel']</t>
  </si>
  <si>
    <t>['telkomsel', 'jaringannya', 'perbaiki', 'tolol', 'bnget', 'jringnnnya', 'mohon', 'maaf', 'sya', 'ngomong', 'gini', 'muak']</t>
  </si>
  <si>
    <t>['najiss', 'kuota', 'mahal', 'sinyal', 'berkualitas', 'ayolah', 'sinyal', 'diluasin', 'dikota', 'doang', 'serba', 'online', 'pokusin', 'pedesaan', 'malu', 'pelanggan', 'komplen', 'iya', 'harga', 'mahal', 'sinyal', 'jelek', 'kadang', 'sinyal', 'hilang', '']</t>
  </si>
  <si>
    <t>['loading', 'aplikasinya', 'susah', 'banget', 'mytsel', 'roli', 'susah', 'senewen', 'tlong', 'perbaiki', 'servis', 'kasih', '']</t>
  </si>
  <si>
    <t>['singnal', 'bagus']</t>
  </si>
  <si>
    <t>['telkomsel', 'nggak', 'ribet']</t>
  </si>
  <si>
    <t>['terima', 'kasih', 'telkomsel', 'hot', 'promonya', 'semoga', 'sukses']</t>
  </si>
  <si>
    <t>['', 'dipermudah']</t>
  </si>
  <si>
    <t>['beli', 'pulsa', 'mudah']</t>
  </si>
  <si>
    <t>['rakus', 'owner', 'telkomsel', 'direksi', 'telkomsel', 'program', 'berpengaruh', 'jaringan', 'harga', 'paket', 'mahal', 'bagus', 'kali', 'jaringan', 'udah', 'rugi', 'kali', 'beli', 'paket', 'lantaran', 'udah', 'banyaknya', 'kawan', 'nomor', 'udah', 'campakkan', 'kemarin', '']</t>
  </si>
  <si>
    <t>['', 'sinyal', 'mengalami', 'penurunan', 'dikategorikan', 'lemah', 'buruk', 'paket', 'internet', 'kepuasan', 'pelanggan', 'telkomsel', 'pengguna', 'menang', 'undian', 'aplikasi', 'telkimsel', 'tukar', 'poin', 'minimal', 'gelas', 'payung', 'gitu', 'telkomsel', 'tingkatkan']</t>
  </si>
  <si>
    <t>['telkomsel', 'sinyal', 'udh', 'jelek', 'tukang', 'rampok', 'recommended', 'isi', 'paket', 'pulsa', 'ilang', 'tolong', 'perbaiki', 'layanan', 'udah', 'rugi', 'uang']</t>
  </si>
  <si>
    <t>['mantaaaappp', 'cuman', 'blm', 'prnh', 'dapetin', 'event', 'hadiah', 'point', 'mudahan', 'kedepannya', 'pemenang', 'tukar', 'poin', 'hadiah', 'heheheee']</t>
  </si>
  <si>
    <t>['minggu', 'jaringan', 'telkomsel', 'buruk', 'signal', 'terputus', 'koneksi', 'internet', 'hilang', 'mengganggu', 'menggangu', 'konsumen', 'membeli', 'produk', 'membayar', 'uangnya', 'kewajiban', 'hak', 'konsumen', 'sesuai', 'produk', 'konsumen', 'beli', 'uang', 'pelayanan', 'buruk', 'buruk', 'buruk', 'provider', '']</t>
  </si>
  <si>
    <t>['semoga', 'sukses', 'telkomsel']</t>
  </si>
  <si>
    <t>['apalah', 'telkomsel', 'paket', 'data', 'mahal', 'kualitas', 'jelek', 'mending', 'mati', 'jaringan', 'telkomsel', 'kelama', 'buka', 'membaik', 'memburuk', 'diunggulin', '']</t>
  </si>
  <si>
    <t>['saran', 'peket', 'mahal', 'jaringan', 'bagus', 'udh', 'mahal', 'jaringannya', 'lemod', 'lemod', 'mending', 'harganya', 'murah', 'rugi']</t>
  </si>
  <si>
    <t>['tes', 'kasih', 'dlu', 'bru', 'kasih', 'bintang', '']</t>
  </si>
  <si>
    <t>['telkomsel', 'jaringan', 'kntl', 'ajg']</t>
  </si>
  <si>
    <t>['informasi', 'bermanfaat']</t>
  </si>
  <si>
    <t>['pengguna', 'kartu', 'beli', 'paketan', 'unlimitide', 'berasa', 'kena', 'tipu', 'buka', 'gua', 'udh', 'kena', 'buka', 'beli', 'kecepatan', 'mbps', 'buka', 'kocak']</t>
  </si>
  <si>
    <t>['kemudahan', '']</t>
  </si>
  <si>
    <t>['hallo', 'min', 'pulsa', 'berkurang', 'menghidupkan', 'data', 'seluler', 'belom', 'pulsa', 'kesedot', 'rb', 'esokan', 'kaya', 'telkomsel', 'biadab', 'kesedot', 'ngga', 'menit', 'berkurang', 'pulsa', 'data', 'seluler', 'nonaktif', 'menit', 'berkurang', 'habis', 'pulsa', 'tolong', 'perbaiki', 'mohon']</t>
  </si>
  <si>
    <t>['diupdate', 'dibuka', 'gimana', 'nich', '']</t>
  </si>
  <si>
    <t>['paket', 'kring', 'mahal']</t>
  </si>
  <si>
    <t>['terahasiakan']</t>
  </si>
  <si>
    <t>['beli', 'kuota', 'hemat']</t>
  </si>
  <si>
    <t>['memper', 'mudah', 'pembelian', 'internet', 'terima', 'kasih', 'telkosel', '']</t>
  </si>
  <si>
    <t>['pertahankan', '']</t>
  </si>
  <si>
    <t>['suka', 'telkomsel', 'karna', 'hadia', 'poinnya']</t>
  </si>
  <si>
    <t>['kadang', 'ajg']</t>
  </si>
  <si>
    <t>['', 'karna', 'coba']</t>
  </si>
  <si>
    <t>['memudahkan', 'bertransaksi', 'info', 'paket', 'internet', 'telepon', 'sms', 'harga', 'murah', 'dibeli', 'aplikasi', 'call', 'number']</t>
  </si>
  <si>
    <t>['aplikasi', 'berat', 'yakalu', 'aplikasi', 'cek', 'pulsa', 'kuota', 'berat', 'fitur', 'berguna']</t>
  </si>
  <si>
    <t>['bermanfaat', 'fitur', 'lengkap']</t>
  </si>
  <si>
    <t>['telkomsel', 'gimana', 'data', 'nyala', 'dipakai', 'pdhl', 'beli', 'kartunya']</t>
  </si>
  <si>
    <t>['csnya', 'training', 'yaa', 'beli', 'pulsa', 'ngga', 'masuk', 'chat', 'kill', 'telfon', 'team', 'leadernya', 'ngga', 'peduli', 'dianya', '']</t>
  </si>
  <si>
    <t>['khusus', 'boyolali', 'kec', 'klego', 'paketanmu', 'mahalnya', 'selangit', 'kualitas', 'sinyalmu', 'nomer', 'sekian', 'pikirin', 'konsumen', 'memakaimu', 'woii', 'cuman', 'ambil', 'untung', 'selangit', 'gue', 'beralih', 'smartfren', 'sinyalmu', 'terusan', 'busuk', 'kek', 'gini', 'bayar', 'mahal', 'fasilitas', 'sampah']</t>
  </si>
  <si>
    <t>['aplikasinya', 'jelek', 'banget', 'login', 'linknya', 'kadaluarsa']</t>
  </si>
  <si>
    <t>['paketannya', 'murah', '']</t>
  </si>
  <si>
    <t>['bagus', 'pengguna', 'telkomsel', 'mamfaatnya', 'kuota', 'murah', 'paket', 'nelpon', 'super', 'murah', 'inovasi', 'memakai', 'kartu', 'telkomsel', 'sukses', 'slalu', 'telkomsel', '']</t>
  </si>
  <si>
    <t>['apk', 'bagus', 'banget', 'membantu', 'pembelian', 'paket', 'pulsa', 'bismillahirrahmanirrahim', 'dapet', 'pulsa', '']</t>
  </si>
  <si>
    <t>['jlas', 'paketann', 'tetep', 'plsa', 'ambilll', 'hbs']</t>
  </si>
  <si>
    <t>['', 'suka', 'membantu']</t>
  </si>
  <si>
    <t>['jaringan', 'full', 'ngelag', 'apaansih', 'trus', 'beli', 'kuota']</t>
  </si>
  <si>
    <t>['paket', 'jam', 'harga']</t>
  </si>
  <si>
    <t>['keren', 'bangat', 'liat', 'liat']</t>
  </si>
  <si>
    <t>['bermanfaat', 'sekaliii']</t>
  </si>
  <si>
    <t>['pembelian', 'paket', 'permainkan', 'paket', 'muncul', 'paket', 'promo', 'murah', 'paket', 'beli', 'susahnya', 'ampun', 'mlm', 'hadeeehhh', 'ngabisin', 'pulsa', 'utama', 'muncul', 'paket', 'promo', 'dibeli', 'diklaim', 'hrga', 'paketnya', 'mahal', 'dibanding', 'provider', 'sebelah', 'susah', 'lelet', 'buka', 'app', 'telkomsel', '']</t>
  </si>
  <si>
    <t>['kualitas', 'siyal', 'bagus']</t>
  </si>
  <si>
    <t>['jaringan', 'jaringan', 'lancar', 'telkomsel', 'anehh']</t>
  </si>
  <si>
    <t>['membuka', 'aplikasi', 'dibuka', 'tolong', 'diperbaiki', 'kondisi']</t>
  </si>
  <si>
    <t>['jaringan', 'lelet', 'please']</t>
  </si>
  <si>
    <t>['udah', 'beli', 'paket', 'gamemax', 'mytelkomsel', 'diamond', 'kuotanya', 'masuk', 'pulsa', 'habis', 'gimana', 'telkomsel', 'balikin', 'pulsa']</t>
  </si>
  <si>
    <t>['yes', 'maju', 'trs', 'telkomsel']</t>
  </si>
  <si>
    <t>['apk', 'bangus']</t>
  </si>
  <si>
    <t>['tempatku', 'tinggal', 'tempatku', 'kerja', 'sinyalnya', 'busuk', 'banget', 'bagus', 'kasih', 'bintang', '']</t>
  </si>
  <si>
    <t>['mantap', 'diman', 'dimana', 'jaringan', 'telkomsel', 'sudut', 'sudut', 'sulawesi', 'membantu', 'pekerja', 'outdoor']</t>
  </si>
  <si>
    <t>['apk', 'jelek', 'bngt', 'gabisa', 'daftar', 'pengguna', '']</t>
  </si>
  <si>
    <t>['semudah', 'log', 'link', 'sms']</t>
  </si>
  <si>
    <t>['telkomsel', 'contoh', 'buka', 'dositu', 'pilihan', 'paket', 'weekend', 'iyakan', 'berlaku', '']</t>
  </si>
  <si>
    <t>['dipaksa', 'download', 'aplikasi', 'cek', 'kuota', 'mengecewakan']</t>
  </si>
  <si>
    <t>['jaringan', 'ngelag', 'sulit', 'bermain', 'game', 'online', 'kuota', 'mahal', 'ngelag', 'asw']</t>
  </si>
  <si>
    <t>['mahal', 'mahal', 'bentar', 'ganti', 'kartu', '']</t>
  </si>
  <si>
    <t>['jaringan', 'internet', 'buruk', 'sinyal', 'indikator', 'kecepatan', 'internet', 'tolong', 'provider', 'menindaklanjuti', 'aplikasi', 'tolong', 'detail', 'ynag', 'akurat', 'terkait', 'kecepatan', 'mbps', 'dirugikan', 'beli', 'paketan', 'internet', 'tolong', 'ditanggapi', 'serius']</t>
  </si>
  <si>
    <t>['maaf', 'turunin', 'ratingnya', 'tlng', 'koneksinya', 'diperbarui', 'ditingkatkan', 'stabil', 'jaringan', 'didaerah', 'pelosok', 'pedesaan']</t>
  </si>
  <si>
    <t>['sinyal', 'jelek', 'trs', 'main', 'ngeleg']</t>
  </si>
  <si>
    <t>['mendaftar', 'nomor', 'daftar', 'nomor', 'daftar', 'menghapus', 'nomor', 'pakai', 'terimakasih']</t>
  </si>
  <si>
    <t>['bagus', 'cuman', 'sinyalnya', 'jelek', 'paketannya', 'marahal', 'tingkatkan', 'sinyalnya', 'tolong', 'murahin', 'paketannya', '']</t>
  </si>
  <si>
    <t>['lumayan', 'bagus', 'tpi', 'lelet']</t>
  </si>
  <si>
    <t>['signal', 'klau', 'brada', 'didlm', 'rumah', 'alamat', 'kelapa', 'kel', 'jawi', 'jawi', 'kec', 'bulukumpa', 'kab', 'bulukumba', 'sulawesi', 'selatan', 'patokan', 'mesjid']</t>
  </si>
  <si>
    <t>['murah', 'banget', 'beli', 'kuota', 'boros']</t>
  </si>
  <si>
    <t>['bagus', 'banget', 'aplikasinya', 'bagussssss', 'banget', 'pokok', 'bagus', 'deh']</t>
  </si>
  <si>
    <t>['kasih', 'paket', 'promo', 'pilih', 'pilih', 'nomor', 'kemaren', 'paket', 'gb', 'fiuh', 'bicara', 'sinyal', 'internet', 'daerah', 'bandwith', 'gede', 'ahhh', 'lupakan', 'ngomongnya', 'daerah', '']</t>
  </si>
  <si>
    <t>['', 'cobaien', 'telkomsel', 'bagus']</t>
  </si>
  <si>
    <t>['pembelian', 'mudah', 'pulsa', 'paket', 'internet', 'rumah', 'mupun', 'dpinggir', 'jalan', 'habisan', 'pulsa', 'paket', 'internet', 'bonus', 'hadiah', 'tawarkan', 'telkomsel', 'success', 'telkomsel', '']</t>
  </si>
  <si>
    <t>['telkomsel', 'perbaikan', 'kabel', 'udah', 'selesai', 'sinyal', 'susah', 'harga', 'paketan', 'nambah', 'pelanggan', 'kecewa', 'harga', 'sesuai', 'kualitas']</t>
  </si>
  <si>
    <t>['jaringan', 'kuat', 'omong', 'kosong', 'omong', 'kosong', '']</t>
  </si>
  <si>
    <t>['telkomsel', 'membantu', 'sarans', 'komunikasi', 'telkomsel', 'hadir', 'daerah', 'pegunungan', 'dataran']</t>
  </si>
  <si>
    <t>['signalny', 'tiada', 'banding', 'pokokny', 'topmarkotob', 'wall', 'lhebgodheb', 'dech', 'jelasny', '']</t>
  </si>
  <si>
    <t>['bagus', 'memudahkan', 'akses']</t>
  </si>
  <si>
    <t>['kasihan', 'kasih', 'bintang', 'wkwkwkw', 'maaf', 'kasih', 'hijrah', 'provider', 'aktif', 'kartu', 'sebentar', 'terimakasih', 'pelanggan', 'telkomsel', '']</t>
  </si>
  <si>
    <t>['enak', 'dipakainya', 'ribet']</t>
  </si>
  <si>
    <t>['mohon', 'kuotanya', 'murah', '']</t>
  </si>
  <si>
    <t>['kerennnb', 'pokok']</t>
  </si>
  <si>
    <t>['aplikasi', 'pilih', 'pilih', 'paket', 'akun', 'beda', 'penawaran', 'harga']</t>
  </si>
  <si>
    <t>['harga', 'turunin', 'mahal', 'kali', 'boss', 'paket', 'paket', 'nelpon', 'udah', 'kurangin', '']</t>
  </si>
  <si>
    <t>['senang', 'puas', 'banget', 'layanan', 'telkomse', 'terimakasi', 'telkomsel', 'hadirkan', 'terbaik', 'pelangganya', '']</t>
  </si>
  <si>
    <t>['pakai', 'kuota', 'multimedia', 'gmn', '']</t>
  </si>
  <si>
    <t>['aplikasi', 'membantu', 'pengguna', 'tingkatkan', 'kenyamanan']</t>
  </si>
  <si>
    <t>['praktis', 'sngt', 'akurat', '']</t>
  </si>
  <si>
    <t>['pulsa', 'tersedot', 'paketan', 'min', 'complain', 'pulsanya', 'kesel', '']</t>
  </si>
  <si>
    <t>['aplikasi', 'jelekkkk', 'iya', 'bayar', 'paket', 'darurat', 'tpi', 'dipotong', 'saldo', 'pulsa', 'telkomsel', 'bersahabat', 'pelanggan', 'terkenal', 'menjual', 'produk', 'mahal', '']</t>
  </si>
  <si>
    <t>['jringan', 'terburuk']</t>
  </si>
  <si>
    <t>['terjangkau', 'tpi', 'klw', 'mati', 'lampu', 'mendung', 'suka', 'lemooot', '']</t>
  </si>
  <si>
    <t>['aplikasi', 'membantu', 'tingkatkan', 'promonya', '']</t>
  </si>
  <si>
    <t>['telkomsel', 'layanan', 'jaringan', 'terbaik', 'pelanggan']</t>
  </si>
  <si>
    <t>['telkomsel', 'bosok', 'gampang', 'gangguan', 'paket', 'mahal', 'niat', 'laku', 'tempatku', 'telkompet', 'perbaiki', 'jaringanya', 'bentar', 'ilang', 'sinyal', 'emang', 'kartu', 'rusak', 'mahal', 'sinyal', 'kaya', 'babi']</t>
  </si>
  <si>
    <t>['kecewa', 'beli', 'paket', 'pendidikan', 'pakai', 'mohon', 'bantu', 'paket', 'pendidikannya']</t>
  </si>
  <si>
    <t>['sulit', 'membeli', 'paketnya', 'mudah', 'masalaj', 'jaringan', 'silahkan', 'coba', 'menit', 'dicoba', 'gimana', 'telkomsel', 'maju', '']</t>
  </si>
  <si>
    <t>['mantap', 'hebat', 'puas', 'deh']</t>
  </si>
  <si>
    <t>['promo', 'sebentar']</t>
  </si>
  <si>
    <t>['jenis', 'paketan', 'coba', 'kuota', 'utama']</t>
  </si>
  <si>
    <t>['susah', 'masuk', 'cek', 'kuota']</t>
  </si>
  <si>
    <t>['udah', 'bagus', '']</t>
  </si>
  <si>
    <t>['jaringannya', 'lelet', 'lemot']</t>
  </si>
  <si>
    <t>['memuaskan', 'terima', 'kasih', 'telkomsel']</t>
  </si>
  <si>
    <t>['terbantu', 'aplikasi', 'telkomsel', 'promo', 'surprise', 'deal', 'menggiurkan']</t>
  </si>
  <si>
    <t>['ganti', 'kartu', 'pinda', 'operator', 'telkomsel', 'slalu', 'terbaik', 'pilihan', '']</t>
  </si>
  <si>
    <t>['tingkatkan', 'kualitas', 'pedalaman', 'ketinggalan', 'informasi']</t>
  </si>
  <si>
    <t>['dlu']</t>
  </si>
  <si>
    <t>['gmn', 'buka']</t>
  </si>
  <si>
    <t>['sinyal', 'oke', 'banget']</t>
  </si>
  <si>
    <t>['telkomsel', 'bagus', 'bermanfaat']</t>
  </si>
  <si>
    <t>['sinyal', 'kadang', 'buruk', 'harga', 'doang', 'high', 'kualitas', 'low', 'telk', 'telkomsel', 'nama', 'doang', 'bagus', 'kualitas', 'buruk']</t>
  </si>
  <si>
    <t>['stuck', 'logonya', '']</t>
  </si>
  <si>
    <t>['semoga', 'awet']</t>
  </si>
  <si>
    <t>['fitur', 'pulsa', 'safe', 'data', 'habis', 'sedot', 'pulsa', 'tingkatkan', 'jaringannya', 'sampe', 'kesalip', 'tetangga', 'sbelah', '']</t>
  </si>
  <si>
    <t>['sumpah', 'tenang', 'gua', 'maen', 'game', 'ajg', 'jelek', 'parah', 'telkomsel']</t>
  </si>
  <si>
    <t>['masuk', 'ngulang', 'trus']</t>
  </si>
  <si>
    <t>['aplkasi', 'hapus', 'playstore', 'gunanya', 'beli', 'paket', 'alasannya', 'maaf', 'gangguan', 'sistem', 'uang', 'dasar', 'aplikasi', 'sampah']</t>
  </si>
  <si>
    <t>['dipake', 'dengerin', 'music', 'sinyal', 'kuota', 'tolong', 'diperbaiki', 'memperbaiki']</t>
  </si>
  <si>
    <t>['mantap', 'sapet', 'promo', 'murah']</t>
  </si>
  <si>
    <t>['bagus', 'download']</t>
  </si>
  <si>
    <t>['klaim', 'hadiah', 'pakai', 'poin']</t>
  </si>
  <si>
    <t>['lumayan', 'okelah', '']</t>
  </si>
  <si>
    <t>['mudah', 'bnget', 'pembelian', 'paket', 'data', 'harga', 'murah', 'bnget']</t>
  </si>
  <si>
    <t>['apk', 'terbaik', 'bidangnya', 'thanks']</t>
  </si>
  <si>
    <t>['assalamualaikum', 'pensiunan', 'usia', 'tinggal', 'desa', 'kota', 'jaringan', 'tsel', 'kadang', 'mati', 'lampu', 'pln', 'mati', 'sinyal', 'tsel', 'hilang', 'susah', 'ber', 'komunikasi', 'org', 'pemakaian', 'dpt', 'dikirimkan', 'tsel', 'informasikan', 'terima', 'kasih', 'wassallam']</t>
  </si>
  <si>
    <t>['telkomsel', 'hati', 'terbaik', 'aplikasi', 'telkomsel', 'mudah', 'memuat', 'fitur', 'semoga', 'telkomsel', 'pelayanan', 'terbaik', 'pelanggan', 'pelanggannya']</t>
  </si>
  <si>
    <t>['metode', 'pembayaran', 'membeli', 'pulsa', 'paket', 'data', 'bermasalah']</t>
  </si>
  <si>
    <t>['', 'berkah']</t>
  </si>
  <si>
    <t>['memuaskan', 'hadiah', 'harga', 'kuotanya', 'terjangkau', 'jaringan', 'bagus']</t>
  </si>
  <si>
    <t>['terimakasih', 'melayani', '']</t>
  </si>
  <si>
    <t>['aplikasi', 'sngat', 'bagus']</t>
  </si>
  <si>
    <t>['jaringan', 'terluas', 'indonesia', 'dikedaung', 'kota', 'sinyal', 'turun', 'gsm', 'interney', 'lelet', 'pik', 'sinyal', 'stabil', 'internet', 'lelet', 'kapok', 'kuota', 'telkomsel', '']</t>
  </si>
  <si>
    <t>['', 'telkomsel', 'panggilan', 'irit', 'klau', 'untum', 'paketkan', 'telvon']</t>
  </si>
  <si>
    <t>['sinyalnya', 'jelek', 'truzz']</t>
  </si>
  <si>
    <t>['jaga', 'pelalayanan', 'serrver', 'stabil']</t>
  </si>
  <si>
    <t>['tdnya', 'seneng', 'banget', 'telkomsel', 'dpet', 'promo', 'ceria', 'hrganya', 'lumayan', 'ramah', 'dikantong', 'smakin', 'ksni', 'smakin', 'skrng', 'naiknya', 'lipat', 'hadeuh', 'tega', 'bangett', 'ngga', 'recomended', 'minimal', 'nmbah', 'aktif', 'hrga', 'kompensasi', 'mah', 'rb', 'sminggu', 'tlong', 'dturunin', 'harga', 'kehilangan', 'customer', '']</t>
  </si>
  <si>
    <t>['daerah', 'maluku', 'telkomsel', 'pakai', '']</t>
  </si>
  <si>
    <t>['tolong', 'teruntuk', 'telkomsel', 'misi', 'hadiah', 'harian', 'check', 'dihapus', 'hadiah', 'voucher', 'aplikasi', 'zalora', 'update', 'hadiah', 'kouta', 'minimal', 'gb', 'ulasan', 'terima', 'kasih', '']</t>
  </si>
  <si>
    <t>['internetnya', 'jelek', 'pdhl', 'kartu', 'halo', 'dpt', 'sms', 'data', 'aman', '']</t>
  </si>
  <si>
    <t>['paket', 'data', 'area', 'papua', 'kemahalan', '']</t>
  </si>
  <si>
    <t>['aplikasix', 'jelek', 'nyesel', 'donwload']</t>
  </si>
  <si>
    <t>['min', 'pulsaq', 'berkurang', 'konsumen', 'rugi', 'min', 'tolong', 'diperbaiki', 'sistemnya']</t>
  </si>
  <si>
    <t>['bagus', 'mudah', 'penguna', 'promo', 'promo', 'pertahankan', 'tingkatkan']</t>
  </si>
  <si>
    <t>['mudah', 'pembelian', 'kuota', 'aplikasi', 'mudah']</t>
  </si>
  <si>
    <t>['aplikasi', 'beli', 'kuota', 'pembayaran', 'shopeepay', 'kuota', 'ngk', 'masuk', 'dana', 'berkurang', 'syaratnya', 'ribet', 'iklasin', 'itung', 'sedekah', '']</t>
  </si>
  <si>
    <t>['jaringannya', 'kuat', 'gangguan', 'sempurna']</t>
  </si>
  <si>
    <t>['aplikasi', 'membantu', 'mempermudah', 'bangeeet']</t>
  </si>
  <si>
    <t>['bermanfaat', 'membantu', 'aktivitas', 'sehari']</t>
  </si>
  <si>
    <t>['mantap', 'kasih', 'bintang', 'dahh', '']</t>
  </si>
  <si>
    <t>['jajanan', 'link']</t>
  </si>
  <si>
    <t>['paket', 'butuhkan', 'dicari', 'bertambah', 'paket']</t>
  </si>
  <si>
    <t>['semoga', 'telkomsel', 'sukses']</t>
  </si>
  <si>
    <t>['maaf', 'berfungsi', 'poin']</t>
  </si>
  <si>
    <t>['parah', 'lemot', 'bgti']</t>
  </si>
  <si>
    <t>['', 'telkom', 'ngisi', 'tenggang', 'gmna']</t>
  </si>
  <si>
    <t>['kirim', 'hadiah', 'kuota', 'orangtua', 'paketan', 'internetnya', 'pilihan', 'combo', 'sakti', 'perbulan', 'harganya', 'murah', 'mahal', 'payah', 'pakai', 'nomor', 'telkomsel', 'kualitas', 'jaringan', 'telkomsel', 'jelek', 'banget', 'beda', 'kayak', 'kecewa', 'kualitas', 'telkomsel', 'auto', 'move', 'kartu', '']</t>
  </si>
  <si>
    <t>['kualitas', 'simpati', 'dlu', 'nomer', 'the', 'best', 'poko', '']</t>
  </si>
  <si>
    <t>['senang', 'mudah', 'pakai', 'ribet', 'beraktifitas']</t>
  </si>
  <si>
    <t>['sinyal', 'telkomsel', 'busuk', 'banget']</t>
  </si>
  <si>
    <t>['paket', 'udah', 'pas']</t>
  </si>
  <si>
    <t>['simpati', 'sinyalnya', 'jelek', 'parah', 'beda', 'simpati', 'sinyalnya', 'bagus', 'banget', '']</t>
  </si>
  <si>
    <t>['semenjak', 'slank', 'telkom', 'signal', 'poin', 'pulsa', 'ilang', 'molo', 'tong', 'kosong', 'nyaring', 'bunyinye', 'duduk', 'manis', 'doank', 'komisaris', 'slengean', 'dpt', 'warisan', '']</t>
  </si>
  <si>
    <t>['komentar', 'hapus', 'hah', 'tersinggung', 'apalah', 'telkomsel', 'paket', 'mahal', 'pakai', 'boros', 'jaringan', 'kadang', 'drop', 'kota', 'tampilan', 'ajah', 'reconnect', 'mulu', 'hhhhh', 'kali', 'nyesel', 'pakai', 'telkomsel', '']</t>
  </si>
  <si>
    <t>['puas', 'telkomsel', 'simpati', 'jaringan', 'ragukan', 'semoga', 'sukses']</t>
  </si>
  <si>
    <t>['mending', 'ganti', 'provider', 'rugi', 'telkomsel', 'paketan', 'mahal', 'jaringan', 'lemot']</t>
  </si>
  <si>
    <t>['gratis', 'blum', 'terbukti']</t>
  </si>
  <si>
    <t>['bagus', 'undian', 'poinnya', 'beruntung', '']</t>
  </si>
  <si>
    <t>['bismillah', 'semoga', 'hadiah', 'redem', 'note', 'ultra', 'kado', 'ulang', 'taun', 'heheh']</t>
  </si>
  <si>
    <t>['paket', 'game', 'max', 'main', '']</t>
  </si>
  <si>
    <t>['ngga', 'gimana', 'bahasa', 'telkomsel', 'pulsa', 'ambil', 'nyala', 'plsa', 'langsng', 'ambil', 'layanan', 'magic', 'call', '']</t>
  </si>
  <si>
    <t>['unlimited', 'harganya', 'bangeett', 'beli', 'minimal', '']</t>
  </si>
  <si>
    <t>['apknya', 'buka']</t>
  </si>
  <si>
    <t>['sumpah', 'nyesel', 'ambil', 'tawaran', 'pindah', 'halo', 'janjikan', 'sesuai', 'apanya', 'prioritas', 'sinyal', 'bagus', 'kuat', 'speed', 'lbh', 'kenceng', 'janji', 'palsu', 'blm', 'minggu', 'ngadat', 'kasih', 'janjikan', 'tolong', 'menjanjikan', 'pelanggan', 'telkomsel', 'emang', 'blm', 'kasih', 'sinyal', 'bagus', 'bekasi', 'usa', 'nawarin', 'kasih', 'iming', 'kecewa', 'pelanggan', 'namamu', 'tlg', 'tingkatin', 'kualitas', '']</t>
  </si>
  <si>
    <t>['telkomsel', 'knpa', 'skrg', 'signal', 'angel', 'pdhl', 'pelanggan', 'setia', 'lbih', 'th']</t>
  </si>
  <si>
    <t>['aplikasi', 'oke', 'koneksi', 'internet', 'telkomsel', 'lancar']</t>
  </si>
  <si>
    <t>['jaringan', 'kosong', 'paket', 'mahal', 'berasa', 'rampok', 'telkomsel', 'rating', 'gara', 'gara', 'orang', 'isi', 'penipuan']</t>
  </si>
  <si>
    <t>['rate', 'ulasan', 'dibawah', 'udah', 'mewakili']</t>
  </si>
  <si>
    <t>['cari', 'keberuntungan']</t>
  </si>
  <si>
    <t>['kedepan', 'simpati', 'telkomsel', 'jelek', 'jaringan', 'aktivasi', 'combo', 'sakti', 'berasa', 'sia', 'sia', 'jalan', 'penyelesaian', 'pindah', 'provider', '']</t>
  </si>
  <si>
    <t>['jaringan', 'busuk', 'kuota', 'mahal', 'sinyal', 'kaya', 'taik', 'babi', 'ajg', 'tutup', 'perusahaannya', 'kntllll']</t>
  </si>
  <si>
    <t>['sinyall', 'harga', 'doang', 'mahal', 'kek', 'sebelah', 'sinyal']</t>
  </si>
  <si>
    <t>['pemula', 'telkomsel', '']</t>
  </si>
  <si>
    <t>['aplikasinya', 'bagus', 'promo', 'paket', 'telkom', 'anlimeted', 'harga', 'terjangkau', '']</t>
  </si>
  <si>
    <t>['bangga', 'banget', 'telkomsel', 'sinyal', 'kek', 'kntl', 'anjnk', 'baby', 'telkomsel', 'sinyal', 'karuan', 'harga', 'paket', 'mahal', 'apalah', 'telkomsel', 'asw', 'emng', 'salam', 'anjnk', 'telkomsel', 'rating', 'gua', 'penghuni', 'bumi', 'indonesia', 'pikir', 'kkkkkkk', 'kali', 'beli', 'kartu', 'telkomsel', 'gini', 'pulsa', 'kontil', 'jaringan', 'gua', 'bagus', 'zembut', 'aktif', 'temfik', 'gua', 'beli', 'kuota', 'nelpon', 'langganan', 'gua', 'asw', 'woi', 'customer', '']</t>
  </si>
  <si>
    <t>['', 'bagus', 'area']</t>
  </si>
  <si>
    <t>['diupdate', 'pakai', 'suara', 'pas', 'buka', 'applikasi', 'matikan', 'suaranya', 'pengaturan', 'nyala', 'brisikkk']</t>
  </si>
  <si>
    <t>['coba', 'bagus', 'full', 'bintangnya']</t>
  </si>
  <si>
    <t>['pelayanan', 'lengkap', 'sayangnya', 'dimasa', 'pandemi', 'tersedia', 'packet', 'internet', 'murah']</t>
  </si>
  <si>
    <t>['isi', 'pulsa', 'sodot', 'mulu', 'padalahan', 'ngak', 'pinjem', 'paket', 'darurat', '']</t>
  </si>
  <si>
    <t>['ganti', 'kartu', 'smatfren', 'karn', 'telkomsel', 'mati', 'lmpu', 'mati', 'sinyal', 'hadeh', 'rekomendasi', 'desa', 'yabg', 'suka', 'lampunya', 'mati', 'ganti', 'kartu', 'sudha', 'bnr', 'pakai', 'berlangganan', 'telkomsel', 'kek', 'gini', 'tinggalkn', 'ganti']</t>
  </si>
  <si>
    <t>['membeli', 'paket', 'data', 'app', 'kadang', 'paket', 'data', 'masuk', 'berkali', 'kali', 'pembelian', 'masuk']</t>
  </si>
  <si>
    <t>['selesai', 'perbarui', 'buka', 'perbarui', 'hemmm', '']</t>
  </si>
  <si>
    <t>['install', 'playstore']</t>
  </si>
  <si>
    <t>['sayang', 'app', 'mytelkomsel', 'menu', 'pemakaian', 'pengunaan', 'pulsa', 'tetep', 'cek', 'menu', 'umb']</t>
  </si>
  <si>
    <t>['rusak', 'harga', 'premium', 'jaringan', 'miskin']</t>
  </si>
  <si>
    <t>['tolong', 'sesuaikan', 'kualitas', 'internet', 'harganya', 'karna', 'kuota', 'telkomsel', 'mahal', 'jaringan', 'lelet', 'parah', 'main', 'game']</t>
  </si>
  <si>
    <t>['taik', 'udah', 'update', 'kebuka']</t>
  </si>
  <si>
    <t>['telkomsel', 'jaringan', 'area', 'desa', 'tegalsari', 'pesantren', 'wonoboyo', 'temanggung', 'harap', 'perbaiki', 'koneksinya', 'buruk', 'terimakasih']</t>
  </si>
  <si>
    <t>['tolong', 'server', 'kedepannya', 'diskon', 'paketan', 'promo', 'trimakasih']</t>
  </si>
  <si>
    <t>['sayang', 'telkomsel', 'skrng', 'sinyal', 'hilang', 'jaringan', 'ganggu', 'mohon', 'perbaiki']</t>
  </si>
  <si>
    <t>['sinyal', 'telkomsel', 'nggak', 'kayak', 'kalah', 'provider', '']</t>
  </si>
  <si>
    <t>['praktis', 'repot']</t>
  </si>
  <si>
    <t>['mantap', 'jiwa', 'bos', '']</t>
  </si>
  <si>
    <t>['beli', 'kuota', 'seminggu', 'emng', 'dapetnya', 'gb', 'klau', 'digunain', 'sinyal', 'susah', 'seharian', 'pdhal', 'sya', 'tangsel', 'lho', 'hellow', 'ditengah', 'hutan']</t>
  </si>
  <si>
    <t>['sinyal', 'kek', 'babiu', 'ajg', 'niat', 'sinyal']</t>
  </si>
  <si>
    <t>['buatkan', 'mode', 'gelap', 'aplikasi', 'nyaman', '']</t>
  </si>
  <si>
    <t>['ngapain', 'aplikasi', 'orang', 'jaringan', 'telkomselnya', 'lemot', 'terpenting', 'coba', 'ditindaklanjuti', 'keluhan', 'bertahun', 'keluhan', 'tampilan', 'signal', 'penuh', 'kecepatannya', 'melebihi', 'kbps', 'jaringan', 'cepat', 'jam', 'malam', 'subuh', 'ngapain', 'coba', 'aplikasi', 'mytelkomsel', 'membebani', 'aplikasi', 'android', '']</t>
  </si>
  <si>
    <t>['menunggu', 'tawaran', 'produk', 'murah']</t>
  </si>
  <si>
    <t>['sayang', 'bangka', 'selatan', 'telkomsel', 'kaya', 'jaringan', 'murahan', 'sinyal', 'klh', 'operator', 'kecewa', 'dngn', 'telkomsel', 'tarif', 'ttp', 'mahal', 'jaringn', 'sperti', 'murahan', 'kecewaaaaaaa', '']</t>
  </si>
  <si>
    <t>['jaringan', 'kalah', 'pdhl', 'mahal']</t>
  </si>
  <si>
    <t>['tolong', 'top', 'games', 'kartu', 'sebelah']</t>
  </si>
  <si>
    <t>['alhamdulillah', 'kendala', 'teratasi', 'maaf', 'kasih', 'bintang', '']</t>
  </si>
  <si>
    <t>['jarigan', 'sampah', 'kesel', 'gua', 'lht', 'telkomsel', 'kadang', 'ngelek', 'mulu']</t>
  </si>
  <si>
    <t>['dear', 'perusahaan', 'telkomsel', 'tinggal', 'pusat', 'kota', 'ibukota', 'provinsi', 'pengguna', 'setia', 'kartu', 'telkomsel', 'th', 'mengalami', 'kendala', 'mengakses', 'jaringan', 'internet', 'koneksi', 'jaringan', 'stabil', 'gangguan', 'gerangan', '']</t>
  </si>
  <si>
    <t>['mudah', 'aplikasinya', 'simple']</t>
  </si>
  <si>
    <t>['paketannya', 'murahin', 'iya', 'beda', 'kartu', 'murah', 'aturan', 'kartu', 'murah', 'paketannya']</t>
  </si>
  <si>
    <t>['mantap', 'aplikasinya', 'banget', '']</t>
  </si>
  <si>
    <t>['provider', 'tololl', 'maen', 'game', 'doang', 'ngelag', 'tingah', 'hutan', 'benerin', 'jaringan', 'tolol', 'provider', 'berbayar', 'gratis', 'bego', '']</t>
  </si>
  <si>
    <t>['lasi', 'bintang', 'mencoba', 'kasi', 'bintang', '']</t>
  </si>
  <si>
    <t>['bagus', 'aplikasi', '']</t>
  </si>
  <si>
    <t>['semenjak', 'kebakaran', 'riau', 'sinyal', 'telkomsel', 'jelek', 'parah', 'udah', 'bayar', 'mahal', 'sinyal', 'jelek', 'udah', 'puluhan', 'kali', 'telpon', 'ngga', 'perubahan', 'kirain', 'beli', 'mahal', 'sesuai', 'kualitas', 'ehh', 'peras', 'ajg', 'bukanmaen']</t>
  </si>
  <si>
    <t>['tolong', 'ditingkatkan', 'jaringan', 'turun', 'pengguna', 'telkomsel', 'merasakan', 'ketidaknyamanan', 'telkomsel', 'kebawah', 'nyaman', 'menurun']</t>
  </si>
  <si>
    <t>['kadang', 'bagus', 'kadang']</t>
  </si>
  <si>
    <t>['oehhh', 'telkomsel', 'jaringan', 'lelet', 'main', 'game', 'jelek', 'jaringan', 'udah', 'mahal', 'beli', 'kotanya', 'jelek', 'jga', 'jaringan', 'nyesel', 'belinya', '']</t>
  </si>
  <si>
    <t>['error', 'masuk', 'susah', '']</t>
  </si>
  <si>
    <t>['simpati', 'sinyal', 'jelek', 'kaya', 'babi', 'main', 'game', 'leg']</t>
  </si>
  <si>
    <t>['bagus', 'langsung', 'aktif']</t>
  </si>
  <si>
    <t>['puas', 'telkomsel', 'bintang', 'promo', 'telkomsel', 'beli', 'kuota', 'sereng', 'banget', '']</t>
  </si>
  <si>
    <t>['mantab', '']</t>
  </si>
  <si>
    <t>['terima', 'kasih', 'sayang']</t>
  </si>
  <si>
    <t>['aplikasi', 'rusak', 'gangguan', 'mulu', 'ganti', 'karyawan', 'mempertahankan', 'pelanggan', '']</t>
  </si>
  <si>
    <t>['wooiiiiiiii', 'telkom', 'pulsa', 'napa', 'angus', 'trus', 'dapet', 'sms', 'pulsa', 'kenalan', 'non', 'paket', 'maksunya', 'beli', 'pulsa', 'duit', 'dahlah', 'ganti', 'kartu', '']</t>
  </si>
  <si>
    <t>['mudah', 'cepat', 'mantap']</t>
  </si>
  <si>
    <t>['pegalaman', 'blom', 'karna', 'masi', 'ana', 'siswa']</t>
  </si>
  <si>
    <t>['jaringan', 'jelek', 'kartu', 'mahal', 'paket', 'mahal', 'korup', 'pulsa', 'sebentar', 'idup', 'data', 'langsung', 'ambil', 'pulsa', 'anjingg']</t>
  </si>
  <si>
    <t>['maksih', 'membantu']</t>
  </si>
  <si>
    <t>['telkomsel', 'yanh', 'terhormat', 'mohon', 'banget', 'jaringan', 'region', 'lampus', 'selatan', 'benarkan', 'semenjak', 'kebakara', 'palembang', 'jaringan', 'lag', 'parah', 'harga', 'paket', 'jaringan', 'terimakasih', 'kasih', 'baca']</t>
  </si>
  <si>
    <t>['telkomsel', 'memamg', 'hebat', 'pas', 'kouta', 'sijyal', 'ngilang', 'truss', 'matul', 'pokokya', 'lanjutin', 'gitu', 'truss', '']</t>
  </si>
  <si>
    <t>['telkomsel', 'memakai', 'internet', 'terpotong', 'pulsa', 'pakai', 'internet', 'sim', 'telkomsel', 'pencurian', 'pulsa', 'pelanggan', '']</t>
  </si>
  <si>
    <t>['bagus', 'programnya']</t>
  </si>
  <si>
    <t>['jaringan', 'tolong', 'perbaiki', 'sengsara', 'main', 'game', 'ngelag', 'mulu', '']</t>
  </si>
  <si>
    <t>['jelek', 'mulu', 'sinyal', 'diperbaiki', 'dikit', 'napa', 'lelet', 'main', 'free', 'fire', 'loginnya', 'gagal', 'mulu', 'susah', 'orang', 'harga', 'mahal', 'bangga', 'nyusahin', 'orang', 'sinyal', 'jelek', 'sedot', 'koutanya', 'kuota', 'cepat', 'habis', 'hargar', 'mahal', 'banger', '']</t>
  </si>
  <si>
    <t>['maaf', 'kasih', 'bintang', 'aplnya', 'membantu', 'memudahkan', 'pembelian', '']</t>
  </si>
  <si>
    <t>['', 'perbanyak', 'paketan', 'murah', 'perbaiki', 'jaringannya', 'kadang', 'mati', 'lampu', 'sinyal', 'hilang']</t>
  </si>
  <si>
    <t>['keren', 'banget', 'promo']</t>
  </si>
  <si>
    <t>['mahal', 'kartu', 'sim', 'pembelian', 'paket', '']</t>
  </si>
  <si>
    <t>['dipakai', 'sebulan', 'daftar', 'paket', 'internet', 'dipake', 'update']</t>
  </si>
  <si>
    <t>['harga', 'paket', 'internet', 'pulsa', 'mahal', 'signal', 'stabil', 'karna', 'hujan', 'lalat', 'kentut', 'signal', 'langsung', 'goyang', 'tolong', 'donk', 'diperbaiki', 'harga', 'mahal', 'signalny', 'diperbagus', '']</t>
  </si>
  <si>
    <t>['daerah', 'cikancung', 'jawabarat', 'telkomsel', 'lambat']</t>
  </si>
  <si>
    <t>['semoga', 'menang', 'hadiahnya']</t>
  </si>
  <si>
    <t>['jaringan', 'telkomsel', 'skrng', 'udh', 'busuk', 'bnget']</t>
  </si>
  <si>
    <t>['sya', 'kasih', 'bintang', 'menukar', 'poin', 'pulsa', 'data']</t>
  </si>
  <si>
    <t>['bagus', 'tinggal', 'kasih', 'pinjaman', 'pulsa', 'pembayaran', 'max']</t>
  </si>
  <si>
    <t>['haplikasi', 'bagus']</t>
  </si>
  <si>
    <t>['kasih', 'bintang', 'karna', 'menemukan', 'berhenti', 'paket', 'kuota', 'telkomsel', 'ketemu', 'diaplikasi', 'ratingnya', 'ubah', 'berhenti', 'paket', 'kuota', 'langsung', 'pemberitahuan', 'skrng', '']</t>
  </si>
  <si>
    <t>['aplikasi', 'aneh', 'dibuka', 'susah', 'pdahal', 'pakai', 'data', 'telkomsel']</t>
  </si>
  <si>
    <t>['pelayanan', 'jaringan', 'telkomsel', 'jakatan', 'raya', 'kecamatan', 'rungan', 'kabupaten', 'gunung', 'mas', 'kalteng', 'jelek', 'sinyal', 'stabil', 'kadang', 'kadang', 'sinyal', 'hilang']</t>
  </si>
  <si>
    <t>['mahal', 'sinyal']</t>
  </si>
  <si>
    <t>['bagus', 'emang', 'bgus', 'sumpah', 'lihat', 'lihat', 'emang', 'ganteng', '']</t>
  </si>
  <si>
    <t>['sinyalnya', 'tolong', 'diperbaiki', 'nonton', 'video', 'ngelag', 'masak', 'kalah', 'sma', 'jaringan', 'harga', 'paketannya', 'murah']</t>
  </si>
  <si>
    <t>['mantap', 'jaringanx']</t>
  </si>
  <si>
    <t>['telkomsel', 'skrng', 'knp', 'jelek', 'daerah', 'musim', 'hujan', 'jelek', 'sinyal', 'pas', 'musim', 'musim', 'kmarau', 'jelek', 'knp', 'bagusan', 'tlkomsel', '']</t>
  </si>
  <si>
    <t>['ayo', 'buruang', 'dwonload', 'pokonya', 'oky', 'apk', 'pinjam', 'bayarnya', 'buruan', 'silahkan', 'sebarin', 'makasih']</t>
  </si>
  <si>
    <t>['membantu', 'pembelian', 'paket', 'murah']</t>
  </si>
  <si>
    <t>['sinyal', 'telkomsel', 'gajelas', 'udah', 'mahal', 'ngelag']</t>
  </si>
  <si>
    <t>['kwalitas', 'pelayanan', 'the', 'best']</t>
  </si>
  <si>
    <t>['pusa', 'deng', 'mytelkomsel', 'makasih', 'telkom']</t>
  </si>
  <si>
    <t>['oke', 'dape', 'gb', '']</t>
  </si>
  <si>
    <t>['parah', 'banget', 'jaringan', 'telkomsel', 'kecewa', 'bagus', 'jelek', 'sayangkan', '']</t>
  </si>
  <si>
    <t>['udah', 'pakai', 'tsel', 'jaman', 'sekolah', 'udah', 'anak', 'mantaaaaap']</t>
  </si>
  <si>
    <t>['parah', 'signalnya', 'harga', 'mahal', 'kualitas', 'paraaah', 'mengecewakan']</t>
  </si>
  <si>
    <t>['jaringan', 'koneksi', 'internet', 'lelet', 'taik', 'emang', 'harga', 'paket', 'internet', 'mahal', 'jaringan', 'hancur', 'mendingan', 'pakai', 'provider', 'telkomsel', 'mendingan', 'ganti', 'axisss', 'axis', 'murah', 'jaringan', 'cepat', 'pakai', 'lelet', '']</t>
  </si>
  <si>
    <t>['puas', 'aplikasi', 'makasih', 'telkomsel']</t>
  </si>
  <si>
    <t>['nomor', 'aktif', 'singkat', 'pulsa', 'seminggu', 'isi', 'pulsa', 'perpanjang', 'aktif', 'pulsa', 'terpakai', 'kog', 'peras', 'pengisian', 'pulsa', 'kartu', 'aktif', 'pdahal', 'pulsa', 'kartu', 'kosong']</t>
  </si>
  <si>
    <t>['yth', 'pengelola', 'aplikasi', 'diharapkan', 'kedepanya', 'meningkatkan', 'aplikasi', 'membeli', 'paket', 'data', 'aplikasi', 'kali', 'browsing', 'internet', 'bukanya', 'paket', 'data', 'terpotong', 'pulsa', 'pribadi', 'terpotong', 'membayar', 'kali', 'searching', 'internet', 'membayar', 'diharapkan', 'kedepanya', 'pengelolaan', 'aplikasi', 'telkomsel', 'tingkatkan', 'harap', 'yth', 'pengelola', 'tidk', 'mengecewakan', 'pengguna']</t>
  </si>
  <si>
    <t>['paket', 'mahal', 'sinyal', 'jelek', '']</t>
  </si>
  <si>
    <t>['aplikasi', 'pembelian', 'paket', 'hilang', 'contohnya', 'paket', 'tlp', 'paket', 'weekdays', 'trmksh']</t>
  </si>
  <si>
    <t>['fixs', 'membantu']</t>
  </si>
  <si>
    <t>['kecewa', 'telkomsel', 'jaringan', 'buruk', 'kecewa', '']</t>
  </si>
  <si>
    <t>['lucu', 'beli', 'paket', 'harga', 'pulsa', 'masak', 'notifikasi', 'sisa', 'pulsa', 'mencukupi', 'membeli', 'paket', 'combo', 'sakti', 'silakan', 'isi', 'ulang', 'tolong', 'telkomsel', 'pelanggan', 'kecewa', '']</t>
  </si>
  <si>
    <t>['udah', 'berkali', 'kali', 'pulsa', 'habis', 'pdhl', 'paket', 'internet', 'pulsa', 'habis', 'tololng', 'fitur', 'kayak', 'axis', 'net', 'lock', 'pulsa']</t>
  </si>
  <si>
    <t>['gulung', 'tikar', 'masak', 'buruk', 'harganya', 'mahal', 'mahal', 'sinyalnya', 'bagus', 'nggak', 'buruk', 'banget', 'main', 'game', 'susah', 'video', 'call', 'susah', 'menghubungkan']</t>
  </si>
  <si>
    <t>['aplikasi', 'okee', 'memudahkan', 'pengguna', 'beli', 'paket', 'data', 'lainya', '']</t>
  </si>
  <si>
    <t>['memuas']</t>
  </si>
  <si>
    <t>['aplikasi', 'lemot', 'jaringan', 'bagus', 'login', 'asw']</t>
  </si>
  <si>
    <t>['bagus', 'banget', 'sumpah']</t>
  </si>
  <si>
    <t>['mudah', 'cepat', 'lancar']</t>
  </si>
  <si>
    <t>['semoga', 'kartu', 'promo', 'murah']</t>
  </si>
  <si>
    <t>['terima', 'kasih', 'telkomsel', 'senang', 'karna', 'bnyak', 'promo', 'kuota', 'bnyak', 'kesempatan', 'undian', 'berhadiah', 'menukarkan', 'poin', 'semoga', 'pemenang', 'undian', 'aminn', '']</t>
  </si>
  <si>
    <t>['kak', 'nanya', 'paket', 'surprise', 'deal', 'muncul', 'cuman', 'rb', 'bervariasi', 'harganya', 'rb', '']</t>
  </si>
  <si>
    <t>['puas', 'pakai', 'telkomsel']</t>
  </si>
  <si>
    <t>['sinyal', 'telkomsel', 'rusak', 'parah', 'beli', 'kuota', 'pakai', 'duit', 'gratis', 'perusahaan', 'terbaik', 'rombak', 'susunan', 'kepengurusan', 'perusahaan', 'faedahnya', 'kelancaran', 'sinyal', 'butuh', 'sinyal', 'gonta', 'ganti', 'pengurus', 'perusahaan', 'parah', 'telkomsel']</t>
  </si>
  <si>
    <t>['bagus', 'epribadi']</t>
  </si>
  <si>
    <t>['butuh', 'kuota', 'internet', 'gratis']</t>
  </si>
  <si>
    <t>['jaringannya', 'lemah', 'hilang', 'mulu', 'suka', 'hilang', 'bagus', 'isi', 'paket', 'lemah', 'sinyal', 'telkomsel', 'udah', 'bodo']</t>
  </si>
  <si>
    <t>['okee', 'kadang', 'logout', '']</t>
  </si>
  <si>
    <t>['jaringan', 'telkomsel', 'knp', 'blk']</t>
  </si>
  <si>
    <t>['jaringanya', 'oke']</t>
  </si>
  <si>
    <t>['semoga', 'terbaik']</t>
  </si>
  <si>
    <t>['sinyal', 'buruk', '']</t>
  </si>
  <si>
    <t>['terpercayaaaaaa']</t>
  </si>
  <si>
    <t>['woy', 'minjem', 'paket', 'darurat', 'suruh', 'mbayar', 'balikin', 'pulsa', 'beli', 'langsung', 'kesedot', 'bener', 'telkomsel', 'perbaikii', '']</t>
  </si>
  <si>
    <t>['kesini', 'mahal', 'mahal', 'mahal', 'mahal', 'mahaaaaaaaalll', 'telkomsel', 'mahal', 'kuotanya', 'boros', 'udah', 'mahal', 'dikit', 'kuotanya', 'provider', 'ribu', 'udah', 'gb', 'rb', 'dibawah', 'gb', '']</t>
  </si>
  <si>
    <t>['aneh', 'banget', 'telkomsel', 'jaringan', 'ancur', 'harga', 'mahal', 'sesuai', 'kualitas', 'tolong', 'perbaiki', 'cuan', 'jaringan', 'ilang', 'kadang', 'sekalinya', 'kotak', 'parah', 'banget']</t>
  </si>
  <si>
    <t>['hancur', 'jaringannya', 'harga', 'mahal', 'kualitas', 'jelek', 'operator', 'taik', '']</t>
  </si>
  <si>
    <t>['apk', 'terlaluuuuuuuuuuuuuuuuuuuuuuuuuuuuuuuuuuuuuuuuuuuuuuuuu', 'mantap', '']</t>
  </si>
  <si>
    <t>['tingkat', 'trus', 'kurangilah', 'bermasalah', 'eroor']</t>
  </si>
  <si>
    <t>['', 'syaallah', 'amanah', '']</t>
  </si>
  <si>
    <t>['terkadang', 'sinyal', 'bagus']</t>
  </si>
  <si>
    <t>['lancar', 'sinyal']</t>
  </si>
  <si>
    <t>['bagussssss', 'nyesel', 'daftarnya', 'doang']</t>
  </si>
  <si>
    <t>['sya', 'puas', 'layanan', 'telkomsel', '']</t>
  </si>
  <si>
    <t>['buka', 'aplikasi', 'telkomsel', 'boros', 'kuota', 'dibandingkan', 'nonton', 'youtube', 'mb', 'nonton', 'youtube', 'kualitas', 'fps']</t>
  </si>
  <si>
    <t>['versi', 'mudah', 'simpel']</t>
  </si>
  <si>
    <t>['koneksi', 'internet', 'lambat', 'pembaharuan', 'aplikasi', 'dibuka', 'suara', 'tidung', 'kaget', '']</t>
  </si>
  <si>
    <t>['telkomsel', 'sinyalnya', 'lola', 'kayak', 'kartu', 'halo', 'iklan', 'jaringan', 'prioritas', 'mahal', 'doang', 'jaringan', 'mah', 'lola', 'kesel']</t>
  </si>
  <si>
    <t>['login', 'pakai', 'sebulan', 'beli', 'paketan', 'masuk']</t>
  </si>
  <si>
    <t>['kasih', 'gitu', 'bintang', 'nyoba']</t>
  </si>
  <si>
    <t>['sinyal', 'paket', 'datanya', 'dimurahin', 'lgi', 'dnk']</t>
  </si>
  <si>
    <t>['harganya', 'mahal', '']</t>
  </si>
  <si>
    <t>['jaringan', 'telkomsel', 'jelek', 'mending', 'ganti', 'kartu', 'jaringannya', 'top', 'lancar']</t>
  </si>
  <si>
    <t>['semoga', 'telkomsel', 'terbaik']</t>
  </si>
  <si>
    <t>['bagus', 'mantap', 'surantap']</t>
  </si>
  <si>
    <t>['jaringan', 'lemot', 'harga', 'kuota', 'mahal', 'tolong', 'perbaiki', 'jaringan', 'sinyal', 'mengecewakan']</t>
  </si>
  <si>
    <t>['makij', 'kesini', 'jaringan', 'busuk']</t>
  </si>
  <si>
    <t>['dlam', 'pantowan']</t>
  </si>
  <si>
    <t>['', 'login', 'tot']</t>
  </si>
  <si>
    <t>['tolol', 'kartu', 'sinyal', 'lag', 'buruk', 'main', 'game', 'lag', 'buka', 'sosmed', 'lemot', 'tolol', 'banget', 'dasar', 'buka', 'game', 'langsung', 'sinyal', 'ganti', 'tolol', 'emang', 'perubahan', 'buruk', 'pengguna', 'nyaman', 'sengsara', 'kouta', 'harga', 'selangit', 'tolol']</t>
  </si>
  <si>
    <t>['lelet', 'paket', 'spesia', 'promo', 'internet', 'slalu']</t>
  </si>
  <si>
    <t>['terganggu', 'penawaran', 'whtspp', 'judi', 'online', 'pdhl', 'daftar', 'begituan', 'tmn', 'daftar', 'bgtuan', 'ganggu', 'penawaran', 'judi', 'online', 'inti', 'ssorg', 'menjual', 'data', 'nomor', 'customer', 'tlong', 'respon', 'cepat', 'prihal', 'sprti', 'mengerti', 'menghentikan', 'org', 'org', 'menawarkan', 'judi', 'online', 'sprti', 'kbnyakan', 'pakai', 'kartu', 'telkomsel']</t>
  </si>
  <si>
    <t>['bagus', 'bnget', 'coi']</t>
  </si>
  <si>
    <t>['login', 'susah', 'emosi']</t>
  </si>
  <si>
    <t>['aplikasi', 'lumayan', 'baguslah', 'kau', 'tambahin', 'fitur', 'top', 'game', 'top', 'pulsa', 'murahkan', 'harganya', 'ternjangkau', '']</t>
  </si>
  <si>
    <t>['telkomsel', 'semoga', 'bermanfaat', 'indonesia']</t>
  </si>
  <si>
    <t>['tolong', 'paket', 'khusus', 'kasi', 'murah', 'terimakasih']</t>
  </si>
  <si>
    <t>['', 'android', 'instal']</t>
  </si>
  <si>
    <t>['paket', 'macamnya', 'harganya', 'mahal', 'pemerasan', 'namanya', 'sialan', 'goblokk']</t>
  </si>
  <si>
    <t>['praktis', 'cepat', 'mksih']</t>
  </si>
  <si>
    <t>['paket', '']</t>
  </si>
  <si>
    <t>['', 'ngentod', 'sms', 'magic', 'link', 'masuk', 'babi']</t>
  </si>
  <si>
    <t>['kesini', 'jaringan', 'telkomsel', 'buruk', 'anehhh', 'jaringan', 'kartu', 'seluler', 'laen', 'bagus', 'cuman', 'telkomsel', 'skrng']</t>
  </si>
  <si>
    <t>['beli', 'data', 'ribu', 'leletnya', 'ampun']</t>
  </si>
  <si>
    <t>['transaksi', 'pembelian', 'paket', 'tolong', 'diperbiki']</t>
  </si>
  <si>
    <t>['makek']</t>
  </si>
  <si>
    <t>['pahami', 'mengerti', 'org', 'bnyk']</t>
  </si>
  <si>
    <t>['buka', 'apps']</t>
  </si>
  <si>
    <t>['bagus', 'kendala', 'sinyal', 'suka', 'langsung', 'ilang']</t>
  </si>
  <si>
    <t>['kirim', 'pulsa', 'mudah']</t>
  </si>
  <si>
    <t>['gua', 'dilantai', 'sinyal', 'jelek', 'lantai', 'jelek', 'lantai', 'stabil', 'maunya', 'gimana', '']</t>
  </si>
  <si>
    <t>['sinyal', 'kuat', 'lelet', 'mantap', 'guys']</t>
  </si>
  <si>
    <t>['memuaskan', 'membeli', 'paket', 'recomend', 'app', 'memilih', 'paket', 'memuaskan', '']</t>
  </si>
  <si>
    <t>['mahal', 'doang', 'kecepatan', 'lemot', 'awokawokawokwawokawokawok']</t>
  </si>
  <si>
    <t>['telkomsel', 'bumn', 'nipu', 'masyarakat', 'bumn', 'bobrok', 'telkomsel', 'suka', 'banget', 'ngasih', 'jebakan', 'link', 'palsu', 'info', 'palsu', 'promo', 'palsu', 'ditambah', 'buka', 'link', 'pulsa', 'langsung', 'kesedot', 'arahin', 'aplikasi', 'fungsi', 'aplikasi', 'hubungin', 'info', 'nyampahin', 'hape', 'doang', 'modus', 'penipuan', 'pelanggannya', 'kesini', 'ngakalin', 'pelanggan', 'mahal', 'nipu', 'pembodohan', 'masyarakat', '']</t>
  </si>
  <si>
    <t>['bagus', 'banget', 'data', 'gratis']</t>
  </si>
  <si>
    <t>['gaada', 'bet', 'telkomsel', 'nguras', 'uang', 'niat', 'beli', 'paket', 'wekend', 'kuota', 'utama', 'awet', 'kuota', 'utama', 'paket', 'wekend', 'habis', 'pikir', 'kartu']</t>
  </si>
  <si>
    <t>['mati', 'listrik', 'jaringanya', 'jelek', '']</t>
  </si>
  <si>
    <t>['andai', 'bayar', 'via', 'virtual', 'account', 'mudah']</t>
  </si>
  <si>
    <t>['puas', 'pelayanan', 'penjelasan', 'hilang', 'minggu', 'melapor', 'agrapari', 'langsung', 'diaktifkan', 'singkat', 'terima', 'kasih', '']</t>
  </si>
  <si>
    <t>['sistem', 'sibuk', 'tunggu', 'menit', 'maksudnya', 'tolong', 'penjelasannya', 'rugi', 'gue', 'habis', 'duit', 'beli', 'voucher', '']</t>
  </si>
  <si>
    <t>['suka', 'aplikasi', 'telkomsel', 'terimakasih']</t>
  </si>
  <si>
    <t>['promo', 'murah']</t>
  </si>
  <si>
    <t>['gajelas', 'pulsa', 'habis', 'transaksi', 'mencurigakan']</t>
  </si>
  <si>
    <t>['kecewa', 'tekomsel', 'susah', 'masuk', 'login', '']</t>
  </si>
  <si>
    <t>['jaringan', 'mudah']</t>
  </si>
  <si>
    <t>['jaringan', 'jelek', 'banget', 'beneran', 'udah', 'harian', 'pas', 'hujan', 'susah', 'banget']</t>
  </si>
  <si>
    <t>['mahal', 'jaringan', 'jelek', 'hdh']</t>
  </si>
  <si>
    <t>['menjadikan', 'mudah']</t>
  </si>
  <si>
    <t>['tolong', 'perbaiki', 'jaringannya', 'jelek', 'jaringan', 'paket', 'termahal', 'doang', 'jaringan', 'minim']</t>
  </si>
  <si>
    <t>['nambah', 'anehh', 'jaringan', 'telkomsel', 'mahal', 'paket', 'data', 'jaringan', 'bagus', 'udh', 'mahal', 'jaringan', 'jelek', 'woy', 'telkomsel', 'musi', 'banyu', 'asin', 'daerah', 'sekayu', 'tolong', 'jaringannya', 'tingkatkan', 'sinyal', 'jelek', 'gampang', 'eror', '']</t>
  </si>
  <si>
    <t>['jaringan', 'cepat', 'ter', 'hubung']</t>
  </si>
  <si>
    <t>['bagus', 'terima', 'kasih']</t>
  </si>
  <si>
    <t>['bermanfaat', 'bagus', 'poin', 'thanks', 'telkomsel']</t>
  </si>
  <si>
    <t>['ngasi', 'promo', 'combo', 'paket', 'bintang']</t>
  </si>
  <si>
    <t>['lumayan', 'bagus', 'aplikasi', 'telkomsel', 'memudah', 'dlam', 'bertransaksi', '']</t>
  </si>
  <si>
    <t>['gampang', 'beli', '']</t>
  </si>
  <si>
    <t>['transaksi', 'mudah', 'cepat']</t>
  </si>
  <si>
    <t>['aplikasi', 'bagus', 'memudahkan', 'pilihan', 'paket', 'terima', 'kasih', '']</t>
  </si>
  <si>
    <t>['aplikasi', 'dipasang', 'sistem', 'android', '']</t>
  </si>
  <si>
    <t>['parah', 'jaringanku', 'plis', 'tolong', 'perbaiki']</t>
  </si>
  <si>
    <t>['kadang', 'kadang', 'loadingnya', 'lambat']</t>
  </si>
  <si>
    <t>['telkomsel', 'gapernah', 'sinyal', 'bagus', 'gitu', 'sinyal', 'buruuuuuk', 'trus', 'didesa', 'telkomsel', 'hah', 'trus', 'trusan', 'gini', 'dikitlah', 'gunain', 'operator', 'telkomsel', '']</t>
  </si>
  <si>
    <t>['telkomsel', 'kayak', 'taik', 'layanan', 'memuaskan', 'hai', 'telkomsel', 'kau', 'perbaruhi', 'jngan', 'orang', 'kecewa']</t>
  </si>
  <si>
    <t>['kualitas', 'menyenangkan']</t>
  </si>
  <si>
    <t>['mudah', 'terhubung', 'aplikasi']</t>
  </si>
  <si>
    <t>['player', 'nyesel', 'harga', 'mahal', 'tpi', 'koneksi', 'busuk', 'nyesel', 'telkomsel']</t>
  </si>
  <si>
    <t>['', 'banget', 'deh', '']</t>
  </si>
  <si>
    <t>['diisi', 'voucher', 'emang', 'benerin', 'jaringan', 'jual', 'mmpu', 'benerin', 'maksa', 'banget', 'benerin', 'jelek', 'jaringan', 'telkomsel', 'najis']</t>
  </si>
  <si>
    <t>['jaringan', 'internet', 'selular', 'tapanuli', 'utara', 'lemotnya', 'ampun', 'cuaca', 'mendung', 'lemot', 'harap', 'diperbaiki', 'kepuasan', 'pelanggan', 'terima', 'kasih']</t>
  </si>
  <si>
    <t>['membantu', 'terima', 'kasih', 'telkomsel', 'dihati']</t>
  </si>
  <si>
    <t>['happy', 'banget', 'telkomsel']</t>
  </si>
  <si>
    <t>['paketan', 'pas', 'dibeli', 'balikin', 'donk']</t>
  </si>
  <si>
    <t>['sukses', 'pokoknya', 'joss', '']</t>
  </si>
  <si>
    <t>['apk', 'updet', 'pdhl', 'jaringan', 'eror', 'telkomsel', '']</t>
  </si>
  <si>
    <t>['kacau', 'sekelas', 'bumn', 'setara', 'maling', 'ayam', 'internet', 'mati', 'semalaman', 'pulsa', 'habis', 'provider', 'perlindungan', 'pelanggan', 'pakai', 'telkomsel', 'berhubungan', 'nomor', 'pelosok', 'dikota', 'pelayanan', 'buruk', 'mohon', 'diperbaiki', '']</t>
  </si>
  <si>
    <t>['paketnya', 'mahal', 'banget']</t>
  </si>
  <si>
    <t>['telkomnyet', 'jaringan', 'busuk', 'saranin', 'telkomsel', 'paketan', 'udah', 'mahal', 'sinyal', 'bosok', 'telkomsel', 'nggak', 'gangguan', 'gangguan', '']</t>
  </si>
  <si>
    <t>['suka', 'suka', 'suka', 'dipermudah', '']</t>
  </si>
  <si>
    <t>['aplikasinya', 'lumayan', 'bagus', 'sayang', 'harga', 'paketnya', 'mahal', 'dibanding', 'provider', 'sinyalnya', 'kadang', 'sesuai', 'motonya', 'sinyal', 'kuat', '']</t>
  </si>
  <si>
    <t>['paket', 'mahal', 'terima', 'kasih']</t>
  </si>
  <si>
    <t>['aplikasi', 'bagus', 'bangtttttttttt']</t>
  </si>
  <si>
    <t>['heran', 'aplikasi', 'klw', 'buka', 'kecepatan', 'internetku', 'mb', 'aplikasi', 'mb', 'menyentuh', 'kb', 'jarang', '']</t>
  </si>
  <si>
    <t>['jaringan', 'udah', 'mengganggu', 'aktivitas', '']</t>
  </si>
  <si>
    <t>['sinyal', 'benerin', 'woy']</t>
  </si>
  <si>
    <t>['mahal', 'doang', 'sinyal', 'jelek']</t>
  </si>
  <si>
    <t>['harga', 'sultan', 'sinyal', 'setan']</t>
  </si>
  <si>
    <t>['sinyal', 'lelet', 'kadang', 'hilang', 'hilang', 'sinyal', 'kab', 'pasaman', 'rao', 'tolong', 'cek', 'sinyal', '']</t>
  </si>
  <si>
    <t>['internet', 'tolong', 'jgan', 'berbagi', 'gitu', 'harga', 'jga', 'mahal', 'bgett', 'lahh', '']</t>
  </si>
  <si>
    <t>['kasih', 'promo', 'gb', '']</t>
  </si>
  <si>
    <t>['tingkatkan', 'aplikasinya', 'transaksi', 'mudah']</t>
  </si>
  <si>
    <t>['aph', 'banggain', 'jaringan', 'jelek', 'dpt', 'mahal', 'doang', 'uang', 'tutup', 'pindah', 'oprator', '']</t>
  </si>
  <si>
    <t>['aplikasi', 'bermanfaat', 'terimakasih', '']</t>
  </si>
  <si>
    <t>['kali', 'komplen', 'jaringannya', 'komplen', 'pleaseeeeee', 'korupsi', 'deh', 'telkomsel', 'gimana', 'sya', 'marah', 'beli', 'plsa', 'pinjam', 'tepotong', 'sisa', 'plsa', 'trus', 'niat', 'beli', 'paket', 'nelpon', 'unlimited', 'seharga', 'sisa', 'plsa', 'pembelian', 'pulsa', 'hilang', 'lenyap', 'telkomsel', 'cuman', 'telponan', 'paket', 'intrnet', 'sypake', 'kartuxl', 'telkomsel', 'mengecewakan', '']</t>
  </si>
  <si>
    <t>['sistemx', 'srg', 'nyedot', 'pulsa', 'produk', 'mahal', 'paraaaahhhh']</t>
  </si>
  <si>
    <t>['mantap', 'semoga', 'promo', 'pagi']</t>
  </si>
  <si>
    <t>['okey', 'cuk']</t>
  </si>
  <si>
    <t>['kirim', 'paket', 'gratis']</t>
  </si>
  <si>
    <t>['knapa', 'halo', 'prabayar', 'isi', 'ulang', 'pulsa', 'pembayaran', 'bangking']</t>
  </si>
  <si>
    <t>['telkomsel', 'terkenal', 'jaringan', 'bagus', 'tmpt', 'padahl', 'pelosok', 'desa', 'terpencil', 'telkomsel', 'gunanya', 'buruk', 'sinyal', 'bar', 'menjijikan', 'kesini', 'kere', 'kali', 'bubar', '']</t>
  </si>
  <si>
    <t>['aplikasi', 'sederhana', 'kerjanya', 'lemot', 'algoritmanya', 'dibikin', 'rumit', 'algoritma', 'sederhana', 'pentarifan', 'telkomsel', 'sesuai', 'syariah', 'islam', 'variannya', 'bingung', 'tarifnya', 'berbeda', 'pelanggan', 'berbeda', '']</t>
  </si>
  <si>
    <t>['membantu', 'sekli', 'beli', 'pulsa', 'paket', 'internet', 'bayak', 'hadiah', 'menarik', 'raih', 'sesuai', 'rejeki', 'tuk', 'memenangkan', 'hadia', 'undian']</t>
  </si>
  <si>
    <t>['telkomsel', 'knp', 'udh', 'berkali', 'komen', 'beli', 'paket', 'instagram', 'disedot', 'kuota', 'utama', 'udh', 'berkali', 'sabar', 'tolong', 'dibenerin', 'beli', 'pulsa', 'duit', 'pakai', 'daun', 'uang', 'kebutuhan', 'pulsa', 'doang', 'tolong', 'benerin']</t>
  </si>
  <si>
    <t>['telkomsel', 'buruk', 'jaringannya', 'tolong', 'pedesaan', 'perkuat', 'sinyalnya', '']</t>
  </si>
  <si>
    <t>['jaringan', 'ngwntod', 'perbaiki', 'jaringan', 'taii', 'nnton', 'lancar', 'main', 'game', 'lag', 'ajng', 'jringan', 'ajng', 'pas', 'hujan', 'main', 'lag', 'bngt', 'ngnt', '']</t>
  </si>
  <si>
    <t>['bagus', 'mudah', 'pembelian', 'kuota', 'via', 'aplikasi', 'terkadang', 'masuknya', 'sayangnya', 'aplikasi', 'support', 'android', 'menghambat', 'upgrade', 'android', 'semoga', 'telkomsel', 'cepat', 'mengupdate', 'aplikasi', 'mytelkomsel', '']</t>
  </si>
  <si>
    <t>['update', 'buka']</t>
  </si>
  <si>
    <t>['telkomsel', 'gimana', 'konsepnya', 'paket', 'data', 'woooyyyyyyy', 'naikin', 'harga', 'sinyal', 'full', 'bodoamat', 'sinyal', 'kyak', 'ingus', 'pdhal', 'lokasi', 'jakarta', 'pusat', 'harga', 'kualitas', 'tolong', 'berkaca', 'telkomsel', 'ngasih', 'bintang', 'rugi', 'bintang', 'ksh', 'bintang', 'sinyal', 'lemot', 'harga', 'selangit', '']</t>
  </si>
  <si>
    <t>['jatingan', 'tolol', 'tar', 'sinya']</t>
  </si>
  <si>
    <t>['kasih', 'plus', 'paket', 'bagus', 'nggak', 'paket', 'bagus', 'plus', '']</t>
  </si>
  <si>
    <t>['sinyal', 'jelek', 'kadang', 'enak', 'kadang', 'eror', 'tlp', 'customer', 'service', 'nanya', 'maintenance', 'muter', 'tolong', 'diperbaiki', 'bos', 'customer', 'service', 'tolong', 'lbh', 'mengerti', 'maunya', 'customer', 'dikit', 'suara', 'udah', 'kayak', 'kambing', 'dicekik', 'lehernya', 'cewek', 'cewek', '']</t>
  </si>
  <si>
    <t>['tolong', 'yaa', 'kuota', 'gb', 'ribu', 'adakan', 'terimakasih', '']</t>
  </si>
  <si>
    <t>['terima', 'kasih']</t>
  </si>
  <si>
    <t>['mahal', 'mahal']</t>
  </si>
  <si>
    <t>['bintang', 'percobaan', 'bagus', 'bintang']</t>
  </si>
  <si>
    <t>['aplikasi', 'membantu', 'top', '']</t>
  </si>
  <si>
    <t>['semoga', 'untk', 'trima', 'kasih']</t>
  </si>
  <si>
    <t>['alhamdulillah', 'kartu', 'paket', 'telkomsel', 'gua', 'udah', 'murah', 'makasih', 'telkomsel', 'semoga', 'jaya', 'sesalalu', '']</t>
  </si>
  <si>
    <t>['', 'telkomsel', 'membantuku', 'promo', 'paket', 'murah', '']</t>
  </si>
  <si>
    <t>['pilihan', 'paket', 'bulanan']</t>
  </si>
  <si>
    <t>['woi', 'ngerjain', 'gua', 'gmna', 'babi', 'knpa', 'gua', 'beli', 'kuota', 'giliran', 'beli', 'pulsa', 'kuotanya', 'ilang', 'jngn', 'ngerjain', 'pelanggan', 'loo', 'babi', 'mls', 'gua', 'kaya', 'gini', 'nii', 'bakar', 'pabrik', 'telkomsel', 'ajeng']</t>
  </si>
  <si>
    <t>['mantap', 'gangguan', 'wkwkek']</t>
  </si>
  <si>
    <t>['', 'kasih', 'bintang', 'telkomsel', '']</t>
  </si>
  <si>
    <t>['kadang', 'suka', 'lemot', 'tolong', 'diperbaiki', 'membuka', 'aplikasinya']</t>
  </si>
  <si>
    <t>['pakai', 'kasih', 'bintang', '']</t>
  </si>
  <si>
    <t>['ketidak', 'sesuaian', 'aktif', 'kartu', 'keterangan', 'aplikasi', 'aplikasi', 'tertulis', 'hangus', 'tolong', 'dibenahi', 'nomer']</t>
  </si>
  <si>
    <t>['bagus', 'mantap', 'deh', 'pokonyah']</t>
  </si>
  <si>
    <t>['aplikasi', 'anjurkan', 'sulit', 'dibuka', 'loading', 'sangatttttt', '']</t>
  </si>
  <si>
    <t>['berlangganan', 'telkomsel', 'tinggal', 'jakarta', 'kegiatan', 'diluar', 'duduk', 'rumah', 'jarang', 'rumah', 'rumah', 'wifi', 'beli', 'paket', 'internet']</t>
  </si>
  <si>
    <t>['jaringan', 'lemah', 'gue', 'temuin', 'kecewa', 'gue', 'ama', 'operator', 'kuota', 'sultan', 'jaringan', 'sampah']</t>
  </si>
  <si>
    <t>['', 'harga', 'paketan', 'combo', 'sakti', 'mahal', 'banget', 'pemakean', 'sampe', 'gb', 'unlimited', 'sampe', 'gb', 'beli', 'segitu', 'rugi', 'karna', 'hangus', 'pemakean', 'bln', 'gb', 'sampe', '']</t>
  </si>
  <si>
    <t>['bagus', 'sinyal', 'lancar', 'cuman', 'mahal', 'paket', 'internetnya', 'termahal', 'operator', '']</t>
  </si>
  <si>
    <t>['bantu', 'prosesnya']</t>
  </si>
  <si>
    <t>['jaringan', 'buruk', 'ditengah', 'kota', '']</t>
  </si>
  <si>
    <t>['paham', 'aplikasi', 'telkomsel', 'mohon', 'bantuanya', 'trimakasih', '']</t>
  </si>
  <si>
    <t>['bli', 'paket']</t>
  </si>
  <si>
    <t>['telokomsel', 'mahal', 'kualitas', 'jaringan', 'bagus', 'kebalikannya']</t>
  </si>
  <si>
    <t>['beli', 'paket', 'pke', 'pls', 'gangguan', 'sampe', 'pls', 'habis', 'kesedot']</t>
  </si>
  <si>
    <t>['bintang', 'mewakili']</t>
  </si>
  <si>
    <t>['merugikan', 'pelanggan', 'tlp', 'sdah', 'dipaket', 'kembalikan', 'habisnya', 'kuota', 'merugikan']</t>
  </si>
  <si>
    <t>['login', 'disuruh', 'rate', 'okelah', 'rate']</t>
  </si>
  <si>
    <t>['mantap', 'semangat']</t>
  </si>
  <si>
    <t>['tingkat', 'telkomsel']</t>
  </si>
  <si>
    <t>['bagus', 'banget', 'bintangnya']</t>
  </si>
  <si>
    <t>['mantap', 'simple', 'beli', 'paket']</t>
  </si>
  <si>
    <t>['selamat', 'pagi', 'pengecekkan', 'paket', 'pembelian']</t>
  </si>
  <si>
    <t>['tolong', 'tingkatkan', 'kualitas', 'jaringan']</t>
  </si>
  <si>
    <t>['suka', 'promo', 'cerianya', '']</t>
  </si>
  <si>
    <t>['mudah', 'bahasa']</t>
  </si>
  <si>
    <t>['salam', 'binjai']</t>
  </si>
  <si>
    <t>['jaringan', 'luas', 'jangkauannya']</t>
  </si>
  <si>
    <t>['murahkan', 'paket', 'beli', 'kartu', 'min']</t>
  </si>
  <si>
    <t>['murah', '']</t>
  </si>
  <si>
    <t>['menu', 'pilihan', 'paket', 'byk', 'pengen', 'simpati', 'nomor', 'hrs', 'ganti', 'halo', 'smua', 'pilihan', 'paket', 'mahal', '']</t>
  </si>
  <si>
    <t>['sayang', 'lelet', 'signal', 'trus', 'harga', 'paket', 'internet', 'mahal', '']</t>
  </si>
  <si>
    <t>['menarik', 'apk']</t>
  </si>
  <si>
    <t>['promo', 'combo', 'saktinya', 'keren', 'habis', '']</t>
  </si>
  <si>
    <t>['paket', 'internet', 'tolong', 'perhatikan']</t>
  </si>
  <si>
    <t>['pakai', 'telkomsel', 'internet', 'kecewa', 'jaringan']</t>
  </si>
  <si>
    <t>['haduh', 'susah', 'masuknya', 'loncat', 'gangguan', 'serius', 'mudah', 'aman']</t>
  </si>
  <si>
    <t>['kemudahan', 'mengecek', 'pulsa', 'transaksi', '']</t>
  </si>
  <si>
    <t>['paket', 'gmana']</t>
  </si>
  <si>
    <t>['senang', 'telkomsel', 'kecepatan', 'jaringan', 'mengecewakan', 'kuota', 'internet', 'boros', 'provider', 'kuning', 'internetnya', 'boros']</t>
  </si>
  <si>
    <t>['aplikasi', 'mudah', 'cek', 'kuota', 'bonus', 'aplikasi', 'bermanfaat', 'terima', 'kasih', 'telkomsel']</t>
  </si>
  <si>
    <t>['alhamdulillah', 'aplikasi', 'telkomsel', 'transaksi', 'kuota', 'praktis', 'pilihan', 'tinggal', 'klik', 'langsung', 'internetan', 'poin', 'berkesempatan', 'hadiah', 'beruntung', 'terima', 'kasih', 'telkomsel', 'semoga', 'kedepannya', '']</t>
  </si>
  <si>
    <t>['harga', 'mahal', 'pilihan', 'bersahabat', 'jaringan', 'lelet', 'berbohong', 'penipu', 'bonus', 'kuota', 'nelpon', 'internet', '']</t>
  </si>
  <si>
    <t>['membatu', 'bagus']</t>
  </si>
  <si>
    <t>['', 'beli', 'paketan', 'gopay', 'transaksi', 'berhasil', 'gopay', 'kepotong', 'paketan', 'masuk', '']</t>
  </si>
  <si>
    <t>['mantap', 'langsung', 'download', 'gasskeun']</t>
  </si>
  <si>
    <t>['ayo', 'telkomsel', 'murahin', 'harga', 'pulsanya', 'makasih', '']</t>
  </si>
  <si>
    <t>['kecewa', 'berat', 'telkomsel', 'nomor', 'kog', 'skrang', 'beli', 'paket', 'alasan', 'gangguan', 'sistem', 'skrang', 'gangguan', 'pulsa', 'paket', 'beli', 'gangguan', 'sistem', '']</t>
  </si>
  <si>
    <t>['terimakasih', 'telkomsel', 'sungguh', 'membantu']</t>
  </si>
  <si>
    <t>['bagus', 'bagus', 'kekurangan', 'wajar', 'namanya', 'aplikasi', 'manusia', 'kesalahan', '']</t>
  </si>
  <si>
    <t>['aplikasi', 'membantu', 'smoga', 'telkomsel', 'paket', 'internetnya', 'murah', 'pelanggan', 'berpindah', 'kartu']</t>
  </si>
  <si>
    <t>['memudahkan', 'pelayanan']</t>
  </si>
  <si>
    <t>['kasih', 'bintang', 'segitu', 'ajah', 'main', 'game', 'provider', 'knp', 'tolong', 'perbaiki']</t>
  </si>
  <si>
    <t>['', 'support', 'android', 'install', 'android', 'iya', 'perusahaan', 'telkomsel', 'ngikutin', 'update', 'teknologi', 'terbaru']</t>
  </si>
  <si>
    <t>['aplikasi', 'nyedot', 'kuota', '']</t>
  </si>
  <si>
    <t>['aplikasi', 'bagus', 'lancar', 'bnyk', 'penawaran', 'menarik', 'sukses', 'telkomsel', '']</t>
  </si>
  <si>
    <t>['poin', 'mohon', 'ditambah']</t>
  </si>
  <si>
    <t>['bagus', 'rumit', 'penggunaanya']</t>
  </si>
  <si>
    <t>['keren', 'app']</t>
  </si>
  <si>
    <t>['tolong', 'paket', 'internetnya', 'murah', 'kalah', 'operator', 'laen']</t>
  </si>
  <si>
    <t>['gampang', 'transaksinya']</t>
  </si>
  <si>
    <t>['aplikasinya', 'bagus', 'kak', '']</t>
  </si>
  <si>
    <t>['tolong', 'telkomsel', 'jaringannya', 'perbaiki', 'macet', 'ngegame', 'ngeleg', 'mulu']</t>
  </si>
  <si>
    <t>['curi', 'pulsa', 'teros', 'perak', 'dicuri', 'jga', 'orang', 'telkomsel', 'isinya', 'pencuri', 'makan', 'duit', 'haram', 'loe', 'sumpahi', 'masuk', 'neraka', 'loe', '']</t>
  </si>
  <si>
    <t>['jaringan', 'stabil', 'memuaskan', 'melayani', 'pelanggan', 'setia', 'kecewa', 'harga', 'paket', 'tawarkan', 'kurangi', 'berharap', 'telkomsel', 'mempertahankan', 'harga', 'paketnya', 'terimakasih']</t>
  </si>
  <si>
    <t>['ksi', 'bintg', 'klu', 'bagus', 'kasi', 'bintg', 'penuh']</t>
  </si>
  <si>
    <t>['informatif', 'membantu', 'memuaskan', '']</t>
  </si>
  <si>
    <t>['bagus', 'banget', 'free', 'trf', 'tambahin']</t>
  </si>
  <si>
    <t>['beli', 'bayar', 'diterima', 'pajak']</t>
  </si>
  <si>
    <t>['hdehhh', 'kali', 'beli', 'kouta', 'pulsa', 'gb', 'rb', 'masuk', 'pulsa', 'udah', 'masuk', 'akal', 'operator', 'tsel']</t>
  </si>
  <si>
    <t>['udah', 'beli', 'paket', 'unlimited', 'kuota', 'utama', 'terpotong', 'beli', 'paket', 'unlimited', 'buktinya', 'pas', 'buka', 'instagram', 'nge', 'lag', 'trus', 'muncul', 'notif', 'kuota', 'habis', 'paket', 'instagram', 'kemarin', 'beli', 'itupun', 'paket', 'seminggu', 'ehh', 'kuota', 'utama', 'diambil', '']</t>
  </si>
  <si>
    <t>['jaringan', 'telkomsel', 'kuat', 'hutan', 'kota']</t>
  </si>
  <si>
    <t>['mytelkomsel', 'paket', 'ketengan', 'youtube', 'range', 'paket', 'dibeli', 'pulsa', 'dana', 'dompet', 'waletnya', 'telkomsel', 'linkaja', 'sopipay', 'gopay', 'beli', 'virtual', 'tolong', 'diperbaiki', 'bug', 'beli', 'paket', 'chat', 'veronika', 'mengurangi', 'pulsa', 'gini', 'merugikan', 'pelanggan', 'tolong', 'diteruskan', 'developer', 'aplikasinya', 'pelanggan', '']</t>
  </si>
  <si>
    <t>['aneh', 'semenjak', 'update', 'android', 'instal']</t>
  </si>
  <si>
    <t>['semoga', 'bagus']</t>
  </si>
  <si>
    <t>['ndak', 'poin', 'poinnya', 'ndak', 'menyesal', 'telkomsel', 'progam', 'rugi', 'promo', 'abal', '']</t>
  </si>
  <si>
    <t>['bangga', 'pakai', 'telkomsel', 'kepelosok', 'signalnya', 'saran', 'dimaksimalkan', 'signal', 'laut', 'desa', 'palasa', 'kab', 'parigi', 'moutong', 'sulawesi', '']</t>
  </si>
  <si>
    <t>['terbantu', 'apps']</t>
  </si>
  <si>
    <t>['menginstal', 'aplikasi', 'heran', 'aplikasi', 'telkomsel']</t>
  </si>
  <si>
    <t>['isi', 'paket', 'data', 'dana', 'kepotong', 'peket', 'data', 'masuk', 'hubungi', 'via', 'online', 'berbelit', 'ujung', 'grapari', 'trus', 'online', 'rela', 'dana']</t>
  </si>
  <si>
    <t>['puas', 'tdak', 'dial', '']</t>
  </si>
  <si>
    <t>['bagus', 'apk', 'kasih', 'bintang', 'anti', 'pusing']</t>
  </si>
  <si>
    <t>['tingkatkan', 'kualitas', 'signal', 'pelayanan', '']</t>
  </si>
  <si>
    <t>['kecewa', 'kartu', 'jaringan', 'lemot', 'paketan', 'doang', 'mahal', 'lemot', 'jaringan', 'payah', 'buang', 'buang', 'duit']</t>
  </si>
  <si>
    <t>['tolong', 'paket', 'gamemax', 'paket', 'khusus', 'game', 'khusus', 'game', 'paket', 'reguler', 'tolong', 'jualannya', 'tulis', 'pakai', 'khusus', '']</t>
  </si>
  <si>
    <t>['mantul', 'mantap']</t>
  </si>
  <si>
    <t>['aplikasi', 'bagus', 'recomended', 'beli', 'paket', 'kuota', 'gampang', 'banget', 'tinggal', 'geser', 'layar', 'memilih', '']</t>
  </si>
  <si>
    <t>['telkomsel', 'juara', '']</t>
  </si>
  <si>
    <t>['oke', 'info', 'produk', 'telkomsel']</t>
  </si>
  <si>
    <t>['parah', 'emang', 'telkomsel', 'paket', 'internet', 'bermutu', 'telkomsel', 'udah']</t>
  </si>
  <si>
    <t>['aplikasi', 'penipu', 'kalimat', 'keterangan', 'sesuai', 'kuota', 'tulisan', 'pas', 'isi', 'sms', 'habis', 'bener', 'bener', 'nipu', 'payah', 'banget', 'telkomsel', 'jelasin', 'detail', 'seharian', 'jam', 'sumpahin', 'bangkrut']</t>
  </si>
  <si>
    <t>['area', 'karanganyar', 'tolong', 'sinyalnya', 'diperbaiki', 'karna', 'dirugikan', 'beli', 'kuota', 'mahal', 'gakbisa', 'dipakai']</t>
  </si>
  <si>
    <t>['sedsng', 'mencoba', 'mudah', 'mudahan', 'bermanfaat']</t>
  </si>
  <si>
    <t>['perbaiki', 'kualitas', 'jaringan']</t>
  </si>
  <si>
    <t>['betambah', 'parah', 'jaringan', 'telkomsel', 'mencari', 'keuntungan', 'besarnya', 'sesuaikan', 'mutu', 'jaringan', 'main', 'game', 'jaringan', 'hilang', 'timbul', 'mati', 'lampu', 'jaringan', 'hilang', 'hujan', 'jaringan', 'putus', 'posisi', 'kota', 'medan', 'kota']</t>
  </si>
  <si>
    <t>['sesuai', 'mengecewakan', 'dibulan', 'telkomsel', 'penagihan', 'pelayanan', 'oke']</t>
  </si>
  <si>
    <t>['merasakan', 'kelambatan', 'loading', '']</t>
  </si>
  <si>
    <t>['harga', 'doang', 'mahal', 'jaringan', 'kayak', 'siput']</t>
  </si>
  <si>
    <t>['semoga', 'menang', 'undi', 'undi', 'hepi']</t>
  </si>
  <si>
    <t>['pakai', 'internet', 'paket', 'kuota', 'memakai', 'wifi', 'pulsa', 'habis', 'gimana', 'mohon', 'bantu', 'kerjasamanya']</t>
  </si>
  <si>
    <t>['kouta', 'udh', 'mahal', 'sinyal', 'gangguan', 'mulu', 'babw']</t>
  </si>
  <si>
    <t>['mantap', 'apk', 'oke']</t>
  </si>
  <si>
    <t>['sinyal', 'telkomsel', 'mengecewakan', 'rumah', 'bagus', 'hadewhhhhh', 'capek', 'pokok', 'nunggu', 'loading', 'menjebak', 'konsumen', 'utangan', 'paket', 'darurat', 'jujur', 'kecewa']</t>
  </si>
  <si>
    <t>['jarigan', 'kau', 'perbaiki', 'aanjengg']</t>
  </si>
  <si>
    <t>['mantapp', 'semoga', 'hadiahny']</t>
  </si>
  <si>
    <t>['tkb', 'apk', 'mudah', 'akses', 'ribet']</t>
  </si>
  <si>
    <t>['pindah', 'pakai', '']</t>
  </si>
  <si>
    <t>['paketan', 'udh', 'mahal', 'jaringan', 'stabil', 'zzzzz']</t>
  </si>
  <si>
    <t>['pulsa', 'berkurang', 'cek', 'pemakaian', 'tertulis', 'biaya', 'internet', 'lucu', 'bangetttt', 'pakai', 'wifi', 'seharian', 'paket', 'data', 'kuota', 'operator', 'telkomsel', 'chat', 'veronika', 'telkomsel', '']</t>
  </si>
  <si>
    <t>['ksini', 'bukanya', 'bagus', 'ancur', 'koneksi', 'jaringan', 'lemot', 'harga', 'paket', 'doang', 'mahal', 'koneksi', 'ampas']</t>
  </si>
  <si>
    <t>['jaringan', 'pelayanan', 'konsumen', 'payah', 'dibilang', 'sampah', 'bintang', 'dibawah', '']</t>
  </si>
  <si>
    <t>['jaringan', 'internet', 'hilang', 'lambat', 'menelpon', 'terdengar', 'gema', 'suara', 'suara', 'lawan', 'terdengar', 'terimakasih']</t>
  </si>
  <si>
    <t>['paketannya', 'mahal', 'beud', 'negeri', 'kuota', 'gheuh', 'gada', 'menarik', 'tukar', 'poin', 'dapt', 'hadiahnya', 'trus', 'dapt', 'cxcx', 'parah', 'ditinggl', 'pelanggan', 'nyahok', 'sel', 'internet', 'lemot', 'pulak', 'gada', 'mendingnya', '']</t>
  </si>
  <si>
    <t>['isi', 'pulsa', 'ilang', 'langsung', 'dapet', 'notif', 'paketan', 'aktif', 'langganan', 'isi', 'pulsa', 'potong', 'cek', 'langganan', 'tolong', 'dibantu', 'langganan', 'telkomsel']</t>
  </si>
  <si>
    <t>['kali', 'beli', 'kuota', 'youtube', 'sosial', 'media', '']</t>
  </si>
  <si>
    <t>['belom', 'bener', 'jaringannya', 'kurangin', 'bintang']</t>
  </si>
  <si>
    <t>['fungsi', 'pemilihan', 'paket', 'mudah']</t>
  </si>
  <si>
    <t>['hebat', 'semoga', 'jaya']</t>
  </si>
  <si>
    <t>['kartu', 'ngk', 'ngtd', 'dimana', 'lag', 'ajg']</t>
  </si>
  <si>
    <t>['tukar', 'in', 'tpi', 'knapa', 'hadiahnya', '']</t>
  </si>
  <si>
    <t>['ksh', 'bintang', 'bos']</t>
  </si>
  <si>
    <t>['telkom', 'buruk', 'jaringan', 'mahal', 'kartu', 'lola', 'bnget', 'woy', 'operator', 'kerja', 'loo', 'benerin', 'tinggal', 'kota', 'jringan', '']</t>
  </si>
  <si>
    <t>['suka', 'combo']</t>
  </si>
  <si>
    <t>['mohon', 'dipertimbangkan', 'kecepatan', 'mbps', 'seakan', 'sesuai', 'boros', 'kecepatan', 'kadang', 'lemot', 'mohon', 'pertimbangan', 'telkomsel', 'terimakasih', '']</t>
  </si>
  <si>
    <t>['bagus', 'kali', 'harga', 'paket', 'murah', 'akses', 'gampang', 'trima', 'kasih', 'telkomsel', '']</t>
  </si>
  <si>
    <t>['sinyal', 'ngelaq', 'pas', 'main', 'game', '']</t>
  </si>
  <si>
    <t>['sinyal', 'telkomsel', 'ancurrrrrrrrr', 'parahhhhj']</t>
  </si>
  <si>
    <t>['buruk', 'pulsa', 'kepotong']</t>
  </si>
  <si>
    <t>['', 'aplikasi', 'bagus']</t>
  </si>
  <si>
    <t>['tingkatkan', 'kualitas', 'kuantitas']</t>
  </si>
  <si>
    <t>['', 'pulsa', 'abis', 'smua', 'idih', 'najis', 'msa', 'abis']</t>
  </si>
  <si>
    <t>['hmm', 'seumur', 'umur', 'udah', 'ganti', 'gunta', 'hadiah', 'undian', 'telkomsel', 'kayanya', 'orang', 'dalem', 'menang', 'sial', 'ngumpulin', 'poin', 'milik', 'bumn', 'pengangguran', 'tpi', 'hargai', 'orang', 'mahal', 'lemot', 'ttep', 'tsel']</t>
  </si>
  <si>
    <t>['wahyu', 'wibowo']</t>
  </si>
  <si>
    <t>['sinyal', 'jelek', 'bagus', 'kartu', 'jelek']</t>
  </si>
  <si>
    <t>['membantu', 'dlm', 'pengisian', 'ulang', 'pulsa', 'dll', '']</t>
  </si>
  <si>
    <t>['kereen', 'layananya', 'bagus', 'bangeet', 'semoga', 'sukses', 'ditingkatkan', '']</t>
  </si>
  <si>
    <t>['dibuka', 'samsung', 'note', '']</t>
  </si>
  <si>
    <t>['aplikasi', 'mytelkomsel']</t>
  </si>
  <si>
    <t>['telkomsel', 'tolong', 'beli', 'paket', 'combo', 'sakti', 'dapet', 'pesan', 'paket', 'internet', 'utama', 'abis', 'download', 'game', 'gb', 'habis', 'tolong', 'penjelasannya', '']</t>
  </si>
  <si>
    <t>['rusak', 'aplikasinya', '']</t>
  </si>
  <si>
    <t>['benerin', 'sinyal', 'ppek']</t>
  </si>
  <si>
    <t>['tolong', 'jaringan', 'game', 'perbagus', 'kepalaku', 'gua', 'pusing']</t>
  </si>
  <si>
    <t>['dipaksa', 'sllu', 'meng', 'update', 'aplikasi']</t>
  </si>
  <si>
    <t>['ngg', 'banget', 'main', 'game', 'ampas']</t>
  </si>
  <si>
    <t>['murah', 'mahal', 'bingung', '']</t>
  </si>
  <si>
    <t>['depelover', 'tambain', 'fitur', 'lock', 'pulsa', 'pas', 'kuota', 'habis', 'kaga', 'langsung', 'makan', 'pulsa', 'gitu', 'saran', '']</t>
  </si>
  <si>
    <t>['telkomsel', 'sinyal', 'kuat', '']</t>
  </si>
  <si>
    <t>['telkomsel', 'lelet', 'im', 'dibenerin', 'jaringan', 'menang', 'mahal', 'doang']</t>
  </si>
  <si>
    <t>['tolong', 'baca', 'yaaaa', 'jaringannya', 'tolong', 'ngawur']</t>
  </si>
  <si>
    <t>['telkomsel', 'oke']</t>
  </si>
  <si>
    <t>['promonya']</t>
  </si>
  <si>
    <t>['jaringan', 'lemot', 'siput', 'cepetan', 'siput', 'jalan', 'buka', 'aplikasi', 'browsing', 'google', 'muter', 'jaringan', 'gmu', 'benerin', 'komplain', 'perbaikan', 'harga', 'paketan', 'sesuai', 'koneksi', 'jaringan', 'duh', 'pelanggan', 'kecewa', '']</t>
  </si>
  <si>
    <t>['termikasih', 'telkomsil', 'aplikasi', 'sgt', 'memudahkan', 'untuku']</t>
  </si>
  <si>
    <t>['tolong', 'telkom', 'ngak', 'kali', 'main', 'game', 'online', 'sinyal', 'langsung', 'buka', 'youtube', 'facebook', 'media', 'sosial', 'mencari', 'lokasi', 'bermain', 'lancar', 'hasilnya', 'servernya', 'down', '']</t>
  </si>
  <si>
    <t>['', 'langanan', 'setia', 'telkomsel', 'kualitas', 'terbaik']</t>
  </si>
  <si>
    <t>['ajg', 'sinyal', 'kek', 'babi']</t>
  </si>
  <si>
    <t>['lancar', 'mantap']</t>
  </si>
  <si>
    <t>['transaksi', 'mudah', 'efesien']</t>
  </si>
  <si>
    <t>['bagus', 'pekerja', 'lepas', '']</t>
  </si>
  <si>
    <t>['hadiah', 'telkomsel']</t>
  </si>
  <si>
    <t>['penggunaannya', 'mudah', 'cepat']</t>
  </si>
  <si>
    <t>['apk', 'telkomsel', 'slalu', 'hati']</t>
  </si>
  <si>
    <t>['paketan', 'beli', 'jaringan', 'super', 'lemot', 'dibanding', 'provider', 'telkomsel', 'mahal', 'tolong', 'dibenahi', 'kebutuhan', 'pekerjaan', '']</t>
  </si>
  <si>
    <t>['sayang', 'telkomsel', 'love', 'you']</t>
  </si>
  <si>
    <t>['telkomsel', 'terbaik', 'semoga', 'undian', 'samsung', 'terbaru', '']</t>
  </si>
  <si>
    <t>['taik', 'paketan', 'leg', 'mahal', 'giliran', 'tlpn', 'jelek', 'sue']</t>
  </si>
  <si>
    <t>['telkomsel', 'buka', 'jaringan', 'bagus', 'tolong', 'perbaiki', 'plisss']</t>
  </si>
  <si>
    <t>['bagus', 'kadang', 'sinyal', 'susah', 'spt', 'pakai', 'simpati', 'top', 'standar', '']</t>
  </si>
  <si>
    <t>['sinyal', 'bagus', 'mantap', 'dahhh']</t>
  </si>
  <si>
    <t>['asik', 'apk', 'gampang', 'data', 'internet', '']</t>
  </si>
  <si>
    <t>['aplikasi', 'bagus', 'mantap', '']</t>
  </si>
  <si>
    <t>['bagus', 'banget', 'beli', 'paket', 'murah']</t>
  </si>
  <si>
    <t>['bermanfaat', 'aplikasi', 'bagus', 'buruan', 'download', 'download']</t>
  </si>
  <si>
    <t>['paket', 'mahal', 'sinyal', 'kaya', 'keong', 'bnerin', 'solusinya', 'sma', 'paket', 'mulu', 'ditwarin', 'sinyal', 'bangkek']</t>
  </si>
  <si>
    <t>['misi', 'gan', 'pulsa', 'potong', 'pinjem', 'paket', 'sms', 'terima', 'kasih', 'mengembalikan', 'rp', 'pelunasan', 'paket', 'darurat', 'kehabisan', 'pulsa', 'ambil', 'paket', 'darurat', 'hub', 'berlaku', 'ambil', 'paket', 'darurat', 'penjelasan', '']</t>
  </si>
  <si>
    <t>['terimakasih', 'pelosok', 'negri']</t>
  </si>
  <si>
    <t>['jaringan', 'luas', 'stabil']</t>
  </si>
  <si>
    <t>['', 'kualitasnya']</t>
  </si>
  <si>
    <t>['memmbanru']</t>
  </si>
  <si>
    <t>['halo', 'telkomsel', 'menyediakan', 'dana', 'darurat', 'pulsa', 'kasi', 'saran', 'dihapuskan', 'susah', 'dikami', 'penjual', 'pulsa', 'konsumen', 'lupa', 'pakai', 'dana', 'darurat', 'isi', 'pulsa', 'langsung', 'kepotong', 'dimarahkan', 'dibilang', 'pulsa', 'masuk', 'telkomsel', 'sms', 'isi', 'ulang', 'pulsa', 'dibayar', 'dana', 'darurat', 'konsumen', 'playing', 'victim', 'mikirnya', 'tipu', 'tlg', 'agen', 'pulsa', 'digipos']</t>
  </si>
  <si>
    <t>['telkomsel', 'pakai']</t>
  </si>
  <si>
    <t>['woi', 'apaapaan', 'gua', 'isi', 'ribu', 'abis', 'ganti', 'ajg', 'beli', 'apapa', 'paket', 'beli', 'paket']</t>
  </si>
  <si>
    <t>['mahal', 'paket', 'nyaa']</t>
  </si>
  <si>
    <t>['hapbis', 'update', 'macet', 'mentok', 'logo', 'parah']</t>
  </si>
  <si>
    <t>['kecewa', 'apk', 'isi', 'paket', 'ribu', 'terisi', 'chat', 'isi', 'pulsa', 'apk', 'kode', 'reffefal', 'kali', 'gagal', 'kembaliin']</t>
  </si>
  <si>
    <t>['pket', 'mahal', 'sinyal', 'kyak', 'taik', 'nggak', 'stabil', 'daerah', 'karawang', 'jwa', 'barat']</t>
  </si>
  <si>
    <t>['terpakai']</t>
  </si>
  <si>
    <t>['masak', 'kuota', 'sinyal', 'ngeleg', 'padah', 'lte', 'kunci', 'sinyalnya', 'lelet', 'buka', 'yotube', 'facbook', 'instagram', 'main', 'game', 'kesel', 'telkomsel']</t>
  </si>
  <si>
    <t>['paten', 'pokok']</t>
  </si>
  <si>
    <t>['telkomsel', 'jaringan', 'lemot', 'isi', 'paket', 'data']</t>
  </si>
  <si>
    <t>['dibuka', 'muncul', 'perbarui', '']</t>
  </si>
  <si>
    <t>['apk', 'bagus', 'banget', 'hapus', 'yaa']</t>
  </si>
  <si>
    <t>['', 'android', 'install', 'blok']</t>
  </si>
  <si>
    <t>['telkomsel', 'kualitasnya', 'meragukan', 'apapun', 'terimakasih', 'telkomsel']</t>
  </si>
  <si>
    <t>['mahal', 'banget', 'harga', 'kuota', 'paketnya']</t>
  </si>
  <si>
    <t>['trimakasih', 'telkomsel', 'kouta', 'gratis', 'gb']</t>
  </si>
  <si>
    <t>['mengunakan', 'lancar', 'pakai', 'telkomsel']</t>
  </si>
  <si>
    <t>['', 'bagus', 'murah', 'meriah']</t>
  </si>
  <si>
    <t>['', 'telkomsel', 'maju', '']</t>
  </si>
  <si>
    <t>['update', 'eror', 'membeli', 'paket', 'pulsa', 'pakai', 'wifi', '']</t>
  </si>
  <si>
    <t>['sayang', 'beli', 'paket', 'data', 'pilihan', 'sesuai', 'kebutuhan']</t>
  </si>
  <si>
    <t>['semoga', 'berguna', '']</t>
  </si>
  <si>
    <t>['jarang', 'leg', 'kadang', 'kadang', 'banding', 'bagus', 'telkomsel']</t>
  </si>
  <si>
    <t>['kebanyakan', 'update']</t>
  </si>
  <si>
    <t>['kartu', 'telkomsel', 'upgrade', 'gada', 'perubahan', 'jelek', 'telkomsel', 'lelet', 'parah', 'udah', 'kalah', 'perdana', 'harga', 'mahal', 'emang', 'mikir', 'telkomsel', 'harga', 'sesuai', 'kualitas', '']</t>
  </si>
  <si>
    <t>['signal', 'suka', 'gangguan']</t>
  </si>
  <si>
    <t>['puas', 'apk', '']</t>
  </si>
  <si>
    <t>['pulsa', 'kpotong', '']</t>
  </si>
  <si>
    <t>['aplikasi', 'emosi', 'pusat', 'bantuan', 'veronika', 'membantu', 'mencari', 'solusi', 'menemukan', 'berputar', 'pertaannya', 'daerah', 'mandailing', 'natal', 'signal', 'internet', 'stabil', 'hilang', 'listrik', 'padam', 'otomatis', 'signal', 'internet', 'padam', 'orang', 'memilih', 'pindah', 'operator', 'ketimbang', 'telkomsel', 'mengecewakan']</t>
  </si>
  <si>
    <t>['install', 'aplk', 'gda', 'stiap', 'login', 'nongoll', 'logo', 'doang', 'ampe', 'nungu', 'brpa', 'susah', 'liat', 'sisa', 'paket', 'ama', 'isi', 'ulang', 'mendingan', 'gush', 'pnya', 'aplk', 'telkomsel']</t>
  </si>
  <si>
    <t>['parah', 'banget', 'udah', 'transaksi', 'berhasil', 'paket', 'masuk', 'saldo', 'potong', 'isi', 'pulsa', 'udah', 'masuk', 'ngehubungi', 'twitter', 'kemajuan', 'disuruh', 'nunggu', 'hasil', 'apapun', 'udah', 'nunggu', 'proses', 'hasil', 'apapun', 'sampe', 'mikir', 'kek', 'gini', 'dilama', 'in', 'emang', 'tanggung', 'orang', 'beli', 'paket', 'butuh', 'darurat', 'keperluan', 'pelayanan', 'buruk', 'banget', 'cepat', 'diselesaikan']</t>
  </si>
  <si>
    <t>['sampe', 'blm', 'dapet', 'undian', '']</t>
  </si>
  <si>
    <t>['', 'merah', 'udah', 'cacat']</t>
  </si>
  <si>
    <t>['sesi', 'masuk', 'ribet', 'mulu', 'males']</t>
  </si>
  <si>
    <t>['appl', 'bagu']</t>
  </si>
  <si>
    <t>['jawa', 'kota', 'kebumen', 'dapet', 'hadiah', 'apapun', 'dapet', 'promo', 'menarik', 'nomor', '']</t>
  </si>
  <si>
    <t>['oke', 'skrg', 'udh', 'bagus', 'pertahankan', 'awas', 'berulah']</t>
  </si>
  <si>
    <t>['optimalkan', 'pembacaan', 'data', 'online', 'offline']</t>
  </si>
  <si>
    <t>['telkomsel', 'atasanya', 'ceo', 'gitu', 'telkomsel', 'kualitas', 'menentukan', 'harga', 'boro', 'boro', 'kualitas', 'sinyal', 'hilang', 'suka', 'error', 'ngambil', 'untung', 'gede', 'pelayanan', 'bagus', 'mah', 'enak', 'boro', 'boro', 'taikkk']</t>
  </si>
  <si>
    <t>['paket', 'internet', 'tarifnya', 'mahal', 'pakai', 'kartu', 'telkomsel', 'nyaman', 'mahal']</t>
  </si>
  <si>
    <t>['bintang', 'kasih', 'bintang', 'kuota', 'mahal', 'jaringan', 'ampas', 'telkomsel', 'ampas', 'jaringan', 'buruk', 'sampe', 'jaringan', 'lemot', '']</t>
  </si>
  <si>
    <t>['harga', 'paket', 'mahal', 'pengguna', 'setia', 'telkomsel', '']</t>
  </si>
  <si>
    <t>['aplikasi', 'migrasi', 'jaringan', 'prioritas', 'migrasi', 'prioritas', 'joss', 'informasi', 'aplikasi', 'mytelkomsel', 'membantu', 'informasi', 'terbaru', 'grapari', 'kantor', 'cabang', 'mantap', '']</t>
  </si>
  <si>
    <t>['transfer', 'pulsa', 'biaya', 'smp', 'perak', 'busset', '']</t>
  </si>
  <si>
    <t>['banget', 'lancar']</t>
  </si>
  <si>
    <t>['bagus', 'kasi', 'ranting', 'karna', 'blm', 'dicoba', 'aplikasi', '']</t>
  </si>
  <si>
    <t>['halo', 'telkomsel', 'sms', 'terikasih', 'melunasi', 'paket', 'darurat', 'ambil', 'paket', 'darurat', 'pulsa', 'potong', 'magsudnya', '']</t>
  </si>
  <si>
    <t>['assalamualaikum', 'updated', 'android', 'aplikasi', 'nggak', 'jalan', 'mohon', 'bantuannya']</t>
  </si>
  <si>
    <t>['bagus', 'sekalai']</t>
  </si>
  <si>
    <t>['aplikasi', 'bersertifikat', 'paham', 'nge', 'log', 'payah', 'pemerintah', 'tayyyy']</t>
  </si>
  <si>
    <t>['maaf', 'gays', 'bintang', 'berhubung', 'aplikasi', 'mencoba', '']</t>
  </si>
  <si>
    <t>['multi', 'fungsi', 'mudahnya', 'isi', 'pulsa', 'paketan', 'mantep', 'repot', 'cari', 'ketempat', 'konter', 'tempatnya', 'makasih', 'telkomsel']</t>
  </si>
  <si>
    <t>['', 'perbarui', 'enak', 'lemotnya', 'binasa', 'ngehhang', 'ngehe', '']</t>
  </si>
  <si>
    <t>['wilayah', 'riau', 'jaringan', 'telkomsel', 'hancur', 'perbaiki', 'jaringan', 'klian', 'kimbek', '']</t>
  </si>
  <si>
    <t>['jaringanya', 'kaya']</t>
  </si>
  <si>
    <t>['telkomsel', 'nomer', 'ntah', 'bocoran', 'nomer', 'dri', 'operator', 'dri', 'tgl', 'spam', 'call', 'org', 'dikenal', 'menganggu', '']</t>
  </si>
  <si>
    <t>['nabire', 'papua', 'tepatnya', 'kalibobo', 'terang', 'kecewa', 'koneksi', 'sinyal', 'full', 'nonton', 'youtube', 'kualitas', 'video', 'buffering', 'buka', 'aplikasi', 'telkomsel', 'kecepatan', 'koneksi', 'mbps']</t>
  </si>
  <si>
    <t>['terimakasih', 'telkomsel', 'mempermudah', 'layanan', 'internet', 'masyarakat', 'indonesia']</t>
  </si>
  <si>
    <t>['bagus', 'banget']</t>
  </si>
  <si>
    <t>['hai', 'telkomsel', 'aplikasinya', 'dibuka', 'uninstall', 'kebuka', 'aplikasinya', 'dibuka', 'tolong', 'bantuan', 'penjelasannya', '']</t>
  </si>
  <si>
    <t>['terimakasih', 'telkomsel', 'hallo', 'pelayanan', 'memuaskan', 'membantu', '']</t>
  </si>
  <si>
    <t>['telkomsel', 'sihh', 'beli', 'paket', 'server', 'sibuk', 'gitu', 'tlong', 'penjelasan', '']</t>
  </si>
  <si>
    <t>['telkomsel', 'knp', 'bangke', 'kemarin', 'ngelag', 'parah', 'gua', 'main', 'ngelag', 'mulu', 'sampe', 'gabisa', 'main', 'kena', 'bacotan', 'team', 'mulu', 'gua', 'gegara', 'sinyal']</t>
  </si>
  <si>
    <t>['make', 'kartu', 'telkomsel', 'gimana', 'sekrang', 'mentang', 'berkuasa', 'sistem', 'jaringan', 'kaya', 'sampah', 'lemot', 'banget', 'beralih', 'provider', 'maen', 'game', 'streaming']</t>
  </si>
  <si>
    <t>['hlo', 'pasang', 'aplikasi', 'hapus', 'karna', 'makan', 'pulsa', 'hilang', 'pulsanya', 'pdhal', 'kepake', 'pasang', 'kode', 'ferivikasi', 'dmasukkan', 'tdak', 'delay', 'trllu', 'cpat', '']</t>
  </si>
  <si>
    <t>['poin', 'tukar', 'coba', 'gagal', 'mohon', 'solusi']</t>
  </si>
  <si>
    <t>['menjadikan', 'telkomsel', 'alat', 'konsoltasi', 'jarak', 'sarana', 'siraturrahmi', 'keluarga', 'berbida', 'wilayah', 'membantu', 'kpd', 'urusan', 'bisnis', 'barang', 'beli', 'menjual', 'telkomsel', 'aplikasi', 'kemajuan', 'bidang', 'politik', 'pendidikan', 'agamaan', 'khusnya', 'agama', 'islam', '']</t>
  </si>
  <si>
    <t>['terbaik', 'terbaik']</t>
  </si>
  <si>
    <t>['paketnya', 'mahal', 'sinyalnya', 'sesuai', 'telkomsel', 'benerin', 'jaringan', 'internet', 'kau', 'naikin', 'harga', 'paket']</t>
  </si>
  <si>
    <t>['paketan', 'mahal', 'sinyal', 'hilang', 'hilang', 'nomor', 'udah', 'pindah', 'provider', 'kwalitas', 'bobrok', 'bos', 'senggol']</t>
  </si>
  <si>
    <t>['udah', 'kali', 'beli', 'pulsa', 'pulsanya', 'ilang', 'gitu', '']</t>
  </si>
  <si>
    <t>['terkomsel', 'sampah', 'sembelum', 'membeli', 'pulsa', 'paket', 'internet', 'isi', 'pulsa', 'rb', 'membuka', 'browsing', 'pulsa', 'rb', 'sedot', 'buka', 'paket', 'internet', 'kuat', 'bayar', 'tagihan', 'sewa', 'lahan', 'negara', 'kah', '']</t>
  </si>
  <si>
    <t>['masuk', 'aplikasi', 'telkomsel']</t>
  </si>
  <si>
    <t>['telkomsel', 'the', 'best', 'sayang', 'penguras', 'pulsa', 'maaf', 'bintang', 'nyaman']</t>
  </si>
  <si>
    <t>['klu', 'daerah', 'masalembo', 'keramaian', 'diperkuat', 'sinyalx']</t>
  </si>
  <si>
    <t>['telkomsel', 'jga', 'beli', 'pulsa', 'pulsa', 'hilang', 'kembaliin', 'pulsa']</t>
  </si>
  <si>
    <t>['cuman', 'jaringan', 'telkomsel', 'lelet', 'mending', 'ganti', 'kartu', 'udah', 'mahal', 'jaringan', 'low']</t>
  </si>
  <si>
    <t>['buka', 'dlm', 'offline', 'kembangkan', '']</t>
  </si>
  <si>
    <t>['undian', 'telkomsel', 'poin', 'dongeng', 'pelangan', 'undian', 'hadiah', 'org', 'bukti', 'uda', 'bertahun', 'beribu', 'poin', 'udah', 'kirim', 'undian', 'dpt', 'hadiah', 'nyengol', 'kagak', 'turunkan', 'bintang']</t>
  </si>
  <si>
    <t>['telkomsel', 'lintah', 'darat']</t>
  </si>
  <si>
    <t>['senang', 'memakai', 'telkomsel', 'terimakasih', 'telkomsel']</t>
  </si>
  <si>
    <t>['apk', 'bobroook', 'berat', 'banget', 'aok', 'kwalitas', 'rendahan']</t>
  </si>
  <si>
    <t>['sumpah', 'nyesel', 'telkomsel', 'nomer', 'kedaftar', 'banking', 'udah', 'buang', 'kartu', 'telkomsel', '']</t>
  </si>
  <si>
    <t>['mahal', 'harga', 'kuotanya']</t>
  </si>
  <si>
    <t>['kuota', 'mahal', 'lbh', 'mengecewakan', 'lgi', 'kualitas', 'jaringan', 'menurun', 'harga', 'mahal', 'rela', 'bayar', 'mahal', 'jaringan', 'bagus', 'jaringannya', 'sejelek', 'rela', 'bayar', 'semahal']</t>
  </si>
  <si>
    <t>['pengguna', 'setia', 'mytelkomsel', 'puas', 'banget', 'promo', 'telkomsel']</t>
  </si>
  <si>
    <t>['mempermudah', 'baca', 'email', 'masuk', '']</t>
  </si>
  <si>
    <t>['pertamanya', 'jalan', 'tpi', 'pas', 'perbaharui', 'jdi', 'buka']</t>
  </si>
  <si>
    <t>['layanan', 'memuaskan', 'kualitas', 'terjamin', 'recom', 'banget', 'pengguna', 'kartu', 'telkomsel', 'mah', '']</t>
  </si>
  <si>
    <t>['beli', 'paket', 'internet', 'mudah']</t>
  </si>
  <si>
    <t>['mahal', 'dibndingkn']</t>
  </si>
  <si>
    <t>['sgt', 'bermanfaat']</t>
  </si>
  <si>
    <t>['login', 'kota', 'saran', 'kemudahan', 'login', 'kota', '']</t>
  </si>
  <si>
    <t>['pakek', 'telkomsel', 'bagus']</t>
  </si>
  <si>
    <t>['puas', 'tingkat', 'pelayanan', 'love', 'telkomsel']</t>
  </si>
  <si>
    <t>['sinyal', 'ilang', 'udah']</t>
  </si>
  <si>
    <t>['kacau', 'telkomsel', 'kuota', 'gb', 'seminggu', 'habis', 'makan', 'kuota', 'data', 'kecewa', 'kecewa', 'pelanggan', 'udah', 'mahal', 'cepat', 'banget', 'makan', 'kuota', 'datanya', 'beralih', 'proritas', 'kau', 'telkomsel', 'sial']</t>
  </si>
  <si>
    <t>['telkomsel', 'top']</t>
  </si>
  <si>
    <t>['mantap', 'emang', 'telkomsel']</t>
  </si>
  <si>
    <t>['ngerticarax']</t>
  </si>
  <si>
    <t>['jaringan', 'lumayan', 'nge', 'push', 'rank']</t>
  </si>
  <si>
    <t>['pulsa', 'beli', 'paket', 'gabisa']</t>
  </si>
  <si>
    <t>['kek', 'kntl', 'jaringan', 'kukira', 'bagus', 'mending', 'beli', 'kouta', 'ngabisin', 'duit', 'nge', 'game', 'gua', 'saranin', 'main', 'deket', 'tiang', 'telkom', 'bgs', 'jaringanny']</t>
  </si>
  <si>
    <t>['apk', 'membantu', 'berguna']</t>
  </si>
  <si>
    <t>['jringan', 'telokmsel', 'anjing', 'ngetot']</t>
  </si>
  <si>
    <t>['informasi', 'lengkap']</t>
  </si>
  <si>
    <t>['kurangnya', 'beli', 'paket', 'kuota', 'chat', 'pulsa', 'dikuras', 'tolong', 'perbaiki', 'kebutuhan', 'beda', 'beda']</t>
  </si>
  <si>
    <t>['memuaskan', 'memakai', 'telkomsel', '']</t>
  </si>
  <si>
    <t>['aplikasi', 'piye', 'pas', 'kelupaan', 'habis', 'kuota', 'ngecek', 'mbokyao', 'ngecek', 'gratis', '']</t>
  </si>
  <si>
    <t>['berharap', 'menang', 'udian']</t>
  </si>
  <si>
    <t>['provider', 'terbaik', 'indonesia', 'pokoknya', 'tingkatkan', 'melayani', 'konsumen', 'pertahankan', 'dicapai', '']</t>
  </si>
  <si>
    <t>['sinyal', 'mohon', 'tingkat']</t>
  </si>
  <si>
    <t>['murah', 'harga', 'aplikasi', 'promo', 'promo', 'paket']</t>
  </si>
  <si>
    <t>['apk', 'bagus', 'memuaskan']</t>
  </si>
  <si>
    <t>['mytelkomsel', 'praktis', 'jaringanya', 'meluas']</t>
  </si>
  <si>
    <t>['bsa', 'telkomsel', 'bsajualan', 'pulsa', 'bagus', 'bos', 'sekligus', 'all', 'opertor']</t>
  </si>
  <si>
    <t>['data', 'tambahan']</t>
  </si>
  <si>
    <t>['menyetujui', 'paket', 'darurat', 'sms', 'paket', 'darurat', 'aktif', 'complaint', 'coba', 'via', 'veronika', 'berguna', 'terkomsel', 'menambah', 'fitur', 'aktifkan', 'paket', 'darurat', 'pin', 'kesalahpahaman', '']</t>
  </si>
  <si>
    <t>['layanan', 'memuaskan', 'promo', 'menarik']</t>
  </si>
  <si>
    <t>['sempurna', 'pelayanannya']</t>
  </si>
  <si>
    <t>['aplikasinya', 'keren', '']</t>
  </si>
  <si>
    <t>['penipu', 'caseback', 'koin', 'beli', 'paket', 'min', 'via', 'shopee', 'pay', 'bln', 'emng', 'wktu', 'isi', 'kuota', 'sblm', 'bayar', 'tertera', 'koin', 'bayar', 'masuk', 'koin', 'akun', 'shopee', '']</t>
  </si>
  <si>
    <t>['', 'pelayanan', 'jaringannya', 'jaringn', 'bermain', 'game', 'game', 'mnjadi', 'stabil', 'kadang', 'cuman', 'bar', 'mengakibatkan', 'game', 'lag', 'tolong', 'perhatikan', 'tsb', 'thanks', 'simpati']</t>
  </si>
  <si>
    <t>['sinyal', 'putus']</t>
  </si>
  <si>
    <t>['aneh', 'manual', 'ganti', 'kartu', 'ktp', 'ngurus', 'grapari', 'titi', 'kuning', 'ahmad', 'nasution']</t>
  </si>
  <si>
    <t>['maaf', 'ratingnya', 'ganti', 'aplikasi', 'error', 'force', 'close', 'udah', 'coba', 'reinstall', 'hasilnya', 'rating', 'aplikasi', 'jaringan', 'telkomsel', 'terbaik', '']</t>
  </si>
  <si>
    <t>['sinyal', 'telkomsel', 'jelek', 'terkadang', 'sinyal', 'mengganggu', 'pekerjaan', 'kerja', 'rugi', 'bayar', 'maaf', 'kasih', 'bintang', 'perbaiki', 'kinerja', 'bintang', 'wifi', 'speedy', 'kantor', 'lemotttt', 'mengecewakan', '']</t>
  </si>
  <si>
    <t>['serius', 'sms', 'dimana', 'bertuliskan', 'pulsa', 'dipotong', 'pembayaran', 'paket', 'darurat', 'kaget', 'beli', 'paket', 'darurat', 'kali', 'beli', 'udah', 'tolong', 'kembalikan', 'pulsa']</t>
  </si>
  <si>
    <t>['banget', 'masuk', 'aplikasi', '']</t>
  </si>
  <si>
    <t>['jaringannya', 'luas', 'memudahkan', 'aktivitas', 'digital', 'internet']</t>
  </si>
  <si>
    <t>['heran', 'ambil', 'paket', 'sms', 'kembalikan', 'isi', 'pulsa', 'telpon', 'proses', 'pulsa', 'terpotong', 'kesini', 'telkomsel', 'parah', 'pelanggan', 'permudah', 'telkomsel', 'poin', 'beneran', 'tukar', 'poin', 'nggak', 'dapet', '']</t>
  </si>
  <si>
    <t>['aplikasi', 'membatu']</t>
  </si>
  <si>
    <t>['eror']</t>
  </si>
  <si>
    <t>['semoga', 'sukses', 'ditingkatkan', 'pelayanannya', 'trmksh']</t>
  </si>
  <si>
    <t>['beli', 'kuota', 'aplikasi', 'gagal', 'tulisan', 'muncul', 'maaf', 'gangguan', 'sistem', 'beli', 'telkomsel', 'kaya', 'gitu', 'tolong', 'diperbaiki', 'beli', 'pulsa', 'internetan', '']</t>
  </si>
  <si>
    <t>['kecewa', 'telkomsel', 'jelek', 'sinyalnya', 'beli', 'kouta', 'uang', 'tolong', 'diperbaikin', 'makasih', '']</t>
  </si>
  <si>
    <t>['kali', 'isi', 'pulsa', 'langsung', 'berkurang', 'isi', 'masuk', 'tolong', 'donk', 'jelasin', 'pikiran', 'negatip', 'malingin', 'trus', 'bli', 'paket', 'zonk', 'tolong', 'pulsa', 'ilang', 'silakan', 'admin', 'terhormat']</t>
  </si>
  <si>
    <t>['aplikasi', 'bagus', 'midah', 'beli', 'paket', 'data']</t>
  </si>
  <si>
    <t>['memudahkan', 'transaksi', 'pembelian', 'pulsanya', 'paket', 'data', 'tingkatkan', '']</t>
  </si>
  <si>
    <t>['kurangin', 'sikit', 'harga', 'paket', 'internet', '']</t>
  </si>
  <si>
    <t>['bagus', 'aplikasi', 'murah', 'beli', 'paket', 'data']</t>
  </si>
  <si>
    <t>['promo', 'internet', 'banyakin']</t>
  </si>
  <si>
    <t>['kouta', 'sesuai', 'harga', 'ajg', 'kouta', 'mahal', 'sinyal', 'sampah', 'mending', 'gitu', 'turunin', 'perbaiki', 'kek', 'pas', 'beli', 'kouta', 'pas', 'udah', 'daftarin', 'internet', 'lemot', 'mending']</t>
  </si>
  <si>
    <t>['promonya', 'bermanfaat', 'bangeeet', '']</t>
  </si>
  <si>
    <t>['update', 'kompatibilitas', 'android', '']</t>
  </si>
  <si>
    <t>['mantap', 'aplikasinya', 'membantu', 'pengguna', 'butuh', 'simple']</t>
  </si>
  <si>
    <t>['bermanfaat', 'pengguna', '']</t>
  </si>
  <si>
    <t>['suara', 'lawan', 'bicara', 'putus', 'putus']</t>
  </si>
  <si>
    <t>['membantu', 'bagat']</t>
  </si>
  <si>
    <t>['beli', 'paket', 'combo', 'bonusnya', 'quota', 'telp', 'sms', '']</t>
  </si>
  <si>
    <t>['hadiahnya', 'ahoook', '']</t>
  </si>
  <si>
    <t>['jaringgan', 'lelet', 'tempatku', 'nomer', 'skrg', 'lelet', 'banding', '']</t>
  </si>
  <si>
    <t>['pesan', 'mati', 'lampu', 'jaringan', 'telkomsel', 'hilang', 'mendadak', '']</t>
  </si>
  <si>
    <t>['pilihan', 'paket', 'kmi', 'butuhkan', 'promo', 'bergitu', 'menggiurkan', 'penggunaa', 'paket', 'internet', 'memadai', 'sesuai', 'pandemi', 'covid', 'membantu', 'rendah', 'ekonominya', 'paket', 'murah', 'membantu', 'berjalan', 'menghadapi', 'arus', 'pandemi', 'supaaya', 'terkendali', '']</t>
  </si>
  <si>
    <t>['bintang', 'biccara']</t>
  </si>
  <si>
    <t>['payah', 'jangguan', 'trus', 'jaringannya', 'kemarin', 'ganti', 'kartu', 'klu', 'trus', 'gini', 'perubahannya', 'sdah', 'spuluh', 'mnggunakan', 'tlkomsel', 'ksini', 'buruk', 'jaringannya', 'ttap', 'mnggunakan', 'krtu', 'lgi', 'intrnetan', 'orang', 'jaringannya', 'payah', 'ttap', 'brdoa', 'semoga', 'kedepan', 'jaringannya', 'mmbaik', 'bintang', 'kasih', 'ssuai', 'dngn', 'kecewa', '']</t>
  </si>
  <si>
    <t>['', 'beli', 'kouta', 'jam', 'habis', 'blm']</t>
  </si>
  <si>
    <t>['pokok', 'berjaya', 'telkomsel']</t>
  </si>
  <si>
    <t>['monetary', 'beli', 'kuota', 'psti', 'sisa', 'pulsa', 'kesedot', 'kesana', 'trus', 'fungsinya', 'jdi', 'rugi', 'beli', 'kuota', 'lgi']</t>
  </si>
  <si>
    <t>['dpat', 'promo', 'murah']</t>
  </si>
  <si>
    <t>['bingung', 'aps', 'dibuka']</t>
  </si>
  <si>
    <t>['aplikasi', 'bagus', 'promo', 'terimakasih', 'may', 'telkomsel', '']</t>
  </si>
  <si>
    <t>['suka', 'menyedot', 'pulsa']</t>
  </si>
  <si>
    <t>['', 'telekom', 'menawarkan', 'prodac', 'masyarakat', 'membutuhkan', 'jiwa', 'iterpeunet', 'jiwa', 'wira', 'usaha', 'tergantung', 'membaca', 'perusahaan', 'bergerak', 'jasa', 'telekomunikasi', 'peluang', 'buisnis', 'kembangkan', 'prodac', 'data', 'potensi', 'buisnis', 'data', 'luas', 'bangun', 'kerja', 'pemerintah', 'data', 'pebduduk', 'bidang', 'bidang', 'siapkan', 'data', 'pertanian', 'peter', 'data', 'nelayanan', 'sewa', 'dounlink', 'perangkat', 'terminal', 'singkatnya', 'kitawarka']</t>
  </si>
  <si>
    <t>['bonusnya', 'rajin', 'promo', 'kejutan', 'mingguan', 'ahh', 'dihati']</t>
  </si>
  <si>
    <t>['sebulan', 'rmh', 'internetnya', 'lemot', 'bangat', 'kadang', 'sinyal', 'lancar', 'kendala', 'trims']</t>
  </si>
  <si>
    <t>['mudah', 'lancar', 'jaringan', 'mendukung', 'kinerja', '']</t>
  </si>
  <si>
    <t>['mantap', 'lancar']</t>
  </si>
  <si>
    <t>['update', 'android', 'install', 'telkomsel', 'aplikasi', '']</t>
  </si>
  <si>
    <t>['penukaran', 'poin', 'capek', 'nukernya', 'kadang', 'kadang', 'aplikasi', 'menukarkan', 'poin', '']</t>
  </si>
  <si>
    <t>['telkomsel', 'bankek']</t>
  </si>
  <si>
    <t>['operator', 'jeleekkkkk', 'isi', 'pulsa', 'aktifin', 'paket', 'telkomsel', 'dlm', 'hitungan', 'detik', 'pulsa', 'langsung', 'habis', 'munkin', 'dlm', 'hitungan', 'detik', 'biaya', 'internet', 'gb', 'kesal', 'pindah']</t>
  </si>
  <si>
    <t>['mantap', 'membantu', 'mudah']</t>
  </si>
  <si>
    <t>['membantu', 'transaksi', 'pulsa', 'paket']</t>
  </si>
  <si>
    <t>['bagus', 'banyakin', 'bonusnya']</t>
  </si>
  <si>
    <t>['fungsional', 'bagus', 'estetika', 'lumayan', '']</t>
  </si>
  <si>
    <t>['kwalitas', 'telkomsel', 'terdepan']</t>
  </si>
  <si>
    <t>['bagus', 'simpel', 'akurat']</t>
  </si>
  <si>
    <t>['keren', 'abis', '']</t>
  </si>
  <si>
    <t>['lbh', 'puas', '']</t>
  </si>
  <si>
    <t>['puas', 'telcomsel']</t>
  </si>
  <si>
    <t>['dipakai', 'tuk', 'beli', 'paket']</t>
  </si>
  <si>
    <t>['membantu', 'mudah', 'prima', 'pelayanan']</t>
  </si>
  <si>
    <t>['aplikasinya', 'bagus', 'bngettt', 'suka', '']</t>
  </si>
  <si>
    <t>['membantu', 'aplikasi', 'pembelian', 'data', 'paket', 'telkomsel']</t>
  </si>
  <si>
    <t>['kuota', 'games', 'berguna', 'kuota', 'utama', 'kebanyakan', 'menghubungkan', 'pas', 'masuk', 'games', 'beli', 'kuota', 'utama', 'doang', 'mahal', 'plus', 'dikit', 'beli', 'kuota', 'game', 'ditambah', 'kuota', 'utama', 'kuota', 'utamanya', 'kuota', 'utama', 'habis', 'kuota', 'game', 'ngeleg', 'kerjaannya', '']</t>
  </si>
  <si>
    <t>['buruk', 'pelayanannya', 'jaringan', 'internetnya', 'sinyal', 'udh', 'lelet', 'kirim', 'pesan', 'chat', 'pokoknya', 'jelek', 'sekarg']</t>
  </si>
  <si>
    <t>['susah', 'masuk', 'dana', 'disitu', 'berhasil', 'masuk', 'tetep', 'disambungkan']</t>
  </si>
  <si>
    <t>['membantt', 'beli', 'pulsa', 'cek', 'data', 'murah', 'beli', 'pulsa', 'telkomsel']</t>
  </si>
  <si>
    <t>['mudah', 'digunakaan', 'bagus']</t>
  </si>
  <si>
    <t>['kirim', 'sms', 'kartu', 'terblokir', 'bayar', 'udah', 'sms', 'terimakasih', 'pembayaran', 'tagihan', 'diterima', 'udah', 'kali', 'gitu', 'kroscek', 'data', 'udah', 'veronika', 'maunya', 'udah', 'kirim', 'balasnya', 'sistem', 'buka', 'gambar', 'kuno', 'sistemnya', 'gitu', 'industri', '']</t>
  </si>
  <si>
    <t>['', 'allah', 'berikanlah', 'telkomsel', 'limpahan', 'rahmatmu', 'semoga', 'telkomsel', 'berjaya', 'aamiiin', 'semoga', 'telkomsel', 'hadiah', 'mobil', 'kuidamkan', 'aamiiin', 'allahumma', 'aamiiin']</t>
  </si>
  <si>
    <t>['susah', 'dibukaaa']</t>
  </si>
  <si>
    <t>['paket', 'data', 'murah', 'pertahankan']</t>
  </si>
  <si>
    <t>['kwalitas', 'jaringan', 'telkomsel', 'daerah', 'jeneponto', 'buruk', 'kota', 'hotel', 'sari', 'kec', 'binamu', 'internetan', 'susah', 'kouta', 'internet', 'bar', 'posisi', 'buruk', 'kwalitas', 'jaringan', 'telkomsel', 'daerah', 'jeneponto', 'maunya', 'perbanyak', 'tower', 'bts', 'daerah', 'jeneponto', 'kota', 'jeneponto', 'sjja', 'sulit', 'pelosok', 'payah', '']</t>
  </si>
  <si>
    <t>['', 'telkomsel', 'top', 'banget', 'poin', 'hangus', 'mudah', 'udh', 'app', 'undian', 'dpt', 'hadiah', '']</t>
  </si>
  <si>
    <t>['zaman', 'sekolah', 'smpe', 'skrg', 'ganti', 'kartu', 'telkomsel', '']</t>
  </si>
  <si>
    <t>['memudahkan', 'pengguna', 'aplikasi', 'telkomsel', 'membeli', 'pulsa', 'paket', 'data', '']</t>
  </si>
  <si>
    <t>['puas', 'senang', '']</t>
  </si>
  <si>
    <t>['puas', 'banget', 'telkomsel']</t>
  </si>
  <si>
    <t>['perbanyak', 'promo', 'kuota', 'murah', 'nikmati', 'lapisan', 'masyarakat', 'kalangan']</t>
  </si>
  <si>
    <t>['kasih', 'bintang', 'karna', 'pemula']</t>
  </si>
  <si>
    <t>['tingkatkan', 'kemanan', 'aplikasi']</t>
  </si>
  <si>
    <t>['mantap', 'basa', 'basi', 'kasihkan', '']</t>
  </si>
  <si>
    <t>['suka', 'pke', 'telkomsel', 'skrg', 'eneg', 'gegara', 'tekomsel', 'sndiri', 'ngadain', 'program', 'migrasi', 'kartu', 'stelah', 'ikutin', 'program', 'kartu', 'kunjung', 'dtg', 'alamat', 'kerja', 'php', 'konsumen', 'tolong', 'kerja', 'bner', 'gaji', 'hak', 'halo', 'kick', 'rb', 'non', 'aktifkan', 'turun', 'halo', 'unlimited', 'rb', 'oprator', 'omdo', 'tagihan', 'gede', 'kena', 'rb', '']</t>
  </si>
  <si>
    <t>['', 'ampun', 'gini', 'telkomslet', 'mencuri', 'pulsa', 'paket', 'darurat', 'selamat', 'makan', 'duit', 'haram']</t>
  </si>
  <si>
    <t>['membantu', 'apk', 'dperbaiki', 'apk', 'lemot', 'akses', '']</t>
  </si>
  <si>
    <t>['pulsa', 'dipotong', 'melunasi', 'knpa', 'ptong', 'mengecewakan']</t>
  </si>
  <si>
    <t>['alhamdulillah', 'baaraakallohu', 'semoga', 'trusss', 'indonesia', 'emas']</t>
  </si>
  <si>
    <t>['aplikasi', 'haram', 'nggak', 'pakai', 'telkomsel', 'isi', 'pulsa', 'habis', 'pulsa', 'mending', 'pakai', 'indosat', 'aman']</t>
  </si>
  <si>
    <t>['aplikasi', 'bagus', 'rekomendasi', 'banget']</t>
  </si>
  <si>
    <t>['kasih', 'bintang', 'pusing', 'pakek', 'paket', 'pulsa', '']</t>
  </si>
  <si>
    <t>['jaringan', 'luas', 'diperkuat', 'signal']</t>
  </si>
  <si>
    <t>['test', 'bintang', 'dlu']</t>
  </si>
  <si>
    <t>['palikasinya', 'bagus', 'trimakasi']</t>
  </si>
  <si>
    <t>['sinyal', 'telkomsel', 'knp', 'jelek', 'banget', 'sebentar', 'sebentar', 'hilang', 'line', 'sesuai', 'harga', 'penawaran', 'pelayanannya', 'mohon', 'diperbaiki']</t>
  </si>
  <si>
    <t>['pilihan', 'paketnya']</t>
  </si>
  <si>
    <t>['opsi', 'metode', 'pembayaran', 'gopay', 'gada']</t>
  </si>
  <si>
    <t>['aplikasi', 'lambat', 'tolong', 'diperbaiki']</t>
  </si>
  <si>
    <t>['telkomsel', 'mantap', 'bah', '']</t>
  </si>
  <si>
    <t>['telkomsel', 'gangguan', 'kecewa', 'masuk']</t>
  </si>
  <si>
    <t>['aplikasi', 'payah', 'beli', 'paket', 'berhasil', 'err', 'pulsa', 'abis', 'duhhh', 'payah', 'merah', 'aplikasi', 'nyusahin', 'notif', 'berhasil', 'eror', 'udahlah', 'becus', 'manual', 'kayak', 'dlu', 'manual', 'susah', 'aplikasi', 'susah', 'nyusahin', 'doang']</t>
  </si>
  <si>
    <t>['jaringan', 'ujan', 'paraaahhh', 'bangeeett', 'superrrr', 'jeleeeekkkkkk', 'sumpaah', 'apapun', 'kek', 'iya', 'jaringan', 'tersebar', 'dimana', 'hoakssss', 'cus', 'ganti', 'kartu', 'gausah', 'mempersulit', 'orang', 'kasih', 'kritik', 'jaringan', 'jelek', 'kuota', 'mahal', 'worth', 'dikit', 'duit', 'kuota', 'mahal', 'fasilitas', 'upgrade', 'bedanya', 'provider', 'jaringan', 'ampas', 'kek', 'gini', '']</t>
  </si>
  <si>
    <t>['telkomsel', 'jaringan', 'terbesar', 'terluas', 'tercepat', 'terbaik', 'komunikasi']</t>
  </si>
  <si>
    <t>['jaringan', 'payah']</t>
  </si>
  <si>
    <t>['pengin', 'kuota', 'gratis']</t>
  </si>
  <si>
    <t>['mantap', 'terimakasih', 'bos']</t>
  </si>
  <si>
    <t>['memabntu']</t>
  </si>
  <si>
    <t>['tolong', 'perbaiki', 'jaringan', 'telkomsel', 'dlu', 'bnggakan', 'karna', 'stabil', 'jangkauan', 'luas', 'masak', 'jogja', 'kota', 'daerah', 'kampung', 'sudagaran', 'sinyal', 'cover', '']</t>
  </si>
  <si>
    <t>['pulsanya', 'ngurang']</t>
  </si>
  <si>
    <t>['suka', 'banget', 'pakai', 'aplikasi', 'mytelkomsel', 'simple', 'lihat', 'kuota', 'beli', 'kuota', 'pokoknya', 'seneng', 'banget', 'dehh']</t>
  </si>
  <si>
    <t>['sekelas', 'telkomsel', 'internet', 'kayak', 'gini', 'paketan', 'mahal', 'jaringan', 'prioritas', 'banget', 'udah', 'tutup', 'perusahaannya', 'emang', 'bangkrut', 'bangkrut', 'bagus', 'udah', 'tutup', 'kasian', 'customernya', 'php', 'jaringan']</t>
  </si>
  <si>
    <t>['pembayaran', 'pakai', 'gopay', '']</t>
  </si>
  <si>
    <t>['telat', 'kuota', 'habis', '']</t>
  </si>
  <si>
    <t>['trimakasih', 'belanja', 'pulsa', 'data', 'barter', 'pulsa', 'reguler', 'cepat', 'simple', '']</t>
  </si>
  <si>
    <t>['telkomsel', 'udah', 'nyaco', 'pulsa', 'ilang', 'paket', 'data', 'dapet', 'laporan', 'pulsa', 'internet']</t>
  </si>
  <si>
    <t>['paket', 'malam', 'beli', 'tgl', 'jam', 'tgl', 'rusak', 'dahh', 'konsumen', 'telkom', 'telkom', 'koq', '']</t>
  </si>
  <si>
    <t>['bagus', 'aplikasinya', '']</t>
  </si>
  <si>
    <t>['muda']</t>
  </si>
  <si>
    <t>['beli', 'paket', 'malam', 'aktifkan', 'pulsa', 'disedot', 'bener', 'telkomsel', 'pas', 'cek', 'telkomsel', 'oops', 'tejadi', 'kesalahan', 'what', 'kesalahaan', 'situ', 'pulsa', 'disedot', 'jujur', 'kecewa', 'pelayanan', 'telkomsel']</t>
  </si>
  <si>
    <t>['aplikasi', 'oke']</t>
  </si>
  <si>
    <t>['mempermudah', 'isi', 'paket', 'internet', 'cek', 'pulsa']</t>
  </si>
  <si>
    <t>['woyyy', 'telkomsel', 'jaringan', 'kutoa', 'gb', 'buka', 'ajg', 'make', 'kali', 'beli', 'alat', 'mahalan', 'dikit', 'ngapa', 'jaringan', 'termahal', 'ppek']</t>
  </si>
  <si>
    <t>['banyakin', 'promo', 'betah']</t>
  </si>
  <si>
    <t>['lumayan', 'update']</t>
  </si>
  <si>
    <t>['user', 'pgn', 'numb', '']</t>
  </si>
  <si>
    <t>['rekomendet', 'byk', 'promo', '']</t>
  </si>
  <si>
    <t>['mangkin', 'lelet']</t>
  </si>
  <si>
    <t>['setia', 'pakai', 'telkomsel']</t>
  </si>
  <si>
    <t>['', 'telkomsel', 'skrang', 'lemot']</t>
  </si>
  <si>
    <t>['udah', 'beli', 'paket', 'internet', 'lwat', 'telkomsel', 'keterangan', 'gangguan', 'sinyal', 'bagus', 'koneksi', 'lancar', 'aneh', '']</t>
  </si>
  <si>
    <t>['pulsa', 'terpotong', 'paket', 'internet', 'gb', 'telkomsel', 'anjiiiinnggg']</t>
  </si>
  <si>
    <t>['alamat', 'email', 'nomr', 'tayangkan', 'sepenuhnya', 'ganti', 'apasaja', 'tersembunyi', 'disalah', 'terimakasih', '']</t>
  </si>
  <si>
    <t>['bintang', 'krna', 'jaringan', 'telkomsel', 'tidk', 'bagus', 'ganti', 'kartu', 'laen', '']</t>
  </si>
  <si>
    <t>['jaringan', 'kec', 'pematang', 'reba', 'indragiri', 'hulu', 'riau', 'parah', 'jaringan', 'bbrp', 'bln', 'kacau', 'bobrok', 'telkomsel', 'kyk']</t>
  </si>
  <si>
    <t>['jaringan', 'bagusan', 'kartu', 'drpd', 'telkom', 'hello', 'main', 'suka', 'ilang', 'jaringan', 'gajelas', '']</t>
  </si>
  <si>
    <t>['berbelit', 'belit', 'aplikasi', 'tipu', '']</t>
  </si>
  <si>
    <t>['bagus', 'fitur', 'lock', 'pulsa', 'menghidupkan', 'data', 'internet', 'pulsa', 'tersedot', 'paket', 'kuota', 'tertulis', 'memotong', 'pulsa', 'paket', 'kuota', 'diharapkan', 'update', 'ditambahin', 'fitur', 'lock', 'pulsa', 'pengguna', 'mengeluh', 'pulsa', 'hilang', 'berkurang', 'sekian', 'terima', 'kasih']</t>
  </si>
  <si>
    <t>['cipinang', 'utara', 'signal', 'bagus']</t>
  </si>
  <si>
    <t>['kuota', 'masuknya', 'susah']</t>
  </si>
  <si>
    <t>['woy', 'teltod', 'kasih', 'jaringan', 'bener', 'napa', 'tulisan', 'gunain', 'chat', 'kagak', 'tod']</t>
  </si>
  <si>
    <t>['pakai', 'telkomsel', 'paketnya', 'mahal', 'dlu', 'paket', 'telpon', 'tsel', 'sepuasnya', 'operator', 'mnt', 'paketnya', 'jdi', 'tsel', 'mnt', 'operator', 'mnt', 'wajar', 'berkurang', 'harga', 'lipat', 'sumpahh', 'masuk', 'akal', 'banget', 'provider', 'udah', 'membumi', 'harga', 'sangaat', 'wajar', 'menemukan', 'paket', 'cocok', 'berdasarkan', 'lokasi', 'pdhal', 'stgh', 'thun', 'lbh', 'sya', 'puas', 'telpon', 'skrg', 'nyambung', 'paket', 'gitu']</t>
  </si>
  <si>
    <t>['kali']</t>
  </si>
  <si>
    <t>['turunin', 'dikit', 'harga', 'paket', 'dikasih', 'bintang', '']</t>
  </si>
  <si>
    <t>['salah', 'pelanggan', 'kartu', 'hallo', 'pasca', 'bayar', 'keberadaan', 'kota', 'kota', 'telkomsel', 'aktifkan', 'tambahan', 'paket', 'kuota', 'masukan', 'tagihan', '']</t>
  </si>
  <si>
    <t>['', 'bintang', 'bagus', 'mahal', 'mahal', 'paket', 'internetnya', 'kartu', 'bnget']</t>
  </si>
  <si>
    <t>['turunin', 'dikit', 'harga', 'paket', 'datanya']</t>
  </si>
  <si>
    <t>['paket', 'unlimited', 'mahal', 'donk', 'murah', '']</t>
  </si>
  <si>
    <t>['penawaran', 'murah', 'kuotanya', 'dikit', 'sebulan']</t>
  </si>
  <si>
    <t>['', 'telkomsel', 'the', 'best', 'aplikasi', 'sgt', 'memudahkan', 'membantu']</t>
  </si>
  <si>
    <t>['udah', 'paketan', 'mahal', 'sinyal', 'jelek', 'gue', 'main', 'kalah', 'mulu', 'sinyal', 'telkomsel', 'kek', 'tolong', 'lancar', 'pengguna', 'kecewa', 'berlangganan', 'telkomsel', 'sinyal', 'jelek', 'rugi', 'bayar', 'paket', 'data', 'mahal', 'kuota', 'boros', 'sinyal', 'jelek', 'mending', 'kartu', '']</t>
  </si>
  <si>
    <t>['memuaskan', 'pelayanan']</t>
  </si>
  <si>
    <t>['update', 'enga', 'buka', 'menit', 'abis', 'mb', 'wtf', '']</t>
  </si>
  <si>
    <t>['sinyal', 'buruk', 'ibukota', 'jakarta', 'kecuali', 'didesa']</t>
  </si>
  <si>
    <t>['', 'ang', 'sinyal', 'lelet', 'bnke', 'mahal', 'lgi', 'emang', 'kerjaan', 'produsennya', 'balek', 'maleh', 'mending', 'pindah', 'pindah', 'kartu', 'bngsat', '']</t>
  </si>
  <si>
    <t>['suka', 'aplikasi', 'telkomsel', 'membsntu']</t>
  </si>
  <si>
    <t>['sinyal', 'tertulis', 'muter', 'komplain', 'telkomsel', 'ketemu', 'veronika', 'asisten', 'otomatis', 'telkomsel', 'canggih', 'membantu', 'trus', 'live', 'agen', 'manusia', 'kena', 'covid', '']</t>
  </si>
  <si>
    <t>['bgus', 'mudah', 'penggunanya', '']</t>
  </si>
  <si>
    <t>['bintang', 'puas', 'apk', 'tlkmsl']</t>
  </si>
  <si>
    <t>['warga', 'riau', 'pekanbaru', 'bersyukur', 'terimakasih', 'telkomsel', 'indonesia', 'karna', 'telkomsel', 'berkembangnya', 'indonesia', 'semoga', 'telkomsel', 'berkembang', 'temuan', 'bagus', 'murah', 'amin', 'semoga', 'telkomsel', 'memikirkan', 'jangkauwan', 'ekonomi', 'menengah', 'kebawah', 'terimakasih', 'telkomsel']</t>
  </si>
  <si>
    <t>['apk', 'bagusss']</t>
  </si>
  <si>
    <t>['kota', 'sinyal', 'telkomsel', 'sekrang', 'lemot', 'bangett', 'tolong', 'lahh', 'cari', 'permasalahanya', 'youtuban', 'lancar', 'muter', 'ngk', 'jelass', '']</t>
  </si>
  <si>
    <t>['telkomsel', 'payah', 'jaringan', 'lelet', 'rumah', 'towernya', '']</t>
  </si>
  <si>
    <t>['jaringan', 'busuk']</t>
  </si>
  <si>
    <t>['kembalikan', 'sinyal', 'telkomsel', 'dlu', 'karna', 'skarang', 'lemot']</t>
  </si>
  <si>
    <t>['aplikasinya', 'oke', 'layanannya', 'lelet', 'setahun', 'pakai', 'telkom', 'jaringan', 'aman', 'setahun', 'jelek', 'jelek', 'jelek', 'susah', 'nyari', 'sinyalnya', 'kesel', 'ampe', 'banting', 'udah', 'bantuan', 'apl', 'telkomnya', 'keknya', 'ditanggapin', 'nyambung', 'samsek', 'kesel', '']</t>
  </si>
  <si>
    <t>['telkomsel', 'kaya', 'exsis', 'patok']</t>
  </si>
  <si>
    <t>['telkomsel', 'parah', 'pulsa', 'termakan', 'kuota', 'data', 'kuota', 'nelpon', 'malas', 'pakai', 'kartu', '']</t>
  </si>
  <si>
    <t>['sinyal', 'anjiiiiiiiing', 'operator', 'buruk']</t>
  </si>
  <si>
    <t>['jaringan', 'jelek', 'banget', 'kecewa', 'layanan', 'telkomsel']</t>
  </si>
  <si>
    <t>['telkomsel', 'sinyal', 'mantap']</t>
  </si>
  <si>
    <t>['didaerahku', 'bln', 'oktober', 'jaringan', 'internet', 'telkomsel', 'isi', 'paket', 'data', 'internet', 'telkomsel', 'leletnya', 'naudzubillah', '']</t>
  </si>
  <si>
    <t>['sisa', 'pulsa', 'sllalu', 'disedot', 'diambil', 'telkomsel', 'tinggal', 'smpai', 'sisa', 'kuota', 'berlaku', 'isi', 'pulsa', 'berkurang', 'penggurangan', 'pulsa', 'skali', 'kuota', 'berlaku', 'mohon', 'telkomsel', 'memperbaharuinya', '']</t>
  </si>
  <si>
    <t>['poin', 'berguna', 'tuker', 'paket', 'data', 'ttp', 'pke', 'pulsa', 'mhl', 'promo', 'notifikasi', 'baterai', 'dri', 'apk', 'gini', 'barat', 'tin', 'doang', '']</t>
  </si>
  <si>
    <t>['kasih', 'bintang', 'aplikasi']</t>
  </si>
  <si>
    <t>['kasih', 'bintang', 'karna', 'telkomsel', 'sinyal', 'jelek', 'telkomsel', 'mending', 'bubarin', 'kabel', 'sinyal', 'makan', 'ikan', 'hiu', 'pelit', 'pelit', 'sinyal']</t>
  </si>
  <si>
    <t>['pelayanannya']</t>
  </si>
  <si>
    <t>['sinyal', 'memburuk', 'apasih', 'kawan']</t>
  </si>
  <si>
    <t>['aktifnya', 'dikurangi', 'beli', 'paket', 'aturan']</t>
  </si>
  <si>
    <t>['pulsa', 'kesedot', 'pemberitahuan']</t>
  </si>
  <si>
    <t>['pengguna', 'telkomsel', 'jadul', 'pindah', 'android', 'goood', 'the', 'beast', 'banget', 'fitur', 'fitur', 'menarikk', '']</t>
  </si>
  <si>
    <t>['', 'telkomsel', 'keren']</t>
  </si>
  <si>
    <t>['dibukaaaaaaaa']</t>
  </si>
  <si>
    <t>['jaringan', 'bermasalah', 'telkomsel', 'jaringan', 'bagus', 'parah', '']</t>
  </si>
  <si>
    <t>['apk', 'baguss', 'bangett']</t>
  </si>
  <si>
    <t>['layanan', 'upgrade', 'kartu', 'dikirim', 'alamat', 'pemesan', 'trus', 'fungsinya', 'coba', 'kecewa']</t>
  </si>
  <si>
    <t>['suka', 'terimakasih', 'suda', 'kemudahan', 'pembelian', 'paket', 'data']</t>
  </si>
  <si>
    <t>['mencoba', 'bagus']</t>
  </si>
  <si>
    <t>['kuota', 'murah', 'puas']</t>
  </si>
  <si>
    <t>['perbanyak', 'bonus', 'tebus', 'murah', 'kuota', 'hee']</t>
  </si>
  <si>
    <t>['seneng', 'aplikasi', 'telkomsel', 'sanngat', 'membantu']</t>
  </si>
  <si>
    <t>['notifikasinya', 'telat', 'pas', 'kuota', 'abis', 'pemberitahuan', 'muncul', 'menit', 'setelahnya', 'pulsa', 'ilang', 'telkomsel', 'hebat', '']</t>
  </si>
  <si>
    <t>['bagus', 'manfaat', 'praktis', '']</t>
  </si>
  <si>
    <t>['work', '']</t>
  </si>
  <si>
    <t>['knp', 'harga', 'paket', 'berubah', 'ubah', 'beli', 'paket', 'omg', 'gb', 'harga', 'beli', 'paket', 'gb', 'harga', 'aneh', 'dibodohi', '']</t>
  </si>
  <si>
    <t>['sinyal', 'aneh', 'browsing', '']</t>
  </si>
  <si>
    <t>['parah', 'sinyal', 'ampe', 'kecepatan', 'nol', 'area', 'citra', 'indah', 'dst']</t>
  </si>
  <si>
    <t>['bagus', 'membantu', '']</t>
  </si>
  <si>
    <t>['paket', 'internet', 'permurah', 'telkomsel', 'kartu', 'taun', 'paket', 'internet', 'muahhaal', '']</t>
  </si>
  <si>
    <t>['telkom', 'lemot', 'sekaliiiiiiiiiiiii', 'udah', 'gitu', 'mahal', 'telkom', '']</t>
  </si>
  <si>
    <t>['gua', 'paket', 'nelpon', 'menit', 'gua', 'lebihan', 'menit', 'potong', 'payah', 'telkomsel', 'udeh', 'kayak', 'maling', 'jancuuukkkkk']</t>
  </si>
  <si>
    <t>['jaringan', 'terlemot', 'sedunia', 'parahh']</t>
  </si>
  <si>
    <t>['nggk', 'nyesel', 'telkomsel']</t>
  </si>
  <si>
    <t>['free', 'free', 'card', 'murah', 'dunia', 'akhirat', 'thailand', 'vietnam', 'filipina', 'indonesia', 'kaya', 'vitamin', 'thailand', 'malaysia', 'kaya', 'serat', 'rumah', '']</t>
  </si>
  <si>
    <t>['hei', 'telkomsel', 'kali', 'ngasih', 'promo', 'singkat', 'tunjukkan', 'promo', 'paket', 'internet', 'udah', 'susah', 'susah', 'kumpulin', 'uang', 'beli', 'paket', 'hemat', 'seminggu', 'paket', 'aplikasi', 'telkomsel', 'gimana', 'kalen', 'customer', 'setia', 'kelen', 'pindah', 'operator', 'bagusan', 'donk', 'kelen', 'kelen', 'pikir', 'cari', 'uang', 'ngampang', 'org', 'bergaji', 'pegawai', 'pekerjaan', 'mengais', 'cari', 'uang', 'internet', 'aplikasi', 'game', 'dll', 'sbagainya']</t>
  </si>
  <si>
    <t>['berharap', 'gratis', 'kuota', '']</t>
  </si>
  <si>
    <t>['sinyal', 'perbaikin', 'woy', 'perbaiki', 'sinyal', 'jaringan', 'woi', 'respon', 'taik']</t>
  </si>
  <si>
    <t>['telkomsel', 'provider', 'beli', 'kuota', 'kuotanya', 'aktif', 'sisa', 'pulsanya', 'tersedot', 'gobl', '']</t>
  </si>
  <si>
    <t>['telkomsel', 'signal', 'rumah', 'kota', 'jakarta', 'daerah', 'pasar', 'maksimal', 'ganti', 'kecuali', 'ngebut', 'berubah', 'good', 'bye', '']</t>
  </si>
  <si>
    <t>['semoga', 'telkomsel', 'mkin', 'sukses', 'maju', 'smg', 'dpt', 'brkh', 'mndpt', 'honda', 'beat', 'antr', 'ank', 'sekolah', 'aamiin', '']</t>
  </si>
  <si>
    <t>['coba', 'mudah', 'mudahan', 'bagus']</t>
  </si>
  <si>
    <t>['paketan', 'gamemax', 'isi', 'paketan', 'gamemax', 'pakek', 'main', 'game', 'tercantum', 'paketan', 'gamemax', 'mengecewakan']</t>
  </si>
  <si>
    <t>['pokona', 'mah', 'telkomsel', 'mantaps']</t>
  </si>
  <si>
    <t>['jaringan', 'tolong', 'perbaiki', 'lagih', 'elor']</t>
  </si>
  <si>
    <t>['sinyal', 'parah', 'lelet', 'jelek', 'sesuai', 'harga', 'paketan', 'mahal', 'doang', 'sinyal', 'parah', '']</t>
  </si>
  <si>
    <t>['apk', 'bagus', 'tingkat', 'kuota', 'murah']</t>
  </si>
  <si>
    <t>['jengkel', 'telkomsel', 'puas', 'telkomsel', 'jaringan', 'stabil', 'pengguna', 'suka', 'ilang', 'mohon', 'perbaiki', 'terimakasih']</t>
  </si>
  <si>
    <t>['sinyal', 'lancar', 'seminggu', 'sinyal', 'full', 'nge', 'game', 'nge', 'lag', 'streaming', 'aplikasi', 'loading', 'sinyal', 'harap', 'diperbaiki', 'jatingannya']</t>
  </si>
  <si>
    <t>['smoga', 'berkembang', 'maju']</t>
  </si>
  <si>
    <t>['jaringan', 'lelet', 'parah', 'jaringan', 'paket', 'mahal']</t>
  </si>
  <si>
    <t>['tertipu', 'beli', 'kuota', 'kuotatanya', 'masuk', 'pulsa', 'habis']</t>
  </si>
  <si>
    <t>['oke', 'banget', 'semoga', 'konsisten', 'fungsional', 'pengguna', 'aktif', 'percaya', 'provider', 'pertahankan', 'kualitas', 'lengah', 'pengguna', 'love', 'telkomsel', 'kali', 'mengenal', '']</t>
  </si>
  <si>
    <t>['tolong', 'paket', 'lokal', 'utama', 'multimedia', 'sesuain', 'kuota', 'utama', 'kepake', 'multimedia', 'multimedia', 'udah', 'sesuai', 'aplikasi', 'gunain', '']</t>
  </si>
  <si>
    <t>['tingkatkan', 'pelayanan', 'pelangan', 'terjalin', 'kerjasama', '']</t>
  </si>
  <si>
    <t>['mantap', 'telkomsel', 'poin']</t>
  </si>
  <si>
    <t>['tolong', 'jaringan', 'telkomsel', 'bagus', 'kecewa', 'kesal', 'memakai', 'telkomsel', 'buruk', 'jelek', '']</t>
  </si>
  <si>
    <t>['telkomsel', 'rampok', 'memaksa', 'pelanggan', 'setia', 'bayar', 'mengakali', 'ketersediaan', 'pilihan', 'paket', 'kuota']</t>
  </si>
  <si>
    <t>['kemarin', 'download', 'poin', 'download', 'poin', 'beres', 'telkomsel', '']</t>
  </si>
  <si>
    <t>['lambat', 'kayak', 'keong', 'mahal', 'iya', 'paketannya']</t>
  </si>
  <si>
    <t>['mantapss', 'membantu', 'kaum', 'menengah']</t>
  </si>
  <si>
    <t>['tolong', 'diperbaiki', 'lamban', 'masuk']</t>
  </si>
  <si>
    <t>['mantap', 'cepat', 'banget', '']</t>
  </si>
  <si>
    <t>['bagus', 'susah', 'ngecek', 'pulsa', 'paket']</t>
  </si>
  <si>
    <t>['sejujurnya', 'kecewa', 'telkomsel', 'paket', 'kombo', 'sakti', 'memuaskan', 'paket', 'kombo', 'sakti', 'paket', 'kombo', 'multimedia', 'akses', 'youtube', '']</t>
  </si>
  <si>
    <t>['beli', 'paket', 'apk', 'tekomsel', 'gratis', 'pulsa']</t>
  </si>
  <si>
    <t>['keren', 'banget', 'ngga', 'lelet', 'paket', 'internet', 'murah']</t>
  </si>
  <si>
    <t>['gue', 'heran', 'telkomsel', 'listrik', 'daerah', 'rumahku', 'mati', 'sinyalnya', 'mati', 'lelet', 'banget', 'telkomsel', 'nyambung', 'listrik', 'rumah', 'cuaca', 'hujan', 'angin', 'wajar', 'listrik', 'mati', 'lho', '']</t>
  </si>
  <si>
    <t>['kartu', 'bokep', 'maen', 'game', 'lag', 'nonton', 'lancar', 'asui']</t>
  </si>
  <si>
    <t>['sekarng', 'susah', 'banget', 'buka', 'apk', 'unistal', 'dlu', 'downd', 'ulang', 'kaya', 'dlu', 'buka', 'hrus', 'gitu', 'mulu', '']</t>
  </si>
  <si>
    <t>['apk', 'bagus', 'wajib', 'download']</t>
  </si>
  <si>
    <t>['ditmpatku', 'jaringan', 'lemot', '']</t>
  </si>
  <si>
    <t>['biaya', 'pembelian', 'paket', 'mahal', 'disamakan', 'area', 'jawa', '']</t>
  </si>
  <si>
    <t>['menyenangkan', 'telkomsel', 'karna', 'menjangkau', 'daera', 'plosok', 'promo', 'telkomsel', 'memili', 'telkomsel', 'tergolong', 'orang', 'sangt', 'susah', 'hati', 'telkomsel', 'utama', 'hidup', 'telkomsel', '']</t>
  </si>
  <si>
    <t>['terimakasih', 'telkomsel', 'udah', 'slalu', 'memahami', 'terbaik', 'menangkan', 'undi', 'poin', '']</t>
  </si>
  <si>
    <t>['terimakasih', 'telkomsel', 'semoga', 'kedepannya', 'bisah']</t>
  </si>
  <si>
    <t>['maaf', 'ber', 'bintang', 'paket', 'internet', 'nasional', 'mahal', 'murah', 'paket', 'dunia', 'games']</t>
  </si>
  <si>
    <t>['aplikasi', 'uni', 'malan', 'resource', 'gede', 'hape', 'spek', 'minim', 'lemot', '']</t>
  </si>
  <si>
    <t>['aplikasinya', 'bagus', 'berguna', '']</t>
  </si>
  <si>
    <t>['beli', 'paket', 'mahal', 'masuk', 'paket', 'internet', 'kecewa']</t>
  </si>
  <si>
    <t>['mudah', 'promo']</t>
  </si>
  <si>
    <t>['pokok', 'josss']</t>
  </si>
  <si>
    <t>['telkomsel', 'lelet', 'tololllllll']</t>
  </si>
  <si>
    <t>['sisa', 'kuota', 'gb', 'pakai', 'gini', 'selesai', 'pakai', 'kartu', 'telkomsel']</t>
  </si>
  <si>
    <t>['menudahkan', 'aktifitas']</t>
  </si>
  <si>
    <t>['repost', 'ulasan', 'terimakasih', 'kemudaham', 'dlm', 'penggunaan', 'pelayanan', 'dlm', 'apk', 'sngt', 'terbantu', 'keperluan', 'pembelian', 'rumah', 'semoga', 'bermanfaat', 'ulasan', 'bgi', 'pengguna', 'semoga', 'telkomsel', 'jaya', '']</t>
  </si>
  <si>
    <t>['mantp', 'tolong', 'koata', 'data', 'cepat', 'habis', 'pemakaian', 'pembelian', 'data', 'terpotong', '']</t>
  </si>
  <si>
    <t>['telkomsel', 'buruk', 'kualitas', 'sinyalny', 'lemot', 'banding', 'provider', 'hilang', 'sinyal', 'hilang', 'nimbul', '']</t>
  </si>
  <si>
    <t>['mantap', '']</t>
  </si>
  <si>
    <t>['sinyal', 'bagus', 'kumat', 'sinyal', 'aoleng']</t>
  </si>
  <si>
    <t>['apk', 'berguna']</t>
  </si>
  <si>
    <t>['aplikasinya', 'laload', 'banget', 'mutar', 'truss', 'sinyal', 'bgus', 'opsi', 'klasalahn', 'mulu', 'kesel', 'tolong', 'perbaikilah', 'min']</t>
  </si>
  <si>
    <t>['peningkatan', 'tinggal', 'perbaikan', 'signal', 'drop', 'hujan']</t>
  </si>
  <si>
    <t>['min', 'tolong', 'fiktur', 'kuata', 'milik', 'kafang', 'pingin', 'kuata', 'org', 'membeli', 'kirim']</t>
  </si>
  <si>
    <t>['aplikasi', 'payah', 'berguna']</t>
  </si>
  <si>
    <t>['aplikasi', 'bagus', 'mudah', 'pahami', 'simpel']</t>
  </si>
  <si>
    <t>['telkomsel', 'memilkmi', 'jaringan', 'terluas', 'thanks', 'telkomsel', 'jaringan', 'batas']</t>
  </si>
  <si>
    <t>['jaringannya', 'baguss', 'suka']</t>
  </si>
  <si>
    <t>['iklannya', 'diutamakan']</t>
  </si>
  <si>
    <t>['lumayan', 'pemakaian']</t>
  </si>
  <si>
    <t>['membantu', 'liat', 'tagihan', 'pilih', 'paket', '']</t>
  </si>
  <si>
    <t>['jaringan', 'terkadang', 'hilang', 'mendadak', 'lenyap', 'kosong', 'siang', 'jaringan', 'secepat', 'kualitas', 'jaringan', 'buruk', 'semenjak', 'kebaran', 'riau', 'ntah', 'penyebabnya', 'telkomsel', 'bergerak', 'maju', 'lupa', 'meninggalkan', 'dibelakangnya', 'terima', 'kasih', '']</t>
  </si>
  <si>
    <t>['knpa', 'kasih', 'bintang', 'karna', 'beli', 'paket', 'gopay', 'udah', 'jam', 'masuk', 'butuh', 'kouta', 'aktif', 'angus', 'uang', 'sia', 'buang', 'duit', '']</t>
  </si>
  <si>
    <t>['menampilkan', 'iklan', 'pop', 'layar', 'beranda', 'buka', 'aplikasi', 'mytelkomsel', 'risih', 'mengganggu', '']</t>
  </si>
  <si>
    <t>['gimana', 'tolong', 'internet', 'nggak', 'promo', 'kuota', 'mahal', 'kali', 'tolong', 'kerja', 'nggak', 'kuota', 'promo', '']</t>
  </si>
  <si>
    <t>['hadiah', 'pengguna', 'telkomsel', '']</t>
  </si>
  <si>
    <t>['mantap', 'konsisten']</t>
  </si>
  <si>
    <t>['cepat', 'bnyak', 'plihn', '']</t>
  </si>
  <si>
    <t>['', 'kasi', 'bintang', 'karna', 'puas', 'makai', 'telkomsel', 'semoga', '']</t>
  </si>
  <si>
    <t>['harga', 'paketnya', 'murah', 'tpi', 'jaringan', 'jelek', 'banget']</t>
  </si>
  <si>
    <t>['semoga', 'kedepannya', 'jaringan', 'telkomsel', 'terbaik', '']</t>
  </si>
  <si>
    <t>['inii', 'poin', 'telkomsel', 'funggsiiii', 'nyaaa', 'woii', 'poin', 'telkomsel', 'ditukar', 'yaa', 'poin', 'ajaa', 'pulsaa', 'jugaa', 'poin', 'telkomsel', 'nyaa', 'gaguna', 'udah', 'nyari', 'poinnya', 'susaahhh', 'manaan', 'pas', 'nuker', 'paketan', 'pulsa', 'jugaa', 'fak']</t>
  </si>
  <si>
    <t>['signal', 'kuat', 'desa', 'cangkreng', 'lenteng', 'sumenep', 'ditambah', 'tower', '']</t>
  </si>
  <si>
    <t>['membantu', 'lanjutkan', 'bagus']</t>
  </si>
  <si>
    <t>['gangguan', 'errorr', 'gmn', 'isi', 'paket']</t>
  </si>
  <si>
    <t>['jaringan', 'telkomsel', 'parah', 'mending', 'ganti', 'provider', 'kerja', 'ngandelin', 'internet', 'rugiin', 'jaringan', 'telkompret']</t>
  </si>
  <si>
    <t>['telkomsel', 'komunikasi', 'persahabatan', 'mudah', 'terimakasih', 'telkomsel', '']</t>
  </si>
  <si>
    <t>['mohon', 'pemakaian', 'kuota', 'internet', 'multimedia', 'diadakan', 'opsi', 'pemakainya', 'kuota', 'internet', 'utama', 'seringkali', 'terpakai', 'aplikasi', 'multimedia', 'kuota', 'multimedia', 'terpakai', 'hangus', 'mohon', 'diperhatikan', 'dipertimbangkan', 'terima', 'kasih']</t>
  </si>
  <si>
    <t>['bagus', 'mengecek', 'pulsa', 'kuota']</t>
  </si>
  <si>
    <t>['parah', 'stop']</t>
  </si>
  <si>
    <t>['bagus', 'jaringan', 'telkomsel', 'indonesia', 'timur', '']</t>
  </si>
  <si>
    <t>['mantap', 'mbantu', 'pengguna']</t>
  </si>
  <si>
    <t>['promo', 'hilang', 'kasih', 'bintang']</t>
  </si>
  <si>
    <t>['anjinglah', 'jaringan', 'kaya', 'gini', 'babi']</t>
  </si>
  <si>
    <t>['tolong', 'tuk', 'jaringan', 'perbaiki', 'ngeleg']</t>
  </si>
  <si>
    <t>['logout', 'login', 'ribet', '']</t>
  </si>
  <si>
    <t>['mudah', 'cepat', 'berkominasikasi', 'sring', 'lelek', 'pakai', 'telkosel', 'thn', 'skarang']</t>
  </si>
  <si>
    <t>['mengecewakan', 'notif', 'telat', 'paketan', 'abis', 'pulsa', 'terpotong', 'profesional', 'kerja']</t>
  </si>
  <si>
    <t>['terbaik', 'promonya']</t>
  </si>
  <si>
    <t>['', 'gunanya', 'apk', 'minggu', 'coba', 'beli', 'paketan', 'pulsa', 'gagal', 'alasan', 'jaringan', 'bermasalah', 'haloooo', 'jaringan', 'wifi', 'stabil', 'mbps', 'dipake', 'orang', 'mbps', 'download', 'stabil', 'mbps', 'nunggu', 'pulsa', 'hangus', 'ganti', 'nomor', 'transaksi', 'mengecewakan', '']</t>
  </si>
  <si>
    <t>['udah', 'harga', 'jaringan', 'jelek', 'banget', 'banget', 'saranin', 'ganti', 'axis', 'dll', 'telkomtod', 'jijik', 'telkomtod', 'doain', 'tanggal', 'nov', 'ganti', 'kartu', 'axis', '']</t>
  </si>
  <si>
    <t>['mohon', 'maaf', 'aplikasinya', 'knapa', 'membeli', 'paket', 'aplikasi', 'pulsa', 'hangus', 'paket', 'beli', 'masuk', 'pulsa', 'hangus', 'paketan', 'mohon', 'konfirmasinya', '']</t>
  </si>
  <si>
    <t>['paketan', 'mahal', 'sinyal', 'nol', 'pengen', 'gua', 'buang', 'kartu', 'tlkmsel']</t>
  </si>
  <si>
    <t>['bermanfaat', 'harganya', 'murah', 'kedepannya', 'semoga', 'ngadain', 'promo', 'poin']</t>
  </si>
  <si>
    <t>['asiiiik', 'telkomsel', 'bagus', 'deh', 'suka', 'telkomsel', 'udah', 'paketnya', 'mahal', 'sinyal', 'full', 'pehhh', 'idaman', 'kaum', 'kaum', 'pencari', 'sinyal', 'muach', 'ngegame', 'enak', 'game', 'mobile', 'legend', 'menang', 'musuhnya', 'pas', 'main', 'cape', 'cape', 'tinggal', 'banting', 'udah', 'kelar', 'maksih', 'telkomnyet', 'berkat', 'telokmsel', 'ganti', '']</t>
  </si>
  <si>
    <t>['mantef', 'membantu']</t>
  </si>
  <si>
    <t>['tingkatkan', 'kualitas', 'sinyal', 'telkomsel', 'mahal', 'harganya', 'pelayanannya', 'sesuai', 'kualitas', 'sinyal', 'telkomsel', 'buruk', 'wilayah', 'dusun', 'sempur', 'desa', 'pasirkaliki', 'kecamatan', 'rawamerta', 'kabupaten', 'karawang', 'berkali', 'kali', 'laporkan', 'keluhan', 'perubahan', 'tolong', 'kirim', 'tim', 'investigasi', 'cek', 'langsung', 'keluhan', 'cepat', 'diperbaiki', 'kualitasnya', 'telkomsel', 'terkenal', 'sinyalnya', 'kuat', 'tks']</t>
  </si>
  <si>
    <t>['bintang', 'krena', 'aaya', 'sngat', 'puas']</t>
  </si>
  <si>
    <t>['aplikasi', 'bgs', 'bermanfaat', 'ahir', 'koneksi', 'jaringan', 'ditempatku', 'lemah']</t>
  </si>
  <si>
    <t>['mudah', 'bertransaksi', 'hemat', 'memilih', 'pilihan', 'paket', 'sesuai', 'kebutuhan']</t>
  </si>
  <si>
    <t>['mantaplah', 'telkomsel', 'bermanfaat', 'banget', 'paketannya', 'semoga', 'murah', 'merdekanya', '']</t>
  </si>
  <si>
    <t>['lancar', 'pakai', 'simpati']</t>
  </si>
  <si>
    <t>['telkomsel', 'kayak', 'taik', 'nyedot', 'pulsa', 'paket', 'telkomsel', 'babi']</t>
  </si>
  <si>
    <t>['beli', 'paket', 'internetnya', 'gangguan', 'tolong', 'solusinya']</t>
  </si>
  <si>
    <t>['tolong', 'paket', 'combo', 'sakti', 'disetting', 'murah']</t>
  </si>
  <si>
    <t>['mengecewakan', 'terima', 'kasih', '']</t>
  </si>
  <si>
    <t>['mudah', 'gampang', 'cek', 'pulza', 'att', 'dll']</t>
  </si>
  <si>
    <t>['parah', 'telkomsel', 'mah']</t>
  </si>
  <si>
    <t>['pelayanan', 'buruk', 'pengguna', 'kartu', 'hallo', 'menyesal', 'pakai', 'kartu', 'hallo', 'kartu', 'hallo', 'menyesal', 'seumur', 'hidup', '']</t>
  </si>
  <si>
    <t>['gangguan', 'paketan', 'doang', 'mahal']</t>
  </si>
  <si>
    <t>['bagus', 'pengguna', 'telkomsel', 'pengen', 'beli', 'paket', 'internet', 'murah', 'internetnya', '']</t>
  </si>
  <si>
    <t>['telkomsel', 'bagus', 'ter', 'unggul', 'operator']</t>
  </si>
  <si>
    <t>['telkomsel', 'ngelek', 'parah', '']</t>
  </si>
  <si>
    <t>['tolong', 'aplikasi', 'telkomsel', 'produk', 'paket', 'data', 'unlimited', 'minggu', 'bosan', 'produk', 'paket', 'data', 'perubahan']</t>
  </si>
  <si>
    <t>['suka', 'pelayanannya', '']</t>
  </si>
  <si>
    <t>['lemot', 'kadang', 'pulsa', 'kepotong', 'otomatis']</t>
  </si>
  <si>
    <t>['tingkatkan', 'kualitas', 'pelayanannya', 'sukses', 'telkomsel']</t>
  </si>
  <si>
    <t>['tingkatkan', 'pelayanan', 'kepuasan', 'pelanggan', '']</t>
  </si>
  <si>
    <t>['suka', 'bagus']</t>
  </si>
  <si>
    <t>['sangar', 'memuaskan']</t>
  </si>
  <si>
    <t>['pitur', 'kunci', 'pulsa', 'beli', 'paket', 'pulsa', 'udah', 'habis', 'makan', 'telkomsel', 'kaya', 'cari', 'keuntungan', 'kelalayan', 'pelanggannya']</t>
  </si>
  <si>
    <t>['sinyal', 'jngn', 'mahal', 'doang', 'bagus', 'jaringan', 'beli', 'kuota', 'duit', 'daun', 'udah', 'gitu', 'suka', 'kepotong', 'isi', 'pulsa', 'mimin', 'sedih', 'coba', 'pengaturan', 'manual', 'tetep', 'komplain', 'bagus', 'perbaiki', 'buruk', '']</t>
  </si>
  <si>
    <t>['apk', 'memudahkan']</t>
  </si>
  <si>
    <t>['aplikasi', 'memudahkan', 'paket', 'murahh']</t>
  </si>
  <si>
    <t>['nice', 'promo']</t>
  </si>
  <si>
    <t>['paket', 'lupa', 'perpanjang', 'amsyong', 'langsung', 'rb', 'kepotong', '']</t>
  </si>
  <si>
    <t>['pulsa', 'sllu', 'ambil', 'pdhl', 'paketan', 'penuh', 'nanya', 'sampe', 'ganti', 'kartu', 'gara', 'maling', 'onlein']</t>
  </si>
  <si>
    <t>['tolong', 'perbaiki', 'jaringan', 'sanur', 'deket', 'pantai', 'mertasari', 'sanur', 'denpasar', 'bali', 'pengguna', 'setia', 'telkomsel', 'koneksi', 'area', 'rumah', 'jelek', 'banget', 'butuh', 'koneksi', 'lancar', 'karna', 'anak', 'pendidikannya', 'daring', 'mengharuskan', 'penggunaan', 'aplikasi', 'zoom', 'apliksi', 'belajar', 'lancar', 'udah', 'lelet', 'koneksi', 'maaf', 'terima', 'kasih']</t>
  </si>
  <si>
    <t>['knp', 'stlh', 'download', 'buka', 'ayolah', 'telkomsel', 'main', 'bangkit', 'semangatlah']</t>
  </si>
  <si>
    <t>['admin', 'tolong', 'kembalikan', 'pulsa', 'pesan', 'telkomsel', 'tanggal', 'november', 'dptkan', 'pulsa', 'aktikan', 'paket', 'kring', 'kring', 'jam', 'tsel', 'mnt', 'opr', 'rp', 'beli', 'tsel', 'kring', 'info', 'tsel', 'pbr', 'skb', 'membeli', 'pulsa', 'mempaketkan', 'anehnya', 'pulsa', 'mencari', 'infonya', 'nomor', 'program', 'dilaksanakan', 'periode', 'agustus', 'oktober', 'aneh', 'pesannya', 'sekaran']</t>
  </si>
  <si>
    <t>['telkomsel', 'parah', 'stabil', 'mendadak', '']</t>
  </si>
  <si>
    <t>['aplikasi', 'berat', 'lambat', 'membuka', '']</t>
  </si>
  <si>
    <t>['sinyal', 'internet', 'simpati', 'stabil', 'main', 'sinyalnya', 'ilang', 'eek', 'aaah', 'main', 'game', 'online', 'kalah', 'trs']</t>
  </si>
  <si>
    <t>['simpati', 'sinyalnya', 'kesini', 'buruk', 'tinggal', 'bekasi', 'kuliah', 'susah', 'kecewa', 'banget', 'sumpah', '']</t>
  </si>
  <si>
    <t>['mudah', 'bermanfaat']</t>
  </si>
  <si>
    <t>['semoga', 'berinovasi', 'henti']</t>
  </si>
  <si>
    <t>['mahal', 'sinyal', 'jelek', 'trus', 'paket', 'cepat', 'habis']</t>
  </si>
  <si>
    <t>['karna', 'menyenangkan']</t>
  </si>
  <si>
    <t>['kartu', 'unlimitid', 'max', 'parah', 'bener', 'berasa', 'anak', 'tiriin', 'gua']</t>
  </si>
  <si>
    <t>['promonya', 'banyakin', 'lagiii']</t>
  </si>
  <si>
    <t>['salah', 'terbaik']</t>
  </si>
  <si>
    <t>['aplikasi', 'mytelkomsel', 'tida', 'dibuka', 'gagal', 'masuk', 'teruss', 'tolong', 'bantu', 'terkait']</t>
  </si>
  <si>
    <t>['puas', 'internetan', 'makek', 'telkomsel']</t>
  </si>
  <si>
    <t>['promo', 'mudah']</t>
  </si>
  <si>
    <t>['tarif', 'mahal', 'susah', 'signal', 'download', 'app', 'susah', 'signal', 'penuh', 'perbaiki', 'kualitas', '']</t>
  </si>
  <si>
    <t>['kadang', 'signal', 'internet', 'hilang', 'kuota', 'kuotanya']</t>
  </si>
  <si>
    <t>['login', 'jaringan', 'cikarang', 'selatan', 'jelek']</t>
  </si>
  <si>
    <t>['suka', 'beli', 'paket', 'internet', 'terkomsel', 'praktis', 'cepat', 'thanks', 'telkomsel']</t>
  </si>
  <si>
    <t>['diinstal', 'posisi', 'android', '']</t>
  </si>
  <si>
    <t>['mengcapeee', 'aplikasi']</t>
  </si>
  <si>
    <t>['ditingkatkan', 'sederhana', 'semoga', 'tarifnya', 'turun']</t>
  </si>
  <si>
    <t>['paket', 'internet', 'mahal', 'sesuai', 'kualitas', 'jaringan', 'internet', 'memuaskan', 'terimakasih', 'mengecewakan']</t>
  </si>
  <si>
    <t>['aplikasi', 'terjelek', 'beli', 'paket', 'pulsaku', 'pulsaku', 'dikuras', 'tolong', 'yaa', 'diperbaiki', 'kayak', 'diupdate', 'jelek']</t>
  </si>
  <si>
    <t>['sip', 'jaringan', 'sampe', 'down']</t>
  </si>
  <si>
    <t>['aplikasi', 'bagus', 'membantu', 'memudahkan', 'pelanggan', 'telkomsel']</t>
  </si>
  <si>
    <t>['banyakin', 'promonya', '']</t>
  </si>
  <si>
    <t>['keren', 'mantap']</t>
  </si>
  <si>
    <t>['knpa', 'penurakan', 'koin', 'telpon', 'gratis', '']</t>
  </si>
  <si>
    <t>['beli', 'brp', 'giga', 'masi', 'lagging', 'pdhl', 'jakarta', '']</t>
  </si>
  <si>
    <t>['sinyal', 'jelek', 'internetan', 'lemot']</t>
  </si>
  <si>
    <t>['the', 'best', 'pokok', 'kasih', 'murah', 'murah', '']</t>
  </si>
  <si>
    <t>['mantaplah', 'pokoknya']</t>
  </si>
  <si>
    <t>['membantu', 'mudah', 'mengerti', '']</t>
  </si>
  <si>
    <t>['jaringan', 'lambat', 'bgs', 'penggunaannya', 'udh', 'gitu', 'jaringan', 'unlimitednya', 'gka', 'bagus', 'combo', 'max', 'unlimited', 'adakan', 'kuota', 'internet', 'utamanya', 'sedot', 'duluan', '']</t>
  </si>
  <si>
    <t>['telkomsel', 'lemot', 'pakai', 'kartu', 'hallo', 'tolong', 'perbaikan']</t>
  </si>
  <si>
    <t>['bagus', 'layanan', 'tsel']</t>
  </si>
  <si>
    <t>['gampang', 'pemakaiannya']</t>
  </si>
  <si>
    <t>['maaf', 'pulsa', 'tersedot', 'beli', 'pulsa', 'tersedot', 'knp']</t>
  </si>
  <si>
    <t>['aplikasi', 'hadiah']</t>
  </si>
  <si>
    <t>['masuk', 'aplikasi', 'mudah', 'signal', 'kel', 'lubuk', 'kelik', 'lemah', '']</t>
  </si>
  <si>
    <t>['aplikasi', 'busuk', 'hina', 'harga', 'koneksi', 'rendah', 'kadang', 'drop', 'licik', 'pokoknya', 'telkomsel', 'pemerasan', 'buang', 'duit', 'jaringan', 'merah', 'trus', 'bisanya', 'download', 'menghapusnya']</t>
  </si>
  <si>
    <t>['puas', 'fitur', 'dlm']</t>
  </si>
  <si>
    <t>['mantap', 'jos', 'ganjos']</t>
  </si>
  <si>
    <t>['sya', 'puas']</t>
  </si>
  <si>
    <t>['transaksi', 'paketan', 'beli', 'pas', 'klik', 'gangguan', 'sistem']</t>
  </si>
  <si>
    <t>['bingung', 'harga', 'berbeda', 'pelanggan', '']</t>
  </si>
  <si>
    <t>['telkomsel', 'sinyal', 'buruk', 'notabene', 'tinggal', 'diperkotaan', 'kota', 'jakarta', 'tpi', 'knp', 'sinyalnya', 'buruk', 'contoh', 'main', 'game', 'online', 'lagg', '']</t>
  </si>
  <si>
    <t>['usahakan', 'aplikasi', 'telkomsel', 'mudah', 'tarif', 'bersaing', '']</t>
  </si>
  <si>
    <t>['tolong', 'update', 'api', 'android', 'install']</t>
  </si>
  <si>
    <t>['digubajab', 'dimanapun', 'jaringan', 'terluas', 'diindinesia', '']</t>
  </si>
  <si>
    <t>['kurangnya', 'respon', 'promo', 'jarang', 'pelanggan', 'kewalahan', 'bonus', '']</t>
  </si>
  <si>
    <t>['beli', 'pulsa', 'konek', 'ovo', 'gopay', 'teman', 'teman', 'kemarin', 'udah', 'konsisten', '']</t>
  </si>
  <si>
    <t>['membantu', 'signal', 'kalah', 'produk', 'tolong', 'perbaiki']</t>
  </si>
  <si>
    <t>['udah', 'bagus', 'sayang', 'beli', 'kuota', 'bayar', 'wallet', 'pulsa', 'perbaharui', 'min', 'ribet', 'ngisi', 'pulsa']</t>
  </si>
  <si>
    <t>['paket', 'internet', 'mahal', 'kasih', 'bintang', '']</t>
  </si>
  <si>
    <t>['aplikasih', 'bagus']</t>
  </si>
  <si>
    <t>['terimakasih', 'mempermudah', 'dlm', 'bertransaksi']</t>
  </si>
  <si>
    <t>['suka', 'banget', 'kuota', 'combo', 'sakti', 'max', '']</t>
  </si>
  <si>
    <t>['yuk', 'dapetin', 'promi', 'telkomsel']</t>
  </si>
  <si>
    <t>['mudah', 'makan', 'ram', '']</t>
  </si>
  <si>
    <t>['harga', 'paket', 'bulanan', 'mahal']</t>
  </si>
  <si>
    <t>['memudahkan', 'peguna', 'telkomsel']</t>
  </si>
  <si>
    <t>['aplikasinya', 'bagus', 'mudah']</t>
  </si>
  <si>
    <t>['', 'telkomsel', 'memuaskan']</t>
  </si>
  <si>
    <t>['aqu', 'suka', 'beli', 'paket', 'aplikasi', 'cepat', 'mudah', 'murah', 'semoga', 'murah', 'telkomsel']</t>
  </si>
  <si>
    <t>['pesan', 'paket', 'telfon', 'dikasi', 'bingung', 'hitung', 'harinya', 'gimana', 'sesuai', '']</t>
  </si>
  <si>
    <t>['mahal', 'internet', '']</t>
  </si>
  <si>
    <t>['aplikasi', 'bermanfaat', 'skli', 'semoga', 'kedepannya', 'aplikasi', 'berkembang', 'pengguna', 'memakai', 'aplikasi', 'nyaman', 'terimakasih', '']</t>
  </si>
  <si>
    <t>['msih', 'murah']</t>
  </si>
  <si>
    <t>['susah', 'masuk', 'udah', 'ngga', 'login', 'login', 'susah', 'ngga', 'kaya']</t>
  </si>
  <si>
    <t>['puas', 'layanan']</t>
  </si>
  <si>
    <t>['pokoknya', 'telkomsel', 'sip']</t>
  </si>
  <si>
    <t>['poin', 'tlkmslnya', 'nggak', 'nggk', 'pulsa', 'nggk', 'tukar', 'data', 'internet', 'nggak', 'kyak', 'tukar', 'data', 'internet', 'tambahan', 'biyaya', '']</t>
  </si>
  <si>
    <t>['semoga', 'kedepan', 'promo']</t>
  </si>
  <si>
    <t>['ajai', 'aplikasih', 'mantap']</t>
  </si>
  <si>
    <t>['jaringan', 'sinyalnya', 'jelek', 'berkualitas', 'harga', 'mahal', 'masak', 'kalah', 'operator', 'jaringannya', 'kuat', 'bagus', 'harga', 'murah', '']</t>
  </si>
  <si>
    <t>['paket', 'data', 'mahal']</t>
  </si>
  <si>
    <t>['jaringan', 'jelek', 'parah', 'banget', 'kya', 'dlu', 'jaringannya', 'cepat', 'stabil', '']</t>
  </si>
  <si>
    <t>['pemberitahuan', 'sisah', 'kuotanya', 'suka', 'lambat', 'pulsa', 'abis', 'kesedot', 'pulsanya', '']</t>
  </si>
  <si>
    <t>['mahal', 'doang', 'lelet', 'ampun', '']</t>
  </si>
  <si>
    <t>['jaringan', 'internet', 'perbaiki', 'kerja', 'berantakan', 'udah', 'komplain', 'tetep', 'kayak', 'gini', 'mohon', 'solusi']</t>
  </si>
  <si>
    <t>['poin', 'habis', 'undi', 'undi', 'berhadiah', 'menang', 'tukar', 'poin', 'banyaknya', 'menang', 'asli', 'cuman', 'nipu', 'kecewa', 'tolong', 'pelanggan', 'telkomsel', 'tolong', '']</t>
  </si>
  <si>
    <t>['puas', 'recommended', 'bingit']</t>
  </si>
  <si>
    <t>['mahal', 'lag', 'najis']</t>
  </si>
  <si>
    <t>['kesini', 'jaringan', 'telkomsel', 'lelet', 'signalnya', 'ngilang', 'mulu', 'panas', 'handphone', 'jaringannya', 'kejang', 'mulu', 'heran', 'deh', 'sejelek', 'utama', 'aktif', 'udah', 'males', 'sebenernya', 'isi', 'ulang', 'paket', '']</t>
  </si>
  <si>
    <t>['apk', 'bagus', 'banget', 'telkomsel']</t>
  </si>
  <si>
    <t>['kasih', 'promo', 'paket', 'internet', 'murah']</t>
  </si>
  <si>
    <t>['telkomsel', 'gimana', 'troble', 'mulu', 'sinyalnya', 'jam', 'gua', 'tungguin', 'sampe', 'jam', 'setengan', 'bedanya', 'bi']</t>
  </si>
  <si>
    <t>['jangkauan', 'luas']</t>
  </si>
  <si>
    <t>['telkomsel', 'sialan', 'isi', 'pulsa', 'ribu', 'habis', 'berlangganan', 'apapun', 'paket', 'internet', 'biadab', 'kali', 'isi', 'pulsa', 'habis', 'sedot', 'telkomsel']</t>
  </si>
  <si>
    <t>['gabisa', 'buka', 'telkomsel', 'inih']</t>
  </si>
  <si>
    <t>['jaringan', 'telkomsel', 'sekrang', 'udh', 'lemot', 'kesel', 'tolong', 'diperbaiki', 'jaringanya']</t>
  </si>
  <si>
    <t>['parah', 'bngt', 'jaringan', 'simpati', 'sampe', 'leg', 'parah']</t>
  </si>
  <si>
    <t>['tolong', 'sinyalnya', 'perbaiki', 'udh', 'sinyal', 'lemot', 'banget', 'paketnya', 'mahal', 'sinyalnya', 'ngelag', 'parah', 'liat', 'story', 'jam', 'tolong', 'perbaiki', 'makasih']</t>
  </si>
  <si>
    <t>['apk', 'bagus', 'banget', 'udh', 'komen', 'gitu', 'apk', 'kekurangan', 'kelebihan', 'tersendiri', 'murahin', 'dikit', 'harga', 'jagn', 'mahal', 'mahal', 'ank', 'pelajaran', 'mengkis', 'mengkis', 'duwe', 'duit', 'trimakasih']</t>
  </si>
  <si>
    <t>['melancarkan', '']</t>
  </si>
  <si>
    <t>['signalnya', 'buruk', 'daerah', 'parung', 'pamegarsari', 'info', 'call', 'center', 'perubahan', 'udah', 'kaga', 'kaget', 'nikmatin', '']</t>
  </si>
  <si>
    <t>['recomended', 'promonya', 'tipu', 'njing']</t>
  </si>
  <si>
    <t>['nunggu']</t>
  </si>
  <si>
    <t>['disinyal']</t>
  </si>
  <si>
    <t>['sinyalnya', 'jelek', 'tangerang', 'termsuk', 'kota']</t>
  </si>
  <si>
    <t>['paket', 'combo', 'sakti', 'mahal', 'pas', 'beli', 'kartunya', 'promonya']</t>
  </si>
  <si>
    <t>['busuk', 'aplikasinya', 'komplain', 'pulsa', 'masuk', 'suruh', 'nunggu', 'jam', 'suruh', 'nunggu', 'kerja', '']</t>
  </si>
  <si>
    <t>['telkomsel', 'kmi', 'butuh', 'kuota', 'inflix', 'max', 'stream', 'bner', 'kmi', 'butuh', 'gmna', 'kuota', 'internet', 'internet', 'mohon', 'mengerti', 'pelanggan', 'telkomsel', 'rugikan', 'bgini', 'bgini', 'nambahin', 'bintang', 'kecuali', 'komentar', 'diskusikan', 'operator', 'kasih', 'bintang', 'telkomsel', 'kya', 'kont', '']</t>
  </si>
  <si>
    <t>['komunikasi', 'lebimudah', 'awet']</t>
  </si>
  <si>
    <t>['apk', 'hebat', 'mempermudah', 'terima', 'kasih']</t>
  </si>
  <si>
    <t>['mengirim', 'pesan', 'lambat', 'jaringan', 'down', 'lemah', 'pesan', 'operator', 'menggangu', 'bermain', 'game']</t>
  </si>
  <si>
    <t>['', 'nyoba']</t>
  </si>
  <si>
    <t>['terbaik', 'jaringannya', 'luas', 'dimana']</t>
  </si>
  <si>
    <t>['tolong', 'perbaiki', 'jaringan', 'sinyal', 'area', 'kapuk', 'kebon', 'jahe', 'rw', 'kec', 'cengkareng', 'jakbar', 'area', 'kapuk', 'rawa', 'gabus', 'rw', 'kec', 'cengkareng', 'jakbar', 'tolong', 'tingkatkan', 'sinyal', 'area', 'kenyamanan', 'pelanggan', 'setia', 'telkomsel', '']</t>
  </si>
  <si>
    <t>['peningkatan', 'kwalitas', 'signal', 'wilayah', 'perum', 'jatisari', 'mijen', 'kota', 'semarang']</t>
  </si>
  <si>
    <t>['sekolah', 'daring']</t>
  </si>
  <si>
    <t>['sinyal', 'super', 'jelek', 'harga', 'super', 'mahal', 'maen', 'game', 'kalah', 'mulu', 'gegara', 'sinyal', '']</t>
  </si>
  <si>
    <t>['', 'permurah', 'bos']</t>
  </si>
  <si>
    <t>['telkomsel', 'taik', 'jaringan', 'benerin', 'makan', 'gaji', 'buta', 'kntl']</t>
  </si>
  <si>
    <t>['kepala', 'kantor', 'telkomsel', 'terhormat', 'kanapa', 'jaringan', 'yng', 'berikak', 'buruk', 'emosi', 'telkomsel', 'hargai', 'konsumen', '']</t>
  </si>
  <si>
    <t>['telkomsel', 'bagus', 'suka']</t>
  </si>
  <si>
    <t>['perbaharui', 'signalnya', 'suka', 'gadak', 'signal', 'pelanggan', 'pakai', 'telkomsel']</t>
  </si>
  <si>
    <t>['sinyalnya', 'parah', 'jelek', 'banget', 'jelek', 'kartu', 'termurah', 'harga', 'mahal', 'sinyalnya', 'murahan', 'mending', 'gua', 'kartu', '']</t>
  </si>
  <si>
    <t>['eror', 'ketimbang', 'lancar', 'menggunakannya', 'tolong', 'perbaiki', 'butuh', 'promo', 'sisa', 'pulsa', 'kuota', 'internet', 'sms', 'telepon', 'tolong', 'ditingkatkan', 'sinyal', 'telkomsel', 'daerah', 'terpencil', '']</t>
  </si>
  <si>
    <t>['menyentuh', 'hati']</t>
  </si>
  <si>
    <t>['tersipu', 'malu', 'kartu', 'sakti', 'jarang', 'promo', 'kuota', 'murah', '']</t>
  </si>
  <si>
    <t>['buka', 'aplikasi', 'ulasan', '']</t>
  </si>
  <si>
    <t>['memakai', 'aplikasi', 'mytelkomsel', 'sayangnya', 'plz', 'zya', 'belanja', 'paket', 'internet', 'terdaftar', 'skali', 'jdi', 'sya', 'terpaksa', 'hapus', 'aplikasi', 'mytelkomsel', 'sekian', 'terimakasih']</t>
  </si>
  <si>
    <t>['baguss', 'paketnaya']</t>
  </si>
  <si>
    <t>['puas', 'pelayanan', 'telkomsel']</t>
  </si>
  <si>
    <t>['kereeen', 'membantu']</t>
  </si>
  <si>
    <t>['aplikasi', 'bermanfaat', 'pengguna', 'kartu', 'halo']</t>
  </si>
  <si>
    <t>['telkomsel', 'mony', 'harga', 'paket', 'kuota', 'mahal', 'kecepatan', 'jaringan', 'internet', 'provider', 'sinyal', 'telkomnyetttt', 'tinggal', 'lingkungan', 'pemda', 'kabupaten', 'mesuji', 'lampung', 'lingkungan', 'pemda', 'sinyal', 'parahhhhh', '']</t>
  </si>
  <si>
    <t>['telkomsel', 'internet', 'mahal', 'jaringan', 'ilang', 'mending', 'lemot', 'tolong', 'perbaiki', 'koneksi', 'setabill', 'menggangu', '']</t>
  </si>
  <si>
    <t>['parah', 'konfirmasi', 'betulinlah', 'kalah', 'canggih', 'ama', 'operator', 'nomer', 'udah', 'tahunan', 'dipake', '']</t>
  </si>
  <si>
    <t>['membantu', 'shi', 'entahlh', 'lelet', 'kli']</t>
  </si>
  <si>
    <t>['aktifkan', 'paket', 'aktif', 'menit', 'memakai', 'pulsa', 'rp', 'akses', 'internet', 'non', 'paket', 'balek']</t>
  </si>
  <si>
    <t>['telkomsel', 'emang', 'oke']</t>
  </si>
  <si>
    <t>['pelit', 'berlaku', 'android', 'versi', 'kebawah', 'konsumen', 'raja']</t>
  </si>
  <si>
    <t>['jaringan', 'full', 'ngojek']</t>
  </si>
  <si>
    <t>['mudah', 'menemukan']</t>
  </si>
  <si>
    <t>['modal', 'telkomsel', 'hilang', 'siyal']</t>
  </si>
  <si>
    <t>['kenyamanan']</t>
  </si>
  <si>
    <t>['lemot', 'telkomsel', 'provider', 'bagus', 'dimasanya', 'tolong', 'diperbaiki']</t>
  </si>
  <si>
    <t>['tsel', 'monyet', 'lemot', 'beli', 'paket', 'layar', 'putih', 'opsi', 'pilihanya', 'jancokk']</t>
  </si>
  <si>
    <t>['bagus', 'harga', 'paketan', 'diturunkan']</t>
  </si>
  <si>
    <t>['telkomsel', 'mahal', 'harga', 'paket', 'internet']</t>
  </si>
  <si>
    <t>['memuakkan', 'aplikasinya', 'sebentar', 'update', 'dangatmenyebalkan', 'check', 'kuota', 'lemot', 'apknya', '']</t>
  </si>
  <si>
    <t>['lumayan', 'menarik']</t>
  </si>
  <si>
    <t>['jelek', 'euy', 'sinyalnya', 'pas', 'hujan']</t>
  </si>
  <si>
    <t>['telkomsel', 'rekomendasi', 'kenpa', 'beli', 'pulsa', 'ngga', 'data', 'telkomsel', 'tpi', 'pulsa', 'mengurang', 'taaaiiiii']</t>
  </si>
  <si>
    <t>['jaringan', 'ampas', 'hidup', 'kota', 'berasa', 'pedalaman', 'kali', 'udah', 'berkali', 'kali', 'disabarin', 'tetep', 'kesel', 'paket', 'mahal', 'jaringan', 'lelet', 'ampas']</t>
  </si>
  <si>
    <t>['tolong', 'tekomsel', 'paket', 'main', 'game']</t>
  </si>
  <si>
    <t>['aplikasi', 'bagus', 'bintnlang']</t>
  </si>
  <si>
    <t>['pengguna', 'telkomsel', 'make', 'kartu', 'telkomsel', 'paket', 'hallo', 'mahal', 'sinyal', 'paket', 'telkomsel', 'parah', 'berhubung', 'data', 'data', 'kartu', 'engak', 'udah', 'patah', 'patahin', 'bakar', 'kartu', 'rugi', 'karna', 'paket', 'mahal', 'sinyal', 'tertolol', 'mending', 'kartu', 'smatfren', 'tree', 'perbaikin', 'sinyal', 'maaf', 'mulu']</t>
  </si>
  <si>
    <t>['jaringan', 'lelet', 'mending', 'indosat', '']</t>
  </si>
  <si>
    <t>['apsii', 'telkomsel', 'emosi', 'tutup', 'telkomsel', 'mending', 'makek', '']</t>
  </si>
  <si>
    <t>['kesini', 'jaringan', 'telkomsel', 'mskin', 'buruk', 'harga', 'kuota', 'mlambung', 'signal', 'internet', 'buruk', 'lemot', '']</t>
  </si>
  <si>
    <t>['mytelkomsel', 'membantu', 'mengisi', 'pulsa', 'berkembangnya', 'agen', 'pulsa', 'lintah', 'darat', 'mytelkomsel', 'penyelamat', 'didikte', 'agen', 'pulsa', 'abal', 'abal', '']</t>
  </si>
  <si>
    <t>['berguna', 'harga', 'paket', '']</t>
  </si>
  <si>
    <t>['mudah', 'simpel']</t>
  </si>
  <si>
    <t>['promo', 'hoak']</t>
  </si>
  <si>
    <t>['semoga', 'memuaskan']</t>
  </si>
  <si>
    <t>['aplikasi', 'berat', 'kesannya', 'lemot', 'tampilan', 'membingungkan', '']</t>
  </si>
  <si>
    <t>['pertahankan', 'tingkatkan', 'promo', 'kualitas', 'jaringan', 'mohon', 'tingkatkan', 'jaringan', 'internet', 'lelet', 'bener', '']</t>
  </si>
  <si>
    <t>['menang', 'give']</t>
  </si>
  <si>
    <t>['bintang', 'karna', 'mencoba', 'maaf', 'salah']</t>
  </si>
  <si>
    <t>['jaringannya', 'jelek', 'parah', '']</t>
  </si>
  <si>
    <t>['telkomsel', 'jaringan', 'susah', 'daerah', 'udah', 'sebulan', 'jaringan', 'buruk', 'pindah', 'oprator']</t>
  </si>
  <si>
    <t>['pulsa', 'ditagih', 'pembayaran', 'pembelian', 'gb', 'paket', 'darurat', 'tinggal', 'potong', 'pulsa', 'ribet']</t>
  </si>
  <si>
    <t>['promo', 'murah', 'terjangkau', 'kaum', 'menengah', 'kebawah']</t>
  </si>
  <si>
    <t>['lumayan', 'bagus', 'telkomsel', 'diskon', 'tolong', 'sinyal', 'diperbaiki', '']</t>
  </si>
  <si>
    <t>['sayabaru', 'download', 'apk', 'telkomsel', 'login', 'karenakan', 'oernah', 'balesan', 'sms', 'verfikasinya', 'udah', 'berulang', 'ngirim', 'sms', 'tautannya', 'coba', 'bantu']</t>
  </si>
  <si>
    <t>['bintang', 'bagus', 'kasi']</t>
  </si>
  <si>
    <t>['lucu', 'aplikasi', 'daftar', 'paket', 'cek', 'paket', 'login', 'akses', 'file', 'media', 'foto', 'kagak', 'alias', 'download', '']</t>
  </si>
  <si>
    <t>['orang', 'orang', 'bodoh', 'pakai', 'telkomsel', 'paketan', 'mahal', 'jaringan', 'lemot', 'mending', 'pakai', 'operator', 'murah', 'meriah', 'jaringan', 'aman']</t>
  </si>
  <si>
    <t>['mohon', 'maaf', 'memakai', 'login']</t>
  </si>
  <si>
    <t>['parah', 'update', 'pembaruan', 'buka', 'unstall']</t>
  </si>
  <si>
    <t>['menyampai', 'lag', 'hilang', 'jaringan', 'telkomsel', 'daerah', 'rumah', 'tower', 'tolong', 'perbaiki', 'jaringan', 'telkomsel']</t>
  </si>
  <si>
    <t>['telkom', 'sel', 'moga', 'sllu', 'promo', '']</t>
  </si>
  <si>
    <t>['download', 'area', 'depok', 'lemot', 'banget', 'telkomsel', 'tolong', 'perbaiki', 'servicenya']</t>
  </si>
  <si>
    <t>['hadiah', 'kasi', '']</t>
  </si>
  <si>
    <t>['android', 'aplikasi', 'eror', 'uninstall', 'diinstal', 'ulang']</t>
  </si>
  <si>
    <t>['skali', 'puas', 'banget', 'telkomsel', '']</t>
  </si>
  <si>
    <t>['tolong', 'perbaiki', 'kesini', 'bagus', 'sinyalnya', 'jlek', 'pemakai', 'telkomsel', 'ganti', 'kartu', 'perdana', '']</t>
  </si>
  <si>
    <t>['telkomsel', 'maling', 'pulsa']</t>
  </si>
  <si>
    <t>['senang', 'telkomsel', 'dimana']</t>
  </si>
  <si>
    <t>['terima', 'kasih', 'telkomsel', 'aplikasi', 'membantu', 'tingkatkan', 'fungsinya']</t>
  </si>
  <si>
    <t>['apk', 'otak', 'beli', 'kuota', 'pulsanya', 'disuruh', 'beli']</t>
  </si>
  <si>
    <t>['jaringannya', 'susah', 'gnya', 'gampang', 'lepas', 'hilang', 'terganti', 'jujur', 'operator', 'gnya', 'gampang', 'lepas', 'promo', 'udah', 'bagus', 'edit', 'jelek', 'jaringannya']</t>
  </si>
  <si>
    <t>['minggu', 'sinyal', 'stabil', 'ganti', 'teruss', 'fakkk', 'bner', 'beli', 'mahal', 'sinyal', 'trus', 'fakkk', 'you', 'suck']</t>
  </si>
  <si>
    <t>['telkomsel', 'promo', 'gb', 'ribu', 'lemot', 'banget', 'mengecewakan', '']</t>
  </si>
  <si>
    <t>['', 'bintang', 'bagus', '']</t>
  </si>
  <si>
    <t>['bgus', 'skali', 'makasih', 'telkomsel']</t>
  </si>
  <si>
    <t>['bgus', 'hrga', 'turun']</t>
  </si>
  <si>
    <t>['telkomsel', 'benerin', 'permasalahan', 'jaringan', 'jual', 'jasa', 'gini', 'pelayanan', 'kebanyakan', 'fitur', 'bayar', 'dirugikan']</t>
  </si>
  <si>
    <t>['aplikasi', 'sgt', 'bermanfaat', 'cek', 'kuota', 'telfon', 'kuota', 'internet', 'beli', 'paket', 'murah', 'recomended', 'wajib', 'download']</t>
  </si>
  <si>
    <t>['terimakasih', 'kemudahan', 'telkomsel', 'semoga', 'kekuatan', 'sinyal', 'kedepannya', 'sukses', '']</t>
  </si>
  <si>
    <t>['promo', 'kuota', 'sinyal', 'slalu', 'oke', 'mantaaaap', '']</t>
  </si>
  <si>
    <t>['jaringan', 'tersedia', 'luas']</t>
  </si>
  <si>
    <t>['maaf', 'kasih', 'bintang', 'jaringan', 'buruk', 'paket', 'data', 'mahal', '']</t>
  </si>
  <si>
    <t>['maaf', 'kasih', 'bintang', 'udah', 'daftar', 'masuk', 'maaf', 'kesalahan', 'sistem', 'moho', 'perbaiki', 'mimin', 'nnti', 'bintang', '']</t>
  </si>
  <si>
    <t>['maaf', 'bintang', 'pakai', 'signal', 'tersendat', 'pulsa', 'paket', 'unlimited', 'pakai', 'melompat', 'drastis', 'karuan', 'mahalnya']</t>
  </si>
  <si>
    <t>['jaringan', 'telkomsel', 'kaya', 'babby', 'lemot']</t>
  </si>
  <si>
    <t>['jaringan', 'ngedown']</t>
  </si>
  <si>
    <t>['jaringan', 'perkuat', 'kadang', 'bagus', 'kadang', 'lemot']</t>
  </si>
  <si>
    <t>['telkomsel', 'sinyal', 'parah', 'bekasi']</t>
  </si>
  <si>
    <t>['paket', 'murah', 'mahal']</t>
  </si>
  <si>
    <t>['bagus', 'cuman', 'fitur', 'kunci', 'axisnet', 'mengunci', 'saldo', 'pulsa', 'saldo', 'pulsa', 'tertarik', 'otomatis', 'mohon', 'bantuannya', 'telkomsel', '']</t>
  </si>
  <si>
    <t>['semoga', 'lawas']</t>
  </si>
  <si>
    <t>['aplikasinya', 'berat', 'bangett', 'dann', 'kuota', 'uda', 'hbis', 'nyalakan', 'data', 'pulsa', 'berkurang', 'hbis', 'habis', 'nggak', 'motong', 'pulsa', '']</t>
  </si>
  <si>
    <t>['susah', 'login', 'telkomsel', 'nomernya', 'terdaftar', 'login', 'ulang', '']</t>
  </si>
  <si>
    <t>['cobak']</t>
  </si>
  <si>
    <t>['pliss', 'tolong', 'adain', 'fitur', 'lock', 'pulsa', 'kaya', 'axis', 'net', 'sembarangan', 'sedot', 'pulsa', 'data', 'nyala', 'karna', 'beli', 'paket', 'telkomsel', 'habis', 'tolong', 'adain', 'sungguh', 'merugikan', '']</t>
  </si>
  <si>
    <t>['kirim', 'pulsa', 'data']</t>
  </si>
  <si>
    <t>['memudahakan']</t>
  </si>
  <si>
    <t>['gaes', 'beli', 'paket', 'gamemax', 'gaes', 'menipu', 'halus', 'apk', 'gblok', '']</t>
  </si>
  <si>
    <t>['yahhh', 'mudah', 'beli', 'paket']</t>
  </si>
  <si>
    <t>['', 'ringan', 'aplikasi', 'mudah', 'dipahami', 'promo']</t>
  </si>
  <si>
    <t>['sinyal', 'oke', 'pokok', 'enak', 'telkomsel']</t>
  </si>
  <si>
    <t>['kelemahannya', 'doank', 'mahal', 'brooh', '']</t>
  </si>
  <si>
    <t>['kesini', 'kecewa', 'kota', 'jaringannga', 'lelet', 'ngapa', 'susah', 'kaya', 'gini', 'kecewa', 'deh']</t>
  </si>
  <si>
    <t>['sinyal', 'daerah', 'rumpin', 'bogor', 'jelek', 'parah', 'gara', 'tower', 'sinyalnya', 'dimatikan', 'mohon', 'kordinasinya', 'min', 'telkom', 'daerah', 'gini', 'pengguna', 'telkom', 'daerah', 'beralih']</t>
  </si>
  <si>
    <t>['telkomsel', 'sinyal', 'bagus', 'smpe', 'sya', 'bertahun', 'berlangganan', 'ganta', 'ganti', 'kartu', 'telkomsel', 'tpi', 'jelek', 'melebihi', 'kartu', 'knapa', 'jgan', 'cma', 'byar', 'doang', 'mahal', 'tpi', 'perbaiki', 'dlu', 'sinyal', 'tolong', 'lbih', 'perhatikan', 'pelanggan', '']</t>
  </si>
  <si>
    <t>['diinstal', 'dibuka', 'dihapus', 'instal', 'ulang', 'cman', 'dibuka', 'trus', 'dibuka', 'kecewa', 'paketnya', 'mahal', 'combo', 'sakti', 'murah', 'ditiadakan', 'mohon', 'diperbaharui', 'lbh', 'pelayanannya', '']</t>
  </si>
  <si>
    <t>['beli', 'kouta', 'unlimited', 'beli', 'pas', 'gimana', 'penjelasan', 'min', 'kecewa', 'aplikasi']</t>
  </si>
  <si>
    <t>['murah', 'kuota', 'pelanggan', 'sel', 'happy']</t>
  </si>
  <si>
    <t>['pulsa', 'aplikasi', 'tertera', 'cek', 'manual', 'jaringan', 'lambat', 'paket', 'menyedihkan', 'paket', 'ditawarkanpun', 'harganya', 'selangit', 'paket', 'ekonomisnya', 'hilang']</t>
  </si>
  <si>
    <t>['hallo', 'kawan', 'kawan', 'kasih', 'telkomsel', 'tingkatkan', 'wkwkkwkwkwkwk', 'provider', 'ter', 'aneh', 'nomor', 'huhh', 'kambing', 'gedein', 'otak', 'kecilin', 'tololnya', 'ampun', 'jaringan', 'telkomsel', 'aplikasi', 'jaringan', 'berbuat', 'tanggung', '']</t>
  </si>
  <si>
    <t>['', 'ampun', 'main', 'game', 'enak', 'bet', 'sinyal', 'bagus']</t>
  </si>
  <si>
    <t>['pinjam', 'paket', 'darurat', 'masuk', 'isi', 'pulsa', 'kepotong', 'bayar', 'paket', 'darurat', 'mohon', 'informasinya', 'terima', 'kasih']</t>
  </si>
  <si>
    <t>['membingungkan', 'cari', 'paket', 'internetnya', 'lengkap']</t>
  </si>
  <si>
    <t>['bintang', 'kali', 'pengguna', 'tsel', 'mengecewakan', 'jaringan', 'bayar', 'mahal', 'jaringan', 'bagus', 'mengecewakan', 'lgi', 'pulsa', 'kepotong', 'menentu', 'isikan', 'pulsa', 'besok', 'udah', 'habis', 'kah', 'nyatakan', 'jaringan', 'bagus', 'indonesia', 'tolong', 'perbaiki', 'lgi', 'jaringan', 'pengguna', 'nyaman', 'memakainya', '']</t>
  </si>
  <si>
    <t>['klw', 'kuotanya', 'kasih', 'murah', 'menggunakannya', 'belajar', '']</t>
  </si>
  <si>
    <t>['suka', 'aplikasi', 'beli', 'kuota', 'gampang', 'babngat']</t>
  </si>
  <si>
    <t>['perbarui', 'dibuka']</t>
  </si>
  <si>
    <t>['mempermudah', 'beli', 'paket', 'telkomsel', 'info', 'telkomsel']</t>
  </si>
  <si>
    <t>['kasih', 'bintang', 'jaringannya', 'kuat']</t>
  </si>
  <si>
    <t>['bintang', 'buatt', 'telkomsel', 'sllu', 'terbaik', 'termudah', 'pelajari', 'nyaa', '']</t>
  </si>
  <si>
    <t>['biaya', 'internet', 'mahal', 'jaringan', 'penuh', 'lemot', 'kecewa']</t>
  </si>
  <si>
    <t>['kapok', 'pakai', 'telkomsel', 'internetan', 'pas', 'bayar', 'pakai', 'emoney', 'ditoko', 'leletnya', 'ampun', 'jaringan', 'malu', 'putus', 'nyambungnya', 'banget', 'hadehhh', '']</t>
  </si>
  <si>
    <t>['kurangi', 'harga', 'kuota']</t>
  </si>
  <si>
    <t>['', 'tipi', 'sales', 'kartu', 'halo', 'bilangnya', 'unlimitid', 'promo', 'langsung', 'aktvn', 'kartu', 'halo', 'jariangan', 'pioritas', 'utamakan', 'unli', 'multimedia', 'jaringan', 'ancur', 'banding', 'reguler', 'ilang', 'ajah', 'lgi']</t>
  </si>
  <si>
    <t>['daerah', 'bandongan', 'magelang', 'bintang', 'kekurangan', 'min', 'tolong', 'ping', 'kuota', 'game', 'mobile', 'legends', 'terima', 'kasih', 'layanan', 'memuaskan', 'kekurangan', '']</t>
  </si>
  <si>
    <t>['', 'paket', 'paket', 'youtube', 'paket', 'ngegame']</t>
  </si>
  <si>
    <t>['membantu', 'terima', 'kasih']</t>
  </si>
  <si>
    <t>['apl', 'keren', '']</t>
  </si>
  <si>
    <t>['', 'kadang', 'bermasalah']</t>
  </si>
  <si>
    <t>['menjelang', 'jam', 'wib', 'lemot', 'pkl', 'wib', 'daerahku', 'kec', 'bagelen', 'kab', 'purworejo', 'mohon', 'perhatikan', 'boss', '']</t>
  </si>
  <si>
    <t>['semoga', 'promo']</t>
  </si>
  <si>
    <t>['sinya', 'bagus']</t>
  </si>
  <si>
    <t>['cashback', 'masuk']</t>
  </si>
  <si>
    <t>['mantap', 'gratis', 'gb']</t>
  </si>
  <si>
    <t>['aplikasi', 'dibuka', 'hapus', 'instal', 'ulang', 'ber', 'kali', 'kali']</t>
  </si>
  <si>
    <t>['apknya', 'udah', 'bagus', 'tolong', 'daily', 'cek', 'kalim', 'kuota', 'suruh', 'bayar', 'poin', 'tukar', 'kuota', 'daily', 'cek', 'tolong', 'buatin', 'promo', 'kuota', 'murah', 'daerah', 'banjarnegara', 'tolong', 'min', 'usahain', 'buatin', 'promo', 'harga', 'plis', 'buatin', '']</t>
  </si>
  <si>
    <t>['telkomsel', 'seneng', 'banget', 'kuota', 'murah', 'jaringan', 'stabil', 'sesakit', 'hati', 'jaringan', 'hilang', 'tugas', 'main', 'dll', 'slalu', 'momen', 'sinyal', 'buruk', 'seburuk', 'buruknya', 'itupun', 'jaringan', 'normal', 'harap', 'sinyal', 'telkomsel', 'diperbaiki', 'stabil', 'kawasan', 'balikpapan', '']</t>
  </si>
  <si>
    <t>['harga', 'paket', 'internet', 'mahal', 'tolong', 'barengin', 'jaringan', 'internet', 'bagus', 'lemot']</t>
  </si>
  <si>
    <t>['bagus', 'mantap', 'pelanggan', 'setia', 'telkomsel']</t>
  </si>
  <si>
    <t>['terimakasih', 'temani']</t>
  </si>
  <si>
    <t>['bismillah', 'semoga', 'dapet', 'giveway']</t>
  </si>
  <si>
    <t>['pulsa', 'abis', 'ludes', 'gatau', 'main', 'match', 'langsung', 'ludes', 'multimedia', 'game', 'beli', 'kemaren', 'sisa', 'gb', 'disedot', 'pulsa', '']</t>
  </si>
  <si>
    <t>['hoy', 'telkomsel', 'tolong', 'bug', 'kuota', 'isi', 'nyedot', 'pulsa', 'gatau', 'angin', 'abis', 'notif', 'pemakaian', 'pulsa', 'kuota', 'beli', 'woy', '']</t>
  </si>
  <si>
    <t>['ckp', 'mudah', 'untk', 'bli', 'paket']</t>
  </si>
  <si>
    <t>['telkomsel', 'eror', 'beli', 'paket', 'internet', 'narik', 'pulsa', 'emang', 'aktif', 'paketnya', 'kasih', 'notifikasi', 'dibayar', 'pulsa', 'ambil', 'pengaktifan', 'paketnya', 'aktif', '']</t>
  </si>
  <si>
    <t>['bagus', 'banget', 'aplikasih']</t>
  </si>
  <si>
    <t>['sinyal', 'tsel', 'jelek', '']</t>
  </si>
  <si>
    <t>['knpa', 'lemot', 'bget']</t>
  </si>
  <si>
    <t>['mudah', 'senang', 'lengkap', 'menarik', 'bbrp', 'sinyal', 'moga', 'lekas', 'berkualitas', 'terimakasih', '']</t>
  </si>
  <si>
    <t>['bintang', 'rubah', 'pulsa', 'terpotong', 'data', 'seluler', 'matikan', 'aneh', 'potongan', 'rupiah', 'pemakaian', 'internet', 'data', 'seluler', 'mati', 'hantu', 'kah', 'pakai', 'internetnya', 'namanya', 'pencurian', 'dikit', 'perut', 'buncit', 'telkomsel', '']</t>
  </si>
  <si>
    <t>['beli', 'paket', 'promo', 'kuota', 'unlimited', 'berkerja', 'kuota', 'internet', 'tersedot', 'rugi', 'tolong', 'perbaiki', 'suka', 'kuota', 'multimedia', 'dipakai', 'berkurang', 'kuota', 'utama', 'tolong', 'perbaiki', 'merugi', 'muak', 'tolong', 'telkomsel', 'perbaiki', '']</t>
  </si>
  <si>
    <t>['jaringan', 'kntl', 'benerin', 'ngen', 'tot']</t>
  </si>
  <si>
    <t>['kartu', 'daerah', 'paket', 'kouta', 'paket', 'kouta']</t>
  </si>
  <si>
    <t>['udah', 'mahal', 'jaringan', 'telkomsel', 'busuk', 'ampas', 'layak', 'pakai', 'keluarga', 'circle', 'pertemanan', 'udah', 'pindah', 'indosat', 'sinyalnya', 'lbh', 'oke', 'murahan', 'kampungan', 'sprti', 'telkomsel', '']</t>
  </si>
  <si>
    <t>['sinyal', 'turun', 'suck']</t>
  </si>
  <si>
    <t>['pengguna', 'kartu', 'telkomsel', 'daerah', 'kelurahan', 'tanete', 'kecamatan', 'bulukumpa', 'kabupaten', 'bulukumba', 'sulawesi', 'selatan', 'terhitung', 'karna', 'jaringan', 'internetnya', 'lalod', 'pakai', 'kartu', 'data', 'profider', 'mohon', 'perbaiki', 'jaringannya', 'sayang', 'kartu', 'kartu', 'sakti', 'tpi', 'kagak', 'terpakai', 'hehehe', 'terima', 'kasih']</t>
  </si>
  <si>
    <t>['beli', 'pulsa', 'kemana', 'duduk']</t>
  </si>
  <si>
    <t>['telkom', 'sinyal', 'mohon', 'perbaiki', 'main', 'game', 'sinyal', 'hilang', '']</t>
  </si>
  <si>
    <t>['paket', 'habis', 'beli', 'habis', 'kayak', 'udah', 'kasi', 'bonus', 'paket']</t>
  </si>
  <si>
    <t>['gua', 'combo', 'sakti']</t>
  </si>
  <si>
    <t>['belajar', 'buka', 'aplikasi']</t>
  </si>
  <si>
    <t>['inshaallah', 'pemenangnya', 'udah', 'berulang', 'kali', 'undian', 'tapu', 'menang']</t>
  </si>
  <si>
    <t>['kecepatan', 'transaksi', '']</t>
  </si>
  <si>
    <t>['beli', 'paket', 'sakti', 'error', 'trus', 'udah', 'minggu', 'bgsat']</t>
  </si>
  <si>
    <t>['mahal', 'doang', 'jaringan', 'kek', 'siput']</t>
  </si>
  <si>
    <t>['membantu', 'terimakssih']</t>
  </si>
  <si>
    <t>['sebenernya', 'bagus', 'app', 'udah', 'kali', 'kejadian', 'pulsa', 'kepotong', 'sampe', 'pas', 'kebablasan', 'paket', 'udah', 'habis', 'lock', 'pulsanya', 'nggk', 'telkomsel', '']</t>
  </si>
  <si>
    <t>['mahal', 'gb', 'gb', 'kaga', 'beli', 'mending', 'pindah', 'operator', 'jaringannya', 'bagus', 'bagus', 'harganya', 'mahal', 'telkomsel', 'badut', '']</t>
  </si>
  <si>
    <t>['pokoknya', 'the', 'best', 'mudah', 'praktis', 'sulit', 'terimakasih', 'telkomsel']</t>
  </si>
  <si>
    <t>['disuru', 'check', 'pas', 'udah', 'ful', 'seminggu', 'diulang', 'kecewalah']</t>
  </si>
  <si>
    <t>['telkomsel', 'parah', 'pulsa', 'dipotong', 'wifi', 'kartu', 'sim', 'card', 'telkomselnya', 'nonaktifkan', 'potong', 'pulsa', 'laporan', 'beres', 'muncul', 'parah', 'kapok', 'simpati']</t>
  </si>
  <si>
    <t>['reward', 'check', 'berkesinambungan', 'seringkali', 'nyampe', 'reward', 'eehhh', 'reward', 'menunggu', 'reward', 'bagus', 'reward', 'kuota', 'data', 'voucher', 'diskon', 'belanja', 'masukan', 'overal', 'aplikasi', 'bagus', 'sukses', '']</t>
  </si>
  <si>
    <t>['telkomsel', 'bawel', '']</t>
  </si>
  <si>
    <t>['pengumuman', 'pemenang', 'lucky', 'draw', 'dimana', '']</t>
  </si>
  <si>
    <t>['sinyal', 'dijaringan', 'udah', 'hilang', 'kemaren', 'jam', 'sampe', 'perbaikan', 'gimana', 'boss', 'tolong', 'dipikir', 'kaya', 'gini', 'nyuruh', 'hubungi', 'akun', 'telkomsel', 'tweter', 'telegram', 'banget', 'tekomsel', 'sinyalnya', 'busuk', 'lihat', 'story', 'nunggunya', 'mikir', 'boss', 'mikir', '']</t>
  </si>
  <si>
    <t>['login', 'aplikasi', 'telkomsel', 'login', 'muncul', 'perbarui', 'aplikasi', 'udah', 'update', 'yapi', 'login', 'mohon', 'bantuannya', '']</t>
  </si>
  <si>
    <t>['bagus', 'memudahkan', 'transaksi']</t>
  </si>
  <si>
    <t>['jaringan', 'internet', 'macem', 'perkara', 'sms', 'masok', 'game', 'ngelag', 'beda', 'sebelah', 'detik', 'sms', 'masok', 'game', 'terpengaruh', 'mohon', 'perbaiki', '']</t>
  </si>
  <si>
    <t>['berguna', 'mantap', 'telmomsel', '']</t>
  </si>
  <si>
    <t>['aplikasi', 'paket', 'mahal', 'cepat', 'panas', 'baterai', 'boros', 'aplikasi', 'lemot', 'beli', 'paket', 'susah', 'bnyak', 'gagalnya', 'kualitasnya', 'dimana', 'malu', 'sma', 'provider', 'sebelah', '']</t>
  </si>
  <si>
    <t>['suka', 'aplikasi', '']</t>
  </si>
  <si>
    <t>['sampe', 'skrg', 'telkomsel', 'always', '']</t>
  </si>
  <si>
    <t>['ribet', 'sulit', 'menemukan', 'dicari', 'bagus', 'beli', 'kuota', 'mudah', 'sesuai', 'diaplikasi']</t>
  </si>
  <si>
    <t>['byk', 'pilihan', 'pembelian', 'slalu', 'telkomsel']</t>
  </si>
  <si>
    <t>['sampah', 'sinyal', 'jelek', 'mahal', 'karyawan', 'korupsi', 'kali', 'sinyal', 'bagus', 'kek', 'sampah', 'sinyal', 'liat', 'sinyal', 'telkomsel', 'sampahh', 'banget', 'sinyal', '']</t>
  </si>
  <si>
    <t>['bonusnya']</t>
  </si>
  <si>
    <t>['tolong', 'dung', 'khusus', 'daerah', 'muara', 'jakrta', 'pusat', 'stbil', '']</t>
  </si>
  <si>
    <t>['jaringan', 'internet', 'ganguan', 'sinyal', 'hilang', 'sngat', 'lokasi', 'desa', 'gunung', 'raya', 'kecamatan', 'warkuk', 'ranau', 'selatan', 'kabupaten', 'okus', 'sumsel', 'perbaikan', 'minggu', '']</t>
  </si>
  <si>
    <t>['sinyal', 'terparah', 'nomer', 'skrg', 'ancur', 'beli', 'paket', 'rb', 'dipakai', 'alias', 'lemot', 'mendung', 'parahhhh', 'th', 'setia', 'telkomsel', 'skrg', 'sinyal', 'ancur', 'mode', 'jaringan', 'ganti', 'manual', 'pengaruh', '']</t>
  </si>
  <si>
    <t>['peningkatan', 'moga', 'kedepanya', 'dipertahankan']</t>
  </si>
  <si>
    <t>['', 'coment', 'nyoba', '']</t>
  </si>
  <si>
    <t>['bagus', 'bagus', 'pembelian', 'paket', 'data', 'komplit', 'mahal', 'mahal', '']</t>
  </si>
  <si>
    <t>['beli', 'kuota', 'gb', 'udah', 'beli', 'pembayaran', 'berhasil', 'ditunggu', 'berjam', 'jam', 'pas', 'check', 'isi', 'ngga', 'pulsa', 'kesedot', 'iya', 'aneh', '']</t>
  </si>
  <si>
    <t>['mahal', 'dkit', '']</t>
  </si>
  <si>
    <t>['jelek', 'aplikasinya', 'sma', 'skali', 'tdak', 'membntu', 'skrang', 'kali', 'masuk', 'login', 'lgi', 'loading', 'dlu', 'cepat', 'login', 'verifikasi', 'lgi', 'skrang', 'udh', 'lma', 'loding', 'veeifikasi', 'login', 'web', 'udh', 'mles', 'pakai', 'apl', 'telkmsel', 'unistal', 'maaf']</t>
  </si>
  <si>
    <t>['terima', 'kasih', 'paket', 'rbu', 'membantu', 'anak', 'belajar', 'rumah', 'apalgi', 'pandemi', 'suami', 'kerja', 'menentu', 'harga', 'terjangkau', 'anak', 'belajar', 'rumah']</t>
  </si>
  <si>
    <t>['', 'pls', 'dicek', 'sisa', 'kmna', 'dipakai', 'paket', 'lengkap', 'telkomsel', 'pemberitahuannya', 'ilang', 'gitu', 'subuh', 'sampe', 'skrg', 'dftar', 'paket', 'susah', 'buka', 'appnya', 'system', 'sibuk', 'gangguan', 'aplah', 'smua', 'gaje', 'app', '']</t>
  </si>
  <si>
    <t>['aplikasi', 'tholol', 'pembodohan', 'publik', 'korupsi', 'main', 'main', 'pulsa', 'terpotong']</t>
  </si>
  <si>
    <t>['aplikasi', 'mytelkomsel', 'berguna', 'pengguna', 'telkomsel']</t>
  </si>
  <si>
    <t>['cuman', 'pilihan', 'paket', 'internet', 'maksimal']</t>
  </si>
  <si>
    <t>['', 'berubah', 'berubah', 'jaringan', 'kentang', '']</t>
  </si>
  <si>
    <t>['bagusss', 'aplikasi', 'mempermudah', 'oembelian', 'paketan']</t>
  </si>
  <si>
    <t>['tngkatkan', 'kualitasnya']</t>
  </si>
  <si>
    <t>['jaringan', 'kuat', 'cocok', 'dimana', 'jaringan']</t>
  </si>
  <si>
    <t>['sinyal', 'telkomsial', 'knpa', 'njink', 'buruknya', 'tabok', 'udah', 'mahal', 'buruk', 'kartu', 'telkomsel', 'sampah']</t>
  </si>
  <si>
    <t>['membantu', 'informasi', 'kartu', 'sim', 'undi', 'undi', 'hepi', 'minggunya', 'semoga', 'beruntung', '']</t>
  </si>
  <si>
    <t>['membantu', 'kebanggaan', 'baiknya', 'harga', 'turunkan', 'kwalitas', 'tingkatkan']</t>
  </si>
  <si>
    <t>['', 'aplnya', 'bagus']</t>
  </si>
  <si>
    <t>['install', 'aplikasi', 'isi', 'pulsa', 'aplikasi', 'jelek', 'aplikasi']</t>
  </si>
  <si>
    <t>['sinyal', 'buruk', 'kabupaten', 'karanganyar', 'provinsi', 'jawa']</t>
  </si>
  <si>
    <t>['okeh', 'banget', 'membantu']</t>
  </si>
  <si>
    <t>['bagus', 'banget', 'pengunci', 'pulsanya', 'kuota', 'abis', 'makan', 'pulsa']</t>
  </si>
  <si>
    <t>['mudah', 'membeli', 'paket', 'data', 'aplikasi', 'telkomsel', 'dpat', 'penawaran', 'menarik']</t>
  </si>
  <si>
    <t>['pembelian', 'kuota', 'lokal', 'aneh', 'kuota', 'terbatas', 'malam', 'masok', 'akal', 'ajh', 'internet', 'batas', 'smua', 'pemakai', 'nxa', 'terpaksa', 'hapus', 'aplikasi']</t>
  </si>
  <si>
    <t>['bagus', 'memudahkan', 'bertansaksi', 'mengenal', 'fitur', 'fitur', 'terupdate', 'telkomsel']</t>
  </si>
  <si>
    <t>['', 'tipe', 'instal', 'apasih', 'bedanya', 'jadul', 'instal', 'maklum', 'payah']</t>
  </si>
  <si>
    <t>['jaringan', 'suka', 'hilang', 'bermain', 'game', 'suka', 'bermasalah', 'jaringanya', 'aplikasinya', '']</t>
  </si>
  <si>
    <t>['ngaco', 'paket', 'data', 'masak', 'pulsa', 'kepotong', 'jga', 'karna', 'internet']</t>
  </si>
  <si>
    <t>['knp', 'beli', 'paket', 'mohon', 'perhatikan', '']</t>
  </si>
  <si>
    <t>['mudah', 'gampang']</t>
  </si>
  <si>
    <t>['jaringan', 'harga', 'paket', 'msh', 'bintang', 'dlu', 'hehehee']</t>
  </si>
  <si>
    <t>['kesini', 'buruk', 'signalnya', 'selepas', 'hujan', 'buruk']</t>
  </si>
  <si>
    <t>['paket', 'spesial', 'nomor', 'kartu', 'nyaman', 'paket', 'hapus', 'paket', 'konsistan', 'memproduksi', 'produk', 'beda', 'harga', 'normal', 'diskon', 'produksi', 'produk']</t>
  </si>
  <si>
    <t>['terimakasih', 'membantu', 'telkomsel']</t>
  </si>
  <si>
    <t>['', 'tingkatkan', 'kualitas', 'jaringan', 'mati', 'listrik', 'jaringan', 'internet', 'ngikut', 'ngilang', 'tower', '']</t>
  </si>
  <si>
    <t>['update', 'stiap', 'buka', 'aplksi', 'lngsung', 'jaringan', 'hilang']</t>
  </si>
  <si>
    <t>['aplikasi', 'goood']</t>
  </si>
  <si>
    <t>['fitur', 'bayar', 'pakek', 'shopepay', 'bri', 'mandiri', 'bank']</t>
  </si>
  <si>
    <t>['sich', 'mantap', 'sinyalnya', 'tpi', 'sistem', 'paket', 'nelpon', 'hilang', 'pakai', 'paket', 'nelpon', 'paket', 'spesial', 'dibantu', 'karna', 'konsisten']</t>
  </si>
  <si>
    <t>['hallo', 'telkomsel', 'mohon', 'ditingkat', 'jaringan', 'pembayaran', 'kouta', 'internet', 'dkurangkan', 'mahal', 'main', 'game', 'ngileg', 'mengecewakan', 'bintang', 'buang', 'tolong', 'diperbaiki']</t>
  </si>
  <si>
    <t>['', 'promo', 'masak', 'kalah', 'kartu', 'paket', 'internet', 'bayak', 'murah']</t>
  </si>
  <si>
    <t>['ebill', 'macet', 'janji', 'doang']</t>
  </si>
  <si>
    <t>['pelayanan']</t>
  </si>
  <si>
    <t>['data', 'pulsa', 'mengakses', 'paket', 'data', 'menyedot', 'pulsa', 'menu', 'produk', 'ditampilkan', 'diakses', 'pelanggan', 'khusus', 'muncul', 'aplikasi', 'diakses', 'dibeli', '']</t>
  </si>
  <si>
    <t>['keran', 'tannyah', 'tannyah', '']</t>
  </si>
  <si>
    <t>['paket', 'data', 'mahal', 'mahal', 'telkomsel', 'udh', 'murah', 'telkosel', 'terbesar', 'jaringan', 'kalah', 'axis']</t>
  </si>
  <si>
    <t>['jaringan', 'telkomsel', 'jelek', 'banget', 'suka', 'merah', 'main', 'game', 'online', 'aman', 'tkp', 'jateng', 'kab', 'cilacap', 'mohon', 'perbaiki', 'kak']</t>
  </si>
  <si>
    <t>['apk', 'mantullll']</t>
  </si>
  <si>
    <t>['bintang', 'internetnya', 'bagus', 'kutambah', 'soalya', 'barusan', 'beli', 'pulsa', 'kepotong', 'tinggal', 'alhasil', 'beli', 'lgi', 'pulsa', 'mudah', 'kedepanya', 'bagus', 'telkomsel', '']</t>
  </si>
  <si>
    <t>['layanan', 'terbaik', 'customer']</t>
  </si>
  <si>
    <t>['kasih', 'app', 'tawaran', 'paket', 'combo', 'sakti', '']</t>
  </si>
  <si>
    <t>['aplikasi', 'menyusahkan', 'pelayanan', 'buruk', 'sinyal', 'jelek']</t>
  </si>
  <si>
    <t>['kuota', 'mahal', 'njr']</t>
  </si>
  <si>
    <t>['mhn', 'tingkat', 'jaringannya', 'lemot']</t>
  </si>
  <si>
    <t>['mantab', 'pelayanan']</t>
  </si>
  <si>
    <t>['sinyal', 'jelek', 'dimana', 'pikir', '']</t>
  </si>
  <si>
    <t>['sagat', 'bagus', 'aplikasix', 'tpi', 'sayang', 'jaringan', 'telkomsel', 'jelak', '']</t>
  </si>
  <si>
    <t>['jaringan', 'kayak', 'siput', 'cepat', 'dunia', 'lelet', 'kayak', 'siput', 'perbaikilah', 'tidur', 'rugilahni', 'paket', 'pakai', 'mohon', 'maaf', 'kak', 'keluhan', 'jaringan', 'mimin', 'bantu', 'silakan', 'konfirmasi', 'twitter', 'telegram', 'official', 'bot', 'facebook', 'messenger', 'telkomsel', 'line', 'whatsapp', 'telkomsel', 'virtual', 'asisten', 'makasih', 'moon']</t>
  </si>
  <si>
    <t>['udah', 'mahal', 'sinyal', 'lemah', 'sinyal', 'turun', '']</t>
  </si>
  <si>
    <t>['tolong', 'harga', 'kuotanya', 'turun', 'harga', 'sesuai', 'pelajar', 'mohon', 'perhatian']</t>
  </si>
  <si>
    <t>['harga', 'mahal', 'kualitas', 'sinyal', 'jelek', 'najiss', 'nyesel', 'sumpah', 'beli', 'kartu', 'ginian']</t>
  </si>
  <si>
    <t>['sumpah', 'jelek', 'banget', 'sinyal', 'telkomsel', 'kayak', 'tolong', 'telkomsel', 'sadar', 'penggunanya', 'ngasih', 'bintang', '']</t>
  </si>
  <si>
    <t>['', 'tingkatkan', 'keluhan', 'pulsa', 'sedot', 'data', 'internet', 'kehabisan', 'kuota', '']</t>
  </si>
  <si>
    <t>['tolong', 'cantumkan', 'fitur', 'mengunci', 'pulsa', 'terpotong', 'penggunaan', 'internet', 'non', 'paket', 'langganan', 'sms', 'layanan', 'aplikasi', 'terima', 'kasih', '']</t>
  </si>
  <si>
    <t>['telkomsel', 'emang', 'top']</t>
  </si>
  <si>
    <t>['iming', 'bonus', 'pulsa', 'isi', 'ulang', 'mending', 'dipake', 'terbukti', 'kuota', 'unlimited', 'lelet', 'maksimal', 'trus', 'discont', 'shoppe', 'maksdny', 'adil']</t>
  </si>
  <si>
    <t>['', 'telkomsel', 'jaringan', 'pulau', 'tolong', 'ditingkatkatkan', 'diperhatikan', 'cuaca', 'buruk', '']</t>
  </si>
  <si>
    <t>['sinyal', 'kaya', 'tia']</t>
  </si>
  <si>
    <t>['kayak', 'taik', 'jaringan', 'internet', 'telkomsel', 'pagi', 'gangguan', 'hujan', 'ganguan', 'maghrib', 'gangguan', 'huajn', 'badai', 'jaringan', 'pelanggan', 'telkomsel', 'udah', 'bertahun', 'kekecewakan', 'jaringan', 'telkomsel', 'wilayah', 'bengkulu', 'kota', '']</t>
  </si>
  <si>
    <t>['seizin', 'pengguna', 'pulsa', 'terpotong', '']</t>
  </si>
  <si>
    <t>['', 'pulsa', 'dipakai', 'kesedot', 'mulu', 'kacau']</t>
  </si>
  <si>
    <t>['bismillahirrahmanirrahim', 'semoga', 'menang', 'undiang']</t>
  </si>
  <si>
    <t>['mantap', 'uuuiiih', 'beruntung', '']</t>
  </si>
  <si>
    <t>['aplikasinya', 'telkomsel', 'isi', 'pulsa', 'masuk', 'sms', 'pemberitahuannya', 'masuk', 'pemakaian', 'buka', 'aplikasi', 'terhubung', 'internet', 'pas', 'isi', 'pulsa', 'nominal', 'aplikasi', 'medsos', 'berjalan', 'latar', '']</t>
  </si>
  <si>
    <t>['menurun', 'performa', 'telkomsel', 'sinyal', 'buruk', 'bermain', 'game', 'sinyal', 'merah', 'beli', 'kuota', 'game', 'max']</t>
  </si>
  <si>
    <t>['hary', 'jhosa', 'putra', 'smart', 'people']</t>
  </si>
  <si>
    <t>['wilayah', 'kabupaten', 'magelang', 'telkomsel', 'sinyalnya', 'bagus', 'pulsanya', 'mahal', 'sinyalnya', 'lemot', '']</t>
  </si>
  <si>
    <t>['maaf', 'telkomsel', 'pakai', 'telkomsel', 'jelek', 'sinyalnya', 'mohon', 'telkomsel', 'memperbaiki', 'kualitas', 'terbaik']</t>
  </si>
  <si>
    <t>['memudahkan', 'banget', 'user', 'lawas', 'telkomsel', 'pesen', 'signal', 'dikembangkan', 'termahal', 'kartu', 'perdana', 'seenggaknya', 'signal', 'mengecewakan', 'thanks']</t>
  </si>
  <si>
    <t>['meningkatkan', 'promo', 'promo', 'menarik']</t>
  </si>
  <si>
    <t>['lucu', 'pisan']</t>
  </si>
  <si>
    <t>['telkomsel', 'sinyalnya', 'bagus', '']</t>
  </si>
  <si>
    <t>['kasi', 'bintanggggggggggg', 'kasi', 'bintang', 'lebitau', 'junga', 'ingn', 'paketku', 'mura', 'trimakasi', 'maytelkomsel']</t>
  </si>
  <si>
    <t>['pokok', '']</t>
  </si>
  <si>
    <t>['cuman', 'nyari', 'keuntungan', 'skarang', 'telkomsel', 'kalah', 'indosat', 'telkomsel', 'serba', 'mahal', 'buruk', 'jaringan', 'kaya', 'pokonya', 'kecewa', 'telkomsel', 'enakan', 'indosat']</t>
  </si>
  <si>
    <t>['beli', 'bbrp', 'kali', 'mengecewakan']</t>
  </si>
  <si>
    <t>['maaf', 'telkomsel', 'penilaian', 'jujur', 'harga', 'kuotanya', 'masuk', 'akal', 'kemarin', 'gb', 'naiknya', 'banget', 'ngasih', 'harga', 'ramah', 'dikit', 'mohon', 'kasihan', 'masyarakat', 'tempatnya', 'susah', 'sinyal', 'kayak', '']</t>
  </si>
  <si>
    <t>['gblk', 'tolol', 'sinyal', 'burik', 'benerin', 'gih', 'tolol', 'mending', 'smartfren', 'telkomtol', 'beli', 'telkomtol', 'saranin', 'pilih', 'provider', '']</t>
  </si>
  <si>
    <t>['jaga', 'indetitas']</t>
  </si>
  <si>
    <t>['layanan', 'mayoritas', 'jangkau', 'sinyal', 'telkomsel', 'drop', 'sinyalnya', 'area', 'imogiri', 'bantul', '']</t>
  </si>
  <si>
    <t>['kemudahan', 'cek', 'pulsa', 'cek', 'data', 'isi', 'pulsa']</t>
  </si>
  <si>
    <t>['sinyal', 'kesini', 'bagus', 'parah', 'kali', 'hub', 'solusi', 'cmn', 'maaf', 'bpak', 'check', 'kendala', 'haddddehhhhh']</t>
  </si>
  <si>
    <t>['kualitas', 'telkomsel', 'skr', 'banget', 'kaya', 'dlu', 'skr', 'buruk', 'kuota', 'jga', 'boros', 'kuota', 'lumayan', 'awet', 'sinyal', 'sempati', 'jga', 'lemah', 'dlm', 'gedung', 'haduuuh', 'gmn', 'kembalikanlah', 'kualitas', 'harga', 'tmbh', 'mahal', 'tpi', 'kualitas', 'payah', '']</t>
  </si>
  <si>
    <t>['pasang', 'paketan', 'pulsa', 'hilang', 'kouta', 'pulsa', 'telkomsel', 'terhormat', 'mengambil', 'keuntungan', 'situ', 'optimalkan', 'pelayanan']</t>
  </si>
  <si>
    <t>['biarlah', 'bintang', 'mewakili']</t>
  </si>
  <si>
    <t>['pandemi', 'bukanya', 'harga', 'paket', 'turunin', 'berhenti', 'memakai', 'telkomsel', 'paket', 'harga', 'kadang', 'jaringan', 'telkomsel', 'busuk', 'tempatku', '']</t>
  </si>
  <si>
    <t>['masukan', 'voucher', 'diproses', 'proses', '']</t>
  </si>
  <si>
    <t>['knp', 'udh', 'jaringan', 'muncul', 'tolong', 'provider', 'telkom', 'kerjasamanya']</t>
  </si>
  <si>
    <t>['pakek', 'telkomsel', 'emng', 'mantap', '']</t>
  </si>
  <si>
    <t>['bintang', 'telkomsel', 'sekelas', 'bumn', 'fitur', 'perlindungan', 'pulsa', 'aneh', 'pulsa', 'berkurang', 'memakai', 'internet', 'telkomsel', 'paket', 'internet', 'lihat', 'riwayat', 'pemakaian', 'pulsa', 'berkurang', 'gara', 'pengunaan', 'internet', 'freak', 'provider', 'perlindungan', 'pulsa', 'aplikasi', 'pulsa', 'terpakai', 'gara', 'internet', 'mentang', 'bumn', 'berbenah', 'santai', '']</t>
  </si>
  <si>
    <t>['halo', 'kuota', 'pulsa', 'hilang', 'beli', 'kuota', 'harga', 'rb', 'seminggu', 'kuota', 'hangus', 'pulsa', 'hangus', 'pdhl', 'jarang', 'sosmed', 'kecuali', 'itupun', 'jarang', 'semalem', 'cek', 'kuota', 'trs', 'knpa', 'paginya', 'kuota', 'trjadi', 'diam', 'mengeluh', 'tpi', 'trkhir', 'geram', 'karna', 'kuotanya', 'sebulan', 'terimakasih', '']</t>
  </si>
  <si>
    <t>['proses', 'pelayanan', 'beli', 'paket', 'kuota', 'masuk', 'nomor', 'kasih', 'bukti', 'transaksi', 'nomor', 'tunggu', 'kebijakan', 'telkomsel', 'solusi', 'tanggapan', 'suruh', 'nunggu', 'nunggu', 'tolong', 'pelayanan', 'perbaiki', 'suruh', 'tunggu', 'informasi']</t>
  </si>
  <si>
    <t>['nyaman', 'memakai', 'apk']</t>
  </si>
  <si>
    <t>['aplikasi', 'bags', 'murah', 'ngapain', 'lihat', 'udah', 'gua', 'baguss']</t>
  </si>
  <si>
    <t>['app', 'membantu', 'murah', 'paket', 'sabang', 'banget', 'mksih', 'telkomsel']</t>
  </si>
  <si>
    <t>['aplikasi', 'membantu', 'fitur', 'lengkap', 'dalamnya', 'membeli', 'paket', 'data', 'app', 'harganya', 'murah', '']</t>
  </si>
  <si>
    <t>['puas', 'aplikasi', 'multifungsi', 'banget', 'wortit', 'banget']</t>
  </si>
  <si>
    <t>['terjangkau', 'plosok', 'desa', '']</t>
  </si>
  <si>
    <t>['telkomsel', 'jaringannya', 'bapuk', 'udah', 'kuota', 'mahal', 'jaringan', 'jelek', 'dicompare', 'provider', 'gedek', 'ganggu', 'kelancaran', 'wfh', 'nyusahin']</t>
  </si>
  <si>
    <t>['tingkatkan', 'kekuatan', 'sinyal', 'kepelosok']</t>
  </si>
  <si>
    <t>['harganya', 'seimbangkan', 'uang', 'saku', 'anak', 'sekolah']</t>
  </si>
  <si>
    <t>['pinjam', 'pulsa']</t>
  </si>
  <si>
    <t>['baikk', 'berguna']</t>
  </si>
  <si>
    <t>['bagus', 'tanggapan']</t>
  </si>
  <si>
    <t>['aplikasinya', 'bagus', 'rekomended', 'banget']</t>
  </si>
  <si>
    <t>['telkomsel', 'harga', 'kuota', 'udah', 'bersahabat', 'udh', 'promo', 'tetep', 'mahal', 'min', 'kaya', 'gini', 'mending', 'pindah', 'kartu', 'lian', '']</t>
  </si>
  <si>
    <t>['gangguan', 'jaringan', 'bangga', 'produk', 'telkom', 'semoga', 'amanah']</t>
  </si>
  <si>
    <t>['bagus', 'aplikasinya', 'cepet', 'prosesnya', '']</t>
  </si>
  <si>
    <t>['make', 'telkom', 'buruk', 'ketengan', 'youtube', '']</t>
  </si>
  <si>
    <t>['kecewa', 'banget', 'telkomsel', 'ngisi', 'pulsa', 'besoknya', 'langsung', 'beli', 'paket', 'skarang', 'sisa', 'gara', 'lupa', 'matiin', 'data', 'ngga', 'gunain', 'skali', 'operator', 'ngga', 'gitu', '']</t>
  </si>
  <si>
    <t>['', 'tuker', 'poin', 'paket', 'mahal', 'meper', 'mudah', 'mpersulit', 'prbaiki']</t>
  </si>
  <si>
    <t>['terimakasih', 'telkomsel', 'layanannya']</t>
  </si>
  <si>
    <t>['mudah', 'cepat', 'ekonomis', 'cuman', 'sayang', 'klu', 'paket', 'udah', 'habis', 'buka', 'blnja', 'paket', '']</t>
  </si>
  <si>
    <t>['mantappp', 'masuk', 'aplikasi', 'smoga', 'memuaskan', 'yaa', 'sinyalnya', 'lancar', 'jaya']</t>
  </si>
  <si>
    <t>['cepat', 'redponnya']</t>
  </si>
  <si>
    <t>['signal', 'lemah', 'tuk', 'kota', 'lht', 'thank']</t>
  </si>
  <si>
    <t>['bagus', 'banget', 'membantu', '']</t>
  </si>
  <si>
    <t>['mantap', 'jos', 'semoga', 'kuotanya', 'sakti', 'trobel', 'terimakasih', 'telkomsel']</t>
  </si>
  <si>
    <t>['poin', 'gbada', 'duit']</t>
  </si>
  <si>
    <t>['mahal', 'buruk', 'jaringanya']</t>
  </si>
  <si>
    <t>['pengalaman', 'aplikasinya', 'bagus', 'kualitas', 'jaringan', 'emosi', 'pas', 'urusan', 'akses', 'lemot', 'kadang', 'sinyal', 'penuh', 'akses', 'internet', 'sinyalnya', 'ngeprank', '']</t>
  </si>
  <si>
    <t>['telkomsel', 'udah', 'kayak', 'kartu', 'telkomsel', 'parah', 'harga', 'paket', 'mahal', 'kualitas', 'sinyal', 'burukkkkkkkkkkkk']</t>
  </si>
  <si>
    <t>['bagus', 'kadang', 'promo', 'ilang', '']</t>
  </si>
  <si>
    <t>['signal', 'putus', 'hilang', 'stabil', 'paket', 'internet', 'bgian', '']</t>
  </si>
  <si>
    <t>['ribet', 'contoh', 'masuk', 'app', 'susah', 'paket', 'beda', 'buka', 'penawaran', 'sekian', 'ambil', 'harga', 'beda', 'harga', 'mahal', 'internet', 'puas', 'kaya', 'mantap', 'sekarng', 'lambat']</t>
  </si>
  <si>
    <t>['tolongtelkomsel', 'paket', 'unlimited', 'kembalikan', 'butuh', 'paket', 'tolong', 'telkomsel', 'paket', 'sinyalnya', 'bapet', 'geblek', '']</t>
  </si>
  <si>
    <t>['tolongtelkomsel', 'sinyal', 'perbaiki', 'yaaaaaaaaaaaaaaa', 'lupa', 'internet', 'murah', 'meriyahin', 'mahal', 'mahal', 'gb', 'seminggu']</t>
  </si>
  <si>
    <t>['sekrang', 'jaringan', 'telkomsel', 'buruk', 'bnaget', 'layanan', 'iya', 'menit', 'urgent', 'susah', 'tolong', 'jaringan', 'stabil']</t>
  </si>
  <si>
    <t>['pelanggan', 'gold', 'simpati', 'tolong', 'promonya', 'tingkatkan', 'min', 'maksih', '']</t>
  </si>
  <si>
    <t>['habis', 'beli', 'paket', 'apk', 'telkomsel', 'rb', 'gb', 'bayar', 'pakai', 'dana', 'saldonya', 'doang', 'kepotong', 'paketnya', 'masuk', 'hadeh']</t>
  </si>
  <si>
    <t>['udh', 'setia', 'pke', 'telkomsel', 'alhamdulillah', 'dpt', 'paketnya', 'murah', 'mantap']</t>
  </si>
  <si>
    <t>['telkomsel', 'parah', 'kali', 'isi', 'pulsa', 'potongan', 'karna', 'menggunakn', 'akses', 'internet', 'non', 'paket', 'data', 'selulernya', 'aktif', 'prbaiki', 'pecundang', 'barangya', 'udah', 'beli', 'curi', 'alasan', 'jls', 'salam', 'binjai']</t>
  </si>
  <si>
    <t>['coba', 'hasilnya', 'kayak']</t>
  </si>
  <si>
    <t>['sinyal', 'sip']</t>
  </si>
  <si>
    <t>['ohh', 'udah']</t>
  </si>
  <si>
    <t>['profesional', 'isi', 'pulsa', 'urgent', 'pulsa', 'masuk', 'solusi', 'disuruh', 'tunggu', 'jam', 'kedepan', 'alasan', 'perbaikan', 'sistem', 'heyy', 'pelanggan', 'perbaikan', 'sistem', 'kek', 'urusan', 'intern', '']</t>
  </si>
  <si>
    <t>['lemot', 'paket', 'mlm', 'orang', 'rame', 'makenya', 'dnlod', 'jam']</t>
  </si>
  <si>
    <t>['islam', 'agamaku', 'telkomsel', 'kartu', 'seluler', '']</t>
  </si>
  <si>
    <t>['sontoloyo', 'hujan', 'edge', 'signalnya', 'pelayanan', 'telkomsel', 'nyesal', 'beli', 'paketnya']</t>
  </si>
  <si>
    <t>['sinyalnya', 'tolong', 'tingkatkan']</t>
  </si>
  <si>
    <t>['jaringan', 'burik', 'malu', 'provider', 'bagus', 'jaringannya', 'korup', 'duit', 'dipake', 'benerin', 'jaringan', '']</t>
  </si>
  <si>
    <t>['mantap', 'harga', 'paket', 'murah']</t>
  </si>
  <si>
    <t>['mohon', 'abntu', 'admin', 'gimana', 'mengajukan', 'aduan', 'jaringan', 'karna', 'rumah', 'tower', 'telkomsel', 'jaringan', 'normal', 'nebeng', 'tower', 'kampung', 'sebelah', 'tower', 'sebelah', 'mati', 'tower', 'ikutan', 'mati']</t>
  </si>
  <si>
    <t>['berfungsi', '']</t>
  </si>
  <si>
    <t>['dibikin', 'ribet']</t>
  </si>
  <si>
    <t>['berlanggan', 'boskyu']</t>
  </si>
  <si>
    <t>['sekian', 'kali', 'isi', 'kuota', 'jam', 'berhasil', 'bayar', 'kuotanya', 'masuk', 'asli', 'parah', 'telkomsel', 'korupsi', 'kuota', 'kecewa', 'telkomsel', 'kasih', 'bintang', 'mahal', 'paketnya', 'tega', 'nyedot', 'pulsa', 'mengembalikan', 'kuota', 'dibayar', '']</t>
  </si>
  <si>
    <t>['mantap', 'seringin', 'bonusnya']</t>
  </si>
  <si>
    <t>['membantu', 'informasi', 'telkomsel']</t>
  </si>
  <si>
    <t>['menginstal', 'aplikasi', 'android', '']</t>
  </si>
  <si>
    <t>['telkomsel', 'jaringanya', 'jelek', 'banget', 'sekitr', 'daerahku', 'sinyalnya', 'bar', 'detik', 'auto', 'lemotnya', 'mnt', 'ampun', 'kecewa', 'banget', 'pokoknya', 'bsk', 'pindah', 'langganan', 'kartu', 'perdana', 'pelanggan', 'bngt', 'lokasi', 'blabak', 'karang', 'kec', 'poncowarno', 'kab', 'kebumen', 'jawa', 'mohon', 'perbaiki', 'sprt', 'sukur', 'tower', 'desaku']</t>
  </si>
  <si>
    <t>['orang', 'beruntung', '']</t>
  </si>
  <si>
    <t>['simpel', 'cek', 'paketan', 'event', 'menarik', 'hadiah', 'kota', 'murah', 'babget', 'ngak', 'mahat', 'telkomsel', 'pokok', 'aplikasi', 'cangih', 'ngak', 'nyesel', 'download', 'aplikasi', '']</t>
  </si>
  <si>
    <t>['terimakasih', 'kemudahan', 'aplikasi', 'telkomsel', 'merekomendasikan', 'pengguna', 'telkomsel', 'download', 'aplikasi', '']</t>
  </si>
  <si>
    <t>['telkomsel', 'kasih', 'bintang', 'main', 'mobile', 'legend', 'ngelag', 'mulu', 'mahal', 'banget', 'paketannya', 'tolong', 'perbaiki', 'telkomselnya', 'ngelag', 'mulu', 'main', 'doang', 'main', 'mobile', 'legend', 'ngelag', 'mulu', 'teman', '']</t>
  </si>
  <si>
    <t>['mantap', 'telkomsel', 'jaringan', 'kenceng', 'poko', 'sukses', 'slalu', 'telkomsel', 'gratis', 'kuota', 'lgi', 'prabayar']</t>
  </si>
  <si>
    <t>['aplikasi', 'terbaik', 'bosku']</t>
  </si>
  <si>
    <t>['isi', 'pulsa', 'pas', 'lihat', 'sisa', 'gimana', 'rugi', 'untung', 'udah', 'jaringannya', 'lelet', 'paketnya', 'mahal', 'seharga', 'ginjal', 'puas', 'pakai', 'kartu', 'telkomsel', 'apk', 'merugikan', '']</t>
  </si>
  <si>
    <t>['beli', 'kuota', 'hariwn', 'jam', 'malam', 'malam', 'rugi', 'namanya', 'harian', 'yaa', 'lahh']</t>
  </si>
  <si>
    <t>['ganti', 'oprator', 'kartu', 'sinyal', 'udah', 'jls', 'skrng', 'jelek', 'bnget', 'dlu']</t>
  </si>
  <si>
    <t>['jaringan', 'lancar']</t>
  </si>
  <si>
    <t>['promo', 'beli', 'telkomsel']</t>
  </si>
  <si>
    <t>['lemot', 'masuknya', 'kedepan', 'tingkatkan', 'longin', 'tekomselnya', 'lalot']</t>
  </si>
  <si>
    <t>['sinyal', 'hilang', 'langsung', 'edge', 'najiss']</t>
  </si>
  <si>
    <t>['senang', 'telkosel']</t>
  </si>
  <si>
    <t>['sinyal', 'bagus', 'pas', 'main', 'game', 'legg', 'nyesel', 'make', 'telkomsel', 'paket', 'udah', 'mahal', 'jaringan', 'nggak', 'telkom', 'nk', 'bab', '']</t>
  </si>
  <si>
    <t>['kartu', 'mahal', 'doang', 'jaringan', 'urus', 'ngelag', 'mulu', 'jaringan', 'mohon', 'maaf', 'perbaiki', 'cuman', 'main', 'mobile', 'legend', 'lag', 'apasih', 'mendingan', 'kartu', '']</t>
  </si>
  <si>
    <t>['telkom', 'isi', 'pulsa', 'promo', 'murah', 'telkomsel', 'tolong', 'telkomsel', 'menanggapi', 'pindah', 'axis', 'jelek', 'tpi', 'murah', 'promo', 'mahal', 'promo']</t>
  </si>
  <si>
    <t>['semoga', 'hepong', 'uuh', '']</t>
  </si>
  <si>
    <t>['kasih', 'promo', 'paket', 'murah']</t>
  </si>
  <si>
    <t>['buka', 'telkomsel', 'buka']</t>
  </si>
  <si>
    <t>['kemudahan', 'lancar']</t>
  </si>
  <si>
    <t>['error', 'telkomsel', 'beli', 'paket', '']</t>
  </si>
  <si>
    <t>['terjangkau', 'pembelian', 'pulsa']</t>
  </si>
  <si>
    <t>['dear', 'telkomsel', 'mohon', 'dicek', 'diperbaiki', 'secepatnya', 'kondisi', 'jaringan', 'daerah', 'desa', 'ragemanunggal', 'kec', 'setu', 'kabupaten', 'bekasi', 'kerap', 'sinyal', 'mati', 'lampu', 'merugikan', 'mohon', 'keseriusannya', 'terimakasih']</t>
  </si>
  <si>
    <t>['', 'deh', 'main', 'game', 'make', 'telkomsel', 'parah', 'lag', 'nyangka', 'kartu', 'tercepat', 'nge', 'lag']</t>
  </si>
  <si>
    <t>['sinyal', 'buruk', 'paket', 'mahal', 'sinyal', 'kura', '']</t>
  </si>
  <si>
    <t>['ayo', 'download', 'aplikasi', 'mytelkomsel', 'mudah', 'cek', 'pulsa', 'cex', 'paket', 'abis', 'pulsa', 'abis', 'paket', 'tinggal', 'beli', 'aplikasi', 'rumah', 'mengisi', 'debit', 'keuangan', 'linkaja', 'ovo', 'dana', 'shopeepay', 'alfamart', 'debit', 'kartu', 'kredit', 'mudah', '']</t>
  </si>
  <si>
    <t>['tolong', 'paketnya', 'mahal', 'sinyal', 'kyak', 'perdana', 'sebelah', 'listrik', 'mati', 'ngilang', '']</t>
  </si>
  <si>
    <t>['nyesel', 'ganti', 'kartu', 'lemot', 'ditempat', 'tinggal', 'mending', 'ganti', 'kartu', 'kemarin', 'perbagusin', 'jaringan', 'sumber', 'rahayu', 'tower', 'tinggal', 'lemot', 'palagi', 'mati', 'lampu', 'super', 'lemot', 'kesel', 'terkadang', '']</t>
  </si>
  <si>
    <t>['kualitas', 'internet', 'buruk']</t>
  </si>
  <si>
    <t>['tolong', 'ringankan', 'aplikasi', 'sekelas', 'telkomsel', 'akses', 'masuk', 'kayak', 'berat', 'banget', 'jaringan', 'oke', 'spec', 'pocox', 'spec', 'masuk', 'kayak', 'berat', 'banget', 'udah', 'melapor', 'mohon', 'bersabar', 'kepuasan', 'pelayanan', 'kepuasan', 'pelanggan', '']</t>
  </si>
  <si>
    <t>['telkomsel', 'dihapus', 'senang']</t>
  </si>
  <si>
    <t>['sgt', 'membantu']</t>
  </si>
  <si>
    <t>['halo', 'kak', 'pengguna', 'telkomsel', 'thun', 'tolong', 'harga', 'paket', 'data', 'turunkan', 'kak', 'mohon', 'maaf', 'bandingkan', 'jaringan', 'berbeda', 'harga', 'kak', 'jaringan', 'susah', 'mohon', 'telkomsel', 'kelonggaran', 'masyarakat']</t>
  </si>
  <si>
    <t>['promo', 'sistem', 'eror', 'mulu', 'payah']</t>
  </si>
  <si>
    <t>['provider', 'keren']</t>
  </si>
  <si>
    <t>['keberatan', 'lihat', 'beli', 'pulsa', 'doang', 'saldo', 'masuk', 'refresh']</t>
  </si>
  <si>
    <t>['', 'telkomsel', 'bagus', 'mudah']</t>
  </si>
  <si>
    <t>['app', 'susah', 'dibuka', 'hrs', 'uninstal', 'trs', 'install', 'buka', 'app']</t>
  </si>
  <si>
    <t>['harga', 'mahal', 'jaringan', 'taekkk', 'mending', 'pakai', 'provider', 'nyesal', 'stengah', 'mamposss', 'pakai', 'telkomsel', '']</t>
  </si>
  <si>
    <t>['wooii', 'gimana', 'njiingg', 'kuota', 'gua', 'sisa', 'gb', 'pas', 'internetan', 'pulsa', 'disedot', 'pulsa', 'disedot', 'njiingg', 'provider', 'taeek']</t>
  </si>
  <si>
    <t>['terima', 'kasih', 'telkomsel', 'emang', 'andalan', '']</t>
  </si>
  <si>
    <t>['', 'kasih', 'bintang']</t>
  </si>
  <si>
    <t>['jaringan', 'buruk', 'tolong', 'perbaiki', '']</t>
  </si>
  <si>
    <t>['banyakin', 'promo', 'murahnya']</t>
  </si>
  <si>
    <t>['kualitas', 'signal', 'telkomsel', 'cengkareng', 'jak', 'bar', 'buruk']</t>
  </si>
  <si>
    <t>['topp', 'ngasih', 'mobil']</t>
  </si>
  <si>
    <t>['mudah', 'cpat']</t>
  </si>
  <si>
    <t>['melakikan', 'pembayatan', 'pembelian']</t>
  </si>
  <si>
    <t>['sinyal', 'simpati', 'kacau', 'jelek']</t>
  </si>
  <si>
    <t>['aplikasi', 'top', 'mudah', 'hadiah', 'amieeen', 'allah', '']</t>
  </si>
  <si>
    <t>['perbanyak', 'promo']</t>
  </si>
  <si>
    <t>['poin', 'pengguna', 'telkomsel', 'sedesa', 'poin', 'poin', 'reset', 'poin', 'maksudnya', 'ketahuan', 'cerdasnya']</t>
  </si>
  <si>
    <t>['kecewa', 'sumatra', 'selatan', 'kota', 'unlimited']</t>
  </si>
  <si>
    <t>['telkomsel', 'lancar', 'jaya', '']</t>
  </si>
  <si>
    <t>['', 'bngt', 'pokoknya']</t>
  </si>
  <si>
    <t>['sinyal', 'telkomsel', 'ngapa', 'ngapain', 'abis', 'magrib', 'sinyal', 'lambat', 'nonton', 'youtube', 'main', 'game', 'lag', 'tolong', 'perbaiki', 'area', 'banyumas']</t>
  </si>
  <si>
    <t>['assalamu', 'alaikum', 'terima', 'kasih', 'menghadirkan', 'telkomsel', 'kemudahan', 'transaksi', 'mudah', 'murah', 'terpercaya']</t>
  </si>
  <si>
    <t>['rugi', 'kehilangan', 'member', 'costumer', 'isi', 'ulang', 'mudahhh', 'banget', 'tensi', 'hehehe', 'super', 'duper', 'jaringannya', 'minus', 'banget']</t>
  </si>
  <si>
    <t>['jelek']</t>
  </si>
  <si>
    <t>['kesini', 'jaringan', 'lelet', 'hilang', 'kali', 'org', 'skrng', 'mencari', 'nafkah', 'internet', 'perusahaan', 'bumn', 'penawaran', 'harga', 'tertinggi', 'indonesia', 'pelayanan', 'yng', 'buruk', 'kemaren', 'oke', 'alasan', 'gangguan', 'teknis', 'udh', 'berbulan', 'perbaikan', 'tolong', 'diperbaiki', '']</t>
  </si>
  <si>
    <t>['beli', 'pulsa', 'langsung', 'berkurang', 'blom', 'paketin', 'udh', 'berkurang', 'maksudnya', 'pencurian', 'halus', 'nysel', 'beli', 'kartu', 'sma', 'kyak', 'lainya']</t>
  </si>
  <si>
    <t>['mudah', 'murah', 'paket', 'promo', 'tingkat']</t>
  </si>
  <si>
    <t>['benerin', 'sinyalnya', 'jelek', 'mahal', 'pulsa', 'kepotong', 'jaringan', 'jelek', 'mahal']</t>
  </si>
  <si>
    <t>['makasih', 'promonya', 'telkomsel', 'terbaik']</t>
  </si>
  <si>
    <t>['pakai', 'telkomsel', 'menguntungkan', 'provider', 'pelanggan', 'pelanggannya', 'berharga', 'kualitas', 'jaringan', 'internetnya', 'merugikan', 'pelanggannya', 'berpikir', 'pelanggan', 'pelanggannya', 'membutuhkan', 'kualitas', 'internet', 'bagus', 'menunjang', 'profesinya', 'pebisnis', 'dunia', 'market', 'place', 'lemot', 'sinyalnya', 'hijrah', 'provider', 'perbaiki', 'kualitas', 'jaringannya', 'pelanggan', 'beralih', '']</t>
  </si>
  <si>
    <t>['pakai', 'aplikasi', 'beli', 'pulsa', 'paket', 'internet', '']</t>
  </si>
  <si>
    <t>['udah', 'mahal', 'masak', 'sinyal', 'ilang', 'ujan', 'lemot', 'provider', 'terbaik', 'bumn', 'lelet', 'mending', 'ganti', 'gua']</t>
  </si>
  <si>
    <t>['sinyal', 'kecang', 'kayak', 'jalan', 'siput', 'beneran']</t>
  </si>
  <si>
    <t>['mahal', 'paketan', 'internet']</t>
  </si>
  <si>
    <t>['sinyal', 'daerah', 'burik', 'tolong', 'perbaiki', 'pindah', 'jaringan', '']</t>
  </si>
  <si>
    <t>['sinyal', 'telkomsel', 'jelek', 'kalah', 'kayak', 'sinyalnya', 'bagus', '']</t>
  </si>
  <si>
    <t>['telkomsel', 'sellu', 'hati']</t>
  </si>
  <si>
    <t>['menjaga', 'pelayanan', 'pelanggan']</t>
  </si>
  <si>
    <t>['jaringannya', 'bagus', 'disegala', 'cuaca', 'mantap', 'telkomsel', '']</t>
  </si>
  <si>
    <t>['iya', 'menakan', 'poin']</t>
  </si>
  <si>
    <t>['bagus', 'banget', 'aplikasinya', 'membantu']</t>
  </si>
  <si>
    <t>['telkomsel', 'gimana', 'sinyal', 'internet', 'bukanya', 'bagus', 'parah', 'stabil', 'banget', 'sinyal', 'kerja', 'hilang', 'sinya', 'parahhhhh']</t>
  </si>
  <si>
    <t>['bagus', 'banggat', 'top', 'koiy', 'gem']</t>
  </si>
  <si>
    <t>['turuni', 'harga', 'paketanya']</t>
  </si>
  <si>
    <t>['apk', 'sngat', 'bagus', 'suka']</t>
  </si>
  <si>
    <t>['keren', 'kasih', 'paket', 'promo', 'minggu', '']</t>
  </si>
  <si>
    <t>['slalu', 'muncul', 'promo', 'combo', 'sakti', 'pas', 'click', 'beli', 'beh', 'kseelll', 'mnding', 'promoin', 'tlkomsel', 'cma', 'pamer']</t>
  </si>
  <si>
    <t>['hoax', 'paket', 'ceria', 'nyedot', 'pulsa', 'paket']</t>
  </si>
  <si>
    <t>['daerah', 'sinyalnya', 'bagus', 'males', 'telkomsel', 'paket', 'data', 'mahal', 'sms', 'masuk', 'pinjol', 'penipuan', 'judi', 'online', 'pakai', 'sms', 'masuk', '']</t>
  </si>
  <si>
    <t>['perbaiki', 'sistem', 'kecepatan', 'menanggapi', 'peemintaan', '']</t>
  </si>
  <si>
    <t>['berlangganan']</t>
  </si>
  <si>
    <t>['sinyal', 'telkomsel', 'jelek', 'ancur', 'parah', 'lgi', 'malam']</t>
  </si>
  <si>
    <t>['apk', 'offline', 'online', 'tiada', 'pulsa', 'paket', 'lihat']</t>
  </si>
  <si>
    <t>['gila', 'pulsa', 'kesedot', 'data', 'seluler', 'dihidupkan', 'kasih', 'pengaturanlah', 'pengunci', 'pulsa', 'axisnet', 'nggak', 'perubahan', 'fix', 'nggak', 'peningkatan', 'signifikan']</t>
  </si>
  <si>
    <t>['kasih', 'bintang', 'nyoba']</t>
  </si>
  <si>
    <t>['dlu', 'kunci', 'jaringan', 'mash', 'lancar', 'ngegame', 'knp', 'sekrang', 'lancar', 'ping', 'ms', 'prasaa', 'daerah', 'gua', 'bgtu', 'desa', '']</t>
  </si>
  <si>
    <t>['ssya', 'sekeluarga', 'pengguna', 'telkomsel', 'tpi', 'kecewa', 'telkomsel', 'karenakan', 'jaringan', 'lemot', 'bngt', 'udah', 'hubungin', 'jawabannya', 'tunggu', 'tetep', 'peubahan', 'tetep', 'lemot', 'mendingan', 'pindah', 'operator', 'bener', 'respon', 'telkomsel']</t>
  </si>
  <si>
    <t>['sinyal', 'internet', 'papua', 'jelek', 'banget', 'lancar', 'payah', 'banget', 'bln', 'sinyal', 'jelek', 'parah']</t>
  </si>
  <si>
    <t>['telkomsel', 'dihati', 'dimanapun', 'keberadanya', 'ditemanin', 'telkomsel', '']</t>
  </si>
  <si>
    <t>['jaringan', 'kek', 'mahal', 'doang', 'kalah', 'kartu', '']</t>
  </si>
  <si>
    <t>['paket', 'omg', 'ilang', '']</t>
  </si>
  <si>
    <t>['gue', 'beli', 'pulsa', 'ilang', 'sampe', 'beli', 'paket', 'aktif', 'datanya', 'kesedot', 'dancok', 'telkom', 'ganti']</t>
  </si>
  <si>
    <t>['kecewa', 'telkomsel', 'mahal', 'ngak', 'murah', 'kayak', 'gini', 'mendingan', 'cari', 'kartu', 'memgecewakan', 'telkomsel', 'skrng', '']</t>
  </si>
  <si>
    <t>['', 'telkomsel', 'nyaman', 'makainya']</t>
  </si>
  <si>
    <t>['telkomsel', 'pulsa', 'terpotong', 'paket', 'aktif', 'internet', 'telfon', 'sms', 'nyaman', 'telkomsel', 'bertahun', '']</t>
  </si>
  <si>
    <t>['telkom', 'internet', 'kuota', 'udh', 'bayar', 'tagihannya', 'pas', 'daily', 'chek', 'buka', 'loading', 'mulu', 'tungguin', 'smpe', 'mohon', 'perbaiiki', '']</t>
  </si>
  <si>
    <t>['tolong', 'kuota', 'game', 'pakek', 'kuota', 'utama', 'min', 'please', '']</t>
  </si>
  <si>
    <t>['', 'daerah', 'jaringan', 'macet', '']</t>
  </si>
  <si>
    <t>['', 'instal', 'efek', 'update', 'android', 'google', 'pixel', 'btw']</t>
  </si>
  <si>
    <t>['telkomsel', 'mahal', 'ngasi', 'diskon', 'paket', 'internet', 'berlangganan', 'th', 'mulu', 'okeyy', 'ths', '']</t>
  </si>
  <si>
    <t>['lengkap', 'pilihan', 'beli', 'paket']</t>
  </si>
  <si>
    <t>['jaringan', 'telkomsel', 'jellek', 'main', 'games', 'jellek', 'bener']</t>
  </si>
  <si>
    <t>['keren', 'bagus', 'menarik', 'murah']</t>
  </si>
  <si>
    <t>['aplikasi', 'gajelas', 'promo', 'paket', 'kuota', 'udh', 'top', 'mlh', 'promonya', 'ilang', 'top', 'mlh', 'ilang', 'paket', 'keatas', 'sengaja', 'banget', 'anjirr']</t>
  </si>
  <si>
    <t>['', 'dibuka', 'wifi', 'mbps', 'streaming', 'lancar', 'buka', 'aplikasi', 'loading']</t>
  </si>
  <si>
    <t>['joss', 'croooot', 'mantap', '']</t>
  </si>
  <si>
    <t>['jaringan', 'jelek', 'pas', 'hujan', '']</t>
  </si>
  <si>
    <t>['setuju', 'sara', 'ulasan']</t>
  </si>
  <si>
    <t>['santan', 'membantu']</t>
  </si>
  <si>
    <t>['aplikasi', 'murah']</t>
  </si>
  <si>
    <t>['sinyalnya', 'tydak', 'ramah']</t>
  </si>
  <si>
    <t>['informasi', 'paket', 'kuota', 'ditawarkan', 'halaman', 'aplikasi', 'mis', 'ditawarkan', 'kuota', 'dibeli', 'muncul', 'informasi', 'kuota', 'kuota', 'malam', 'pagi', '']</t>
  </si>
  <si>
    <t>['sinyale', 'busuk']</t>
  </si>
  <si>
    <t>['cari', 'untung', 'doang', 'memperhatikan', 'kenyamanan', 'pengguna', 'signal', '']</t>
  </si>
  <si>
    <t>['jelek', 'banget', 'nii', 'telkomsel', 'main', 'game', 'online', 'patah', 'gambar', 'emosi', 'tolong', 'tingkat', 'jaringan', 'game', 'online', 'karna', 'gambar', 'pecah', 'main', 'game', 'online', 'pesmobile']</t>
  </si>
  <si>
    <t>['ksh', 'promo', 'quota', 'mahal', '']</t>
  </si>
  <si>
    <t>['jaringan', 'telkomsel', 'parah', 'ayo', 'respon', 'developer', 'rugi', 'bandar', 'pakek', 'telkomsel', 'jaringannya', 'responnya', 'emosi', 'doang']</t>
  </si>
  <si>
    <t>['sinyal', 'ancur', 'tinggal', 'dikota', 'teknologi', 'canggih', 'provider', 'lancar', 'maju', 'telkomsel', 'ketinggalan', 'zaman', 'provider', 'telkomsel', 'bagus', 'telkomsel', 'kemunduran', 'management', 'kreatif', 'kah', 'provider', 'lupa', 'provider', 'udh']</t>
  </si>
  <si>
    <t>['beruntung', 'telkomsel', 'mudah', 'beli', 'pulsa', 'paket', 'bayar', 'tagihan', 'cek', 'poin', 'berhadiah', '']</t>
  </si>
  <si>
    <t>['lancar', 'top', 'upnya']</t>
  </si>
  <si>
    <t>['loading', 'daerah', 'perbukitan']</t>
  </si>
  <si>
    <t>['ngambil', 'pulsa']</t>
  </si>
  <si>
    <t>['suka', 'aplikasi', 'membantu', 'tpi', 'klu', 'inlimetit', 'internet', '']</t>
  </si>
  <si>
    <t>['bintang', 'karna', 'pilhan', 'bintang', 'kasih', 'bintang', 'apl', 'sbnr', 'udah', 'tua', 'udah', 'senior', 'seharus', 'berpengalaman', 'mengecewakan', 'pelanggan', 'paket', 'kecewa', 'apl', 'menang', 'tua', 'doang', 'terimakasih']</t>
  </si>
  <si>
    <t>['mantef', 'seneng', 'skali']</t>
  </si>
  <si>
    <t>['aplikasih', 'membantu', 'cuman', 'erorr', 'mohon', 'perhatikan', '']</t>
  </si>
  <si>
    <t>['mantaaap', 'telkomsel', 'sinyalnya', 'kuat', 'pelayanan', 'baguuss']</t>
  </si>
  <si>
    <t>['puas', 'pakai', 'aplikasi', '']</t>
  </si>
  <si>
    <t>['aplikasi', 'mantap', 'banget', 'paketan', 'isi', 'pulsa', 'joss']</t>
  </si>
  <si>
    <t>['beli', 'paket', 'gamemax', 'silver', 'bonus', 'masuk']</t>
  </si>
  <si>
    <t>['good', 'pokok', 'smoga', 'telkomsel', 'lgi', 'apk']</t>
  </si>
  <si>
    <t>['jaringan', 'hadiah', 'bermanfaat']</t>
  </si>
  <si>
    <t>['pembelian', 'murah', 'byk', 'promonya']</t>
  </si>
  <si>
    <t>['jaringan', 'butut']</t>
  </si>
  <si>
    <t>['kartu', 'rusak', 'erorr', 'jaringan', 'buruk']</t>
  </si>
  <si>
    <t>['manthap', 'memudahkan', 'pengguna', '']</t>
  </si>
  <si>
    <t>['apk', 'baguss', 'ngk', 'percaya', 'cobain']</t>
  </si>
  <si>
    <t>['ribet', 'lelet', 'banget']</t>
  </si>
  <si>
    <t>['telkomsel', 'perusahan', 'negara', 'jaringan', 'dlm', 'kota', 'masi', 'lemah', 'promo', 'unlimited', 'kesemua', 'medsos', 'merugikan', 'customer', 'jaringan', 'let', 'harga', 'mahal', 'kualitas', 'kapasitas', 'jaringan', 'unlimited', 'dikurangi', 'berbeda', '']</t>
  </si>
  <si>
    <t>['mempermudah', 'pembeli', 'paket', 'konter', 'pulsa']</t>
  </si>
  <si>
    <t>['memudahkan', 'belanja', 'pulsa', 'kuota', 'kirim', 'hadiah', 'terima', 'kasih']</t>
  </si>
  <si>
    <t>['maaf', 'tolong', 'balas', 'ulasan', 'sisa', 'pulsa', 'apk', 'berkurang', 'mohon', 'penjelasan', 'pemakaian', 'pakai', 'karna', 'paket', 'darurat', 'apapun', 'kecuali', 'permintaan', 'memakai', 'paket', 'ribu', 'sebulan', 'dri', 'apk', 'terdaftar', 'nmer', 'orang', 'sms', 'berbalas', 'mohon', 'tindakan', 'dri', 'telkomsel', '']</t>
  </si>
  <si>
    <t>['jaringan', 'wilayah', 'pinggiran', 'tolong', 'perkuat', 'jaringannya', 'lemot', 'thanks']</t>
  </si>
  <si>
    <t>['gimana', 'maksudnya', 'kuota', 'mahal', 'jaringan', 'ngelag', 'ujan', 'ngelag', 'wongan', 'panas', 'masi', 'ngelag', 'untung', 'mls', 'ganti', 'kartu', '']</t>
  </si>
  <si>
    <t>['pulsa', 'abis']</t>
  </si>
  <si>
    <t>['wawww', 'murce']</t>
  </si>
  <si>
    <t>['', 'membeli', 'paket', 'combo', 'sakti', 'unlimited', 'rb', 'kouta', 'internet', 'paket', 'yotube', 'somed', 'disaat', 'menonton', 'youtube', 'sosmed', 'dipakai', 'kouta', 'yotube', 'somednya', 'kouta', 'internetnya', 'kouta', 'dipakai', 'kouta', 'internet', 'beli', 'paket', 'pakai', 'nonton', 'youtube', 'sosmed', 'terpakai', 'kouta', 'yotube', 'sosmen', 'setelahnya', 'habis', 'terpakai', 'kouta', 'internet', 'membeli', 'kalu', 'kalunya', 'kbalikannya']</t>
  </si>
  <si>
    <t>['hai', 'kampung', 'jaringan', 'tsel', 'lelet', 'abiss', 'wisata', 'alam', 'kasih', 'dunia', '']</t>
  </si>
  <si>
    <t>['telkomsel', 'kocak', 'mahal', 'doang', 'sinyal', 'burik']</t>
  </si>
  <si>
    <t>['bagus', 'internetnya', 'turunin', 'harga', '']</t>
  </si>
  <si>
    <t>['indian', 'point', 'telkomsel', 'sebenernya', 'ngak', '']</t>
  </si>
  <si>
    <t>['logut', 'giliran', 'login', 'susah', 'aplikasi', 'mbanking', 'ribet', 'kayak', 'gini']</t>
  </si>
  <si>
    <t>['ngaku', 'jaringan', 'luas', 'sinyal', 'lemoot', 'kmn', 'kualitas', 'naa', 'sinyal', 'terkadang', 'suka', 'ilang', 'membosan', 'masuk', 'apliksi', 'lemot', 'sinyal', 'capek', 'mempertahankan', 'pakai', 'kartu', 'telkomsel', 'sinya', 'sinyal', 'kemana', 'lari', 'nyaa', 'capek', 'mempertahankan', 'kartu', 'nyaa', 'lemot', 'nyaa']</t>
  </si>
  <si>
    <t>['telkomsel', 'sinyal', 'susah', 'kadang', 'smpe', 'berjam', '']</t>
  </si>
  <si>
    <t>['ngampang', 'harga', 'murah', 'mengunakan']</t>
  </si>
  <si>
    <t>['telkomsel', 'poin', 'anjinggggg', 'woeeeee', 'cepett', 'bangsatttt']</t>
  </si>
  <si>
    <t>['udah', 'perbarui', 'kntl', 'suruh', 'perbarui']</t>
  </si>
  <si>
    <t>['semoga', 'menang', 'undi', 'menang', 'kasi', 'bintang', '']</t>
  </si>
  <si>
    <t>['paket', 'data', 'internet', 'pulsa', 'pakai', 'internet', '']</t>
  </si>
  <si>
    <t>['provider', 'sampah', 'indonesia', '']</t>
  </si>
  <si>
    <t>['aktif', 'nomer', 'bantu', 'karna', 'pas', 'gray', 'datanya', 'komputer', 'tolong', 'permudah']</t>
  </si>
  <si>
    <t>['beli', 'paket', 'gamemax', 'mobile', 'legends', 'main', 'quota', 'woy', 'cuman', 'login', 'game', 'doang', 'klik', 'main', 'matchmaking', 'tulisan', 'jaringan', 'poin', 'berkurang', 'quota', 'sebenernya', 'cuman', 'quota', 'jaringan', 'paket', 'ghoib', 'gmna', 'gamemax', 'silver', 'saran', 'beli', 'dipakek', 'nyesel', 'kapok', 'udah', 'mending', 'pakek', 'indosat', 'bye', 'quota']</t>
  </si>
  <si>
    <t>['telkomsel', 'unggul', 'terima', 'kasih', 'simpati']</t>
  </si>
  <si>
    <t>['top', 'banget', 'pokonya']</t>
  </si>
  <si>
    <t>['terimkasi', 'telpkomsel', 'applikasi', '']</t>
  </si>
  <si>
    <t>['aplikasinya', 'keren']</t>
  </si>
  <si>
    <t>['cepat', 'dperbayak', 'promo']</t>
  </si>
  <si>
    <t>['jaringan', 'taek']</t>
  </si>
  <si>
    <t>['karna', 'kerja', 'salah', 'anak', 'perusahaan', 'telkom', 'auto', 'wajib', 'tsel', 'donload', 'mytelkomsel', '']</t>
  </si>
  <si>
    <t>['bagus', 'paket', 'telkomsel', 'tolong', 'sinyal', 'bagus', 'banget']</t>
  </si>
  <si>
    <t>['terpaksa', 'kasi', 'bintang', 'beli', 'paket', 'kyk', 'ditipu', 'paket', 'utama', 'lancar', 'paket', 'tambahannya', 'lelet', 'banget', 'kasi', 'paket', 'tambahan', 'pemborosan', 'beli', 'paket', 'hrs', 'mahal', 'gara', 'paket', 'tambahan', 'nemuaskan', 'kwalitasnya', 'mengecewakan', 'dipakai', 'lelet', 'dipake', 'sayang', 'menjebak', 'cba', 'provider', 'sinyalnya', 'sebagus', 'simpati']</t>
  </si>
  <si>
    <t>['good', 'tingkatkan', 'kualitas', 'sinyal', 'sampe', 'bapuk', 'abis', 'ujan', 'veronika', 'sistem', 'balas', 'jawabannya', 'online', 'langsung', 'orang']</t>
  </si>
  <si>
    <t>['voucher', 'mlbb', 'masuk']</t>
  </si>
  <si>
    <t>['beli', 'paket', 'internet', 'gagal', 'pulsa', 'isi', 'pulsa', 'beli', 'paket', 'combo', 'rb', 'dibilang', 'pulsa', 'masuk', 'mytelkomsel', 'slalu', 'gabisa', 'putih', 'layarnya', 'halo', 'telkomsel', 'aplikasinya', 'udah', 'upgrade', 'ttp', 'gabisa', 'isiin', 'paketan', 'trus', 'mesti', 'gimana', '']</t>
  </si>
  <si>
    <t>['brhrp', 'lbih', 'oke', 'jaeingan']</t>
  </si>
  <si>
    <t>['isikan', 'pulsa']</t>
  </si>
  <si>
    <t>['pakai', 'kartu', 'telkomsel', 'sekarng', 'mati', 'lampu', 'telkomsel', 'sinyal', 'mati', 'kaya', 'telkomsel', 'bermodal', 'tower', 'komentar', 'komentar', 'balasan', 'perubahan', 'jaringan', 'jelek', 'banget', 'bagus', 'kartu', 'gadang', 'kartu', 'murahan', 'sinyal', 'bagus', 'mati', 'lampu', 'skrang', 'kencang', 'kaya', 'telkomsel', 'parah', 'banget', 'jelek', 'ampun']</t>
  </si>
  <si>
    <t>['isi', 'pulsa', 'sisanya', 'suka', 'hilang', 'pulsanya', 'kuota', 'reedem', 'point', 'mulu', 'tolong', 'perbaiki']</t>
  </si>
  <si>
    <t>['harga', 'kuota', 'mahal', 'tolong', 'keringanan', 'ditempat', 'dikatain', 'kartu', 'orang', 'kaya', '']</t>
  </si>
  <si>
    <t>['sekalii']</t>
  </si>
  <si>
    <t>['terimakasih', 'telkomsel', 'paket', 'murah', 'berkenan', 'permurah', 'rakyat', 'jelata', 'dunia', 'sosmed', 'terimakasih', '']</t>
  </si>
  <si>
    <t>['kasih', 'bintang', 'dlu', 'beli', 'kuota']</t>
  </si>
  <si>
    <t>['mengalami', 'memakai', 'wifi', 'rumah', 'telpon', 'sms', 'pulsa', 'cek', 'pulsa', 'pulsa', 'hilang', 'entahah', 'lenyap', 'percaya', 'isi', 'pulsa', 'membeli', 'paket', 'pulsa', 'lenyap', 'misterius', 'telkomsel', 'nyedot', 'pulsa', 'konsumennya', 'bad']</t>
  </si>
  <si>
    <t>['update', 'udah', 'terdownload', 'full', 'susah', 'terinstall', 'skali', 'dkluarin', 'update', 'mulu', 'terdownload', 'otomatis', 'tolong', 'perbaiki', 'bos', 'lari', 'planggannya']</t>
  </si>
  <si>
    <t>['paketan', 'lemot', 'beli', 'paketan']</t>
  </si>
  <si>
    <t>['sinyal', 'babiiiiiiiiiiii', 'udah', 'sinyal', 'nggak', 'stabil', 'lemottttttttttttttttttt', 'indihome']</t>
  </si>
  <si>
    <t>['amplikasi', 'sngat', 'mmbantu']</t>
  </si>
  <si>
    <t>['jelek', 'singalnya', 'kecewa', 'berantakan', 'jaringan', 'telkomsel', 'buruk']</t>
  </si>
  <si>
    <t>['gampang', 'pakai', 'telkomsel']</t>
  </si>
  <si>
    <t>['blm', 'pengalaman']</t>
  </si>
  <si>
    <t>['aplikasi', 'telkomsel', 'penggunaan']</t>
  </si>
  <si>
    <t>['kemudahan', 'keamanan', 'kenyamanan', 'customer', 'diperhatikan', 'rugi', 'setia', 'telkomsel', 'smpe', 'skrg', 'mnggunakan', 'app', 'telkomsel', 'smga', 'smkin', 'kedepannya', '']</t>
  </si>
  <si>
    <t>['alhamdulilah', 'memakai', 'telkomsel', 'sinyal', 'bagus', 'harga', 'paket', 'internet', 'terjangkau', 'maju', 'telkomsel', 'bangga', 'produk', 'bumn', '']</t>
  </si>
  <si>
    <t>['sinyal', 'perkuat']</t>
  </si>
  <si>
    <t>['daerah', 'sugnalnya']</t>
  </si>
  <si>
    <t>['sulit', 'membuka', 'bertele', 'pelayan', 'menyulitkan', 'pembeli', 'dirubah', 'mudah', 'orang', 'butuh', 'instan']</t>
  </si>
  <si>
    <t>['paket', 'multimedia']</t>
  </si>
  <si>
    <t>['tolong', 'aplikasi', 'disney', 'matikan', 'sbb', 'beli', 'paket', 'disney', 'pembelian', 'internet', 'daruratnya', '']</t>
  </si>
  <si>
    <t>['malesnya', 'telkomsel', 'kuota', 'kepotong', 'coba', 'belajar', 'nggak', 'kuota', 'buka', 'aplikasi', 'bima', 'pulsa', 'kagak', 'kepotong', 'maling', 'pulsa', 'rupiah', '']</t>
  </si>
  <si>
    <t>['mytelkomsel', 'hemat']</t>
  </si>
  <si>
    <t>['aplikasi', 'mytelkomsel', 'hilang', 'hape', 'download', 'ulang', 'pemberitahuan', 'menginstal', 'mytelkomsel', 'kenapaaaaa', 'kemarin', 'upgrade', 'android', 'tolong']</t>
  </si>
  <si>
    <t>['bibtang', 'karenakan', 'fitur', 'mohon', 'telkomsel', 'menyediakan', 'paket', 'suka', 'suka', 'paket', 'data', 'firut', 'simpan', 'paket', 'data', 'aktifkan', 'paket', 'data', 'beli', 'minggu', 'aktifkan', 'nggk', 'beli', 'langsung', 'otomatis', 'aktifkan', 'mohon', 'bantuannya', 'telkom', '']</t>
  </si>
  <si>
    <t>['', 'kasih', 'bintang', 'senang', 'hati', 'telkomsel', '']</t>
  </si>
  <si>
    <t>['aplikasihnx', 'bagus']</t>
  </si>
  <si>
    <t>['heran', 'habis', 'isih', 'pulsh', 'data', 'matikan', 'paket', 'data', 'wifi', 'jam', 'pesan', 'masuk', 'pulsah', 'dri', 'plsh', 'data', 'kesedot', 'paket', 'data', 'neneknya', 'telcomsel', 'sedot', 'kali', 'babi']</t>
  </si>
  <si>
    <t>['alhamdulillah', 'izin', 'rubah', 'bintang', 'cacat', 'pelayanan', 'aplikasi', 'didalamnya', 'paket', 'terjadwal', 'terhitung', 'full', 'dirugikan', 'dihubungi', 'csnya', 'lepas', 'tanggungjawah', 'pdhl', 'murni', 'kesalahan', 'apk', 'telkomsel', 'informasi', 'diawal', 'paketan', 'terjadwal', 'diklik', 'dihitung', 'full', 'edan', '']</t>
  </si>
  <si>
    <t>['install', 'aplikasi', 'telkomsel', 'download', 'instal']</t>
  </si>
  <si>
    <t>['ngelag', 'bet', 'hbis', 'kuota', 'utamanya', 'ktanya', 'doank', 'lancar']</t>
  </si>
  <si>
    <t>['kuota', 'datanya', 'mahal', 'dibanding', 'profider']</t>
  </si>
  <si>
    <t>['sinyalnya', 'jelek', 'cie', 'udah', 'mahal', 'kuotanya', 'donk', 'pulsa', 'sinyalnya', 'jelek', 'termoses']</t>
  </si>
  <si>
    <t>['', 'bntng', 'baggus', 'ful', '']</t>
  </si>
  <si>
    <t>['', 'masuk', 'kenpa', 'telkomsel', 'aneh']</t>
  </si>
  <si>
    <t>['promo', 'kuota', 'internet']</t>
  </si>
  <si>
    <t>['gampang', 'penggunaanya', 'membantu']</t>
  </si>
  <si>
    <t>['puassss', 'bintang', 'bicara']</t>
  </si>
  <si>
    <t>['pls', 'potong', 'ngga', 'perna', 'ambil', 'paket', 'darurat', 'kecewa', 'oprator', 'telkomsel']</t>
  </si>
  <si>
    <t>['jaringan', 'mohon', 'perbaiki', 'karna', 'bermain', 'game', 'jaringan', 'hilang']</t>
  </si>
  <si>
    <t>['apk', 'ampas', 'bener', 'bener', 'udh', 'gitu', 'sinyal', 'kuota', 'bobrok', 'game', 'ngelag', 'mulu', 'apk', 'update', 'berkali', 'tetep', 'ampas', 'ngelag', 'mulu', 'restrat', 'hubungannya', 'bener']</t>
  </si>
  <si>
    <t>['sinyal', 'merata', 'area', 'butuh', 'sukse', 'tsel', '']</t>
  </si>
  <si>
    <t>['telkomsel', 'best', 'the', 'best', 'saran', 'paket', 'internetnya', 'harga', 'murah', 'bro', 'sist', 'pemakai', 'nomor', 'kartu', 'telkomsel', 'setia', 'telkomsel', 'poin', 'poin', 'didapatkan', 'ditukarkan', 'paket', 'paket', 'telkomsel', 'tersedia', '']</t>
  </si>
  <si>
    <t>['coba', 'undian', 'spah', 'beruntung', 'aminn']</t>
  </si>
  <si>
    <t>['mengecewakan', 'pelanggan', 'setia', 'telkomsel', 'sayangkan', 'aplikasi', 'telkomsel', 'lalot', 'masuk', 'aplikasinya', 'bandingan', 'dng', 'privider', '']</t>
  </si>
  <si>
    <t>['', 'menarik', 'membingungkan', 'lemot', 'berat', 'makan', 'ram', 'notifikasi', 'mengganggu', 'lelet', '']</t>
  </si>
  <si>
    <t>['gangguan', 'cuaca', 'hujan']</t>
  </si>
  <si>
    <t>['bintang', 'nyoba']</t>
  </si>
  <si>
    <t>['masak', 'daftar', 'paket', 'data', 'games', 'gb', 'bln', 'buka', 'rugi', 'pulsa', 'daftar', '']</t>
  </si>
  <si>
    <t>['tukar', 'poin', 'paket', 'internet', 'terima', 'kasih']</t>
  </si>
  <si>
    <t>['beli', 'kartu', 'sakti', 'paket', 'murah', 'hilang', 'tolong', 'donk', 'balikin', 'developer']</t>
  </si>
  <si>
    <t>['pakai', 'telkomsel']</t>
  </si>
  <si>
    <t>['mudah', 'pembelian', 'kuota', 'jaringan', 'internet', 'daerah', 'suka', 'eror', 'mohon', 'perbaikan', 'jaringan', 'desa', 'desa', 'yaahhh', 'semoga', 'sukses', 'telkom', '']</t>
  </si>
  <si>
    <t>['jaringan', 'internet', 'parah', 'kuota', 'ajh', 'mahal']</t>
  </si>
  <si>
    <t>['udah', 'ngelag', 'pulsa', 'potong', 'mulu', 'bener', 'losestrike', 'gara', 'telkomsel', 'mending', 'pindah', 'indosat', 'sumpah', '']</t>
  </si>
  <si>
    <t>['buruk', 'banget', 'log', 'susah', 'banget', 'beli', 'pulsa', 'data', 'mati', 'tetep', 'kepotong']</t>
  </si>
  <si>
    <t>['bintang', 'bertahan', 'dikoreksi', 'combo', 'sakti', 'sakti', 'realese', 'benefitnya', 'preteli', 'direvisi', 'fix', 'yach', 'paket', 'tsel', 'murah', 'meriah', 'orang', 'pas', 'pas', 'miskin', 'cocok', 'tsel', '']</t>
  </si>
  <si>
    <t>['apk', 'brmutu', 'daftar', 'pkaet', 'cumn', 'baris', 'mahal', 'nyesel', 'donload', 'skrng', 'pindah']</t>
  </si>
  <si>
    <t>['membantu', 'kawa', 'penuh', 'mura', 'beli', 'kuota', 'bayak', 'belinya']</t>
  </si>
  <si>
    <t>['pulsanya', 'undi', 'hepi', '']</t>
  </si>
  <si>
    <t>['sangan', 'membantu']</t>
  </si>
  <si>
    <t>['top', 'telkomsel']</t>
  </si>
  <si>
    <t>['kirain', 'dapet', 'brio', 'tawarin', 'pindah', 'kartu', 'halo', '']</t>
  </si>
  <si>
    <t>['coba', 'bintang', 'klau', 'bagus', 'tambahkan', 'bintang']</t>
  </si>
  <si>
    <t>['cuman', 'lambat', 'sikit']</t>
  </si>
  <si>
    <t>['aplikasinya', 'berat', 'masuk', 'lelet', 'uninstal', 'nyaman', '']</t>
  </si>
  <si>
    <t>['nomor', 'indonesia', 'taunya', 'nelpon', 'susah', 'nembusnya', 'tolong', 'diperbaiki', 'nelpon', 'nggak', 'aktif', 'nomor', 'telpon', 'posisinya', 'aktif', 'parah', '']</t>
  </si>
  <si>
    <t>['gua', 'saranin', 'telkomsel', 'entar', 'nyesel', 'darah', 'ngeggame']</t>
  </si>
  <si>
    <t>['app', 'bagus', 'kuota', 'paket', 'data', 'diperbanyak', 'peekecil', 'harga', 'pembelian', 'datanya', 'dompet', 'cepat', 'menipis', 'untik', 'membeli', 'paket', 'kuota', 'data', 'terimakasih']</t>
  </si>
  <si>
    <t>['pdhal', 'beli', 'pulsa', 'beli', 'paket', 'ehh', 'langsung', 'kesedot', 'hadehh', 'memuaskan']</t>
  </si>
  <si>
    <t>['kali', 'bagus', 'tpi', 'mohon', 'harganya', 'potong']</t>
  </si>
  <si>
    <t>['pas', 'download', 'apk', 'nge', 'stuck', 'sampe', 'jaringan', 'lancar', '']</t>
  </si>
  <si>
    <t>['telkomsel', 'nyuri', 'pulsa', 'pelanggannya', 'kali', 'kepotong', 'pulsa', 'membeli', 'paket', 'nelpon', 'unlimited', 'menit', 'all', 'operator', 'pas', 'nelpon', 'ketelan', 'pulsa', 'barusa', 'ngisi', 'pulsa', 'ribu', 'langsung', 'kepotong', 'rupiah', 'sms', 'kali', 'biaya', 'rupiah', '']</t>
  </si>
  <si>
    <t>['promo', 'paket', 'internet', 'kartu', 'simpati']</t>
  </si>
  <si>
    <t>['semoga', 'dapet', 'paketan', 'murah', '']</t>
  </si>
  <si>
    <t>['harga', 'pejabat', 'jaringan', 'ngelag', 'ngelag', 'burik', 'dipake', 'main', 'game', 'ngelagnya', 'ampun', 'rugi', 'beli', 'kuota', 'mahal', 'dipake', 'main', 'game']</t>
  </si>
  <si>
    <t>['aplikasi', 'mantap', 'pertahankan']</t>
  </si>
  <si>
    <t>['memudahkan', 'mencari', 'informasi', 'telkomsel', '']</t>
  </si>
  <si>
    <t>['pulsa', 'pdhl', 'ttp', 'proses']</t>
  </si>
  <si>
    <t>['', 'telkomsel', 'membantu', 'aktifasi', 'paket', 'internet', 'telepon']</t>
  </si>
  <si>
    <t>['paket', 'mahal', 'sinyal', 'suka', 'hilang', 'merugikan', 'kuliah', 'daring', 'wajar', 'sinyal', 'suka', 'hilang', 'kuotanya', 'murah']</t>
  </si>
  <si>
    <t>['pengunaan', 'praktis']</t>
  </si>
  <si>
    <t>['gua', 'zoom', 'bang', 'tolong', 'macet', 'macet', 'udah', 'mahal', 'macet', 'macet', '']</t>
  </si>
  <si>
    <t>['butuh', 'pulsa', 'karna', 'tersesat']</t>
  </si>
  <si>
    <t>['aplikasinya', 'bagus', 'membantu', 'pembelian', 'paket', 'internet', 'pilihan', 'tawarkan', 'semoga', 'telkomsel', 'kedepannya', 'bagus', 'utamakan', 'kualitas', '']</t>
  </si>
  <si>
    <t>['koneksi', 'kadang', 'hilang', 'bagus', 'udah', 'provider', 'kapitalis', 'kayak', 'gini', 'dibenerin', 'ngasih', 'harga', 'sesuai', 'pelayanan', 'semoga', 'kedepannya', 'diatasi']</t>
  </si>
  <si>
    <t>['metode', 'pembayaran', 'kartu', 'halo', 'bayar', 'indomart', 'transfer', 'kecewa', '']</t>
  </si>
  <si>
    <t>['', 'kasih', 'bintang', 'pulsa', 'hilang', '']</t>
  </si>
  <si>
    <t>['', 'daerah', 'kab', 'buleleng', 'tepatnya', 'desa', 'rangdu', 'sinyal', 'telkomsel', 'jelek']</t>
  </si>
  <si>
    <t>['telkomsel', 'coba', 'kartu', 'halo', 'prabayar', 'sungguh', 'miris', 'kayak', 'tipu', 'tolong', 'keluhan', 'konsumen', 'perbaiki', 'secepatnya', 'tingkatkan', 'sayang', 'terminate', 'kartunya', 'udah', 'batin', 'tersiksa', 'menunggu', 'tagihan', 'gilanya', 'waahh', 'kalangan', 'menengah', 'prabayar', 'ribu']</t>
  </si>
  <si>
    <t>['alhamdulillah', 'mempermudah', 'beli', 'paket', 'data']</t>
  </si>
  <si>
    <t>['banyakin', 'promo', 'reward', 'pengguna', 'nati', 'bintang', '']</t>
  </si>
  <si>
    <t>['jaringan', 'internetnya', 'mantap']</t>
  </si>
  <si>
    <t>['pembayaran', 'berhasil', 'paket', 'data', 'masuk', 'sudh', 'hubungi', 'penanganan', '']</t>
  </si>
  <si>
    <t>['memakai', 'telkomsel', 'sinyalnya', 'bagus']</t>
  </si>
  <si>
    <t>['coba', 'kasih']</t>
  </si>
  <si>
    <t>['semoga', 'aplikasinya', 'berkembang', '']</t>
  </si>
  <si>
    <t>['', 'telkomsel', 'aplikasi', 'telbaik', 'mempermudah', 'pembelian', 'pulsa', 'paket', 'internet', 'termurah', 'dll', '']</t>
  </si>
  <si>
    <t>['membantu', 'dlm', 'beraktifitas', 'sehari', 'byk', 'promo', '']</t>
  </si>
  <si>
    <t>['puas', 'pkek', 'telkomsel']</t>
  </si>
  <si>
    <t>['kouta', 'doang', 'mahal', 'jaringan', 'eror', 'mulu']</t>
  </si>
  <si>
    <t>['mudah', 'cek', 'pulsa']</t>
  </si>
  <si>
    <t>['mantep', 'wilayah', 'gunung', 'pulosari', 'mohon', 'sinyalnya', 'ditingkatkan', 'paket', 'hemat', 'pelaku', 'umkm', '']</t>
  </si>
  <si>
    <t>['bagus', 'kecepatan', 'internet']</t>
  </si>
  <si>
    <t>['jaringan', 'telkomsel', 'jelek', 'dikit', 'dikit', 'hilang', 'jaringan', 'pdhal', 'pagi', 'jam', 'kerja', 'telkomsel', 'payaaah', 'emng', 'mohonlah', 'perbaharui', 'kepuasan', 'pelanggan', 'pdhal', 'harga', 'kuotanya', 'mahaal', 'bangat', '']</t>
  </si>
  <si>
    <t>['membantu', 'kemudahan', 'membeli', 'kuota', 'cek', 'pulsa', 'telkomsel', 'bagus', 'hadiah', 'kuota', 'rajin', 'check']</t>
  </si>
  <si>
    <t>['diperbanyak', 'discountnya']</t>
  </si>
  <si>
    <t>['paket', 'internet', 'telepon', 'mahal', '']</t>
  </si>
  <si>
    <t>['make', 'apk', 'engga', 'ush', 'repot', 'nunggu', 'notifikasi', 'sisa', 'pulsa', '']</t>
  </si>
  <si>
    <t>['belanja', 'paket', 'telkomsel', 'mudah']</t>
  </si>
  <si>
    <t>['lemot', 'bener', 'simpati', 'udah', 'paket', 'mahal', 'lemot', 'hadeh', 'benerin', 'jaringan', 'woi', 'buka', 'apk', 'loading', 'banget', 'soek']</t>
  </si>
  <si>
    <t>['bagus', 'ngirit']</t>
  </si>
  <si>
    <t>['membantu', 'dijamin', 'nyesel', 'mendownload', 'telkomsel', '']</t>
  </si>
  <si>
    <t>['admin', 'apk', 'mytesel', 'dihp', 'min', 'update', 'tetep', 'msih', 'menghambat', 'banget', 'pembelian', 'paket', 'tolong', 'dibantu', 'min']</t>
  </si>
  <si>
    <t>['aplikasi', 'termudah', 'membeli', 'paket', 'data', 'semoga', 'sukses', '']</t>
  </si>
  <si>
    <t>['cepat', 'masuk', 'pokoknya', 'joss']</t>
  </si>
  <si>
    <t>['poroses', 'lebi', 'telkomsel', '']</t>
  </si>
  <si>
    <t>['update', 'membingungkan']</t>
  </si>
  <si>
    <t>['tinggal', 'dikota', 'kekuatan', 'sinyal', 'kek', 'puncak', 'gunung', 'lemot', 'paket', 'mahal']</t>
  </si>
  <si>
    <t>['pelayanan', 'baguss']</t>
  </si>
  <si>
    <t>['pokok', 'senang', '']</t>
  </si>
  <si>
    <t>['tambahkan', 'manfaat', 'poin', 'tukar', 'kuota', 'gratis']</t>
  </si>
  <si>
    <t>['tolong', 'min', 'google', 'pixel', 'instal', 'all']</t>
  </si>
  <si>
    <t>['jaringan', 'terluas', 'terbaik', 'dibandingakan']</t>
  </si>
  <si>
    <t>['alhamdulilah', 'kuota', 'gratis', 'telkomsel', 'event', 'kuota', 'gratis', 'mohon', 'perbanyak', '']</t>
  </si>
  <si>
    <t>['toooop', 'deh', 'pokonya']</t>
  </si>
  <si>
    <t>['maaaaaaaannnnnnnnnntaaaaaaaaaaaaaaaaaaapppppp', 'berguna', '']</t>
  </si>
  <si>
    <t>['mudah', 'menarik', 'menangin', 'undian', 'poin', 'telkomsel', 'admin', 'hee', 'terimakasih', 'aplikasi', 'bagus']</t>
  </si>
  <si>
    <t>['tolong', 'dikembangkang', 'diperbaiki', 'penukaran', 'pointnya', 'berulang', 'kali', 'tukarkan', 'maaf', 'gangguan', 'sistem', 'minggu', 'gangguan', 'sistem', 'hapus', 'promonya', 'penukaran', 'pointnya', 'pelanggan', 'kecewa', '']</t>
  </si>
  <si>
    <t>['jaringan', 'signal', 'kadang', 'eror', 'promo', 'utamakan', 'tiadak', 'kecewa', 'kuy', '']</t>
  </si>
  <si>
    <t>['jaringan', 'maksimal', 'mati', 'lampu', '']</t>
  </si>
  <si>
    <t>['aplikasi', 'bagus', 'cepat']</t>
  </si>
  <si>
    <t>['mantapp', 'mksi', 'telkomsel']</t>
  </si>
  <si>
    <t>['blm', 'pulsa', 'safe', 'udah', 'update', 'gagal', 'login', 'keterangan', 'periksa', 'koneksi', 'sesi', 'refresh', 'somethings', 'wrong', '']</t>
  </si>
  <si>
    <t>['promo', 'kuota', 'sekolah', 'perbanyak', '']</t>
  </si>
  <si>
    <t>['terkomsel', 'terbaik']</t>
  </si>
  <si>
    <t>['membantu', 'pekerjaan', 'sehari']</t>
  </si>
  <si>
    <t>['akses', 'telkomsel', 'buriiiik', '']</t>
  </si>
  <si>
    <t>['woy', 'telkomsel', 'pengguna', 'telkomsel', 'simpati', 'kuota', 'mahal', 'banget', 'tolong', 'murahin', 'promo', 'doang', 'murah', 'kuota', 'reguler', '']</t>
  </si>
  <si>
    <t>['ngak', 'unlimited']</t>
  </si>
  <si>
    <t>['kecewa', 'banget', 'beli', 'paket', 'data', 'mytelkomsel', 'pakai', 'gopay', 'paket', 'data', 'masuk', 'masuk', 'saldo', 'gopay', 'udah', 'kepotong', 'udah', 'hubungi', 'udah', 'email', 'kejelasan', 'riwayat', 'pembelian', 'status', 'beli', 'paket', 'tanggal', 'november', 'saldo', 'gopay', 'udah', 'kepotong', 'gopay', 'status', 'bayar', 'mytelkomsel', 'gimana', 'seenggaknya', 'saldo', '']</t>
  </si>
  <si>
    <t>['perkembangan', 'signifikan', 'harga', 'paket', 'mahal', 'sinyal', 'jelek', 'kalah', 'harga', 'paket', 'murah', 'sinyal', 'bagus', 'kecewa', 'telkom']</t>
  </si>
  <si>
    <t>['semoga', 'dpt', 'hadiah', 'tukar', 'poin']</t>
  </si>
  <si>
    <t>['mudah', 'berbagi']</t>
  </si>
  <si>
    <t>['berguna', 'give', 'awaynya', 'susah']</t>
  </si>
  <si>
    <t>['pakai', 'telkomsel', 'hadiah', 'telkomsel', 'sedekah', 'uang', '']</t>
  </si>
  <si>
    <t>['kasih', 'skin', 'miya', 'lagend']</t>
  </si>
  <si>
    <t>['jaringannya', 'lumayan', 'stabil']</t>
  </si>
  <si>
    <t>['suka', 'denga', 'aplikasi']</t>
  </si>
  <si>
    <t>['paket', 'nelpon', 'hilang', '']</t>
  </si>
  <si>
    <t>['sinyal', 'full', 'lemot', 'telkomsel', 'plissss', 'sinya', 'susah', 'kali', 'pakek', 'sinyal', 'jaringan', 'lancar', 'dipakek', 'sinyal', 'lemot', 'why', 'ganti', 'kartu', 'minggu', 'lancar', 'mohon', 'baca', 'ulasan', 'lemot', '']</t>
  </si>
  <si>
    <t>['sayang', 'gratis', 'akses', 'kartu', 'telkomsel']</t>
  </si>
  <si>
    <t>['kecewa', 'telkomsel', 'memblokir', 'nomor', 'penipu', 'mengatasnamakan', 'telkomsel', 'nomor', 'berbeda', 'melaporkan', 'telkomsel', 'berharap', 'korban', 'laporan', 'lakukan', 'telepon', 'berkali', 'kali', 'email', 'lampiran', 'evidence', 'penipuan', 'grapari', 'bantuan', 'temen', 'sms', 'melaporkan', 'nomor', 'menipu', 'diblokir', 'telkomsel', 'provider', 'pelindung', 'penipu', '']</t>
  </si>
  <si>
    <t>['aplikasi', 'terbaikkkkkkkkkkkkkk', 'diupdate', 'diupdate', 'bagus', 'eror', 'mulu', 'sihh', 'tolong', 'apk', 'perbaiki', 'pengguna', 'apk', 'kecewa']</t>
  </si>
  <si>
    <t>['sulit']</t>
  </si>
  <si>
    <t>['harga', 'harga', 'terjangkau', 'karna', '']</t>
  </si>
  <si>
    <t>['wilayah', 'nggk', 'sinyal']</t>
  </si>
  <si>
    <t>['harga', 'internetnya', 'mahal']</t>
  </si>
  <si>
    <t>['tingkatkan', 'kualitas', 'sinyal', 'mudah', 'berkomynikasi']</t>
  </si>
  <si>
    <t>['update', 'android', 'telkomsel', 'ilang', 'download', 'telkomsel']</t>
  </si>
  <si>
    <t>['pelayanan', 'gerai', 'grapari', 'memuaskan']</t>
  </si>
  <si>
    <t>['pelayanannya', 'memuaskan', '']</t>
  </si>
  <si>
    <t>['keren', 'undian', 'berhadiah', 'mudah', 'dapst', 'cbr', 'hhehehe', 'aamiin', '']</t>
  </si>
  <si>
    <t>['', 'pakai', 'telkomsel', 'aneh', 'paket', 'data', 'mahal', 'mahal', 'kartu', 'pakai', 'tahunan', 'promo', 'paket', 'murah', '']</t>
  </si>
  <si>
    <t>['membantu', 'tolong', 'paket', 'khusus', 'internet', 'mahal', '']</t>
  </si>
  <si>
    <t>['suka', 'mytelkomsel', 'promo', '']</t>
  </si>
  <si>
    <t>['pengguna', 'pasca', 'bayar', 'cek', 'penggunaan', 'poin', 'dipake', 'mantabb']</t>
  </si>
  <si>
    <t>['bermanfaat', 'mudah', 'akses', 'semoga', 'memenangkan', 'hadia', 'mobil', 'makasih', 'telkomsel']</t>
  </si>
  <si>
    <t>['pulsa', 'berkurang', 'akses', 'beli', 'kouta', 'paayyyyah', 'gini', 'merugikan', 'costemer', 'nama', 'gni', '']</t>
  </si>
  <si>
    <t>['mudah', 'bertransaksi', 'trimakasi', 'telkomsel']</t>
  </si>
  <si>
    <t>['the', 'best', 'terbaik', '']</t>
  </si>
  <si>
    <t>['telkomsel', 'kaya', 'dlu', 'enak', 'dlu', 'dri', 'telkom', 'skrng']</t>
  </si>
  <si>
    <t>['tolong', 'pulsa', 'utama', 'dimakan', 'kuotanya', 'habis', '']</t>
  </si>
  <si>
    <t>['telkomsel', 'emang', '']</t>
  </si>
  <si>
    <t>['mudah', 'pengoperasiannya']</t>
  </si>
  <si>
    <t>['feature', 'bagus', 'kekurangan', 'perlindungan', 'pulsa', 'kuota', 'habis', 'provider', 'memiliki', 'paket', 'kuota', 'habis', 'sisa', 'pulsa', 'terpotong', '']</t>
  </si>
  <si>
    <t>['jaringak', 'hrganya', 'trus', '']</t>
  </si>
  <si>
    <t>['skrg', 'telkomsel', 'susah', 'sinyal']</t>
  </si>
  <si>
    <t>['membantu', 'aplikasinya']</t>
  </si>
  <si>
    <t>['jempol', '']</t>
  </si>
  <si>
    <t>['udh', 'coba', 'ask', 'veronica', 'aplikasi', 'deh', 'nanya', 'bukanya', 'sepeti', 'ngomong', 'orang', 'budek', 'not', 'excellent', 'serv', 'customer', '']</t>
  </si>
  <si>
    <t>['beli', 'paket', 'disney', 'notif', 'berhasil', 'berlangganan', 'aplikasi', 'disney', 'berlangganan', 'aneh', 'banget', '']</t>
  </si>
  <si>
    <t>['susah', 'masuk', 'aplikasinya']</t>
  </si>
  <si>
    <t>['sinyal', 'lemah', 'harga', 'paket', 'internet', 'telepon', 'telkomsel', 'bumn', 'terjangkau', 'harga', 'kualitas', 'jaringannya', 'rakyat', 'indonesia', 'kalah', 'swasta', 'nyesel']</t>
  </si>
  <si>
    <t>['force', 'close', 'android', 'tolong', 'perbaiki']</t>
  </si>
  <si>
    <t>['aplikasi', 'bagua', 'jaringan', 'jelek', 'jaringan', 'telkom', 'turun', 'turun', 'enak', 'padahl', 'apapun']</t>
  </si>
  <si>
    <t>['kenaikan', 'harga', 'kuota', 'malam', '']</t>
  </si>
  <si>
    <t>['harga', 'mahal', 'sinyal', 'kaya', 'jembod']</t>
  </si>
  <si>
    <t>['tolong', 'jaringannya', 'suka', 'ngelag', 'kadang', 'kesel', 'banget', 'perasaan', 'kaya', 'gini', 'jujur', 'kartu', 'tri', 'gangguan', 'tpi', 'separah', 'telkomsel', 'telkomsel', 'parah', 'banget', 'sinalnya', 'make', 'kartu', 'tri', 'skrng', 'kartu', 'telkom', 'bneran', 'kesel', 'bet']</t>
  </si>
  <si>
    <t>['', 'tukar', 'poin', 'dlm', 'promosi', 'nagita', 'gimana', '']</t>
  </si>
  <si>
    <t>['jaringan', 'lancar', 'jaya', 'ngelagg']</t>
  </si>
  <si>
    <t>['paket', 'batasi']</t>
  </si>
  <si>
    <t>['poind', 'ambil']</t>
  </si>
  <si>
    <t>['semoga', 'dapet', 'honda', 'brio', 'orang', 'tua']</t>
  </si>
  <si>
    <t>['hahaha', 'kuota', 'gb', 'chek', 'itupun', 'dibagi', 'pemberian', 'kuotanya', 'mb', 'gb', 'gb', 'gb', 'cuman', 'ngakak', 'nii', 'durasi', 'pemakayan']</t>
  </si>
  <si>
    <t>['sumpah', 'gue', 'nyesel', 'simpati', 'sinyalnya', 'jelek', 'buruk', 'jam', 'lemot', 'udah', 'berbulan', 'paket', 'gb', 'udah', 'unreg', 'kartu', 'patah', 'sampe', 'ancur', 'kecewa']</t>
  </si>
  <si>
    <t>['oke', 'lainya']</t>
  </si>
  <si>
    <t>['mahal', 'doang', 'mabar', 'nge', 'lag', 'babi']</t>
  </si>
  <si>
    <t>['semoga', 'stabil', 'kedepannya']</t>
  </si>
  <si>
    <t>['terimakasih', 'telkomsel', 'semenjak', 'dikeluarnya', 'app', 'telkomsel', 'puas', 'layanan', 'kesulitan', 'paket', 'data', 'telpon', 'serba', 'sulit', 'mohon', 'perbaiki', 'hapus', 'aplikasi', 'membantu', 'jaringan', 'koyo', 'tempek']</t>
  </si>
  <si>
    <t>['merubah', 'bahasa', 'indonesia', 'gimana', '']</t>
  </si>
  <si>
    <t>['paket', 'mahal', 'jaringan', 'hilang', 'timbul', 'kecewa', 'udah', 'makek', 'telkomsel', 'karna', 'nomor', 'udah', 'save', 'sekedar', 'aktifkan']</t>
  </si>
  <si>
    <t>['tolong', 'telkomsel', 'hiunya', 'dikasik', 'makan', 'maen', 'ngelek', 'untung', 'main', 'judi', 'kalah', 'judi', 'gntii', 'pembangsat', 'kauu']</t>
  </si>
  <si>
    <t>['android', 'instal', 'aplikasi', '']</t>
  </si>
  <si>
    <t>['telkomsel', 'hah', 'kuota', 'download', 'apk', 'playstore', 'browser', 'oke', 'miris', 'bat', 'telkomsel', 'udah', 'harga', 'mahal', 'sinyal', 'kek', 'gini', 'troz', 'mending', 'telkomsel', 'ditutup', 'peredaran']</t>
  </si>
  <si>
    <t>['semoga', 'hadia']</t>
  </si>
  <si>
    <t>['', 'paket', 'internet', 'murah', 'kaya', '']</t>
  </si>
  <si>
    <t>['cashback', 'gadaa', 'masuk', 'poin', 'via', 'shoppe', 'mytelkomsel', '']</t>
  </si>
  <si>
    <t>['aplikasi', 'bagus', 'lihat', 'kuota', 'beli', 'kuota', 'dibutuh', 'memakai', 'aplikasi']</t>
  </si>
  <si>
    <t>['good', 'masuk', 'susah', 'klik', 'link', 'klik', 'link']</t>
  </si>
  <si>
    <t>['tolong', 'kartu', 'paketannya', 'munculin', 'murah', 'umur', 'kartu', 'udah', 'thunan', 'lumayan', 'liat', 'orang', 'dapet', 'murah', 'herman', '']</t>
  </si>
  <si>
    <t>['harapan', 'kedepen', '']</t>
  </si>
  <si>
    <t>['telkomsel', 'tolong', 'daerah', 'lebak', 'gunung', 'kencana', 'kampung', 'ciakar', 'sinyal', 'simpati', 'buruk', 'tlong', 'perbaiki', 'mkasih']</t>
  </si>
  <si>
    <t>['jelekkkk', 'lambattt', 'repson', 'maap', 'jujur']</t>
  </si>
  <si>
    <t>['bangkrut', 'trus', 'kejadian', 'smua', 'kolom', 'komntar', 'smua', 'sprti', 'alami', 'telomsel', 'kinii', 'mhon', 'maaf', 'sya', 'tinggalkan', 'byee', 'next', 'gnti', 'laen', '']</t>
  </si>
  <si>
    <t>['bagus', 'tingkatkan', 'lgi', 'prosea', 'kadang', 'kendala', 'masuk', '']</t>
  </si>
  <si>
    <t>['kualitas', 'sinyal', 'sanagat']</t>
  </si>
  <si>
    <t>['deskripsi', 'simpati', 'jaringan', 'terbaik', 'boong']</t>
  </si>
  <si>
    <t>['kebanyakan', 'update', 'aplikasi', 'berat', 'perubahan', 'buang', 'buang', 'kuota', 'buang', 'buang', 'storage']</t>
  </si>
  <si>
    <t>['menu', 'option', 'data', 'okelah', 'signal', 'jaringan', 'kadang', 'ngelag', 'mohon', 'diperbaiki', 'cepat', 'pesawat', 'jet', 'loading', 'apl', 'dll', 'terimakasih', '']</t>
  </si>
  <si>
    <t>['murah', 'telp', 'bla', '']</t>
  </si>
  <si>
    <t>['sinyal', 'kuat', 'stabil', 'kouta', 'murah', 'worth', 'pokoknya', 'the', 'best', 'telkomsel', '']</t>
  </si>
  <si>
    <t>['good', 'android', 'terimakasih']</t>
  </si>
  <si>
    <t>['ngaktifin', 'paket', 'unlimited', 'kemarin', 'ilang', 'duit', '']</t>
  </si>
  <si>
    <t>['aplikasi', 'buruk', 'uninstal', 'deh']</t>
  </si>
  <si>
    <t>['naikin', 'bintang', 'karna', 'pelanggan', 'setia', 'telkomsel', 'naikn', 'app', 'mantap']</t>
  </si>
  <si>
    <t>['beli', 'paket', 'gamemax', 'kode', 'redeem', 'dapet', 'lawak']</t>
  </si>
  <si>
    <t>['', 'bagus', 'banget', 'deh', 'coba', 'download']</t>
  </si>
  <si>
    <t>['jaringan', 'telkom', 'lambatttt', 'kaya', 'siput', '']</t>
  </si>
  <si>
    <t>['tolong', 'kasih', 'oaket', 'murah']</t>
  </si>
  <si>
    <t>['telkomsel', 'dlu', 'sinyal', 'bgus', 'wlpun', 'kuota', 'mahal', 'kesini', 'sinyal', 'bagus', 'kota', 'sinyal', 'jelekk', 'jelekk']</t>
  </si>
  <si>
    <t>['buruk', 'game', 'kartu', 'telkomtod', 'kualitas', 'mahal', 'aslinya', 'buruk', 'kek', 'buruk']</t>
  </si>
  <si>
    <t>['', 'coba', 'semoga', 'bermanfaat', '']</t>
  </si>
  <si>
    <t>['membantu', 'lemot']</t>
  </si>
  <si>
    <t>['mahalnya', 'doang', 'simpati', 'mending', 'ganti', 'udah', 'parah', 'sinyal', 'jelek', 'lambat', 'internet', 'respon', 'perbaiki', 'taunya', 'maeih', 'internet', 'lambat', '']</t>
  </si>
  <si>
    <t>['paket', 'kuota', 'habis', 'pulsa', 'terpakai', 'persetujuan', 'tolong', 'perbaiki', 'pengaturan', 'fitur', 'apk', 'kontrol', 'pulsa', 'kartu', '']</t>
  </si>
  <si>
    <t>['undian', 'poin', 'dapet', '']</t>
  </si>
  <si>
    <t>['perbaiki', 'jaringan', 'ngelaq', 'pas', 'main']</t>
  </si>
  <si>
    <t>['sinyal', 'teruji']</t>
  </si>
  <si>
    <t>['beli', 'paket', 'mahal', 'mahal', 'jaringannya', 'ngelek', 'buka', 'ngentod']</t>
  </si>
  <si>
    <t>['download', 'sumpah', 'near', 'nyesel', 'harga', 'paketnya', 'ngga', 'murah']</t>
  </si>
  <si>
    <t>['mahal', 'doang', 'kestabilan', 'jaringan', 'jelek', 'udah', 'banned', 'telkom', 'indonesia', 'daerah', 'puncak', 'benerin', 'gamau', 'ilangin', 'telkom', 'indo']</t>
  </si>
  <si>
    <t>['longin', 'sulit']</t>
  </si>
  <si>
    <t>['penggunaan', 'kouta', 'bagus', 'pro']</t>
  </si>
  <si>
    <t>['pliss', 'sinyal', 'perbaiki', 'males', 'gua', 'paket', 'sinyal', 'jelek', 'sinyal', 'tetep', 'lag', 'maunya', 'telkomsel', '']</t>
  </si>
  <si>
    <t>['mantab', 'udeh', 'bayar', 'pke', 'kredivo', '']</t>
  </si>
  <si>
    <t>['jaringan', 'sangaaaat', 'jelek', 'gila', 'sekelas', 'telkomsel', 'area', 'jakrta', 'timur', 'cibubur', 'depok', 'berasa', 'kaya', 'pelosok', 'zaman', 'idh', 'jaringan', 'lemoodddd', 'paraaahhhh', 'malu', 'jaringan', 'kelasnya', 'bawaaah', '']</t>
  </si>
  <si>
    <t>['ribet', 'proses', 'login', 'pke', 'kode', 'verifikasi', 'ajj', 'ckup', 'kesini', 'ribet', 'chek', 'link', 'dlu', 'gampang', 'mlah', 'ribet']</t>
  </si>
  <si>
    <t>['sesuai', 'keperluan']</t>
  </si>
  <si>
    <t>['gimana', 'beli', 'paket', 'voucher', 'diamond', 'kode', 'voucher', '']</t>
  </si>
  <si>
    <t>['telkomsel', 'lelet', 'udah', 'mahal', 'lelet', 'hadeh', 'parah']</t>
  </si>
  <si>
    <t>['maaf', 'telkomsel', 'menjatuhkan', 'gimana', 'perhatikan', 'sebulan', 'full', 'telkomsel', 'jaringan', 'turun', 'hilang', 'jangka', 'maslaah', 'jaringan', 'tolong', 'diperjelasyah', 'kaish', 'rating', 'hancur', 'kecewa', 'pelayanan', 'telkomsel']</t>
  </si>
  <si>
    <t>['semoga', 'jaringan', 'jawa', 'oke', '']</t>
  </si>
  <si>
    <t>['sinyak', 'kadang', 'kadang', 'suara', 'hilang', 'putus', 'putus', 'suara', 'hilang']</t>
  </si>
  <si>
    <t>['apk', 'bagus', 'memudahkan', 'beli', 'kuota', 'lancar', 'jaringannya']</t>
  </si>
  <si>
    <t>['mengesalkan', 'jaringan', 'buruk', 'udah', 'mahal', 'kualitas', 'jelek']</t>
  </si>
  <si>
    <t>['kasih', 'bintang', 'tolong', 'sedot', 'pulsaku', 'berkurang']</t>
  </si>
  <si>
    <t>['membagongkan', 'sistem', 'sibuk']</t>
  </si>
  <si>
    <t>['kecewa', 'telkomsel', 'signal', 'jelek', 'main', 'game', 'bufering', 'buka', 'status', 'jaringan', 'bohongan', 'telkomsel', 'tolong', 'perbaiki', 'telkomsel', 'kartu', 'bagus', 'signal', 'dimana', 'daerah', 'perkotaan', 'signal', 'lambat', 'banged', 'jujur', 'kecewa', 'telkomsel', 'kuota', 'internet', 'mahal', 'banged', 'tolonglah', 'telkomsel', 'kek', 'gitu', 'please', 'signal', 'benerin', 'kuota', 'murahin', '']</t>
  </si>
  <si>
    <t>['sinyala', 'sampah', 'perubahan', 'kuota', 'mahal', 'sinyal', 'jelek', 'ngaca', 'sampah', 'sampah', 'sinya', 'busuk', 'najis', 'kuota', 'mahal', 'sinyal', 'sampah', 'bangkrut', 'udh', 'busuk', 'sinyalnya']</t>
  </si>
  <si>
    <t>['tambahkan', 'fitur', 'mematikan', 'layanan', 'internet', 'berbasis', 'pulsa', 'pelanggan', 'dirugikan', 'pulsanya', 'terpotong', 'layanan', 'internet', 'perusahaan', 'telkomsel', 'pelayanan', 'sesuai', 'pilihan', 'pelanggan', 'pelanggan', 'opsi', 'memilih', '']</t>
  </si>
  <si>
    <t>['telkomsel', 'knp', 'lemot', 'trus', 'klh', 'sma', 'operator', 'pindah', 'terbuka', 'lemot', 'pdlh', 'jkrta', 'mhal', 'doang', 'kouta', 'pktanny', 'lemot', 'bkin', 'rugi', 'pelanggan']</t>
  </si>
  <si>
    <t>['paket', 'doank', 'mahal', 'sinyal', 'busuk']</t>
  </si>
  <si>
    <t>['beli', 'paket', 'omg', 'paket', 'disney', 'hostar', 'dibisa', 'ngebohong', 'paket', 'disney', 'hostar', 'perbulan', 'nipu', 'kasian', 'orang', 'beli', 'paket', 'hiburan', 'dikibulin', 'beli', 'beras', 'ditipu']</t>
  </si>
  <si>
    <t>['sinyal', 'benerin', 'gua', 'kasih', 'bintang', 'maen', 'ngeleg', '']</t>
  </si>
  <si>
    <t>['terimakasih', 'bnyak', 'promo', 'dapt', 'aplikasi', 'telkomsel', 'sukses', 'slalu', '']</t>
  </si>
  <si>
    <t>['apasih', 'jelek', 'jaringan', 'paket', 'doank', 'mahal']</t>
  </si>
  <si>
    <t>['paket', 'habis', 'potong', 'pulsa', 'detik', 'itungan', 'detik', 'karna', 'nomor', 'kerjaan', 'udah', 'ganti', 'nomer', 'kuota', 'kenceng', 'kagak', 'sinyal', 'jelek', 'damn']</t>
  </si>
  <si>
    <t>['signal', 'bagus', 'buka']</t>
  </si>
  <si>
    <t>['mudahan', 'lelet', 'jaringan']</t>
  </si>
  <si>
    <t>['woi', 'main', 'game', 'mentok', 'belom', 'sempet', 'beli', 'kartu', 'mending', 'buang', 'buang', 'duit', 'mending', 'kartu', 'terima', 'beli', 'mahal', 'mahal', 'boros', 'sinyal', 'jelek', 'serah', 'kau']</t>
  </si>
  <si>
    <t>['maaf', 'kasih', 'bintang', 'telkomsel', 'sinyal', 'buruk', 'masuk', 'ruangan', 'rumah', 'wilayah', 'kec', 'tajurhalang', 'desa', 'sukmajaya', 'melapor', 'sampe', 'skrg', 'perubahan', 'mohon', 'tingkatkan', 'kualitas', 'sinyal', 'kepuasan', 'pelanggan', 'aplikasi', 'bagus', 'membantu', 'aplikasi', 'sinyal', 'buruk', 'terimakasih']</t>
  </si>
  <si>
    <t>['sinyal', 'bangka', 'kec', 'merawang', 'jelek']</t>
  </si>
  <si>
    <t>['terpercaya', '']</t>
  </si>
  <si>
    <t>['telkomsel', 'jelek', 'bagus', 'banget', 'parah', 'banget', 'sinyalnya', 'pakai', 'kartu', 'telkomsel', 'kecewa']</t>
  </si>
  <si>
    <t>['provider']</t>
  </si>
  <si>
    <t>['sinyaaal', 'telkomsel', 'lemah', 'lemot', 'sangaat', 'lingkungan', 'pedesaan', 'daerah', 'gunungkidul', 'desa', 'sokoliman', 'bejiharjo', '']</t>
  </si>
  <si>
    <t>['memilih', 'kartu', 'telkomsel', 'karenabsudha', 'terbukti', 'terpercaya', 'kuatnya', 'sinyal', 'kenyamanan', 'berkomunikasi', 'disertai', 'banyaknya', 'promo']</t>
  </si>
  <si>
    <t>['aplikasi', 'bagus', 'pengguna', 'telkomsel', 'loop', '']</t>
  </si>
  <si>
    <t>['susah', 'kuota', 'internet', 'doang', 'dipake', 'multimedia', 'dipake', 'udah', 'habis', 'lemotnya', 'main', 'kuota', 'lemot', 'kuota']</t>
  </si>
  <si>
    <t>['bagus', 'terbukti', 'cepat', '']</t>
  </si>
  <si>
    <t>['tolong', 'telkomsel', 'beli', 'kuota', 'mahal', 'mahal', 'main', 'game', 'pingnya', 'gini', 'kuota', 'mahal', 'sesuai', 'jaringannya', '']</t>
  </si>
  <si>
    <t>['saran', 'telkomsel', 'voice', 'note', 'operatornya', 'ganti', 'ganti', 'bingung', 'customer', 'bedain', 'aktif', 'telfonan', 'org', '']</t>
  </si>
  <si>
    <t>['', 'masuk', 'app', 'masuk', 'sllu', 'kluar', 'trus', 'sendrix']</t>
  </si>
  <si>
    <t>['sipp', 'beli', 'paket', 'gampang']</t>
  </si>
  <si>
    <t>['signal', 'bagus', 'ilang', 'ilang', 'error', 'tolong', 'tingkatkan', 'signal', 'edannnn', 'ilang', 'signal', 'menit', '']</t>
  </si>
  <si>
    <t>['makasih', 'mytelkomsel', '']</t>
  </si>
  <si>
    <t>['berharap', 'signal', 'telekom', '']</t>
  </si>
  <si>
    <t>['hemat', 'tolong', 'tambahin', 'promo', 'murah', '']</t>
  </si>
  <si>
    <t>['aplikasi', 'kemudahan', 'membeli', 'kuota', 'nelpon', 'internet', 'harapan', 'telkomsel', 'harga', 'murah', 'pembelian', 'kuota', 'pengguna', 'lingkungan', 'golongan', 'masyarakat', 'ekonomi', 'menengah', 'kebawah', '']</t>
  </si>
  <si>
    <t>['telkomsel', 'signal', 'kualitas', 'rendah', 'kuota', 'mahal', 'signal', 'putus', 'putus', 'rumah', 'tower', 'telkomsel']</t>
  </si>
  <si>
    <t>['sinyal', 'stabil', 'ditempat', 'popongan', 'karanganyar']</t>
  </si>
  <si>
    <t>['masak', 'udah', 'unlimted', 'youtube', 'sinyal', 'lemah', 'muter', 'kenceng', 'pas', 'buka', 'aplkasi']</t>
  </si>
  <si>
    <t>['paket', 'multimedia', 'pakai', 'kuota', 'utama', 'habis', '']</t>
  </si>
  <si>
    <t>['terimakasih', 'siyal', 'jeleknya', 'semoga', 'kedepannya', 'siyalnya', 'bagus', '']</t>
  </si>
  <si>
    <t>['internet', 'udh', 'lancar']</t>
  </si>
  <si>
    <t>['thank', 'telkomsel', 'info', 'paketnya', 'lbih', 'mudah', 'pke', 'app']</t>
  </si>
  <si>
    <t>['promo', 'truss', 'setia']</t>
  </si>
  <si>
    <t>['suka', 'everybody']</t>
  </si>
  <si>
    <t>['wifi', 'sms', 'memakai', 'pulsa', 'rp', 'akses', 'internet', 'non', 'paket', 'beli', 'paket', 'tsel', 'tsel', 'pencuri', 'pulsa']</t>
  </si>
  <si>
    <t>['aplikasinya', 'bagus']</t>
  </si>
  <si>
    <t>['sngat', 'menarik']</t>
  </si>
  <si>
    <t>['jaringan', 'simpati', 'daerah', 'banjarmasin', 'minggu', 'hancur', 'banget', 'siiii', 'normal', 'kaya', '']</t>
  </si>
  <si>
    <t>['kasih', 'point', 'dlu', 'sinyal', 'kadang', 'eror']</t>
  </si>
  <si>
    <t>['lelet', 'wilayah', 'sumatra', 'barat']</t>
  </si>
  <si>
    <t>['tingkatkan', 'promonya', 'murah']</t>
  </si>
  <si>
    <t>['poin', 'telkomsel', 'ngga', 'tukarkan', 'membeli', 'paket', 'poin', 'terimakasih']</t>
  </si>
  <si>
    <t>['apk', 'jaringannya', 'kadang', 'ngelegg', 'kadang', '']</t>
  </si>
  <si>
    <t>['kemudahan', 'berkomunikasi', 'didikung', 'pelayanan', 'terbaik', 'gas', 'keun', 'mytelkomsel']</t>
  </si>
  <si>
    <t>['bagus', 'jaringan', '']</t>
  </si>
  <si>
    <t>['semoga', 'telkomsel', 'tingkatkan', 'kualitas', 'jaringan', 'internet', 'dikalimantan', 'kalimantan', 'kab', 'kotawaringin', 'timur']</t>
  </si>
  <si>
    <t>['paket', 'internet', 'pelanggan', 'telkomsel', 'beda', 'anak', 'paketan', 'murah', 'kenpa', 'nomor', 'ngga', 'dicari', 'nemu', 'paketan', 'anak', 'orang', 'pengguna', 'telkomsel']</t>
  </si>
  <si>
    <t>['beli', 'kartu', 'tellkomsel', 'jaringan', 'doank', 'alasan', 'jaringan', 'lag', 'stabil', 'merek', 'doank', 'padahl', 'jaringan', '']</t>
  </si>
  <si>
    <t>['berguna', 'banget', 'pokok']</t>
  </si>
  <si>
    <t>['cepat', 'plsa', 'gratis']</t>
  </si>
  <si>
    <t>['simpel', 'padat', 'ngetik']</t>
  </si>
  <si>
    <t>['bli', 'mytlkomsel', 'bru', 'buka', 'msedot', 'duluan', 'aying', 'mna', 'pke', 'msih', 'tpi', 'knpa', 'msib', 'isap', 'ajig']</t>
  </si>
  <si>
    <t>['mudah', 'expert']</t>
  </si>
  <si>
    <t>['telkomsel', 'ajar', 'nawarin', 'ganti', 'simpati', 'halo', 'ganti', 'simpati', 'korbannya', 'mending', 'bagus', 'mah', 'udah', 'telpon', 'telkomsel', 'paket', 'ditawarkan', 'buruk', 'kartu', 'simpati', 'manfaat', 'merubah', 'halo', 'orang', 'awam', 'bodohi', 'telkosel', '']</t>
  </si>
  <si>
    <t>['menarik']</t>
  </si>
  <si>
    <t>['wilayah', 'jawa', 'timur', 'malang', 'daerah', 'sukun', 'signal', 'ganti', 'pas', 'main', 'games', 'online', 'merugikan', 'tolong', 'carikan', 'solusinya']</t>
  </si>
  <si>
    <t>['sinyal', '']</t>
  </si>
  <si>
    <t>['tersedia', 'promo', 'menarik']</t>
  </si>
  <si>
    <t>['bagus', 'bngt', 'hujan', 'jaringan', 'lemot', 'mohon', 'bantu', 'rubah', 'jaringan', 'online', 'pandemi', 'maksih']</t>
  </si>
  <si>
    <t>['jaringannya', 'eror', 'boss', 'ampun', 'jaringan', 'ngaco']</t>
  </si>
  <si>
    <t>['good', 'kasih', 'paket', 'murah', 'langanggan', 'buk']</t>
  </si>
  <si>
    <t>['memuaskan', 'harga', 'paket', 'unlimited', 'mahal', 'jaringannya', 'lemah', 'daerah', '']</t>
  </si>
  <si>
    <t>['nyaman', 'puas', '']</t>
  </si>
  <si>
    <t>['beli', 'paket', 'unlimited', 'max', 'paket', 'utama', 'batas', 'pemakaian', 'habis', 'internet', 'jalan', 'instagram', 'akses']</t>
  </si>
  <si>
    <t>['loging', '']</t>
  </si>
  <si>
    <t>['susah', 'login', 'bos']</t>
  </si>
  <si>
    <t>['disc', 'promo', 'menarik', 'lainya']</t>
  </si>
  <si>
    <t>['telkomsel', 'jempol', 'sayang', 'tarif', 'mahall']</t>
  </si>
  <si>
    <t>['pas', 'buka', 'app', 'butuh', 'internet', 'cepet', 'makan', 'data', '']</t>
  </si>
  <si>
    <t>['makasi', '']</t>
  </si>
  <si>
    <t>['telkomsel', 'jaringan', 'pakai']</t>
  </si>
  <si>
    <t>['kartu', 'rekomen', 'banget', 'sinyal', 'jossss', 'promo', 'josss', 'hadiah', 'jossss']</t>
  </si>
  <si>
    <t>['jaringan', 'mulu']</t>
  </si>
  <si>
    <t>['yaelah', 'komplen', 'soala', 'jaringan', 'lelet', 'diparahin', 'leletnya', 'data', 'uda', 'dikasih', 'mala', 'lelet', 'sia', 'beli', 'kuota', 'beli', 'uang', 'hasil', 'kerja', 'kuota', 'buang', 'sia', 'beli', 'kota', 'hubungi', 'kluarga', 'main', 'game', 'kaya', 'semoga', 'lacar', 'bisnis', '']</t>
  </si>
  <si>
    <t>['jaringan', 'jelek', 'harga', 'muahal']</t>
  </si>
  <si>
    <t>['gmna', 'siiii', 'login', 'mytelkomsel', 'kesalahan', 'trus', 'padal', 'jaringanya', 'jga', 'bagus', 'ngecek', 'kuota', 'sms', 'gabisa', 'gmna', 'liat', 'kondisi', 'kuota', 'coba', 'kek', 'gini', 'skrang', 'mahal', 'astaghfirullah', '']</t>
  </si>
  <si>
    <t>['sinyalnya', 'jelek', 'daerah', 'susah', 'sinyalnya']</t>
  </si>
  <si>
    <t>['jaringan', 'game', 'down', '']</t>
  </si>
  <si>
    <t>['mantap', 'aplikasi', 'bantu', 'banget']</t>
  </si>
  <si>
    <t>['aplia', 'kasihnya', 'bagus', 'dwnlod', 'ngak', 'byal', '']</t>
  </si>
  <si>
    <t>['bernadeth', 'william', 'puas', 'paketan', 'tersedia']</t>
  </si>
  <si>
    <t>['paketan', 'telkomsel', 'skrang', 'mahal', 'kouta', 'dkit', 'nyesel', 'bnget', 'pke', 'telkomsel', 'msih', 'mending', 'pke', 'im', '']</t>
  </si>
  <si>
    <t>['aplikasi', 'membantu', 'proses']</t>
  </si>
  <si>
    <t>['best', 'banget', 'produk', 'telkomsel', '']</t>
  </si>
  <si>
    <t>['membantu', 'hemat', 'biaya', 'beli', 'paket', 'internet']</t>
  </si>
  <si>
    <t>['kanapa', 'telkomsel', 'jelek', 'heran']</t>
  </si>
  <si>
    <t>['berharap', 'telkomsel', 'jaringsn', 'koneksi', 'internet', 'bagus', 'irit', 'pulsa']</t>
  </si>
  <si>
    <t>['burik', 'apk', 'ilang', 'sinyal', 'bagus', 'ngegame']</t>
  </si>
  <si>
    <t>['beli', 'paket', 'mahal', 'mahal', 'jaringan', 'lemotnya', 'ampun', 'kyak', 'gini', 'ganti', 'provider']</t>
  </si>
  <si>
    <t>['tolong', 'poinnya', 'ditukar', 'pulsa', 'mohon', 'pulsa', 'tuker', 'poin', 'pliiisss', 'undian', 'menang', 'menang', 'tolong', 'orang', 'menag', 'udah', 'menang', 'kali', 'menang', 'gitu', '']</t>
  </si>
  <si>
    <t>['', 'daerah', 'mapanget', 'manado', 'sulawesi', 'utara', 'jaringan', 'uda', 'ngelag', 'tolong', 'perbaiki']</t>
  </si>
  <si>
    <t>['aktif', 'kuotanya', 'udah', 'klik', 'isi', 'pulsa', 'hangus', 'pulsa', 'kuota', 'aktif', 'maksudnya', 'apasih']</t>
  </si>
  <si>
    <t>['pakai', 'telkomsel', 'paket', 'mahal', 'tetep', 'beli', 'sayang', 'sinyalnya', 'parah', 'mahal', 'sinyal', 'bagus', 'sinyal', 'jelek', 'paket', 'mahal', 'gini', 'mending', 'pindah', 'kecewa', '']</t>
  </si>
  <si>
    <t>['', 'masuk', 'akal', 'paket', 'masak', 'mahal', 'smartfen', 'kecewa', 'sma', 'telkomsel', 'kyk', 'gini', 'jaringan', 'turun', 'kecepatan', 'turun', 'daerah', 'lombok', 'barat', 'harga', 'mahal', 'sesuaii', 'kualitas', 'jaringan', 'penurunan', 'kualitas', 'telkomsel']</t>
  </si>
  <si>
    <t>['sinyal', 'telkomsel', 'ngelag', 'mulu', 'parah', 'ngalahin', 'sinyal', 'ajaaa', 'tolong', 'perbaiki', '']</t>
  </si>
  <si>
    <t>['telkomsel', 'bagus', 'manapun', '']</t>
  </si>
  <si>
    <t>['kesini', 'lemot', 'ajh', 'sinyal', 'beli', 'paket', 'unlimited', 'buka', 'gitu', 'unlimited']</t>
  </si>
  <si>
    <t>['turun', 'harga', '']</t>
  </si>
  <si>
    <t>['bagus', 'kadang', 'err']</t>
  </si>
  <si>
    <t>['telkomsel', 'tetep', 'beban', 'main', 'game', 'main', 'game', 'siang', 'kayak', 'berasa', 'pakek', 'sinyal', 'susah', 'walapun', 'sinyal', 'penuh', 'kekuatannya', 'lemah', 'beda', 'kartu', 'sinyal', 'udah', 'enak', 'main', 'game', 'kek', 'telkomsel', 'main', 'merasakan', 'nyaman', 'malam', 'main', 'game', 'gara', 'sinyal', 'telkomsel', 'main', 'game', 'suka', 'ngeleg', 'udah', 'pkek', 'telkomsel', 'semenjak', 'sinyal', 'lemah', 'benci', 'pakek', 'telkoms']</t>
  </si>
  <si>
    <t>['pilihan', 'kouta', 'menarik']</t>
  </si>
  <si>
    <t>['hebat', 'telkom']</t>
  </si>
  <si>
    <t>['mudah', 'aplikasi', '']</t>
  </si>
  <si>
    <t>['sad', 'beli', 'pulsa', 'masuk', '']</t>
  </si>
  <si>
    <t>['good', 'job', 'tolong', 'benerin', 'bos', 'sinyal', 'kadang', 'isi', 'vocher', 'bs', 'heee', 'maap', 'bos', 'kritik']</t>
  </si>
  <si>
    <t>['aplikasi', 'burik']</t>
  </si>
  <si>
    <t>['bagus', 'pilih', 'kuota']</t>
  </si>
  <si>
    <t>['jaringan', 'responnya', 'solusi']</t>
  </si>
  <si>
    <t>['kualitas', 'kaya', 'speedy', 'mkin', 'busuk']</t>
  </si>
  <si>
    <t>['jaringan', 'internet', 'telkomsel', 'stabil', 'promosi', 'jaringan', 'cepat', 'jaringan', 'lelet', 'udah', 'bayar', 'kuota', 'mahal', 'mahal', 'gini', 'jasa', 'layanan', 'kelola', 'bumn', 'alias', 'pemerintah', 'promosi', 'nomor', 'kualitas', 'nol', '']</t>
  </si>
  <si>
    <t>['terimakasih', 'kerjasama']</t>
  </si>
  <si>
    <t>['terimakasih', 'bonusnya']</t>
  </si>
  <si>
    <t>['aplikasi', 'mempermudah', 'mengisi', 'ulang', 'paket', 'data']</t>
  </si>
  <si>
    <t>['pulsa', 'tarik', 'isi', 'ulang']</t>
  </si>
  <si>
    <t>['beli', 'telkomsel', 'dijamin', 'signalnya', 'hilang', 'harga', 'mahal', 'kejelekan', 'terima', 'kasih']</t>
  </si>
  <si>
    <t>['paket', 'multimedia', 'lelet']</t>
  </si>
  <si>
    <t>['pelit', 'bonus', 'poin', 'serba', 'mahal', 'telkomsel', 'serba', 'mahal', 'semoga', 'husnul', 'khatimah', 'anggota', 'telkomsel']</t>
  </si>
  <si>
    <t>['memudahkan', 'pekerjaan', 'terima', 'kasih', 'telkomsel']</t>
  </si>
  <si>
    <t>['aduh', 'sinyal', 'telkomsel', 'desa', 'beringin', 'kecamatan', 'talang', 'muandau', 'kab', 'bengkalis', 'lelet', 'timbul', 'tenggelam', '']</t>
  </si>
  <si>
    <t>['ngk', 'masuk', 'akal', 'jaringan', 'telkomsel', 'udah', 'beli', 'paket', 'data', 'mahal', 'jaringan', 'telkomsel', 'lemot', 'done', 'tolong', 'perbaikin', 'sinyal', 'telkomsel', 'tingglnya', 'kota', 'jaringannya', 'lemot', '']</t>
  </si>
  <si>
    <t>['paket', 'promo', 'syarat', 'ketentuan', 'tolong', 'tulis', 'pakai', 'huruf', 'kapital', 'font', 'kostumer', 'tertipu', 'terlewat', 'membaca', 'membeli', 'produk', 'sungguh', 'memalukan', 'ditulis', 'font']</t>
  </si>
  <si>
    <t>['telkomsel', 'busuk', 'akses', 'internet', 'buruk', 'penawaran', 'mubazir', 'transaksi', 'tertunda', 'gara', 'gara', 'internet', 'diakses']</t>
  </si>
  <si>
    <t>['ancur', 'sistem', 'gangguan', 'perbaikan', 'jaringan', 'apanya', 'ditunggu', 'jam', 'perubahan', 'mending', 'aplikasi', 'deh', 'sistemnya', 'ancur', 'gitu', 'gangguan', 'beli', 'kuota', 'make', 'duit', 'sinyalnya', 'cacat', 'saranin', 'mode', 'pesawat', 'uyutnya', 'kesel', 'banget']</t>
  </si>
  <si>
    <t>['menarik', 'aplikasi']</t>
  </si>
  <si>
    <t>['pengguna', 'telkomsel', 'wajib', 'download', 'aplikasi', 'membantu', 'pembelian', 'paket', 'data', 'pulsa']</t>
  </si>
  <si>
    <t>['mudah', 'dlm', 'bertransaksi']</t>
  </si>
  <si>
    <t>['kasih', 'hoki', 'undian', 'poin', 'donk', 'telkomsel']</t>
  </si>
  <si>
    <t>['menghibur', 'membantu']</t>
  </si>
  <si>
    <t>['sinyalnya', 'kuat']</t>
  </si>
  <si>
    <t>['beli', 'paketan', 'bayar', 'dana', 'takut', 'masuk', 'gimna', 'solusinya', '']</t>
  </si>
  <si>
    <t>['hemat', 'sinyal', 'kuat']</t>
  </si>
  <si>
    <t>['sinyal', 'full', 'kecepatan', 'nol', 'kaya', '']</t>
  </si>
  <si>
    <t>['jaringan', 'bagus', 'banget', 'suka']</t>
  </si>
  <si>
    <t>['kambuh', 'beli', 'kuota', 'telpon', 'seharian', 'telpon', 'sli', 'negeri', 'coba', 'pembelian', 'manual', 'beli', 'paket', 'pilih', 'lokasi', 'lokasi', 'pindah', 'indonesia', 'ngajuin', 'customer', 'servis', 'solusi']</t>
  </si>
  <si>
    <t>['jaringan', 'perbaiki', '']</t>
  </si>
  <si>
    <t>['mengecewakan', 'graha', 'pari', 'telkomsel', 'menggantikan', 'kartu', 'expayer', 'wkwkwk', 'tutup', 'kantor']</t>
  </si>
  <si>
    <t>['oke', 'kasih', 'bintang', '']</t>
  </si>
  <si>
    <t>['membantu', 'tingkatkan', 'teruz', 'bonus', 'hee', 'hee']</t>
  </si>
  <si>
    <t>['telkomsel', 'sinyal', 'ancur']</t>
  </si>
  <si>
    <t>['sinyal', 'oke', 'tpi', 'paketan', 'kasih', 'ringan']</t>
  </si>
  <si>
    <t>['pokok', 'sip']</t>
  </si>
  <si>
    <t>['kasih', 'bintang', 'menunggu', 'kejutan', 'kejutan', 'mytelkomsel']</t>
  </si>
  <si>
    <t>['aplikasi', 'ringan', 'mudah']</t>
  </si>
  <si>
    <t>['semoga', 'lancar', 'terud']</t>
  </si>
  <si>
    <t>['sedot', 'pulsa', 'ajg']</t>
  </si>
  <si>
    <t>['kuat', 'sinyalnya']</t>
  </si>
  <si>
    <t>['sinyal', 'jelek', 'kartu', 'halo', 'harga', 'mahal', 'sinyal', 'jelek']</t>
  </si>
  <si>
    <t>['buka', 'aplikasinya', 'lamaaa']</t>
  </si>
  <si>
    <t>['paket', 'murah', 'bos', 'anak', 'sekolah', 'pandemi']</t>
  </si>
  <si>
    <t>['developer', 'penyebab', 'sinyal', 'internetan', 'dibangka', 'belitung', 'buruk', 'pindah', 'hati', 'kepercayaan', 'konsumen', 'segerah', 'berbenah', 'operator', 'terbaik', 'seindonesia', '']</t>
  </si>
  <si>
    <t>['mas', 'pakai', 'link', 'sms']</t>
  </si>
  <si>
    <t>['dapet', 'paket', 'game', 'gb', 'pas', 'buka', 'game', 'mobile', 'legends', 'nyampe', 'menit', 'pulsa', 'kesedot', 'bilangnya', 'pulsa', 'kesedot', 'pas', 'cek', 'kesedot', 'dasar', 'operator', 'rakus', 'serakah', 'kayak', 'dpr', 'anggota', 'malu', 'normal', 'tersinggung', 'soalny', 'nyinggung', 'dpr', 'korupsi', 'udah', 'kasih', 'gaji', 'ngambil', 'duit', 'rakyat', '']</t>
  </si>
  <si>
    <t>['telkomsel', 'gila', 'main', 'game', 'jaringan', 'lelet', 'kaya', 'kura', 'buka', 'youtube', 'video', 'facebok', 'download', 'dikasih', 'kencang', 'pulsa', 'cepat', 'sedot', 'klw', 'main', 'game', 'dikit', 'datanya', 'anjrit', '']</t>
  </si>
  <si>
    <t>['', 'live', 'chat', 'ribet', 'nanya', 'susah', 'kmnkasi', 'mending', 'gausah', 'pke', 'live', 'chat', 'veronika', 'bnyakan', 'tidur', 'veronikanya']</t>
  </si>
  <si>
    <t>['aplikasi', 'membantu', 'bonus', 'dijanjikan', 'knp', 'kunjung', '']</t>
  </si>
  <si>
    <t>['mantap', 'maju']</t>
  </si>
  <si>
    <t>['kartu', 'babi', 'gara', 'kartu', 'gua', 'main', 'game', 'kalah', 'trus', 'sinyalnya', 'busuk', 'kaya', 'orang', 'kerja', 'telkomsel', 'bau', 'busuk', 'dsar', 'kartu', 'berguna', 'gua', 'sumpahin', 'bangkrut', '']</t>
  </si>
  <si>
    <t>['terbaik', 'promo', 'murah', 'mantap']</t>
  </si>
  <si>
    <t>['kuota', 'utama', 'nyedot', 'pulsa', 'cari', 'duit', 'perbaiki', 'pelanggan', 'kecewa', '']</t>
  </si>
  <si>
    <t>['membantu', 'bagus', 'terimah', 'kasih', '']</t>
  </si>
  <si>
    <t>['mantap', 'membantu', 'pas', 'duitnya']</t>
  </si>
  <si>
    <t>['kasih', 'layanan', 'bagus', 'harga', 'terjangkau']</t>
  </si>
  <si>
    <t>['sinyal', 'kyk', 'taee', 'turunin', 'bintang', 'kesini', 'kwalitas', 'sinyal', 'jelek', 'kecewa', 'parah']</t>
  </si>
  <si>
    <t>['hadiah', 'poin', 'taii', 'mendingan', 'toko', 'sebelah']</t>
  </si>
  <si>
    <t>['tolong', 'kasih', 'diskon', 'murah', 'dok', 'telkomsel', 'udah']</t>
  </si>
  <si>
    <t>['mantap', 'mudahan', 'rezeki', 'tukar', 'point', '']</t>
  </si>
  <si>
    <t>['jaringan', 'bagus', 'pedesaan', 'membantu', 'banget']</t>
  </si>
  <si>
    <t>['jaringan', 'internet', 'down']</t>
  </si>
  <si>
    <t>['suara', 'notifikasi', 'dihilangkan', 'muncul']</t>
  </si>
  <si>
    <t>['semoga', 'kuota', 'utama', 'harganya', 'murah', 'terjangkau', 'sekolah', 'online']</t>
  </si>
  <si>
    <t>['mudah', 'isi', 'kuota', 'bonus', 'kuota', 'chekin', 'harian']</t>
  </si>
  <si>
    <t>['harga', 'paket', 'mahal', 'sinyalnya', 'trouble']</t>
  </si>
  <si>
    <t>['pengguna', 'telkomsel', 'bener', 'kecewa', 'kouta', 'cepet', 'abis', 'paket', 'mahal', 'sinyal', 'kayak', 'asuuu', 'mohon', 'admin', 'perbaikin', 'sinyal', 'kususnya', 'madura', 'pamekasan', 'daerah', 'utara', 'main', 'game', 'liat', 'youtube', 'jelek', 'banget', 'sinyalnya', '']</t>
  </si>
  <si>
    <t>['min', 'tolong', 'berbaiki', 'kuota', 'abis', 'pulsa', 'aman', 'kaya', 'kartu', 'kunci', 'pulsa', 'gitu', 'kasih', 'bintang', 'min', 'udah', 'kunci', 'pulsa', 'kasih', 'bintang', '']</t>
  </si>
  <si>
    <t>['', 'telokmsel', 'membantu', 'mengakses', 'mudah', 'ngak', 'kluar', 'rumah', 'beli', 'paket']</t>
  </si>
  <si>
    <t>['paket', 'mahal', 'sinyal', 'kuat', '']</t>
  </si>
  <si>
    <t>['telkomsel', 'buruk', 'jaringannya', 'kesal']</t>
  </si>
  <si>
    <t>['kasih', 'promo', 'murah', 'pelanggan', 'setia', 'telkomsel']</t>
  </si>
  <si>
    <t>['promonya', 'tingkatkan', 'woy', 'harga', 'paket', 'reguler', 'ubah', 'masak', 'murah', 'koq', 'mahal', 'kasih', 'combo', 'murah', '']</t>
  </si>
  <si>
    <t>['bagus', 'jaringannya']</t>
  </si>
  <si>
    <t>['pelayanan', 'buruk', 'merugikan', 'masyarakat', 'kuota', 'pulsa', 'kepotong', 'komplain', 'pulsa', 'terpotong', 'disuruh', 'beli', 'paket', 'dunia', 'akhirat', 'ikhlas']</t>
  </si>
  <si>
    <t>['main', 'game', 'sing', 'menjelang', 'sore', 'buruk', 'gau', 'kesel', 'kayak', 'gini', 'doain', 'telkomsel', 'bangkrut', 'orang', 'pindah', 'jaringan', 'game', 'afk', 'riport', 'hilang', 'akun', 'gimana', 'susah', 'awas', '']</t>
  </si>
  <si>
    <t>['sekarng', 'lambat', 'bukanya']</t>
  </si>
  <si>
    <t>['promo', 'telkomsel']</t>
  </si>
  <si>
    <t>['paket', 'internet', 'bulanannya', 'mahal', 'skrg']</t>
  </si>
  <si>
    <t>['baek', 'bayar']</t>
  </si>
  <si>
    <t>['tingkatkan', 'telkomsel', 'pulsa', 'isi', 'datax', 'hidup', 'tolong', 'potong', 'pulsanya', 'karna', 'internet', 'paket', 'internet', 'beli', '']</t>
  </si>
  <si>
    <t>['telkomsel', 'skrg', 'klwr', 'sndri', 'app', 'sya', 'trs', 'login', 'pkai', 'nomor', 'masuk', 'wktu', 'poin', 'sya', 'adlh', 'tb', 'hilang', 'anehh', 'dlu', 'klu', 'poin', 'byk', 'ttp', 'wlpn', 'brtmbh', 'hilang', 'kecewa', 'pdhl', 'telkomsel', 'app', 'sya', 'suka', 'dlu', '']</t>
  </si>
  <si>
    <t>['eror', 'mulu', 'kesel']</t>
  </si>
  <si>
    <t>['pembaruannya', 'penuh', 'bug', 'lalot', 'ampun']</t>
  </si>
  <si>
    <t>['jaringan', 'kekuatanya', 'internet', '']</t>
  </si>
  <si>
    <t>['tumbenan', 'telkomsel', 'gabisa', 'dibuka', 'isi', 'pulsa', 'brisonline', 'malam', 'kog', 'pulsa', 'masuk', 'gapernah', 'kek', 'gni', 'pulsa', 'slalu', 'dipotong', 'paketan', 'pulsa', 'simpati', 'pulsa', 'tolong', 'diperbaiki', 'thx', 'uda', 'november', 'telkomsel', 'gangguan', 'yach', 'knapa', 'slalu', 'kluar', 'aplikasi', '']</t>
  </si>
  <si>
    <t>['woi', 'jaringannya', 'leg', 'gimana', '']</t>
  </si>
  <si>
    <t>['pokoe', 'telkomselmh', 'loading', 'posisi', 'perkampunganpun']</t>
  </si>
  <si>
    <t>['jrang', 'gangguan']</t>
  </si>
  <si>
    <t>['mutu', 'kualitas', 'tolong', 'diperbaiki']</t>
  </si>
  <si>
    <t>['menyalahkan', 'pelayanna', 'telkomsel', 'memuaskan', 'memuaskan']</t>
  </si>
  <si>
    <t>['jaringan', 'jelek', 'jelassss']</t>
  </si>
  <si>
    <t>['jujur', 'pengguna', 'kartu', 'telkomsel', 'kecewa', 'jaringannya', 'stabil', 'main', 'game', 'buka', 'aplikasi', 'lemot', 'listrik', 'mati', 'hujan', 'sinyal', 'tolong', 'diperbaiki', 'jaringannya', '']</t>
  </si>
  <si>
    <t>['kren', 'membantu', '']</t>
  </si>
  <si>
    <t>['membosankan']</t>
  </si>
  <si>
    <t>['jaringan', 'telkomsel', 'putus', 'koneksi']</t>
  </si>
  <si>
    <t>['suka', 'apk', 'internet', 'gratis', 'mulu', 'enak', 'tiktokan']</t>
  </si>
  <si>
    <t>['jaringan', 'lelet', '']</t>
  </si>
  <si>
    <t>['bermamfaat']</t>
  </si>
  <si>
    <t>['bagus', 'apk', 'sagat', 'membantu']</t>
  </si>
  <si>
    <t>['jaringan', 'daerah', 'kayak', 'taik', 'konsisten', 'telkomsel', 'mahal', 'doank', 'kualitas', 'anjjjj']</t>
  </si>
  <si>
    <t>['banyakin', 'promo', 'min', 'terimakasih', 'salam', 'pengguna', 'setia', 'telkomsel', '']</t>
  </si>
  <si>
    <t>['tinggal', 'kota', 'serasa', 'tinggal', 'dihutan', 'belantara', 'jaringannya', 'sangattttttttlah', 'bagus', 'jaringan', 'telkom', 'udah', 'bagus', '']</t>
  </si>
  <si>
    <t>['aplikasi', 'berguna', 'membeli', 'paket', 'pulsa', 'sms', 'notifikasi', 'pulsa']</t>
  </si>
  <si>
    <t>['hadiah', 'mendingan', 'langsung', 'partner', 'telkomsel']</t>
  </si>
  <si>
    <t>['pls', 'gratis']</t>
  </si>
  <si>
    <t>['kecewa', 'telkomsel', 'sory', 'make', 'layanan', 'internet', 'telkomsel', 'layanan', 'internet', 'percaya', 'telkomsel', 'bye', 'telkomsel', 'layanan', 'telkomsel', 'telfn', 'menelfn', '']</t>
  </si>
  <si>
    <t>['membantu', 'aplikasi', 'harga', 'ultimated', 'harga', 'ekonomis', 'kejangkau', 'pemakai', 'kartu', 'telkomsel', 'mkasih']</t>
  </si>
  <si>
    <t>['susah', 'ngetikan', 'tlp', 'kali', 'masuk', 'aplikasi', 'beda', 'versi']</t>
  </si>
  <si>
    <t>['marketing', 'penjulan', 'paket', 'data', 'menjebak', 'emang', 'uda', 'pogram', 'klu', 'hbs', 'paket', 'utama', 'super', 'lemot', 'klu', 'diisi', 'paket', 'utama', 'lancar', 'jaya', 'kurangin', 'marketing', 'menjebak', 'kurangin', 'promo', 'menjebak']</t>
  </si>
  <si>
    <t>['udah', 'login', 'via', 'facebook', '']</t>
  </si>
  <si>
    <t>['kendalanya', 'didaerah', 'maksimak']</t>
  </si>
  <si>
    <t>['efisien', 'mudah', 'transaksi']</t>
  </si>
  <si>
    <t>['mudah', 'memilih', 'paket', 'membantu']</t>
  </si>
  <si>
    <t>['pembagian', 'kuota', 'pelayanan', 'beli', 'kuota', 'multimedia', '']</t>
  </si>
  <si>
    <t>['suka', 'bngt', 'apk', 'jga', 'kesel', 'kuota', 'internet', 'pulsanya', 'disedot', 'tolong', 'dikasih', 'fitur', 'kunci', 'pulsa', 'kesedot', 'gitu', 'kuota', 'udah', 'habis', 'sedot', 'pulsa', 'gaada', 'aba', 'aba', 'langsung', 'udah', 'abis', 'pulsanya', 'internetny', 'tolong', 'yaaaaa', 'plisss', 'sedot', 'pulsa', 'sayaaa', 'capek', 'ngisinya']</t>
  </si>
  <si>
    <t>['memudahkan', 'promo']</t>
  </si>
  <si>
    <t>['paket', 'datanya', 'mihil', '']</t>
  </si>
  <si>
    <t>['maaf', 'isi', 'pulsa', 'perpanjang', 'lifetime', 'nomor', 'terlanjur', 'dibutuhkan', 'koment', 'paketnya', 'mahal', 'pilihanya', 'menarik', 'terbatas', 'paket', 'beli', 'mubazir', 'paket', 'omgpun', 'lelet', 'stuck', 'jalan', 'blas', 'beli', 'pulsa', 'kesedot', 'paket', 'data', 'habis', 'karna', 'pulsa', 'terkunci', 'serba', 'salah', 'terlanjur', 'dibeli', 'nomor', 'trima', 'kasih', 'nyesel', 'kartu', 'telkomsel', '']</t>
  </si>
  <si>
    <t>['puas', 'poko', 'kendala']</t>
  </si>
  <si>
    <t>['bagus', 'membantu', 'banyakan', 'promo', '']</t>
  </si>
  <si>
    <t>['', 'jaringan', 'kadang', 'eror', 'ntt']</t>
  </si>
  <si>
    <t>['telkomsel', 'the', 'best', 'smoga', 'dpt', 'hadiah', 'tukar', 'point']</t>
  </si>
  <si>
    <t>['kayaknya', 'ditelkomsel', 'sabotase', 'melakukannya', 'beli', 'paket', 'internet', 'terdaftar', '']</t>
  </si>
  <si>
    <t>['jaringan', 'telkomsel', 'jdi', 'hilang', 'jaringan', 'loading', 'lamaaaa', 'tolong', 'ditingkatkan', 'kualitasnya', 'sebanding', 'harganya']</t>
  </si>
  <si>
    <t>['mantaap', 'jaringan', 'putus']</t>
  </si>
  <si>
    <t>['effektif', 'update', 'terpercaya', 'bagus']</t>
  </si>
  <si>
    <t>['mantap', 'promonya', 'sinyalnya', 'mantap', 'juosss']</t>
  </si>
  <si>
    <t>['ceritanya', 'pulsa', 'paket', 'harian', 'hrga', 'aktifin', 'skitar', 'jam', 'malam', 'habis', 'hape', 'off', 'sampe', 'jam', 'pagi', 'paketin', 'harian', 'cek', 'saldo', 'pulsa', 'habis', 'kejam', 'banget', 'min', 'suka', 'banget', 'potong', 'memotong', 'bye', 'bye', 'telkomsel', '']</t>
  </si>
  <si>
    <t>['jaringan', 'nggk', 'stabil', 'kayak', 'telkomsel', '']</t>
  </si>
  <si>
    <t>['semoga', 'brio']</t>
  </si>
  <si>
    <t>['pulsa', 'save', 'sinyal', 'internet', 'lemah', 'otomatis', 'pulsa', 'terpotong', 'pulsa', 'otomatis', 'habis', '']</t>
  </si>
  <si>
    <t>['terbaik', 'keluarga', 'org', 'miskin', 'makasih']</t>
  </si>
  <si>
    <t>['', 'bintangnya', 'promo', 'menarik', 'kasih', 'bintang', 'paham', '']</t>
  </si>
  <si>
    <t>['kacau', 'isi', 'paket', 'data', 'gangguan', 'sistem', 'perbaiki', 'bener', 'server', 'udah', 'harga', 'paket', 'mahal', 'banget', 'isi', 'paket', 'data', 'susah', 'suruh', 'update', 'perubahan', 'payah', 'banget', '']</t>
  </si>
  <si>
    <t>['membantu', 'trimakasih', 'telkomsel', '']</t>
  </si>
  <si>
    <t>['operator', 'maling', 'pulsa', '']</t>
  </si>
  <si>
    <t>['favorite', 'deh', 'sinyalnya', 'kuat', 'dimana', 'sampe', 'pelosok', 'mantul', 'pokonya', 'telkomsel', '']</t>
  </si>
  <si>
    <t>['pelayanan', 'signal', 'bagus', 'didaerah', 'perkotaan']</t>
  </si>
  <si>
    <t>['pulsa', 'masuk', 'lgsg', 'kesedot', 'detik', 'gara', 'sengaja', 'buka', 'data', 'kuota', 'fyi', 'jaringan', 'bagus', 'maling', 'pulsa']</t>
  </si>
  <si>
    <t>['kasih', 'bintang', 'donk', 'krna', 'pengguna', 'setia', 'cuman', 'kadang', 'suka', 'pilih', 'kasih']</t>
  </si>
  <si>
    <t>['', 'mudah', 'transaksi']</t>
  </si>
  <si>
    <t>['aplikasi', 'memuaskan', 'trim', 'telkomsel']</t>
  </si>
  <si>
    <t>['bagus', 'aplikasi', 'membantu']</t>
  </si>
  <si>
    <t>['promo', 'kuota', 'sngt', 'menyenangkan', 'terima', 'kasihh', 'puas', 'pelayanan', 'mytelkomsel']</t>
  </si>
  <si>
    <t>['pulas', 'haingga', 'gb']</t>
  </si>
  <si>
    <t>['ribet', 'mhn', 'dipermudah', 'layanannya']</t>
  </si>
  <si>
    <t>['permudah', 'aplikasi']</t>
  </si>
  <si>
    <t>['cras', 'parah', 'app', 'klobdibuka', '']</t>
  </si>
  <si>
    <t>['the', 'best', 'isi', 'pulsa', 'beli', 'paket', 'beli', 'pajang', 'apk', 'beli', 'sip', 'sia', 'pulsa', '']</t>
  </si>
  <si>
    <t>['buruk', 'telkomsel']</t>
  </si>
  <si>
    <t>['kartu', 'halo', 'panggilan', 'telkomsel', 'nerima', 'sms', 'notifikasi', '']</t>
  </si>
  <si>
    <t>['verifikasinya', 'tsel', 'tlek']</t>
  </si>
  <si>
    <t>['aplikasi', 'membantu', 'kebutuhan', 'paket', 'telpon', 'data', 'rumah', 'rekomended', 'banget', '']</t>
  </si>
  <si>
    <t>['saldo', 'terpakai', 'otomatis', 'paket', 'kuotanya', 'habis', 'telkomsel', 'notifikasi', 'pelanggan', 'paket', 'kuota', 'tersedia', 'pelanggan', 'bersedia', 'otomatis', 'diambil', 'saldo', 'tersedia']</t>
  </si>
  <si>
    <t>['kuota', 'unlimited', 'youtube', 'mingguan', 'jebakan', 'tetep', 'nyedot', 'kuota', 'utama', 'ketipu', 'nonton', 'pas', 'cek', 'kuota', 'utama', 'ilang', 'gb', 'kuota', 'unlimited', 'youtube', 'mingguan', 'payah', 'kuota', 'game', 'kuota', 'tipu', 'tetep', 'nyedot', 'kuota', 'utama', 'nyedotnya', 'main', 'hahahah', 'curang', 'namanya']</t>
  </si>
  <si>
    <t>['kuota', 'masuknya', 'nagih', 'tagihan', 'langsung', 'cepet']</t>
  </si>
  <si>
    <t>['tolong', 'kualitas', 'jaringan', 'ditingkatkan', 'harga', 'paket', 'turunkan', 'aplikasi', 'membantu', 'cek', 'pulsa', 'kuota', '']</t>
  </si>
  <si>
    <t>['beli', 'paket', 'combo', 'sakti', 'gabisa', 'eror', 'kebeli', 'paket', 'internet', 'malam', '']</t>
  </si>
  <si>
    <t>['mantap', 'pertahankan', 'produknya', 'paket', 'paket', 'hemat', 'murahnya', 'paket', 'data', 'internetnya']</t>
  </si>
  <si>
    <t>['sinyal', 'jelek', 'bts', '']</t>
  </si>
  <si>
    <t>['pelayanan', 'cepat', 'mudah', 'diakses', '']</t>
  </si>
  <si>
    <t>['harga', 'kuota', 'mahal', 'ditambah', 'bermasalah', 'mohon', 'diperbaiki', 'tks', '']</t>
  </si>
  <si>
    <t>['telkomsel', 'pulsa', 'gwe', 'potong', 'mulu', 'lunasi', 'utang', 'gee', 'ngutang', 'please', 'min', 'hentikannya', 'gimana', 'iya', 'beli', 'pulsa', 'kepotong', 'mulu', '']</t>
  </si>
  <si>
    <t>['mahal', 'paket', '']</t>
  </si>
  <si>
    <t>['apl', 'bagus']</t>
  </si>
  <si>
    <t>['tambahin', 'promo']</t>
  </si>
  <si>
    <t>['mudah', 'isi', 'ulang', 'kouta']</t>
  </si>
  <si>
    <t>['gunane', 'pindah', 'pascabayar', 'paketan', 'mahall', 'tgl', 'blum', 'sya', 'limit', 'habis', 'duluan', 'chat', 'pusat', 'bantuan', 'bot', 'lbih', 'enakan', 'oprator', 'sebelahh', 'pketan', 'murah', 'koneksi', 'setabil', '']</t>
  </si>
  <si>
    <t>['app', 'maha', 'berat', 'deh', 'memahami', 'buka', 'doang', 'nyedot', 'datanya', 'inget', 'tuhan', 'udah', 'gitu', 'error', 'interfacenya', 'mbingungin', 'beli', 'pulsa', 'buanyak', 'birokrasinya', 'scroll', 'klik', 'klik', 'klik', 'ngerti', 'siy', 'ribet', 'orang', 'berpaling', 'hati', '']</t>
  </si>
  <si>
    <t>['yng', 'suka', 'paket', 'internet', 'utama', 'udh', 'hbis', 'jdi', 'tinggal', 'unlimited', 'tpi', 'zoom', 'lag', 'suka', 'jdi', 'kamera', 'tertutup', 'ush', 'muka', 'yng', 'jelek', 'tpi', 'mshi', 'denger', 'suara', 'kek', 'gini', 'jdi', 'pindah', 'internet', 'bkalan', 'stay', 'trus']</t>
  </si>
  <si>
    <t>['paket', 'habis', 'main', 'potong', 'pulsa']</t>
  </si>
  <si>
    <t>['internet', 'combo', 'sakti', 'unlimited', 'kouta', 'unlimitednya', 'lemot', 'banget', 'buka', 'tiktok', 'games']</t>
  </si>
  <si>
    <t>['beli', 'paket', 'promo', 'sampek', 'sepuluh', 'kali', 'diproses', 'melulu', 'bug', 'ato', 'gimana', '']</t>
  </si>
  <si>
    <t>['', 'download', 'bagus', 'sdkt', 'pertahankan', 'bagus', 'diperbaiki', '']</t>
  </si>
  <si>
    <t>['lbh', 'ttg', 'info', 'seputar', 'pelayanan', 'telkomsel']</t>
  </si>
  <si>
    <t>['mudah', 'membeli', 'kuota', 'paket', 'telfon', 'terimakasih', 'senang', 'aplikasi', '']</t>
  </si>
  <si>
    <t>['aplikasinya', 'membantu', '']</t>
  </si>
  <si>
    <t>['aplikasinya', 'berhenti', 'mohon', 'perbaiki', 'bintang', 'nyusul', '']</t>
  </si>
  <si>
    <t>['aplikasi', 'bagus', 'rating', 'tertinggi', 'telkomsel']</t>
  </si>
  <si>
    <t>['tingktkan', 'layanan', 'pertahankan']</t>
  </si>
  <si>
    <t>['isi', 'ulng', 'pulsa', 'tpi', 'poin', 'nggak', 'nambah', '']</t>
  </si>
  <si>
    <t>['lancar', 'jaya']</t>
  </si>
  <si>
    <t>['kasih', 'promo', 'min', 'telkomsel']</t>
  </si>
  <si>
    <t>['suka', 'aplikasi', 'membantu', 'kegiatan', 'bisnis', 'sosial']</t>
  </si>
  <si>
    <t>['paket', 'internet', 'malam', 'apk', 'telkomsel']</t>
  </si>
  <si>
    <t>['semoga', 'signal', 'lola']</t>
  </si>
  <si>
    <t>['tolong', 'perbaiki', 'aplikasi', 'telkomsel', 'beli', 'paket', 'daftar', 'paket', 'telkomsel', 'suruh', 'prisak', 'koneksi', 'jaringan', 'bagus', 'terpaksa', 'deh', 'daftar', 'paketnya', 'diaplikasi', 'pokok', 'kasih', 'bintang', 'kerna', 'aplikasinya', 'sekian', 'terima', 'kasih']</t>
  </si>
  <si>
    <t>['bagus', 'lanjutkan']</t>
  </si>
  <si>
    <t>['apknya', 'baguus', 'bngett', 'ndk', 'nyesell', 'install', 'telkomsel', '']</t>
  </si>
  <si>
    <t>['promo', 'gampang', 'aksex']</t>
  </si>
  <si>
    <t>['paketnya', 'mahal', 'mending', 'beli', 'paket', 'lewar', 'sms', 'ajah', 'hehehehehe']</t>
  </si>
  <si>
    <t>['jaringan', 'bagus', 'melebihi', '']</t>
  </si>
  <si>
    <t>['pulsa', 'terpotong', 'perhari', 'rupiah', 'ditambah', 'notif', 'pulsa', 'terpotong', 'berkurang', 'terpakai']</t>
  </si>
  <si>
    <t>['pakt', 'data', 'mahal', 'paket', 'unlimited', 'game', 'akses', 'terimakasih']</t>
  </si>
  <si>
    <t>['puas', 'nomor', 'telkomsel', 'promo', 'murah', 'signalnya', 'tolong', 'diperbaiki', 'tinggal', 'daerah', 'pedesaan', '']</t>
  </si>
  <si>
    <t>['senang', 'gampang']</t>
  </si>
  <si>
    <t>['bertahun', 'telkomsel', '']</t>
  </si>
  <si>
    <t>['aplikasi', 'berguna', 'jangn', 'download']</t>
  </si>
  <si>
    <t>['bagus', 'dapet', 'bonus', 'kuota', '']</t>
  </si>
  <si>
    <t>['bagus', 'mempermudah', 'beli', 'paket', 'isi', 'pulsa']</t>
  </si>
  <si>
    <t>['aplikasi', 'berat', 'lawas', 'kadang', 'display', 'sisa', 'pulsa', 'internet', 'update', 'menyebalkan']</t>
  </si>
  <si>
    <t>['aplikasinya', 'andalan', 'banget', 'beli', 'kuota', 'muncul', 'pemberotahuan', 'cek', 'koneksi', 'ulangi', 'transaksi', 'menit', 'berikitnya', 'coba', 'tolong', 'admin', 'gimana', 'kecewa', 'banget']</t>
  </si>
  <si>
    <t>['membantu', 'paketannyasiip']</t>
  </si>
  <si>
    <t>['terganggu', 'suara', 'notifikasi', 'telkomsel']</t>
  </si>
  <si>
    <t>['top', 'jaringanya', 'banyakin', 'promonya', 'mahal', 'mahal', 'harga', 'paketanya', '']</t>
  </si>
  <si>
    <t>['kemudahan', 'dpt']</t>
  </si>
  <si>
    <t>['tlg', 'dibantu', 'pembelian', 'paket', 'data', 'enak']</t>
  </si>
  <si>
    <t>['kek', 'telkom', 'pakett', 'mahal', 'tpii', 'ngelag', 'truss', '']</t>
  </si>
  <si>
    <t>['berhenti', 'paket', 'internet', 'gimana', 'beli', 'paket', 'internet', 'sisa', 'mb', 'kuota', 'unlimited', 'beli', 'paket', 'internet', 'otomatis', 'kuota', 'jadikan', 'paket', 'beda', 'aktif', 'berpengaruh', 'main', 'game', 'asw', 'ping', 'dlm', 'game', 'nggak', 'stabil', 'customer', 'bot', 'bangkek', 'aktif', 'sisa', 'kuota', 'mb', 'kadaluwarsa', 'sinyal', 'normal', 'main', 'game', 'ping', 'normal', 'nunggu', 'sampe', 'aktif', 'kadaluwarsa', '']</t>
  </si>
  <si>
    <t>['', 'bintang', '']</t>
  </si>
  <si>
    <t>['telkom', 'bumn', 'jaya']</t>
  </si>
  <si>
    <t>['sya', 'penasaran', 'hadiah', 'tukar', 'koin', 'sya', 'buktikan', 'mytelkomsel', 'membagikan', 'hadiah', '']</t>
  </si>
  <si>
    <t>['lumayan', 'bermanfaat']</t>
  </si>
  <si>
    <t>['tolong', 'telkomsel', 'jenis', 'paket', 'data', 'dipromo', 'aplikasi', 'telkomsel', 'harga', 'dipertimbangkan', 'pengguna', 'menangah', 'kebawah', 'merasakan', 'kemahalan', 'segi', 'harganya', 'tolong', 'difikirkan', 'harganya', 'aplikasi', 'telkomsel', '']</t>
  </si>
  <si>
    <t>['tolong', 'update', 'support', 'android', '']</t>
  </si>
  <si>
    <t>['isi', 'aplikasinya', 'informatif', 'semoga', 'disalahgunakan', 'penipuan', '']</t>
  </si>
  <si>
    <t>['perdana', 'gra', 'covid', 'eror', 'jaringan', 'pelanggan', 'bonus', 'tolong', 'wiraswasta', 'bos', '']</t>
  </si>
  <si>
    <t>['penukaran', 'poin', 'gagal']</t>
  </si>
  <si>
    <t>['paket', 'daruratnya', 'mba']</t>
  </si>
  <si>
    <t>['josssss', 'bingit', 'ehh', '']</t>
  </si>
  <si>
    <t>['paket', 'telpon', 'mingguan', 'loop', 'dihapus', 'tsel', 'update', '']</t>
  </si>
  <si>
    <t>['pelayanannya', 'bagus', '']</t>
  </si>
  <si>
    <t>['', 'telkomsel', 'suka', 'promo']</t>
  </si>
  <si>
    <t>['sak', 'ikhlas', 'amin', '']</t>
  </si>
  <si>
    <t>['mahalnya', 'doang', 'kualitas', 'buruk', 'malam', 'jam', 'eror', 'aneh', 'jaringan', 'mati', 'lampu', 'aneh', 'ikutan', 'ilang', 'sinyal', 'aneh', 'bin', 'ajaib', 'mahal', 'doang', 'buruk', '']</t>
  </si>
  <si>
    <t>['hadiahnya', 'banyakin', 'hadiahnya', 'orang', 'merasakan', 'hadiah', 'telkomsel', '']</t>
  </si>
  <si>
    <t>['cek', 'kuota', 'pembelian', 'kuota', 'mudah', 'kadang', 'aplikasi', 'lola', 'tolong', 'tingkat', 'pelayanan']</t>
  </si>
  <si>
    <t>['aplikasi', 'mytelkomsel', 'pas', 'klik', 'loading', 'bingit']</t>
  </si>
  <si>
    <t>['woy', 'telkomsel', 'paket', 'udh', 'pembelian', 'paket', 'tanggal', 'kali', 'nelp', 'suruh', 'nunggu', 'sampe', 'jam', 'hei', 'mimin', 'momon', 'faza', 'tiket', 'aduan', 'czyhag', 'prosessss', 'ngk', 'kejelasan', 'sampe', 'tanggal', 'pengelapan', 'dana', 'say', 'beli', 'paket', 'susah', 'nyari', 'duit', 'ketahan', 'jujur', 'jasa', 'telkomsel', 'balasannya', 'kesel', 'firmansyah']</t>
  </si>
  <si>
    <t>['alhamdulillah', 'simpati', 'peningkatan', 'jelek', 'burik', 'ancur', 'mahal', 'taik', 'alhamdulilah', 'pindah', 'operator', 'inkatan', 'kualitas', 'sinyal', 'simpati', 'main', 'game', 'ngelek', 'parah', 'ancur']</t>
  </si>
  <si>
    <t>['apknya', 'baguuuuuuuus', 'banget', 'kasih', 'bintang', '']</t>
  </si>
  <si>
    <t>['bintang', 'heran', 'paket', 'murah']</t>
  </si>
  <si>
    <t>['berguna', 'banget', 'pengguna', 'telkomsel', 'halo', 'unlimited', 'mengontrol', 'tagihan', 'pemakaian', '']</t>
  </si>
  <si>
    <t>['telkomsel', 'cepat', 'aktifnya', 'kecepatan', 'internetnya', 'ampoen', 'karna', 'nomornya']</t>
  </si>
  <si>
    <t>['set', '']</t>
  </si>
  <si>
    <t>['lumayan', 'pengalaman', 'memakai', 'kartu', 'telkomsel']</t>
  </si>
  <si>
    <t>['aplikasi', 'jelek', 'lalot', 'quota', 'mahal']</t>
  </si>
  <si>
    <t>['listrik', 'padam', 'sinyal', 'hilang', 'hub', 'sulit']</t>
  </si>
  <si>
    <t>['tolong', 'developer', 'koneksinya', 'optimalkan', 'gaming', 'gerimis', 'doang', 'sinyal', 'ilang', 'wifi', 'tolong', 'kek', 'perdana', 'sebelah', 'koneksinya', 'parah', 'tolong', 'optimalkan', 'koneksinya', 'gaming', 'terimakasih']</t>
  </si>
  <si>
    <t>['metode', 'pembelian', 'paket', 'telkomsel', 'aplikasi', 'pulsa', 'pilihan', '']</t>
  </si>
  <si>
    <t>['kren']</t>
  </si>
  <si>
    <t>['kartu', 'nggak', 'berbagi', 'pulsa', 'sdah', 'isi', 'saldo', 'kartux', 'sdah', 'aktif']</t>
  </si>
  <si>
    <t>['paketnya', 'mahal', 'naek', '']</t>
  </si>
  <si>
    <t>['bagilah', 'bantu']</t>
  </si>
  <si>
    <t>['bagus', 'kasih', 'hadiah', 'mobilnya', 'bos', 'nukar', 'pion', 'ndk']</t>
  </si>
  <si>
    <t>['maaf', 'paket', 'data', 'beli', 'beli', 'manual', 'ketik', 'gabisa', 'astagaaa', 'kenapasi', 'telkomsel']</t>
  </si>
  <si>
    <t>['mahal', 'sinyal', 'jelek', 'suka', 'gembosin', 'pulsa', 'payah', 'telkomsel', '']</t>
  </si>
  <si>
    <t>['sinyal', 'simpati', 'game', 'tlpn', 'putus', 'sinyalnya', 'tolong', 'perbaiki', 'sya', 'coba', 'mode', 'manual', 'putus', 'mode', 'otomatis', 'simpati', 'sinyal', 'kampung', 'kota', 'sinyal', 'internet', 'tlpn', 'putus', 'mulu', 'mode', 'pesawat', 'modeh', 'utuh', 'putus',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</si>
</sst>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0"/>
    <col customWidth="1" min="4" max="7" width="8.71"/>
  </cols>
  <sheetData>
    <row r="1">
      <c r="B1" s="1" t="s">
        <v>0</v>
      </c>
      <c r="C1" s="2" t="s">
        <v>1</v>
      </c>
      <c r="D1" s="1" t="s">
        <v>2</v>
      </c>
    </row>
    <row r="2">
      <c r="A2" s="1">
        <v>0.0</v>
      </c>
      <c r="B2" s="3" t="s">
        <v>3</v>
      </c>
      <c r="C2" s="3" t="str">
        <f>IFERROR(__xludf.DUMMYFUNCTION("GOOGLETRANSLATE(B2,""id"",""en"")"),"['Leet', 'paan', 'error', 'system', 'Mulu', 'Delete', 'Download', 'Mulu', 'Login']")</f>
        <v>['Leet', 'paan', 'error', 'system', 'Mulu', 'Delete', 'Download', 'Mulu', 'Login']</v>
      </c>
      <c r="D2" s="3">
        <v>1.0</v>
      </c>
    </row>
    <row r="3">
      <c r="A3" s="1">
        <v>1.0</v>
      </c>
      <c r="B3" s="3" t="s">
        <v>4</v>
      </c>
      <c r="C3" s="3" t="str">
        <f>IFERROR(__xludf.DUMMYFUNCTION("GOOGLETRANSLATE(B3,""id"",""en"")"),"['Useful', 'UTMSY', 'Credit', 'Package', 'Data', 'Out', 'Dipedded', 'Seduced', 'After', 'Filling', 'PSKET', 'DSTA', ' Submission ',' Cost ',' Trima ',' Love ',' Tel ',' Komsel ', ""]")</f>
        <v>['Useful', 'UTMSY', 'Credit', 'Package', 'Data', 'Out', 'Dipedded', 'Seduced', 'After', 'Filling', 'PSKET', 'DSTA', ' Submission ',' Cost ',' Trima ',' Love ',' Tel ',' Komsel ', "]</v>
      </c>
      <c r="D3" s="3">
        <v>5.0</v>
      </c>
    </row>
    <row r="4">
      <c r="A4" s="1">
        <v>2.0</v>
      </c>
      <c r="B4" s="3" t="s">
        <v>5</v>
      </c>
      <c r="C4" s="3" t="str">
        <f>IFERROR(__xludf.DUMMYFUNCTION("GOOGLETRANSLATE(B4,""id"",""en"")"),"['Pas',' quota ',' already ',' dying ',' kesengya ',' kek ',' Lamborgini ',' quota ',' GB ',' KEK ',' Bajii ',' broken ',' Trash ',' Trash ',' Share ',' Lock ',' Min ',' Baw ',' Hanam ',' ']")</f>
        <v>['Pas',' quota ',' already ',' dying ',' kesengya ',' kek ',' Lamborgini ',' quota ',' GB ',' KEK ',' Bajii ',' broken ',' Trash ',' Trash ',' Share ',' Lock ',' Min ',' Baw ',' Hanam ',' ']</v>
      </c>
      <c r="D4" s="3">
        <v>1.0</v>
      </c>
    </row>
    <row r="5">
      <c r="A5" s="1">
        <v>3.0</v>
      </c>
      <c r="B5" s="3" t="s">
        <v>6</v>
      </c>
      <c r="C5" s="3" t="str">
        <f>IFERROR(__xludf.DUMMYFUNCTION("GOOGLETRANSLATE(B5,""id"",""en"")"),"['Please', 'Telkomsel', 'Dida', 'Era', 'Please', 'Network', 'Distilized']")</f>
        <v>['Please', 'Telkomsel', 'Dida', 'Era', 'Please', 'Network', 'Distilized']</v>
      </c>
      <c r="D5" s="3">
        <v>2.0</v>
      </c>
    </row>
    <row r="6">
      <c r="A6" s="1">
        <v>4.0</v>
      </c>
      <c r="B6" s="3" t="s">
        <v>7</v>
      </c>
      <c r="C6" s="3" t="str">
        <f>IFERROR(__xludf.DUMMYFUNCTION("GOOGLETRANSLATE(B6,""id"",""en"")"),"['', 'Region', 'Coast', 'West', 'Lampung', 'Kec', 'works',' airer ',' Telkomsel ',' damaged ',' severe ',' customers', 'switch ',' Indosat ',' network ',' slow ',' qualitations', 'network', 'signal', 'ilang', 'appears',' already ',' worst ',' indosat ']")</f>
        <v>['', 'Region', 'Coast', 'West', 'Lampung', 'Kec', 'works',' airer ',' Telkomsel ',' damaged ',' severe ',' customers', 'switch ',' Indosat ',' network ',' slow ',' qualitations', 'network', 'signal', 'ilang', 'appears',' already ',' worst ',' indosat ']</v>
      </c>
      <c r="D6" s="3">
        <v>1.0</v>
      </c>
    </row>
    <row r="7">
      <c r="A7" s="1">
        <v>5.0</v>
      </c>
      <c r="B7" s="3" t="s">
        <v>8</v>
      </c>
      <c r="C7" s="3" t="str">
        <f>IFERROR(__xludf.DUMMYFUNCTION("GOOGLETRANSLATE(B7,""id"",""en"")"),"['Install', 'pulse', 'ilang']")</f>
        <v>['Install', 'pulse', 'ilang']</v>
      </c>
      <c r="D7" s="3">
        <v>1.0</v>
      </c>
    </row>
    <row r="8">
      <c r="A8" s="1">
        <v>6.0</v>
      </c>
      <c r="B8" s="3" t="s">
        <v>9</v>
      </c>
      <c r="C8" s="3" t="str">
        <f>IFERROR(__xludf.DUMMYFUNCTION("GOOGLETRANSLATE(B8,""id"",""en"")"),"['update', 'application', 'background', 'white', 'appears', ""]")</f>
        <v>['update', 'application', 'background', 'white', 'appears', "]</v>
      </c>
      <c r="D8" s="3">
        <v>1.0</v>
      </c>
    </row>
    <row r="9">
      <c r="A9" s="1">
        <v>7.0</v>
      </c>
      <c r="B9" s="3" t="s">
        <v>10</v>
      </c>
      <c r="C9" s="3" t="str">
        <f>IFERROR(__xludf.DUMMYFUNCTION("GOOGLETRANSLATE(B9,""id"",""en"")"),"['signal', 'good', 'just', 'open', 'telkomsel', 'doang', 'buy', 'package', 'muter', 'mulukk', '']")</f>
        <v>['signal', 'good', 'just', 'open', 'telkomsel', 'doang', 'buy', 'package', 'muter', 'mulukk', '']</v>
      </c>
      <c r="D9" s="3">
        <v>1.0</v>
      </c>
    </row>
    <row r="10">
      <c r="A10" s="1">
        <v>8.0</v>
      </c>
      <c r="B10" s="3" t="s">
        <v>11</v>
      </c>
      <c r="C10" s="3" t="str">
        <f>IFERROR(__xludf.DUMMYFUNCTION("GOOGLETRANSLATE(B10,""id"",""en"")"),"['Telkomsel', 'Jaringa', 'slow', 'emotions', 'open', 'youtobe', 'etc.', 'disappointed', '']")</f>
        <v>['Telkomsel', 'Jaringa', 'slow', 'emotions', 'open', 'youtobe', 'etc.', 'disappointed', '']</v>
      </c>
      <c r="D10" s="3">
        <v>1.0</v>
      </c>
    </row>
    <row r="11">
      <c r="A11" s="1">
        <v>9.0</v>
      </c>
      <c r="B11" s="3" t="s">
        <v>12</v>
      </c>
      <c r="C11" s="3" t="str">
        <f>IFERROR(__xludf.DUMMYFUNCTION("GOOGLETRANSLATE(B11,""id"",""en"")"),"['Appation', 'APDATE', 'TIME', 'APDATE', 'HARD', 'Login', 'Heavy', 'Enter', 'Check', 'Remnant', 'Credit', 'Kouta', ' difficult', '']")</f>
        <v>['Appation', 'APDATE', 'TIME', 'APDATE', 'HARD', 'Login', 'Heavy', 'Enter', 'Check', 'Remnant', 'Credit', 'Kouta', ' difficult', '']</v>
      </c>
      <c r="D11" s="3">
        <v>1.0</v>
      </c>
    </row>
    <row r="12">
      <c r="A12" s="1">
        <v>10.0</v>
      </c>
      <c r="B12" s="3" t="s">
        <v>13</v>
      </c>
      <c r="C12" s="3" t="str">
        <f>IFERROR(__xludf.DUMMYFUNCTION("GOOGLETRANSLATE(B12,""id"",""en"")"),"['', 'Telkomsel', 'Soke', 'Register', 'Package', 'Emergency', 'List', 'Persusually', 'Very', 'ACC', 'APK', ""]")</f>
        <v>['', 'Telkomsel', 'Soke', 'Register', 'Package', 'Emergency', 'List', 'Persusually', 'Very', 'ACC', 'APK', "]</v>
      </c>
      <c r="D12" s="3">
        <v>1.0</v>
      </c>
    </row>
    <row r="13">
      <c r="A13" s="1">
        <v>11.0</v>
      </c>
      <c r="B13" s="3" t="s">
        <v>14</v>
      </c>
      <c r="C13" s="3" t="str">
        <f>IFERROR(__xludf.DUMMYFUNCTION("GOOGLETRANSLATE(B13,""id"",""en"")"),"['', 'evaluation', 'application', 'busy', 'application', 'please', 'repaired', 'bugs', 'open', 'the application', '']")</f>
        <v>['', 'evaluation', 'application', 'busy', 'application', 'please', 'repaired', 'bugs', 'open', 'the application', '']</v>
      </c>
      <c r="D13" s="3">
        <v>1.0</v>
      </c>
    </row>
    <row r="14">
      <c r="A14" s="1">
        <v>12.0</v>
      </c>
      <c r="B14" s="3" t="s">
        <v>15</v>
      </c>
      <c r="C14" s="3" t="str">
        <f>IFERROR(__xludf.DUMMYFUNCTION("GOOGLETRANSLATE(B14,""id"",""en"")"),"['Telkomsel', 'expensive', 'pakek', 'loyal', 'reply', 'area', 'jakarta', 'west', 'clock', 'afternoon', 'hours',' night ',' internet ',' connective ',' change ',' clock ',' minute ',' clock ',' internet ',' connects', 'please', 'Telkomsel', 'heart', 'gener"&amp;"ous',' check ' , 'Area', 'Jakarta', 'West', 'times', 'disorder', 'tower', 'hope', 'response', 'so', 'thank', 'love', ""]")</f>
        <v>['Telkomsel', 'expensive', 'pakek', 'loyal', 'reply', 'area', 'jakarta', 'west', 'clock', 'afternoon', 'hours',' night ',' internet ',' connective ',' change ',' clock ',' minute ',' clock ',' internet ',' connects', 'please', 'Telkomsel', 'heart', 'generous',' check ' , 'Area', 'Jakarta', 'West', 'times', 'disorder', 'tower', 'hope', 'response', 'so', 'thank', 'love', "]</v>
      </c>
      <c r="D14" s="3">
        <v>3.0</v>
      </c>
    </row>
    <row r="15">
      <c r="A15" s="1">
        <v>13.0</v>
      </c>
      <c r="B15" s="3" t="s">
        <v>16</v>
      </c>
      <c r="C15" s="3" t="str">
        <f>IFERROR(__xludf.DUMMYFUNCTION("GOOGLETRANSLATE(B15,""id"",""en"")"),"['Please', 'repaired', 'Points', 'exchanged']")</f>
        <v>['Please', 'repaired', 'Points', 'exchanged']</v>
      </c>
      <c r="D15" s="3">
        <v>4.0</v>
      </c>
    </row>
    <row r="16">
      <c r="A16" s="1">
        <v>14.0</v>
      </c>
      <c r="B16" s="3" t="s">
        <v>17</v>
      </c>
      <c r="C16" s="3" t="str">
        <f>IFERROR(__xludf.DUMMYFUNCTION("GOOGLETRANSLATE(B16,""id"",""en"")"),"['application', 'no', 'open']")</f>
        <v>['application', 'no', 'open']</v>
      </c>
      <c r="D16" s="3">
        <v>1.0</v>
      </c>
    </row>
    <row r="17">
      <c r="A17" s="1">
        <v>15.0</v>
      </c>
      <c r="B17" s="3" t="s">
        <v>18</v>
      </c>
      <c r="C17" s="3" t="str">
        <f>IFERROR(__xludf.DUMMYFUNCTION("GOOGLETRANSLATE(B17,""id"",""en"")"),"['Sorry', 'edition', 'update', 'application', 'white', 'RAM', 'memory', 'please', 'light', 'thank you']")</f>
        <v>['Sorry', 'edition', 'update', 'application', 'white', 'RAM', 'memory', 'please', 'light', 'thank you']</v>
      </c>
      <c r="D17" s="3">
        <v>5.0</v>
      </c>
    </row>
    <row r="18">
      <c r="A18" s="1">
        <v>16.0</v>
      </c>
      <c r="B18" s="3" t="s">
        <v>19</v>
      </c>
      <c r="C18" s="3" t="str">
        <f>IFERROR(__xludf.DUMMYFUNCTION("GOOGLETRANSLATE(B18,""id"",""en"")"),"['knapa', '&lt;br&gt;', 'ugly', 'all', 'hadeeuuh', 'udh', 'already', 'dwonlod', 'try', 'dlu', 'klu', 'like', ' ',' Uinstal ',' deh ',' ']")</f>
        <v>['knapa', '&lt;br&gt;', 'ugly', 'all', 'hadeeuuh', 'udh', 'already', 'dwonlod', 'try', 'dlu', 'klu', 'like', ' ',' Uinstal ',' deh ',' ']</v>
      </c>
      <c r="D18" s="3">
        <v>1.0</v>
      </c>
    </row>
    <row r="19">
      <c r="A19" s="1">
        <v>18.0</v>
      </c>
      <c r="B19" s="3" t="s">
        <v>20</v>
      </c>
      <c r="C19" s="3" t="str">
        <f>IFERROR(__xludf.DUMMYFUNCTION("GOOGLETRANSLATE(B19,""id"",""en"")"),"['Bad', 'Telkomsel', 'encouraging']")</f>
        <v>['Bad', 'Telkomsel', 'encouraging']</v>
      </c>
      <c r="D19" s="3">
        <v>1.0</v>
      </c>
    </row>
    <row r="20">
      <c r="A20" s="1">
        <v>19.0</v>
      </c>
      <c r="B20" s="3" t="s">
        <v>21</v>
      </c>
      <c r="C20" s="3" t="str">
        <f>IFERROR(__xludf.DUMMYFUNCTION("GOOGLETRANSLATE(B20,""id"",""en"")"),"['lag', 'severe', 'no', 'Telkomsel', 'the network', 'difficult', 'wonder', '']")</f>
        <v>['lag', 'severe', 'no', 'Telkomsel', 'the network', 'difficult', 'wonder', '']</v>
      </c>
      <c r="D20" s="3">
        <v>1.0</v>
      </c>
    </row>
    <row r="21" ht="15.75" customHeight="1">
      <c r="A21" s="1">
        <v>20.0</v>
      </c>
      <c r="B21" s="3" t="s">
        <v>22</v>
      </c>
      <c r="C21" s="3" t="str">
        <f>IFERROR(__xludf.DUMMYFUNCTION("GOOGLETRANSLATE(B21,""id"",""en"")"),"['quota', 'local', 'pakek', 'taii', ""]")</f>
        <v>['quota', 'local', 'pakek', 'taii', "]</v>
      </c>
      <c r="D21" s="3">
        <v>5.0</v>
      </c>
    </row>
    <row r="22" ht="15.75" customHeight="1">
      <c r="A22" s="1">
        <v>21.0</v>
      </c>
      <c r="B22" s="3" t="s">
        <v>23</v>
      </c>
      <c r="C22" s="3" t="str">
        <f>IFERROR(__xludf.DUMMYFUNCTION("GOOGLETRANSLATE(B22,""id"",""en"")"),"['network', 'use', 'wifi', 'application', 'open', 'look', 'white', 'application', 'update', 'newest', 'application', 'bapuk', ' Lost ',' Indosat ',' Application ',' Light ']")</f>
        <v>['network', 'use', 'wifi', 'application', 'open', 'look', 'white', 'application', 'update', 'newest', 'application', 'bapuk', ' Lost ',' Indosat ',' Application ',' Light ']</v>
      </c>
      <c r="D22" s="3">
        <v>1.0</v>
      </c>
    </row>
    <row r="23" ht="15.75" customHeight="1">
      <c r="A23" s="1">
        <v>22.0</v>
      </c>
      <c r="B23" s="3" t="s">
        <v>24</v>
      </c>
      <c r="C23" s="3" t="str">
        <f>IFERROR(__xludf.DUMMYFUNCTION("GOOGLETRANSLATE(B23,""id"",""en"")"),"['Dialitukk', 'Good', 'Nambah', 'Severe']")</f>
        <v>['Dialitukk', 'Good', 'Nambah', 'Severe']</v>
      </c>
      <c r="D23" s="3">
        <v>1.0</v>
      </c>
    </row>
    <row r="24" ht="15.75" customHeight="1">
      <c r="A24" s="1">
        <v>23.0</v>
      </c>
      <c r="B24" s="3" t="s">
        <v>25</v>
      </c>
      <c r="C24" s="3" t="str">
        <f>IFERROR(__xludf.DUMMYFUNCTION("GOOGLETRANSLATE(B24,""id"",""en"")"),"['Package', 'multimedia', 'gmna', 'regret', 'already', 'buy', 'mending', 'buy', 'Indosat', 'hurry', 'hurry', 'fix', ' ',' Telkomsel ',' price ',' expensive ',' network ',' ugly ',' kang ',' trick ',' hopefully ',' fast ',' bankrupt ',' deh ']")</f>
        <v>['Package', 'multimedia', 'gmna', 'regret', 'already', 'buy', 'mending', 'buy', 'Indosat', 'hurry', 'hurry', 'fix', ' ',' Telkomsel ',' price ',' expensive ',' network ',' ugly ',' kang ',' trick ',' hopefully ',' fast ',' bankrupt ',' deh ']</v>
      </c>
      <c r="D24" s="3">
        <v>1.0</v>
      </c>
    </row>
    <row r="25" ht="15.75" customHeight="1">
      <c r="A25" s="1">
        <v>25.0</v>
      </c>
      <c r="B25" s="3" t="s">
        <v>26</v>
      </c>
      <c r="C25" s="3" t="str">
        <f>IFERROR(__xludf.DUMMYFUNCTION("GOOGLETRANSLATE(B25,""id"",""en"")"),"['What', 'App', 'opened', 'Color', 'White', 'Doang', 'Web', 'Lemottttt', 'TTTTT', 'Severe']")</f>
        <v>['What', 'App', 'opened', 'Color', 'White', 'Doang', 'Web', 'Lemottttt', 'TTTTT', 'Severe']</v>
      </c>
      <c r="D25" s="3">
        <v>1.0</v>
      </c>
    </row>
    <row r="26" ht="15.75" customHeight="1">
      <c r="A26" s="1">
        <v>26.0</v>
      </c>
      <c r="B26" s="3" t="s">
        <v>27</v>
      </c>
      <c r="C26" s="3" t="str">
        <f>IFERROR(__xludf.DUMMYFUNCTION("GOOGLETRANSLATE(B26,""id"",""en"")"),"['Please', 'repaired', 'see', 'youtube', 'run out', 'quota', 'internet', 'other', 'quota', 'omg', 'no', 'rich', ' Gini ',' clay ',' chat ',' quota ',' omg ',' prioritized ',' diafonya ',' written ',' quota ',' omg ',' youtube ',' etc. ',' Please ' , 'repa"&amp;"ired', 'thank', 'love']")</f>
        <v>['Please', 'repaired', 'see', 'youtube', 'run out', 'quota', 'internet', 'other', 'quota', 'omg', 'no', 'rich', ' Gini ',' clay ',' chat ',' quota ',' omg ',' prioritized ',' diafonya ',' written ',' quota ',' omg ',' youtube ',' etc. ',' Please ' , 'repaired', 'thank', 'love']</v>
      </c>
      <c r="D26" s="3">
        <v>2.0</v>
      </c>
    </row>
    <row r="27" ht="15.75" customHeight="1">
      <c r="A27" s="1">
        <v>27.0</v>
      </c>
      <c r="B27" s="3" t="s">
        <v>28</v>
      </c>
      <c r="C27" s="3" t="str">
        <f>IFERROR(__xludf.DUMMYFUNCTION("GOOGLETRANSLATE(B27,""id"",""en"")"),"['Network', 'slow', 'provider', 'NOT', 'CPET', 'Slow', 'Dipake', 'Dego']")</f>
        <v>['Network', 'slow', 'provider', 'NOT', 'CPET', 'Slow', 'Dipake', 'Dego']</v>
      </c>
      <c r="D27" s="3">
        <v>1.0</v>
      </c>
    </row>
    <row r="28" ht="15.75" customHeight="1">
      <c r="A28" s="1">
        <v>28.0</v>
      </c>
      <c r="B28" s="3" t="s">
        <v>29</v>
      </c>
      <c r="C28" s="3" t="str">
        <f>IFERROR(__xludf.DUMMYFUNCTION("GOOGLETRANSLATE(B28,""id"",""en"")"),"['signal', 'pulp', 'replace', 'location', 'turn', 'comment', 'bls']")</f>
        <v>['signal', 'pulp', 'replace', 'location', 'turn', 'comment', 'bls']</v>
      </c>
      <c r="D28" s="3">
        <v>1.0</v>
      </c>
    </row>
    <row r="29" ht="15.75" customHeight="1">
      <c r="A29" s="1">
        <v>30.0</v>
      </c>
      <c r="B29" s="3" t="s">
        <v>30</v>
      </c>
      <c r="C29" s="3" t="str">
        <f>IFERROR(__xludf.DUMMYFUNCTION("GOOGLETRANSLATE(B29,""id"",""en"")"),"['Cool', 'promo', 'trimakasih']")</f>
        <v>['Cool', 'promo', 'trimakasih']</v>
      </c>
      <c r="D29" s="3">
        <v>5.0</v>
      </c>
    </row>
    <row r="30" ht="15.75" customHeight="1">
      <c r="A30" s="1">
        <v>31.0</v>
      </c>
      <c r="B30" s="3" t="s">
        <v>31</v>
      </c>
      <c r="C30" s="3" t="str">
        <f>IFERROR(__xludf.DUMMYFUNCTION("GOOGLETRANSLATE(B30,""id"",""en"")"),"['process', 'fast', 'transaction', 'purchase', 'data']")</f>
        <v>['process', 'fast', 'transaction', 'purchase', 'data']</v>
      </c>
      <c r="D30" s="3">
        <v>5.0</v>
      </c>
    </row>
    <row r="31" ht="15.75" customHeight="1">
      <c r="A31" s="1">
        <v>32.0</v>
      </c>
      <c r="B31" s="3" t="s">
        <v>32</v>
      </c>
      <c r="C31" s="3" t="str">
        <f>IFERROR(__xludf.DUMMYFUNCTION("GOOGLETRANSLATE(B31,""id"",""en"")"),"['open', 'the application', 'really', 'already', 'awaited', 'minute', 'loading', 'screen', 'white', 'network', 'stable', 'plis',' It's hard, 'adding', 'features', 'features', 'felt', 'heavy', 'loading', 'the application', 'needed', 'really', 'function', '"&amp;"main']")</f>
        <v>['open', 'the application', 'really', 'already', 'awaited', 'minute', 'loading', 'screen', 'white', 'network', 'stable', 'plis',' It's hard, 'adding', 'features', 'features', 'felt', 'heavy', 'loading', 'the application', 'needed', 'really', 'function', 'main']</v>
      </c>
      <c r="D31" s="3">
        <v>2.0</v>
      </c>
    </row>
    <row r="32" ht="15.75" customHeight="1">
      <c r="A32" s="1">
        <v>33.0</v>
      </c>
      <c r="B32" s="3" t="s">
        <v>33</v>
      </c>
      <c r="C32" s="3" t="str">
        <f>IFERROR(__xludf.DUMMYFUNCTION("GOOGLETRANSLATE(B32,""id"",""en"")"),"['difficult', 'enter', 'application', 'package', 'expensive', 'speed', 'internet', 'downhill', 'sad', ""]")</f>
        <v>['difficult', 'enter', 'application', 'package', 'expensive', 'speed', 'internet', 'downhill', 'sad', "]</v>
      </c>
      <c r="D32" s="3">
        <v>1.0</v>
      </c>
    </row>
    <row r="33" ht="15.75" customHeight="1">
      <c r="A33" s="1">
        <v>34.0</v>
      </c>
      <c r="B33" s="3" t="s">
        <v>34</v>
      </c>
      <c r="C33" s="3" t="str">
        <f>IFERROR(__xludf.DUMMYFUNCTION("GOOGLETRANSLATE(B33,""id"",""en"")"),"['', 'simple']")</f>
        <v>['', 'simple']</v>
      </c>
      <c r="D33" s="3">
        <v>5.0</v>
      </c>
    </row>
    <row r="34" ht="15.75" customHeight="1">
      <c r="A34" s="1">
        <v>35.0</v>
      </c>
      <c r="B34" s="3" t="s">
        <v>35</v>
      </c>
      <c r="C34" s="3" t="str">
        <f>IFERROR(__xludf.DUMMYFUNCTION("GOOGLETRANSLATE(B34,""id"",""en"")"),"['Increase', 'Network']")</f>
        <v>['Increase', 'Network']</v>
      </c>
      <c r="D34" s="3">
        <v>3.0</v>
      </c>
    </row>
    <row r="35" ht="15.75" customHeight="1">
      <c r="A35" s="1">
        <v>36.0</v>
      </c>
      <c r="B35" s="3" t="s">
        <v>36</v>
      </c>
      <c r="C35" s="3" t="str">
        <f>IFERROR(__xludf.DUMMYFUNCTION("GOOGLETRANSLATE(B35,""id"",""en"")"),"['steady', 'combo', 'Sakti', 'Sampe', 'ilang', '']")</f>
        <v>['steady', 'combo', 'Sakti', 'Sampe', 'ilang', '']</v>
      </c>
      <c r="D35" s="3">
        <v>5.0</v>
      </c>
    </row>
    <row r="36" ht="15.75" customHeight="1">
      <c r="A36" s="1">
        <v>37.0</v>
      </c>
      <c r="B36" s="3" t="s">
        <v>37</v>
      </c>
      <c r="C36" s="3" t="str">
        <f>IFERROR(__xludf.DUMMYFUNCTION("GOOGLETRANSLATE(B36,""id"",""en"")"),"['loss', 'buy', 'package', 'network', 'road', 'snail', 'slow', 'slow', ""]")</f>
        <v>['loss', 'buy', 'package', 'network', 'road', 'snail', 'slow', 'slow', "]</v>
      </c>
      <c r="D36" s="3">
        <v>1.0</v>
      </c>
    </row>
    <row r="37" ht="15.75" customHeight="1">
      <c r="A37" s="1">
        <v>38.0</v>
      </c>
      <c r="B37" s="3" t="s">
        <v>38</v>
      </c>
      <c r="C37" s="3" t="str">
        <f>IFERROR(__xludf.DUMMYFUNCTION("GOOGLETRANSLATE(B37,""id"",""en"")"),"['Good', 'Please', 'Optimize', 'Notification', 'Sometimes', 'Package', 'Out', 'Notification', 'Enter', ""]")</f>
        <v>['Good', 'Please', 'Optimize', 'Notification', 'Sometimes', 'Package', 'Out', 'Notification', 'Enter', "]</v>
      </c>
      <c r="D37" s="3">
        <v>5.0</v>
      </c>
    </row>
    <row r="38" ht="15.75" customHeight="1">
      <c r="A38" s="1">
        <v>39.0</v>
      </c>
      <c r="B38" s="3" t="s">
        <v>39</v>
      </c>
      <c r="C38" s="3" t="str">
        <f>IFERROR(__xludf.DUMMYFUNCTION("GOOGLETRANSLATE(B38,""id"",""en"")"),"['Telkomsel', 'ugly', 'signal', 'skrng', '']")</f>
        <v>['Telkomsel', 'ugly', 'signal', 'skrng', '']</v>
      </c>
      <c r="D38" s="3">
        <v>1.0</v>
      </c>
    </row>
    <row r="39" ht="15.75" customHeight="1">
      <c r="A39" s="1">
        <v>40.0</v>
      </c>
      <c r="B39" s="3" t="s">
        <v>40</v>
      </c>
      <c r="C39" s="3" t="str">
        <f>IFERROR(__xludf.DUMMYFUNCTION("GOOGLETRANSLATE(B39,""id"",""en"")"),"['knapa', 'right', 'opened', 'color', 'white', 'penisnitah']")</f>
        <v>['knapa', 'right', 'opened', 'color', 'white', 'penisnitah']</v>
      </c>
      <c r="D39" s="3">
        <v>3.0</v>
      </c>
    </row>
    <row r="40" ht="15.75" customHeight="1">
      <c r="A40" s="1">
        <v>41.0</v>
      </c>
      <c r="B40" s="3" t="s">
        <v>41</v>
      </c>
      <c r="C40" s="3" t="str">
        <f>IFERROR(__xludf.DUMMYFUNCTION("GOOGLETRANSLATE(B40,""id"",""en"")"),"['turn', 'update', 'open', 'application', 'ngeblank', 'screen', 'white', 'Telkomsel', 'poor', 'WES']")</f>
        <v>['turn', 'update', 'open', 'application', 'ngeblank', 'screen', 'white', 'Telkomsel', 'poor', 'WES']</v>
      </c>
      <c r="D40" s="3">
        <v>1.0</v>
      </c>
    </row>
    <row r="41" ht="15.75" customHeight="1">
      <c r="A41" s="1">
        <v>42.0</v>
      </c>
      <c r="B41" s="3" t="s">
        <v>42</v>
      </c>
      <c r="C41" s="3" t="str">
        <f>IFERROR(__xludf.DUMMYFUNCTION("GOOGLETRANSLATE(B41,""id"",""en"")"),"['The name', 'stable', 'down']")</f>
        <v>['The name', 'stable', 'down']</v>
      </c>
      <c r="D41" s="3">
        <v>5.0</v>
      </c>
    </row>
    <row r="42" ht="15.75" customHeight="1">
      <c r="A42" s="1">
        <v>43.0</v>
      </c>
      <c r="B42" s="3" t="s">
        <v>43</v>
      </c>
      <c r="C42" s="3" t="str">
        <f>IFERROR(__xludf.DUMMYFUNCTION("GOOGLETRANSLATE(B42,""id"",""en"")"),"['Enter', 'Link', 'Mending', 'Direct', 'enter', 'failed', 'connection', 'pdhl', 'quota', 'star', 'love', ""]")</f>
        <v>['Enter', 'Link', 'Mending', 'Direct', 'enter', 'failed', 'connection', 'pdhl', 'quota', 'star', 'love', "]</v>
      </c>
      <c r="D42" s="3">
        <v>1.0</v>
      </c>
    </row>
    <row r="43" ht="15.75" customHeight="1">
      <c r="A43" s="1">
        <v>44.0</v>
      </c>
      <c r="B43" s="3" t="s">
        <v>44</v>
      </c>
      <c r="C43" s="3" t="str">
        <f>IFERROR(__xludf.DUMMYFUNCTION("GOOGLETRANSLATE(B43,""id"",""en"")"),"['Network', 'ugly', 'Severe', 'Out', 'Customer']")</f>
        <v>['Network', 'ugly', 'Severe', 'Out', 'Customer']</v>
      </c>
      <c r="D43" s="3">
        <v>1.0</v>
      </c>
    </row>
    <row r="44" ht="15.75" customHeight="1">
      <c r="A44" s="1">
        <v>45.0</v>
      </c>
      <c r="B44" s="3" t="s">
        <v>45</v>
      </c>
      <c r="C44" s="3" t="str">
        <f>IFERROR(__xludf.DUMMYFUNCTION("GOOGLETRANSLATE(B44,""id"",""en"")"),"['open', 'Telkomsel', 'all day', 'muter', 'muter', 'open', 'application', 'smooth', 'smooth', 'bad', 'really', 'Telkomsel', ' critical']")</f>
        <v>['open', 'Telkomsel', 'all day', 'muter', 'muter', 'open', 'application', 'smooth', 'smooth', 'bad', 'really', 'Telkomsel', ' critical']</v>
      </c>
      <c r="D44" s="3">
        <v>1.0</v>
      </c>
    </row>
    <row r="45" ht="15.75" customHeight="1">
      <c r="A45" s="1">
        <v>46.0</v>
      </c>
      <c r="B45" s="3" t="s">
        <v>46</v>
      </c>
      <c r="C45" s="3" t="str">
        <f>IFERROR(__xludf.DUMMYFUNCTION("GOOGLETRANSLATE(B45,""id"",""en"")"),"['Nasuk', 'application']")</f>
        <v>['Nasuk', 'application']</v>
      </c>
      <c r="D45" s="3">
        <v>1.0</v>
      </c>
    </row>
    <row r="46" ht="15.75" customHeight="1">
      <c r="A46" s="1">
        <v>47.0</v>
      </c>
      <c r="B46" s="3" t="s">
        <v>47</v>
      </c>
      <c r="C46" s="3" t="str">
        <f>IFERROR(__xludf.DUMMYFUNCTION("GOOGLETRANSLATE(B46,""id"",""en"")"),"['Network', 'missing', 'slow']")</f>
        <v>['Network', 'missing', 'slow']</v>
      </c>
      <c r="D46" s="3">
        <v>1.0</v>
      </c>
    </row>
    <row r="47" ht="15.75" customHeight="1">
      <c r="A47" s="1">
        <v>48.0</v>
      </c>
      <c r="B47" s="3" t="s">
        <v>48</v>
      </c>
      <c r="C47" s="3" t="str">
        <f>IFERROR(__xludf.DUMMYFUNCTION("GOOGLETRANSLATE(B47,""id"",""en"")"),"['Cool', 'Good']")</f>
        <v>['Cool', 'Good']</v>
      </c>
      <c r="D47" s="3">
        <v>5.0</v>
      </c>
    </row>
    <row r="48" ht="15.75" customHeight="1">
      <c r="A48" s="1">
        <v>49.0</v>
      </c>
      <c r="B48" s="3" t="s">
        <v>49</v>
      </c>
      <c r="C48" s="3" t="str">
        <f>IFERROR(__xludf.DUMMYFUNCTION("GOOGLETRANSLATE(B48,""id"",""en"")"),"['Hopefully', 'version', 'the latest', 'slow', 'access']")</f>
        <v>['Hopefully', 'version', 'the latest', 'slow', 'access']</v>
      </c>
      <c r="D48" s="3">
        <v>3.0</v>
      </c>
    </row>
    <row r="49" ht="15.75" customHeight="1">
      <c r="A49" s="1">
        <v>50.0</v>
      </c>
      <c r="B49" s="3" t="s">
        <v>50</v>
      </c>
      <c r="C49" s="3" t="str">
        <f>IFERROR(__xludf.DUMMYFUNCTION("GOOGLETRANSLATE(B49,""id"",""en"")"),"['Disappointed', 'application', 'bbrpa', 'kmrn', 'program', 'check', 'daily', 'udh', 'difficult', 'check', 'quota', 'GB', ' the application ',' error ',' blank ',' white ',' all day ',' kmrn ',' nggk ',' entry ',' strange ',' deliberate ',' like ',' nggk "&amp;"',' loss' , 'TLG', 'Listen', 'complaints', 'Customer', 'thank', 'love']")</f>
        <v>['Disappointed', 'application', 'bbrpa', 'kmrn', 'program', 'check', 'daily', 'udh', 'difficult', 'check', 'quota', 'GB', ' the application ',' error ',' blank ',' white ',' all day ',' kmrn ',' nggk ',' entry ',' strange ',' deliberate ',' like ',' nggk ',' loss' , 'TLG', 'Listen', 'complaints', 'Customer', 'thank', 'love']</v>
      </c>
      <c r="D49" s="3">
        <v>1.0</v>
      </c>
    </row>
    <row r="50" ht="15.75" customHeight="1">
      <c r="A50" s="1">
        <v>51.0</v>
      </c>
      <c r="B50" s="3" t="s">
        <v>51</v>
      </c>
      <c r="C50" s="3" t="str">
        <f>IFERROR(__xludf.DUMMYFUNCTION("GOOGLETRANSLATE(B50,""id"",""en"")"),"['Telkomsel', 'Pig', 'Anying', 'Monkey', 'Satan', 'Signal', 'Lost', 'Terips',' PDAVY ',' Potatoes', 'Kuoata', 'expensive', ' signal ',' error ',' mulu ',' aying ',' balanced ',' price ',' package ',' mending ',' burn ',' telkomsel ',' anyng ',' signal ','"&amp;" error ' , 'then', '']")</f>
        <v>['Telkomsel', 'Pig', 'Anying', 'Monkey', 'Satan', 'Signal', 'Lost', 'Terips',' PDAVY ',' Potatoes', 'Kuoata', 'expensive', ' signal ',' error ',' mulu ',' aying ',' balanced ',' price ',' package ',' mending ',' burn ',' telkomsel ',' anyng ',' signal ',' error ' , 'then', '']</v>
      </c>
      <c r="D50" s="3">
        <v>1.0</v>
      </c>
    </row>
    <row r="51" ht="15.75" customHeight="1">
      <c r="A51" s="1">
        <v>52.0</v>
      </c>
      <c r="B51" s="3" t="s">
        <v>52</v>
      </c>
      <c r="C51" s="3" t="str">
        <f>IFERROR(__xludf.DUMMYFUNCTION("GOOGLETRANSLATE(B51,""id"",""en"")"),"['Love', 'try']")</f>
        <v>['Love', 'try']</v>
      </c>
      <c r="D51" s="3">
        <v>3.0</v>
      </c>
    </row>
    <row r="52" ht="15.75" customHeight="1">
      <c r="A52" s="1">
        <v>53.0</v>
      </c>
      <c r="B52" s="3" t="s">
        <v>53</v>
      </c>
      <c r="C52" s="3" t="str">
        <f>IFERROR(__xludf.DUMMYFUNCTION("GOOGLETRANSLATE(B52,""id"",""en"")"),"['Telkomsel', 'The network', 'repay', 'lgi', 'poor', 'skarang', 'telkomsel', 'tuj', 'network', 'kek', 'eek']")</f>
        <v>['Telkomsel', 'The network', 'repay', 'lgi', 'poor', 'skarang', 'telkomsel', 'tuj', 'network', 'kek', 'eek']</v>
      </c>
      <c r="D52" s="3">
        <v>3.0</v>
      </c>
    </row>
    <row r="53" ht="15.75" customHeight="1">
      <c r="A53" s="1">
        <v>54.0</v>
      </c>
      <c r="B53" s="3" t="s">
        <v>54</v>
      </c>
      <c r="C53" s="3" t="str">
        <f>IFERROR(__xludf.DUMMYFUNCTION("GOOGLETRANSLATE(B53,""id"",""en"")"),"['Sip', 'Satisfied']")</f>
        <v>['Sip', 'Satisfied']</v>
      </c>
      <c r="D53" s="3">
        <v>3.0</v>
      </c>
    </row>
    <row r="54" ht="15.75" customHeight="1">
      <c r="A54" s="1">
        <v>55.0</v>
      </c>
      <c r="B54" s="3" t="s">
        <v>55</v>
      </c>
      <c r="C54" s="3" t="str">
        <f>IFERROR(__xludf.DUMMYFUNCTION("GOOGLETRANSLATE(B54,""id"",""en"")"),"['Please', 'Network', 'Kalimantan', 'South', 'Marabahan', 'Subdistrict', 'Alabak', 'KBPTN', 'Barito', 'Kuala', 'Fix', 'Stable', ' Sunday ',' connection ',' morning ',' noon ',' afternoon ',' down ',' severe ',' entry ',' network ',' edge ',' Kasian ',' si"&amp;"ster ',' study ' , 'Medsos',' connection ',' break up ',' break up ',' family ',' Telkomsel ',' trust ',' network ',' stable ',' please ',' Lahh ',' fix ',' That is all and thank you']")</f>
        <v>['Please', 'Network', 'Kalimantan', 'South', 'Marabahan', 'Subdistrict', 'Alabak', 'KBPTN', 'Barito', 'Kuala', 'Fix', 'Stable', ' Sunday ',' connection ',' morning ',' noon ',' afternoon ',' down ',' severe ',' entry ',' network ',' edge ',' Kasian ',' sister ',' study ' , 'Medsos',' connection ',' break up ',' break up ',' family ',' Telkomsel ',' trust ',' network ',' stable ',' please ',' Lahh ',' fix ',' That is all and thank you']</v>
      </c>
      <c r="D54" s="3">
        <v>1.0</v>
      </c>
    </row>
    <row r="55" ht="15.75" customHeight="1">
      <c r="A55" s="1">
        <v>56.0</v>
      </c>
      <c r="B55" s="3" t="s">
        <v>56</v>
      </c>
      <c r="C55" s="3" t="str">
        <f>IFERROR(__xludf.DUMMYFUNCTION("GOOGLETRANSLATE(B55,""id"",""en"")"),"['min', 'signal', 'UDH', 'Full', 'right', 'open', 'medsos',' game ',' slow ',' really ',' regret ',' really ',' Telkomsel ',' ']")</f>
        <v>['min', 'signal', 'UDH', 'Full', 'right', 'open', 'medsos',' game ',' slow ',' really ',' regret ',' really ',' Telkomsel ',' ']</v>
      </c>
      <c r="D55" s="3">
        <v>1.0</v>
      </c>
    </row>
    <row r="56" ht="15.75" customHeight="1">
      <c r="A56" s="1">
        <v>57.0</v>
      </c>
      <c r="B56" s="3" t="s">
        <v>57</v>
      </c>
      <c r="C56" s="3" t="str">
        <f>IFERROR(__xludf.DUMMYFUNCTION("GOOGLETRANSLATE(B56,""id"",""en"")"),"['buy', 'package', 'expensive', 'expensive', 'carutu', 'expensive', 'network', 'slow', 'detrimental', 'people', 'tomorrow', 'tomorrow', ' Kalok ',' Kek ',' Gini ',' cave ',' broken ',' karu ',' cave ',' card ',' telkom ',' cell ']")</f>
        <v>['buy', 'package', 'expensive', 'expensive', 'carutu', 'expensive', 'network', 'slow', 'detrimental', 'people', 'tomorrow', 'tomorrow', ' Kalok ',' Kek ',' Gini ',' cave ',' broken ',' karu ',' cave ',' card ',' telkom ',' cell ']</v>
      </c>
      <c r="D56" s="3">
        <v>2.0</v>
      </c>
    </row>
    <row r="57" ht="15.75" customHeight="1">
      <c r="A57" s="1">
        <v>58.0</v>
      </c>
      <c r="B57" s="3" t="s">
        <v>58</v>
      </c>
      <c r="C57" s="3" t="str">
        <f>IFERROR(__xludf.DUMMYFUNCTION("GOOGLETRANSLATE(B57,""id"",""en"")"),"['Sometimes', 'network', 'stable']")</f>
        <v>['Sometimes', 'network', 'stable']</v>
      </c>
      <c r="D57" s="3">
        <v>2.0</v>
      </c>
    </row>
    <row r="58" ht="15.75" customHeight="1">
      <c r="A58" s="1">
        <v>59.0</v>
      </c>
      <c r="B58" s="3" t="s">
        <v>59</v>
      </c>
      <c r="C58" s="3" t="str">
        <f>IFERROR(__xludf.DUMMYFUNCTION("GOOGLETRANSLATE(B58,""id"",""en"")"),"['signal', 'ugly', 'network', 'like', 'down', 'stable', 'lost', 'signal', 'already', 'chat', 'admin', 'via', ' instructions', 'admin', 'admin', 'disruption', 'signal', 'area', 'signal', 'slow', 'stable', 'considered', 'Telkomsel', 'taik']")</f>
        <v>['signal', 'ugly', 'network', 'like', 'down', 'stable', 'lost', 'signal', 'already', 'chat', 'admin', 'via', ' instructions', 'admin', 'admin', 'disruption', 'signal', 'area', 'signal', 'slow', 'stable', 'considered', 'Telkomsel', 'taik']</v>
      </c>
      <c r="D58" s="3">
        <v>1.0</v>
      </c>
    </row>
    <row r="59" ht="15.75" customHeight="1">
      <c r="A59" s="1">
        <v>60.0</v>
      </c>
      <c r="B59" s="3" t="s">
        <v>60</v>
      </c>
      <c r="C59" s="3" t="str">
        <f>IFERROR(__xludf.DUMMYFUNCTION("GOOGLETRANSLATE(B59,""id"",""en"")"),"['Network', 'slow', 'pulse', 'like', 'cut', 'understand']")</f>
        <v>['Network', 'slow', 'pulse', 'like', 'cut', 'understand']</v>
      </c>
      <c r="D59" s="3">
        <v>1.0</v>
      </c>
    </row>
    <row r="60" ht="15.75" customHeight="1">
      <c r="A60" s="1">
        <v>61.0</v>
      </c>
      <c r="B60" s="3" t="s">
        <v>61</v>
      </c>
      <c r="C60" s="3" t="str">
        <f>IFERROR(__xludf.DUMMYFUNCTION("GOOGLETRANSLATE(B60,""id"",""en"")"),"['already', 'slow', 'rules', 'ribet']")</f>
        <v>['already', 'slow', 'rules', 'ribet']</v>
      </c>
      <c r="D60" s="3">
        <v>1.0</v>
      </c>
    </row>
    <row r="61" ht="15.75" customHeight="1">
      <c r="A61" s="1">
        <v>62.0</v>
      </c>
      <c r="B61" s="3" t="s">
        <v>62</v>
      </c>
      <c r="C61" s="3" t="str">
        <f>IFERROR(__xludf.DUMMYFUNCTION("GOOGLETRANSLATE(B61,""id"",""en"")"),"['Network', 'Internet', 'Tsel', 'Lemot', 'Gaes', ""]")</f>
        <v>['Network', 'Internet', 'Tsel', 'Lemot', 'Gaes', "]</v>
      </c>
      <c r="D61" s="3">
        <v>1.0</v>
      </c>
    </row>
    <row r="62" ht="15.75" customHeight="1">
      <c r="A62" s="1">
        <v>63.0</v>
      </c>
      <c r="B62" s="3" t="s">
        <v>63</v>
      </c>
      <c r="C62" s="3" t="str">
        <f>IFERROR(__xludf.DUMMYFUNCTION("GOOGLETRANSLATE(B62,""id"",""en"")"),"['Network', 'my area', 'bad', '']")</f>
        <v>['Network', 'my area', 'bad', '']</v>
      </c>
      <c r="D62" s="3">
        <v>2.0</v>
      </c>
    </row>
    <row r="63" ht="15.75" customHeight="1">
      <c r="A63" s="1">
        <v>64.0</v>
      </c>
      <c r="B63" s="3" t="s">
        <v>64</v>
      </c>
      <c r="C63" s="3" t="str">
        <f>IFERROR(__xludf.DUMMYFUNCTION("GOOGLETRANSLATE(B63,""id"",""en"")"),"['Application', 'Telkomsel', 'Opened', 'Blank', 'Doang', ""]")</f>
        <v>['Application', 'Telkomsel', 'Opened', 'Blank', 'Doang', "]</v>
      </c>
      <c r="D63" s="3">
        <v>1.0</v>
      </c>
    </row>
    <row r="64" ht="15.75" customHeight="1">
      <c r="A64" s="1">
        <v>65.0</v>
      </c>
      <c r="B64" s="3" t="s">
        <v>65</v>
      </c>
      <c r="C64" s="3" t="str">
        <f>IFERROR(__xludf.DUMMYFUNCTION("GOOGLETRANSLATE(B64,""id"",""en"")"),"['', 'users',' provider ',' Telkomsel ',' yrs', 'belkangan', 'ngahasain', 'network', 'telkom', 'right', 'ugly', 'really', 'disappointed ',' users', 'provider', 'Telkomsel', 'here', 'network', 'slow', 'buy', 'package', 'data', 'package', 'divided']")</f>
        <v>['', 'users',' provider ',' Telkomsel ',' yrs', 'belkangan', 'ngahasain', 'network', 'telkom', 'right', 'ugly', 'really', 'disappointed ',' users', 'provider', 'Telkomsel', 'here', 'network', 'slow', 'buy', 'package', 'data', 'package', 'divided']</v>
      </c>
      <c r="D64" s="3">
        <v>1.0</v>
      </c>
    </row>
    <row r="65" ht="15.75" customHeight="1">
      <c r="A65" s="1">
        <v>66.0</v>
      </c>
      <c r="B65" s="3" t="s">
        <v>66</v>
      </c>
      <c r="C65" s="3" t="str">
        <f>IFERROR(__xludf.DUMMYFUNCTION("GOOGLETRANSLATE(B65,""id"",""en"")"),"['disappointing', 'package', 'MSIH', 'BNYK', 'TPI', 'Network', 'Jelly', 'Cupu', 'Package', 'Doang', 'Expensive', 'Network', ' ugly ',' Mending ',' Indosat ',' Cupu ',' Telkomsel ', ""]")</f>
        <v>['disappointing', 'package', 'MSIH', 'BNYK', 'TPI', 'Network', 'Jelly', 'Cupu', 'Package', 'Doang', 'Expensive', 'Network', ' ugly ',' Mending ',' Indosat ',' Cupu ',' Telkomsel ', "]</v>
      </c>
      <c r="D65" s="3">
        <v>1.0</v>
      </c>
    </row>
    <row r="66" ht="15.75" customHeight="1">
      <c r="A66" s="1">
        <v>67.0</v>
      </c>
      <c r="B66" s="3" t="s">
        <v>67</v>
      </c>
      <c r="C66" s="3" t="str">
        <f>IFERROR(__xludf.DUMMYFUNCTION("GOOGLETRANSLATE(B66,""id"",""en"")"),"['dilapidated', 'ugly', 'slow']")</f>
        <v>['dilapidated', 'ugly', 'slow']</v>
      </c>
      <c r="D66" s="3">
        <v>1.0</v>
      </c>
    </row>
    <row r="67" ht="15.75" customHeight="1">
      <c r="A67" s="1">
        <v>68.0</v>
      </c>
      <c r="B67" s="3" t="s">
        <v>68</v>
      </c>
      <c r="C67" s="3" t="str">
        <f>IFERROR(__xludf.DUMMYFUNCTION("GOOGLETRANSLATE(B67,""id"",""en"")"),"['Severe', 'APK', 'Add', 'Good']")</f>
        <v>['Severe', 'APK', 'Add', 'Good']</v>
      </c>
      <c r="D67" s="3">
        <v>1.0</v>
      </c>
    </row>
    <row r="68" ht="15.75" customHeight="1">
      <c r="A68" s="1">
        <v>69.0</v>
      </c>
      <c r="B68" s="3" t="s">
        <v>69</v>
      </c>
      <c r="C68" s="3" t="str">
        <f>IFERROR(__xludf.DUMMYFUNCTION("GOOGLETRANSLATE(B68,""id"",""en"")"),"['network', 'Telkomsel', 'slow', 'good', 'bail', 'closed', 'network', 'telkomsel', 'replace', 'rich', 'gini', 'fan', ' cards', 'dumped', 'bnyk', 'network', 'slow']")</f>
        <v>['network', 'Telkomsel', 'slow', 'good', 'bail', 'closed', 'network', 'telkomsel', 'replace', 'rich', 'gini', 'fan', ' cards', 'dumped', 'bnyk', 'network', 'slow']</v>
      </c>
      <c r="D68" s="3">
        <v>1.0</v>
      </c>
    </row>
    <row r="69" ht="15.75" customHeight="1">
      <c r="A69" s="1">
        <v>70.0</v>
      </c>
      <c r="B69" s="3" t="s">
        <v>70</v>
      </c>
      <c r="C69" s="3" t="str">
        <f>IFERROR(__xludf.DUMMYFUNCTION("GOOGLETRANSLATE(B69,""id"",""en"")"),"['Good', 'smooth', '']")</f>
        <v>['Good', 'smooth', '']</v>
      </c>
      <c r="D69" s="3">
        <v>5.0</v>
      </c>
    </row>
    <row r="70" ht="15.75" customHeight="1">
      <c r="A70" s="1">
        <v>71.0</v>
      </c>
      <c r="B70" s="3" t="s">
        <v>71</v>
      </c>
      <c r="C70" s="3" t="str">
        <f>IFERROR(__xludf.DUMMYFUNCTION("GOOGLETRANSLATE(B70,""id"",""en"")"),"['Telkomsel', 'Telkomsel', 'Network', 'Internet', 'Riau', 'sub-district', 'Tasik', 'Putri', 'Puyu', 'ugly', 'Please', 'Help', ' Please ',' Sorry ',' polite ']")</f>
        <v>['Telkomsel', 'Telkomsel', 'Network', 'Internet', 'Riau', 'sub-district', 'Tasik', 'Putri', 'Puyu', 'ugly', 'Please', 'Help', ' Please ',' Sorry ',' polite ']</v>
      </c>
      <c r="D70" s="3">
        <v>1.0</v>
      </c>
    </row>
    <row r="71" ht="15.75" customHeight="1">
      <c r="A71" s="1">
        <v>72.0</v>
      </c>
      <c r="B71" s="3" t="s">
        <v>72</v>
      </c>
      <c r="C71" s="3" t="str">
        <f>IFERROR(__xludf.DUMMYFUNCTION("GOOGLETRANSLATE(B71,""id"",""en"")"),"['pulp', 'RAM', 'Open', 'APK', 'FAILURE', 'Mulu', 'Sousal', 'The application', ""]")</f>
        <v>['pulp', 'RAM', 'Open', 'APK', 'FAILURE', 'Mulu', 'Sousal', 'The application', "]</v>
      </c>
      <c r="D71" s="3">
        <v>1.0</v>
      </c>
    </row>
    <row r="72" ht="15.75" customHeight="1">
      <c r="A72" s="1">
        <v>73.0</v>
      </c>
      <c r="B72" s="3" t="s">
        <v>73</v>
      </c>
      <c r="C72" s="3" t="str">
        <f>IFERROR(__xludf.DUMMYFUNCTION("GOOGLETRANSLATE(B72,""id"",""en"")"),"['Telkomsel', 'bad', 'network', 'play', 'monton', 'lost', 'ugly', 'fix', 'region', 'Banyumas', 'Java', 'Jatilawang']")</f>
        <v>['Telkomsel', 'bad', 'network', 'play', 'monton', 'lost', 'ugly', 'fix', 'region', 'Banyumas', 'Java', 'Jatilawang']</v>
      </c>
      <c r="D72" s="3">
        <v>1.0</v>
      </c>
    </row>
    <row r="73" ht="15.75" customHeight="1">
      <c r="A73" s="1">
        <v>74.0</v>
      </c>
      <c r="B73" s="3" t="s">
        <v>74</v>
      </c>
      <c r="C73" s="3" t="str">
        <f>IFERROR(__xludf.DUMMYFUNCTION("GOOGLETRANSLATE(B73,""id"",""en"")"),"['buy', 'pulse', 'sucked', 'how', 'min', ""]")</f>
        <v>['buy', 'pulse', 'sucked', 'how', 'min', "]</v>
      </c>
      <c r="D73" s="3">
        <v>2.0</v>
      </c>
    </row>
    <row r="74" ht="15.75" customHeight="1">
      <c r="A74" s="1">
        <v>75.0</v>
      </c>
      <c r="B74" s="3" t="s">
        <v>75</v>
      </c>
      <c r="C74" s="3" t="str">
        <f>IFERROR(__xludf.DUMMYFUNCTION("GOOGLETRANSLATE(B74,""id"",""en"")"),"['Kumemaki', 'annoyed', 'network', 'slow', 'move', 'Ajalah', 'UDH', 'buy', 'package', 'expensive', 'buy', 'package', ' Disney ',' Watch ',' Muter ',' Doank ',' Road ',' Upset ',' Udh ',' Discard ',' Money ',' Buy ',' Package ',' Over ', ""]")</f>
        <v>['Kumemaki', 'annoyed', 'network', 'slow', 'move', 'Ajalah', 'UDH', 'buy', 'package', 'expensive', 'buy', 'package', ' Disney ',' Watch ',' Muter ',' Doank ',' Road ',' Upset ',' Udh ',' Discard ',' Money ',' Buy ',' Package ',' Over ', "]</v>
      </c>
      <c r="D74" s="3">
        <v>1.0</v>
      </c>
    </row>
    <row r="75" ht="15.75" customHeight="1">
      <c r="A75" s="1">
        <v>76.0</v>
      </c>
      <c r="B75" s="3" t="s">
        <v>76</v>
      </c>
      <c r="C75" s="3" t="str">
        <f>IFERROR(__xludf.DUMMYFUNCTION("GOOGLETRANSLATE(B75,""id"",""en"")"),"['speed', 'internet', 'minimal', 'sometimes',' disappears', 'purchase', 'quota', 'application', 'slow', 'response', 'reading', 'purchase', ' Successful ',' Minutes', 'appears',' SMS ',' Cut it ',' Credit ',' check ',' Application ',' Shield ',' Quota ',' "&amp;"Success', 'quota', 'zero' , '']")</f>
        <v>['speed', 'internet', 'minimal', 'sometimes',' disappears', 'purchase', 'quota', 'application', 'slow', 'response', 'reading', 'purchase', ' Successful ',' Minutes', 'appears',' SMS ',' Cut it ',' Credit ',' check ',' Application ',' Shield ',' Quota ',' Success', 'quota', 'zero' , '']</v>
      </c>
      <c r="D75" s="3">
        <v>2.0</v>
      </c>
    </row>
    <row r="76" ht="15.75" customHeight="1">
      <c r="A76" s="1">
        <v>77.0</v>
      </c>
      <c r="B76" s="3" t="s">
        <v>77</v>
      </c>
      <c r="C76" s="3" t="str">
        <f>IFERROR(__xludf.DUMMYFUNCTION("GOOGLETRANSLATE(B76,""id"",""en"")"),"['Telkomsel', 'sick', 'soul', 'ksini', 'sick', 'network', 'quality', 'rich', 'gini', 'ajah', 'please', 'fix']")</f>
        <v>['Telkomsel', 'sick', 'soul', 'ksini', 'sick', 'network', 'quality', 'rich', 'gini', 'ajah', 'please', 'fix']</v>
      </c>
      <c r="D76" s="3">
        <v>1.0</v>
      </c>
    </row>
    <row r="77" ht="15.75" customHeight="1">
      <c r="A77" s="1">
        <v>79.0</v>
      </c>
      <c r="B77" s="3" t="s">
        <v>78</v>
      </c>
      <c r="C77" s="3" t="str">
        <f>IFERROR(__xludf.DUMMYFUNCTION("GOOGLETRANSLATE(B77,""id"",""en"")"),"['network', 'Telkomsel', 'bad', 'disappointing', 'annoyed', 'please', 'fix', '']")</f>
        <v>['network', 'Telkomsel', 'bad', 'disappointing', 'annoyed', 'please', 'fix', '']</v>
      </c>
      <c r="D77" s="3">
        <v>1.0</v>
      </c>
    </row>
    <row r="78" ht="15.75" customHeight="1">
      <c r="A78" s="1">
        <v>80.0</v>
      </c>
      <c r="B78" s="3" t="s">
        <v>79</v>
      </c>
      <c r="C78" s="3" t="str">
        <f>IFERROR(__xludf.DUMMYFUNCTION("GOOGLETRANSLATE(B78,""id"",""en"")"),"['Hurried', 'package', 'like', 'changed', 'change', 'expensive', 'quality', 'bad', 'gini', 'name', 'BUMN', ""]")</f>
        <v>['Hurried', 'package', 'like', 'changed', 'change', 'expensive', 'quality', 'bad', 'gini', 'name', 'BUMN', "]</v>
      </c>
      <c r="D78" s="3">
        <v>1.0</v>
      </c>
    </row>
    <row r="79" ht="15.75" customHeight="1">
      <c r="A79" s="1">
        <v>81.0</v>
      </c>
      <c r="B79" s="3" t="s">
        <v>80</v>
      </c>
      <c r="C79" s="3" t="str">
        <f>IFERROR(__xludf.DUMMYFUNCTION("GOOGLETRANSLATE(B79,""id"",""en"")"),"['Credit', 'cave', 'buy', 'package', 'GB', 'abis', 'pulses', 'meaning', 'how', 'Telkomsel', 'already', 'tute', 'tricks']")</f>
        <v>['Credit', 'cave', 'buy', 'package', 'GB', 'abis', 'pulses', 'meaning', 'how', 'Telkomsel', 'already', 'tute', 'tricks']</v>
      </c>
      <c r="D79" s="3">
        <v>1.0</v>
      </c>
    </row>
    <row r="80" ht="15.75" customHeight="1">
      <c r="A80" s="1">
        <v>82.0</v>
      </c>
      <c r="B80" s="3" t="s">
        <v>81</v>
      </c>
      <c r="C80" s="3" t="str">
        <f>IFERROR(__xludf.DUMMYFUNCTION("GOOGLETRANSLATE(B80,""id"",""en"")"),"['Please', 'Telkomsel', 'How', 'Error', 'Kah', 'Application', 'Open', 'Urgent', 'BGTTT', 'Packagein', 'Tomorrow', 'Deuteronomy', ' ']")</f>
        <v>['Please', 'Telkomsel', 'How', 'Error', 'Kah', 'Application', 'Open', 'Urgent', 'BGTTT', 'Packagein', 'Tomorrow', 'Deuteronomy', ' ']</v>
      </c>
      <c r="D80" s="3">
        <v>1.0</v>
      </c>
    </row>
    <row r="81" ht="15.75" customHeight="1">
      <c r="A81" s="1">
        <v>83.0</v>
      </c>
      <c r="B81" s="3" t="s">
        <v>82</v>
      </c>
      <c r="C81" s="3" t="str">
        <f>IFERROR(__xludf.DUMMYFUNCTION("GOOGLETRANSLATE(B81,""id"",""en"")"),"['Meet', 'Network', 'Telkomsel', 'leg', 'really', 'maklumim', 'deh', 'telkomsel', 'use', 'person', 'makenya', 'Telkomsel', ' compensible ',' a day ',' entry ',' white ',' no ',' appears', 'appears',' kek ',' that's', 'Telkomsel', 'Please', 'fix']")</f>
        <v>['Meet', 'Network', 'Telkomsel', 'leg', 'really', 'maklumim', 'deh', 'telkomsel', 'use', 'person', 'makenya', 'Telkomsel', ' compensible ',' a day ',' entry ',' white ',' no ',' appears', 'appears',' kek ',' that's', 'Telkomsel', 'Please', 'fix']</v>
      </c>
      <c r="D81" s="3">
        <v>5.0</v>
      </c>
    </row>
    <row r="82" ht="15.75" customHeight="1">
      <c r="A82" s="1">
        <v>85.0</v>
      </c>
      <c r="B82" s="3" t="s">
        <v>83</v>
      </c>
      <c r="C82" s="3" t="str">
        <f>IFERROR(__xludf.DUMMYFUNCTION("GOOGLETRANSLATE(B82,""id"",""en"")"),"['Disappointed', 'Very', 'Telkomsel', 'Account', 'Login', 'Error', 'Mulu', 'Sampek', 'Many', 'Time', 'Install', 'Tetep', ' Err ',' Please ',' Update ']")</f>
        <v>['Disappointed', 'Very', 'Telkomsel', 'Account', 'Login', 'Error', 'Mulu', 'Sampek', 'Many', 'Time', 'Install', 'Tetep', ' Err ',' Please ',' Update ']</v>
      </c>
      <c r="D82" s="3">
        <v>2.0</v>
      </c>
    </row>
    <row r="83" ht="15.75" customHeight="1">
      <c r="A83" s="1">
        <v>86.0</v>
      </c>
      <c r="B83" s="3" t="s">
        <v>84</v>
      </c>
      <c r="C83" s="3" t="str">
        <f>IFERROR(__xludf.DUMMYFUNCTION("GOOGLETRANSLATE(B83,""id"",""en"")"),"['Severe', 'really', 'Package', 'MyTelkomsel', 'promo', 'boarding', 'MyTelkomsel', 'convenience', 'user', 'cheap', 'buy', 'package', ' package ',' cheap ',' purchase ',' surge ',' price ',' significant ',' miris', 'please', 'related', 'fix', 'search', 'ro"&amp;"ad', 'best' , 'so', '']")</f>
        <v>['Severe', 'really', 'Package', 'MyTelkomsel', 'promo', 'boarding', 'MyTelkomsel', 'convenience', 'user', 'cheap', 'buy', 'package', ' package ',' cheap ',' purchase ',' surge ',' price ',' significant ',' miris', 'please', 'related', 'fix', 'search', 'road', 'best' , 'so', '']</v>
      </c>
      <c r="D83" s="3">
        <v>2.0</v>
      </c>
    </row>
    <row r="84" ht="15.75" customHeight="1">
      <c r="A84" s="1">
        <v>87.0</v>
      </c>
      <c r="B84" s="3" t="s">
        <v>85</v>
      </c>
      <c r="C84" s="3" t="str">
        <f>IFERROR(__xludf.DUMMYFUNCTION("GOOGLETRANSLATE(B84,""id"",""en"")"),"['Try', 'Nukar', 'Points', 'Really', 'Gift', 'Bismillah', '']")</f>
        <v>['Try', 'Nukar', 'Points', 'Really', 'Gift', 'Bismillah', '']</v>
      </c>
      <c r="D84" s="3">
        <v>5.0</v>
      </c>
    </row>
    <row r="85" ht="15.75" customHeight="1">
      <c r="A85" s="1">
        <v>88.0</v>
      </c>
      <c r="B85" s="3" t="s">
        <v>86</v>
      </c>
      <c r="C85" s="3" t="str">
        <f>IFERROR(__xludf.DUMMYFUNCTION("GOOGLETRANSLATE(B85,""id"",""en"")"),"['Open', 'Apliaty', 'Blank', 'White', 'HR', 'Reinstall', 'Apliation', 'TTP', 'SMA', 'Please', 'Help', ""]")</f>
        <v>['Open', 'Apliaty', 'Blank', 'White', 'HR', 'Reinstall', 'Apliation', 'TTP', 'SMA', 'Please', 'Help', "]</v>
      </c>
      <c r="D85" s="3">
        <v>2.0</v>
      </c>
    </row>
    <row r="86" ht="15.75" customHeight="1">
      <c r="A86" s="1">
        <v>89.0</v>
      </c>
      <c r="B86" s="3" t="s">
        <v>87</v>
      </c>
      <c r="C86" s="3" t="str">
        <f>IFERROR(__xludf.DUMMYFUNCTION("GOOGLETRANSLATE(B86,""id"",""en"")"),"['Application', 'Heavy', 'Error']")</f>
        <v>['Application', 'Heavy', 'Error']</v>
      </c>
      <c r="D86" s="3">
        <v>3.0</v>
      </c>
    </row>
    <row r="87" ht="15.75" customHeight="1">
      <c r="A87" s="1">
        <v>90.0</v>
      </c>
      <c r="B87" s="3" t="s">
        <v>88</v>
      </c>
      <c r="C87" s="3" t="str">
        <f>IFERROR(__xludf.DUMMYFUNCTION("GOOGLETRANSLATE(B87,""id"",""en"")"),"['price', 'package', 'enter', 'sense', 'circles', 'students', 'choice', 'package', 'troublesome', 'student', '']")</f>
        <v>['price', 'package', 'enter', 'sense', 'circles', 'students', 'choice', 'package', 'troublesome', 'student', '']</v>
      </c>
      <c r="D87" s="3">
        <v>2.0</v>
      </c>
    </row>
    <row r="88" ht="15.75" customHeight="1">
      <c r="A88" s="1">
        <v>91.0</v>
      </c>
      <c r="B88" s="3" t="s">
        <v>89</v>
      </c>
      <c r="C88" s="3" t="str">
        <f>IFERROR(__xludf.DUMMYFUNCTION("GOOGLETRANSLATE(B88,""id"",""en"")"),"['Network', 'slow', 'lose', 'IM', 'AXIS', 'Sometimes', 'likes', 'experience', 'disorder', 'signal', 'smooth']")</f>
        <v>['Network', 'slow', 'lose', 'IM', 'AXIS', 'Sometimes', 'likes', 'experience', 'disorder', 'signal', 'smooth']</v>
      </c>
      <c r="D88" s="3">
        <v>1.0</v>
      </c>
    </row>
    <row r="89" ht="15.75" customHeight="1">
      <c r="A89" s="1">
        <v>92.0</v>
      </c>
      <c r="B89" s="3" t="s">
        <v>90</v>
      </c>
      <c r="C89" s="3" t="str">
        <f>IFERROR(__xludf.DUMMYFUNCTION("GOOGLETRANSLATE(B89,""id"",""en"")"),"['signal', 'urgent', 'network', 'Full', 'Ngegame', 'Red', 'Network', 'Benerin', 'Operator']")</f>
        <v>['signal', 'urgent', 'network', 'Full', 'Ngegame', 'Red', 'Network', 'Benerin', 'Operator']</v>
      </c>
      <c r="D89" s="3">
        <v>1.0</v>
      </c>
    </row>
    <row r="90" ht="15.75" customHeight="1">
      <c r="A90" s="1">
        <v>93.0</v>
      </c>
      <c r="B90" s="3" t="s">
        <v>91</v>
      </c>
      <c r="C90" s="3" t="str">
        <f>IFERROR(__xludf.DUMMYFUNCTION("GOOGLETRANSLATE(B90,""id"",""en"")"),"['', 'GMN', 'Telkomsel', 'Ngellag', 'Online', 'Ngelag', 'Learning', 'Ngelag', 'Knp', 'Min', 'Litu', 'subscription', 'Telkom ',' Min ',' sekarash ',' like ',' network ',' lag ',' slow ',' please ',' min ',' shabby ',' lag ',' lag ',' change ', 'loss',' min"&amp;" ',' already ',' buy ',' Telkomsel ',' expensive ',' expensive ',' kek ',' gini ',' subscription ',' tired ',' yesterday ',' lag ',' LEGUE ',' KERADSSSS ']")</f>
        <v>['', 'GMN', 'Telkomsel', 'Ngellag', 'Online', 'Ngelag', 'Learning', 'Ngelag', 'Knp', 'Min', 'Litu', 'subscription', 'Telkom ',' Min ',' sekarash ',' like ',' network ',' lag ',' slow ',' please ',' min ',' shabby ',' lag ',' lag ',' change ', 'loss',' min ',' already ',' buy ',' Telkomsel ',' expensive ',' expensive ',' kek ',' gini ',' subscription ',' tired ',' yesterday ',' lag ',' LEGUE ',' KERADSSSS ']</v>
      </c>
      <c r="D90" s="3">
        <v>1.0</v>
      </c>
    </row>
    <row r="91" ht="15.75" customHeight="1">
      <c r="A91" s="1">
        <v>94.0</v>
      </c>
      <c r="B91" s="3" t="s">
        <v>92</v>
      </c>
      <c r="C91" s="3" t="str">
        <f>IFERROR(__xludf.DUMMYFUNCTION("GOOGLETRANSLATE(B91,""id"",""en"")"),"['Good', 'help', 'check', 'quota', 'udh', 'ngak', 'mksh']")</f>
        <v>['Good', 'help', 'check', 'quota', 'udh', 'ngak', 'mksh']</v>
      </c>
      <c r="D91" s="3">
        <v>5.0</v>
      </c>
    </row>
    <row r="92" ht="15.75" customHeight="1">
      <c r="A92" s="1">
        <v>95.0</v>
      </c>
      <c r="B92" s="3" t="s">
        <v>93</v>
      </c>
      <c r="C92" s="3" t="str">
        <f>IFERROR(__xludf.DUMMYFUNCTION("GOOGLETRANSLATE(B92,""id"",""en"")"),"['Okay', 'Anyway']")</f>
        <v>['Okay', 'Anyway']</v>
      </c>
      <c r="D92" s="3">
        <v>5.0</v>
      </c>
    </row>
    <row r="93" ht="15.75" customHeight="1">
      <c r="A93" s="1">
        <v>96.0</v>
      </c>
      <c r="B93" s="3" t="s">
        <v>94</v>
      </c>
      <c r="C93" s="3" t="str">
        <f>IFERROR(__xludf.DUMMYFUNCTION("GOOGLETRANSLATE(B93,""id"",""en"")"),"['opened', 'error', 'network', 'internet', 'smooth', 'stable', 'Please', 'repair', '']")</f>
        <v>['opened', 'error', 'network', 'internet', 'smooth', 'stable', 'Please', 'repair', '']</v>
      </c>
      <c r="D93" s="3">
        <v>2.0</v>
      </c>
    </row>
    <row r="94" ht="15.75" customHeight="1">
      <c r="A94" s="1">
        <v>97.0</v>
      </c>
      <c r="B94" s="3" t="s">
        <v>95</v>
      </c>
      <c r="C94" s="3" t="str">
        <f>IFERROR(__xludf.DUMMYFUNCTION("GOOGLETRANSLATE(B94,""id"",""en"")"),"['Use', 'Telkomsel', 'Satisfied', 'Satisfied', 'Satisfied']")</f>
        <v>['Use', 'Telkomsel', 'Satisfied', 'Satisfied', 'Satisfied']</v>
      </c>
      <c r="D94" s="3">
        <v>5.0</v>
      </c>
    </row>
    <row r="95" ht="15.75" customHeight="1">
      <c r="A95" s="1">
        <v>98.0</v>
      </c>
      <c r="B95" s="3" t="s">
        <v>96</v>
      </c>
      <c r="C95" s="3" t="str">
        <f>IFERROR(__xludf.DUMMYFUNCTION("GOOGLETRANSLATE(B95,""id"",""en"")"),"['network', 'threat', 'in the city', 'Ujan', 'a little', 'auto', 'edge', 'gmana', 'please', 'fix', 'as soon as possible,' network ',' ugly ',' package ',' quota ',' expensive ',' strange ',' deh ',' expensive ',' package ',' adjust ',' quality ',' interne"&amp;"t ',' ']")</f>
        <v>['network', 'threat', 'in the city', 'Ujan', 'a little', 'auto', 'edge', 'gmana', 'please', 'fix', 'as soon as possible,' network ',' ugly ',' package ',' quota ',' expensive ',' strange ',' deh ',' expensive ',' package ',' adjust ',' quality ',' internet ',' ']</v>
      </c>
      <c r="D95" s="3">
        <v>1.0</v>
      </c>
    </row>
    <row r="96" ht="15.75" customHeight="1">
      <c r="A96" s="1">
        <v>99.0</v>
      </c>
      <c r="B96" s="3" t="s">
        <v>97</v>
      </c>
      <c r="C96" s="3" t="str">
        <f>IFERROR(__xludf.DUMMYFUNCTION("GOOGLETRANSLATE(B96,""id"",""en"")"),"['Please', 'Tide', 'Network', 'Telkomsel', 'Region', 'Kab', 'Garut', 'Limbangan', 'Cihanjuang', 'Network', 'Telkomsel', ""]")</f>
        <v>['Please', 'Tide', 'Network', 'Telkomsel', 'Region', 'Kab', 'Garut', 'Limbangan', 'Cihanjuang', 'Network', 'Telkomsel', "]</v>
      </c>
      <c r="D96" s="3">
        <v>1.0</v>
      </c>
    </row>
    <row r="97" ht="15.75" customHeight="1">
      <c r="A97" s="1">
        <v>100.0</v>
      </c>
      <c r="B97" s="3" t="s">
        <v>98</v>
      </c>
      <c r="C97" s="3" t="str">
        <f>IFERROR(__xludf.DUMMYFUNCTION("GOOGLETRANSLATE(B97,""id"",""en"")"),"['Change', 'Telkomsel', 'Famous', 'Leet', 'Uda', 'Expensive', 'Leet', 'Makasi', 'Telkomsel']")</f>
        <v>['Change', 'Telkomsel', 'Famous', 'Leet', 'Uda', 'Expensive', 'Leet', 'Makasi', 'Telkomsel']</v>
      </c>
      <c r="D97" s="3">
        <v>1.0</v>
      </c>
    </row>
    <row r="98" ht="15.75" customHeight="1">
      <c r="A98" s="1">
        <v>101.0</v>
      </c>
      <c r="B98" s="3" t="s">
        <v>99</v>
      </c>
      <c r="C98" s="3" t="str">
        <f>IFERROR(__xludf.DUMMYFUNCTION("GOOGLETRANSLATE(B98,""id"",""en"")"),"['management', 'bad']")</f>
        <v>['management', 'bad']</v>
      </c>
      <c r="D98" s="3">
        <v>1.0</v>
      </c>
    </row>
    <row r="99" ht="15.75" customHeight="1">
      <c r="A99" s="1">
        <v>103.0</v>
      </c>
      <c r="B99" s="3" t="s">
        <v>100</v>
      </c>
      <c r="C99" s="3" t="str">
        <f>IFERROR(__xludf.DUMMYFUNCTION("GOOGLETRANSLATE(B99,""id"",""en"")"),"['signal', 'Patik', 'Pulung', 'Sometimes', 'Good', '']")</f>
        <v>['signal', 'Patik', 'Pulung', 'Sometimes', 'Good', '']</v>
      </c>
      <c r="D99" s="3">
        <v>5.0</v>
      </c>
    </row>
    <row r="100" ht="15.75" customHeight="1">
      <c r="A100" s="1">
        <v>105.0</v>
      </c>
      <c r="B100" s="3" t="s">
        <v>101</v>
      </c>
      <c r="C100" s="3" t="str">
        <f>IFERROR(__xludf.DUMMYFUNCTION("GOOGLETRANSLATE(B100,""id"",""en"")"),"['okay', 'simple', 'easy', 'safe']")</f>
        <v>['okay', 'simple', 'easy', 'safe']</v>
      </c>
      <c r="D100" s="3">
        <v>5.0</v>
      </c>
    </row>
    <row r="101" ht="15.75" customHeight="1">
      <c r="A101" s="1">
        <v>106.0</v>
      </c>
      <c r="B101" s="3" t="s">
        <v>102</v>
      </c>
      <c r="C101" s="3" t="str">
        <f>IFERROR(__xludf.DUMMYFUNCTION("GOOGLETRANSLATE(B101,""id"",""en"")"),"['super', 'slow', 'point', 'page', 'user', 'writing', 'Telkomsel', 'responds', 'close it', ""]")</f>
        <v>['super', 'slow', 'point', 'page', 'user', 'writing', 'Telkomsel', 'responds', 'close it', "]</v>
      </c>
      <c r="D101" s="3">
        <v>1.0</v>
      </c>
    </row>
    <row r="102" ht="15.75" customHeight="1">
      <c r="A102" s="1">
        <v>108.0</v>
      </c>
      <c r="B102" s="3" t="s">
        <v>103</v>
      </c>
      <c r="C102" s="3" t="str">
        <f>IFERROR(__xludf.DUMMYFUNCTION("GOOGLETRANSLATE(B102,""id"",""en"")"),"['signal', 'slow', 'upgrade', 'Telkomsel']")</f>
        <v>['signal', 'slow', 'upgrade', 'Telkomsel']</v>
      </c>
      <c r="D102" s="3">
        <v>1.0</v>
      </c>
    </row>
    <row r="103" ht="15.75" customHeight="1">
      <c r="A103" s="1">
        <v>109.0</v>
      </c>
      <c r="B103" s="3" t="s">
        <v>104</v>
      </c>
      <c r="C103" s="3" t="str">
        <f>IFERROR(__xludf.DUMMYFUNCTION("GOOGLETRANSLATE(B103,""id"",""en"")"),"['Telkomsel', 'sekrang', 'giman', 'tasty', 'really', 'signal', 'expensive', 'delicious']")</f>
        <v>['Telkomsel', 'sekrang', 'giman', 'tasty', 'really', 'signal', 'expensive', 'delicious']</v>
      </c>
      <c r="D103" s="3">
        <v>5.0</v>
      </c>
    </row>
    <row r="104" ht="15.75" customHeight="1">
      <c r="A104" s="1">
        <v>110.0</v>
      </c>
      <c r="B104" s="3" t="s">
        <v>105</v>
      </c>
      <c r="C104" s="3" t="str">
        <f>IFERROR(__xludf.DUMMYFUNCTION("GOOGLETRANSLATE(B104,""id"",""en"")"),"['Increase', 'LGI', 'Yaa', 'Promoa', 'Okee', 'Honey', 'SMA', 'Telkomsel', ""]")</f>
        <v>['Increase', 'LGI', 'Yaa', 'Promoa', 'Okee', 'Honey', 'SMA', 'Telkomsel', "]</v>
      </c>
      <c r="D104" s="3">
        <v>4.0</v>
      </c>
    </row>
    <row r="105" ht="15.75" customHeight="1">
      <c r="A105" s="1">
        <v>111.0</v>
      </c>
      <c r="B105" s="3" t="s">
        <v>106</v>
      </c>
      <c r="C105" s="3" t="str">
        <f>IFERROR(__xludf.DUMMYFUNCTION("GOOGLETRANSLATE(B105,""id"",""en"")"),"['Application', 'difficult', 'Open', 'complicated', 'again', 'feeling', 'png' indosat ',' tasty ',' ajh ',' maketin ',' open ',' APK ',' Katany ',' card ',' a million ',' people ',' ribettt ',' forgiveness', 'expensive']")</f>
        <v>['Application', 'difficult', 'Open', 'complicated', 'again', 'feeling', 'png' indosat ',' tasty ',' ajh ',' maketin ',' open ',' APK ',' Katany ',' card ',' a million ',' people ',' ribettt ',' forgiveness', 'expensive']</v>
      </c>
      <c r="D105" s="3">
        <v>1.0</v>
      </c>
    </row>
    <row r="106" ht="15.75" customHeight="1">
      <c r="A106" s="1">
        <v>112.0</v>
      </c>
      <c r="B106" s="3" t="s">
        <v>107</v>
      </c>
      <c r="C106" s="3" t="str">
        <f>IFERROR(__xludf.DUMMYFUNCTION("GOOGLETRANSLATE(B106,""id"",""en"")"),"['spirit', 'Telkomsel']")</f>
        <v>['spirit', 'Telkomsel']</v>
      </c>
      <c r="D106" s="3">
        <v>4.0</v>
      </c>
    </row>
    <row r="107" ht="15.75" customHeight="1">
      <c r="A107" s="1">
        <v>113.0</v>
      </c>
      <c r="B107" s="3" t="s">
        <v>108</v>
      </c>
      <c r="C107" s="3" t="str">
        <f>IFERROR(__xludf.DUMMYFUNCTION("GOOGLETRANSLATE(B107,""id"",""en"")"),"['TELKOSEL', 'YTH', 'PHP', 'JAWAN', 'Try', 'check', 'List', 'SMS', 'quota', 'all', 'price', 'all', ' Reply ',' SMS ',' PAS ',' REPLACED ',' Credit ',' Adequate ',' Out ',' Enter ',' Price ',' Quota ',' Day ',' Reduce ',' PHP ' , 'level', 'national', 'alam"&amp;"ak', 'forgiveness',' telkomselllllllllllllllllllllllllllllllllllllllll")</f>
        <v>['TELKOSEL', 'YTH', 'PHP', 'JAWAN', 'Try', 'check', 'List', 'SMS', 'quota', 'all', 'price', 'all', ' Reply ',' SMS ',' PAS ',' REPLACED ',' Credit ',' Adequate ',' Out ',' Enter ',' Price ',' Quota ',' Day ',' Reduce ',' PHP ' , 'level', 'national', 'alamak', 'forgiveness',' telkomselllllllllllllllllllllllllllllllllllllllll</v>
      </c>
      <c r="D107" s="3">
        <v>1.0</v>
      </c>
    </row>
    <row r="108" ht="15.75" customHeight="1">
      <c r="A108" s="1">
        <v>114.0</v>
      </c>
      <c r="B108" s="3" t="s">
        <v>109</v>
      </c>
      <c r="C108" s="3" t="str">
        <f>IFERROR(__xludf.DUMMYFUNCTION("GOOGLETRANSLATE(B108,""id"",""en"")"),"['Leet', 'his name', 'sister', 'smooth', 'Whyyy', ""]")</f>
        <v>['Leet', 'his name', 'sister', 'smooth', 'Whyyy', "]</v>
      </c>
      <c r="D108" s="3">
        <v>1.0</v>
      </c>
    </row>
    <row r="109" ht="15.75" customHeight="1">
      <c r="A109" s="1">
        <v>115.0</v>
      </c>
      <c r="B109" s="3" t="s">
        <v>110</v>
      </c>
      <c r="C109" s="3" t="str">
        <f>IFERROR(__xludf.DUMMYFUNCTION("GOOGLETRANSLATE(B109,""id"",""en"")"),"['Telkom', 'Ngentdd', 'Paketan', 'Doang', 'Expensive', 'Quality', 'Network', 'Rotten']")</f>
        <v>['Telkom', 'Ngentdd', 'Paketan', 'Doang', 'Expensive', 'Quality', 'Network', 'Rotten']</v>
      </c>
      <c r="D109" s="3">
        <v>1.0</v>
      </c>
    </row>
    <row r="110" ht="15.75" customHeight="1">
      <c r="A110" s="1">
        <v>116.0</v>
      </c>
      <c r="B110" s="3" t="s">
        <v>111</v>
      </c>
      <c r="C110" s="3" t="str">
        <f>IFERROR(__xludf.DUMMYFUNCTION("GOOGLETRANSLATE(B110,""id"",""en"")"),"['already', 'expensive', 'ngelag', '']")</f>
        <v>['already', 'expensive', 'ngelag', '']</v>
      </c>
      <c r="D110" s="3">
        <v>1.0</v>
      </c>
    </row>
    <row r="111" ht="15.75" customHeight="1">
      <c r="A111" s="1">
        <v>117.0</v>
      </c>
      <c r="B111" s="3" t="s">
        <v>112</v>
      </c>
      <c r="C111" s="3" t="str">
        <f>IFERROR(__xludf.DUMMYFUNCTION("GOOGLETRANSLATE(B111,""id"",""en"")"),"['Bad', 'Jarinh', 'Area', 'RMH', 'Severe', 'Abis', 'Telkomsel']")</f>
        <v>['Bad', 'Jarinh', 'Area', 'RMH', 'Severe', 'Abis', 'Telkomsel']</v>
      </c>
      <c r="D111" s="3">
        <v>1.0</v>
      </c>
    </row>
    <row r="112" ht="15.75" customHeight="1">
      <c r="A112" s="1">
        <v>118.0</v>
      </c>
      <c r="B112" s="3" t="s">
        <v>113</v>
      </c>
      <c r="C112" s="3" t="str">
        <f>IFERROR(__xludf.DUMMYFUNCTION("GOOGLETRANSLATE(B112,""id"",""en"")"),"['heavy', 'heart', 'subtract', 'star', 'mjd', 'the application', 'bad', 'loading', 'slow', 'check', 'quota', 'via', ' Model ',' reply ',' notification ',' told ',' check ',' Telkomsel ',' Try ',' check ',' Telkomsel ',' Loading ',' slow ',' really ',' ent"&amp;"ered ' , 'update', 'app', 'feature', 'quota', 'emergency', 'service', 'busy', 'contents',' pulse ',' seumpama ',' borrow ',' quota ',' emergency ',' daily ',' and then ',' active ',' card ',' smpe ',' just ',' sad ',' really ']")</f>
        <v>['heavy', 'heart', 'subtract', 'star', 'mjd', 'the application', 'bad', 'loading', 'slow', 'check', 'quota', 'via', ' Model ',' reply ',' notification ',' told ',' check ',' Telkomsel ',' Try ',' check ',' Telkomsel ',' Loading ',' slow ',' really ',' entered ' , 'update', 'app', 'feature', 'quota', 'emergency', 'service', 'busy', 'contents',' pulse ',' seumpama ',' borrow ',' quota ',' emergency ',' daily ',' and then ',' active ',' card ',' smpe ',' just ',' sad ',' really ']</v>
      </c>
      <c r="D112" s="3">
        <v>2.0</v>
      </c>
    </row>
    <row r="113" ht="15.75" customHeight="1">
      <c r="A113" s="1">
        <v>119.0</v>
      </c>
      <c r="B113" s="3" t="s">
        <v>114</v>
      </c>
      <c r="C113" s="3" t="str">
        <f>IFERROR(__xludf.DUMMYFUNCTION("GOOGLETRANSLATE(B113,""id"",""en"")"),"['My spirit', 'Yes', 'Telkomsel']")</f>
        <v>['My spirit', 'Yes', 'Telkomsel']</v>
      </c>
      <c r="D113" s="3">
        <v>5.0</v>
      </c>
    </row>
    <row r="114" ht="15.75" customHeight="1">
      <c r="A114" s="1">
        <v>120.0</v>
      </c>
      <c r="B114" s="3" t="s">
        <v>115</v>
      </c>
      <c r="C114" s="3" t="str">
        <f>IFERROR(__xludf.DUMMYFUNCTION("GOOGLETRANSLATE(B114,""id"",""en"")"),"['Love', 'Bonus', 'Dongg']")</f>
        <v>['Love', 'Bonus', 'Dongg']</v>
      </c>
      <c r="D114" s="3">
        <v>5.0</v>
      </c>
    </row>
    <row r="115" ht="15.75" customHeight="1">
      <c r="A115" s="1">
        <v>121.0</v>
      </c>
      <c r="B115" s="3" t="s">
        <v>116</v>
      </c>
      <c r="C115" s="3" t="str">
        <f>IFERROR(__xludf.DUMMYFUNCTION("GOOGLETRANSLATE(B115,""id"",""en"")"),"['Disorders', 'Rain']")</f>
        <v>['Disorders', 'Rain']</v>
      </c>
      <c r="D115" s="3">
        <v>1.0</v>
      </c>
    </row>
    <row r="116" ht="15.75" customHeight="1">
      <c r="A116" s="1">
        <v>122.0</v>
      </c>
      <c r="B116" s="3" t="s">
        <v>117</v>
      </c>
      <c r="C116" s="3" t="str">
        <f>IFERROR(__xludf.DUMMYFUNCTION("GOOGLETRANSLATE(B116,""id"",""en"")"),"['like', 'card', 'Telkomsel', 'network', 'good', 'among', 'card', 'Telkomsel', 'prestigious',' sometimes', 'people', 'like', ' Mention it ',' katu ',' sultan ',' pokonya ',' like ',' ']")</f>
        <v>['like', 'card', 'Telkomsel', 'network', 'good', 'among', 'card', 'Telkomsel', 'prestigious',' sometimes', 'people', 'like', ' Mention it ',' katu ',' sultan ',' pokonya ',' like ',' ']</v>
      </c>
      <c r="D116" s="3">
        <v>5.0</v>
      </c>
    </row>
    <row r="117" ht="15.75" customHeight="1">
      <c r="A117" s="1">
        <v>123.0</v>
      </c>
      <c r="B117" s="3" t="s">
        <v>118</v>
      </c>
      <c r="C117" s="3" t="str">
        <f>IFERROR(__xludf.DUMMYFUNCTION("GOOGLETRANSLATE(B117,""id"",""en"")"),"['Leet', 'Severe', 'Discard', 'Card', 'Change', 'Keteteman', 'Indosat', 'Cheap', 'Buy', 'Expensive', 'Ngapa', ""]")</f>
        <v>['Leet', 'Severe', 'Discard', 'Card', 'Change', 'Keteteman', 'Indosat', 'Cheap', 'Buy', 'Expensive', 'Ngapa', "]</v>
      </c>
      <c r="D117" s="3">
        <v>1.0</v>
      </c>
    </row>
    <row r="118" ht="15.75" customHeight="1">
      <c r="A118" s="1">
        <v>124.0</v>
      </c>
      <c r="B118" s="3" t="s">
        <v>119</v>
      </c>
      <c r="C118" s="3" t="str">
        <f>IFERROR(__xludf.DUMMYFUNCTION("GOOGLETRANSLATE(B118,""id"",""en"")"),"['Telkomsel', 'bad', 'pulse', 'truncated', '']")</f>
        <v>['Telkomsel', 'bad', 'pulse', 'truncated', '']</v>
      </c>
      <c r="D118" s="3">
        <v>1.0</v>
      </c>
    </row>
    <row r="119" ht="15.75" customHeight="1">
      <c r="A119" s="1">
        <v>125.0</v>
      </c>
      <c r="B119" s="3" t="s">
        <v>120</v>
      </c>
      <c r="C119" s="3" t="str">
        <f>IFERROR(__xludf.DUMMYFUNCTION("GOOGLETRANSLATE(B119,""id"",""en"")"),"['', 'open', 'app', 'bark', 'blank', 'open', 'youtube', 'smooth', 'wifi', 'open']")</f>
        <v>['', 'open', 'app', 'bark', 'blank', 'open', 'youtube', 'smooth', 'wifi', 'open']</v>
      </c>
      <c r="D119" s="3">
        <v>1.0</v>
      </c>
    </row>
    <row r="120" ht="15.75" customHeight="1">
      <c r="A120" s="1">
        <v>126.0</v>
      </c>
      <c r="B120" s="3" t="s">
        <v>121</v>
      </c>
      <c r="C120" s="3" t="str">
        <f>IFERROR(__xludf.DUMMYFUNCTION("GOOGLETRANSLATE(B120,""id"",""en"")"),"['update', 'nutmeg', 'slow', 'just', 'data', 'off', 'network', 'full', 'fit', 'connects',' connects', 'network', ' Full ',' trus', 'changed', 'every time', 'blap', 'smpe', 'network', '']")</f>
        <v>['update', 'nutmeg', 'slow', 'just', 'data', 'off', 'network', 'full', 'fit', 'connects',' connects', 'network', ' Full ',' trus', 'changed', 'every time', 'blap', 'smpe', 'network', '']</v>
      </c>
      <c r="D120" s="3">
        <v>1.0</v>
      </c>
    </row>
    <row r="121" ht="15.75" customHeight="1">
      <c r="A121" s="1">
        <v>127.0</v>
      </c>
      <c r="B121" s="3" t="s">
        <v>122</v>
      </c>
      <c r="C121" s="3" t="str">
        <f>IFERROR(__xludf.DUMMYFUNCTION("GOOGLETRANSLATE(B121,""id"",""en"")"),"['quota', 'expensive', 'network', 'ugly', 'balanced']")</f>
        <v>['quota', 'expensive', 'network', 'ugly', 'balanced']</v>
      </c>
      <c r="D121" s="3">
        <v>1.0</v>
      </c>
    </row>
    <row r="122" ht="15.75" customHeight="1">
      <c r="A122" s="1">
        <v>128.0</v>
      </c>
      <c r="B122" s="3" t="s">
        <v>123</v>
      </c>
      <c r="C122" s="3" t="str">
        <f>IFERROR(__xludf.DUMMYFUNCTION("GOOGLETRANSLATE(B122,""id"",""en"")"),"['signal', 'Telkomsel', 'Masya', 'Allah', ""]")</f>
        <v>['signal', 'Telkomsel', 'Masya', 'Allah', "]</v>
      </c>
      <c r="D122" s="3">
        <v>1.0</v>
      </c>
    </row>
    <row r="123" ht="15.75" customHeight="1">
      <c r="A123" s="1">
        <v>129.0</v>
      </c>
      <c r="B123" s="3" t="s">
        <v>124</v>
      </c>
      <c r="C123" s="3" t="str">
        <f>IFERROR(__xludf.DUMMYFUNCTION("GOOGLETRANSLATE(B123,""id"",""en"")"),"['quota', 'watch', 'local', 'gabisa', 'youtube']")</f>
        <v>['quota', 'watch', 'local', 'gabisa', 'youtube']</v>
      </c>
      <c r="D123" s="3">
        <v>1.0</v>
      </c>
    </row>
    <row r="124" ht="15.75" customHeight="1">
      <c r="A124" s="1">
        <v>130.0</v>
      </c>
      <c r="B124" s="3" t="s">
        <v>125</v>
      </c>
      <c r="C124" s="3" t="str">
        <f>IFERROR(__xludf.DUMMYFUNCTION("GOOGLETRANSLATE(B124,""id"",""en"")"),"['Play', 'Game', 'Leg', 'Network', 'Good']")</f>
        <v>['Play', 'Game', 'Leg', 'Network', 'Good']</v>
      </c>
      <c r="D124" s="3">
        <v>1.0</v>
      </c>
    </row>
    <row r="125" ht="15.75" customHeight="1">
      <c r="A125" s="1">
        <v>131.0</v>
      </c>
      <c r="B125" s="3" t="s">
        <v>126</v>
      </c>
      <c r="C125" s="3" t="str">
        <f>IFERROR(__xludf.DUMMYFUNCTION("GOOGLETRANSLATE(B125,""id"",""en"")"),"['knp', 'lgi', 'pdhal', 'quota', 'msih', 'bnyk', 'knp', 'pulse', 'sumps',' trs', 'dri', 'kmrin', ' Rada ',' Ksellll ',' Why ',' PDAH ',' DLU ',' LOHH ',' LOHH ',' TRS ',' JGA ',' BSA ',' Exchange ',' Points', 'complaints' , 'I'll,' thank you ', ""]")</f>
        <v>['knp', 'lgi', 'pdhal', 'quota', 'msih', 'bnyk', 'knp', 'pulse', 'sumps',' trs', 'dri', 'kmrin', ' Rada ',' Ksellll ',' Why ',' PDAH ',' DLU ',' LOHH ',' LOHH ',' TRS ',' JGA ',' BSA ',' Exchange ',' Points', 'complaints' , 'I'll,' thank you ', "]</v>
      </c>
      <c r="D125" s="3">
        <v>3.0</v>
      </c>
    </row>
    <row r="126" ht="15.75" customHeight="1">
      <c r="A126" s="1">
        <v>132.0</v>
      </c>
      <c r="B126" s="3" t="s">
        <v>127</v>
      </c>
      <c r="C126" s="3" t="str">
        <f>IFERROR(__xludf.DUMMYFUNCTION("GOOGLETRANSLATE(B126,""id"",""en"")"),"['', 'Telkomsel', 'Sinyal', 'ilang', 'Mulu', 'Sight', 'Delicious',' Push ',' Rank ',' Story ',' Signal ',' PLAJATION ',' NEEDING ',' Bener ',' Deng ',' quota ',' expensive ',' quality ',' signal ',' huruk ',' huu ',' ngak ',' according to ']")</f>
        <v>['', 'Telkomsel', 'Sinyal', 'ilang', 'Mulu', 'Sight', 'Delicious',' Push ',' Rank ',' Story ',' Signal ',' PLAJATION ',' NEEDING ',' Bener ',' Deng ',' quota ',' expensive ',' quality ',' signal ',' huruk ',' huu ',' ngak ',' according to ']</v>
      </c>
      <c r="D126" s="3">
        <v>1.0</v>
      </c>
    </row>
    <row r="127" ht="15.75" customHeight="1">
      <c r="A127" s="1">
        <v>133.0</v>
      </c>
      <c r="B127" s="3" t="s">
        <v>128</v>
      </c>
      <c r="C127" s="3" t="str">
        <f>IFERROR(__xludf.DUMMYFUNCTION("GOOGLETRANSLATE(B127,""id"",""en"")"),"['suggestion', 'provider', 'good', 'restless', 'Telkomsel', 'network', 'no', 'stable', 'disappointed', 'really', 'disorder', 'mulu']")</f>
        <v>['suggestion', 'provider', 'good', 'restless', 'Telkomsel', 'network', 'no', 'stable', 'disappointed', 'really', 'disorder', 'mulu']</v>
      </c>
      <c r="D127" s="3">
        <v>2.0</v>
      </c>
    </row>
    <row r="128" ht="15.75" customHeight="1">
      <c r="A128" s="1">
        <v>134.0</v>
      </c>
      <c r="B128" s="3" t="s">
        <v>129</v>
      </c>
      <c r="C128" s="3" t="str">
        <f>IFERROR(__xludf.DUMMYFUNCTION("GOOGLETRANSLATE(B128,""id"",""en"")"),"['Open', 'the application', 'difficult', 'really', 'open', 'application', 'load', 'reset', 'please', 'fix', 'the application', 'as soon as possible,' Add it ',' features', 'opened', 'quota', 'easy', 'contents',' package ',' ']")</f>
        <v>['Open', 'the application', 'difficult', 'really', 'open', 'application', 'load', 'reset', 'please', 'fix', 'the application', 'as soon as possible,' Add it ',' features', 'opened', 'quota', 'easy', 'contents',' package ',' ']</v>
      </c>
      <c r="D128" s="3">
        <v>1.0</v>
      </c>
    </row>
    <row r="129" ht="15.75" customHeight="1">
      <c r="A129" s="1">
        <v>135.0</v>
      </c>
      <c r="B129" s="3" t="s">
        <v>130</v>
      </c>
      <c r="C129" s="3" t="str">
        <f>IFERROR(__xludf.DUMMYFUNCTION("GOOGLETRANSLATE(B129,""id"",""en"")"),"['application', 'slow', 'forgiveness', '']")</f>
        <v>['application', 'slow', 'forgiveness', '']</v>
      </c>
      <c r="D129" s="3">
        <v>1.0</v>
      </c>
    </row>
    <row r="130" ht="15.75" customHeight="1">
      <c r="A130" s="1">
        <v>136.0</v>
      </c>
      <c r="B130" s="3" t="s">
        <v>131</v>
      </c>
      <c r="C130" s="3" t="str">
        <f>IFERROR(__xludf.DUMMYFUNCTION("GOOGLETRANSLATE(B130,""id"",""en"")"),"['update', 'the latest', 'enter', 'the application', 'slow', 'really', 'that's',' session ',' run out ',' then ',' oops', ' error ',' network ',' good ']")</f>
        <v>['update', 'the latest', 'enter', 'the application', 'slow', 'really', 'that's',' session ',' run out ',' then ',' oops', ' error ',' network ',' good ']</v>
      </c>
      <c r="D130" s="3">
        <v>1.0</v>
      </c>
    </row>
    <row r="131" ht="15.75" customHeight="1">
      <c r="A131" s="1">
        <v>137.0</v>
      </c>
      <c r="B131" s="3" t="s">
        <v>132</v>
      </c>
      <c r="C131" s="3" t="str">
        <f>IFERROR(__xludf.DUMMYFUNCTION("GOOGLETRANSLATE(B131,""id"",""en"")"),"['Good', 'prize', 'great', 'car']")</f>
        <v>['Good', 'prize', 'great', 'car']</v>
      </c>
      <c r="D131" s="3">
        <v>5.0</v>
      </c>
    </row>
    <row r="132" ht="15.75" customHeight="1">
      <c r="A132" s="1">
        <v>138.0</v>
      </c>
      <c r="B132" s="3" t="s">
        <v>133</v>
      </c>
      <c r="C132" s="3" t="str">
        <f>IFERROR(__xludf.DUMMYFUNCTION("GOOGLETRANSLATE(B132,""id"",""en"")"),"['Price', 'Package', 'Ngilake', 'Signal', 'Internet', 'Kek', 'Rich', 'Live', 'Antarcica', 'Make', 'Telkomsel']")</f>
        <v>['Price', 'Package', 'Ngilake', 'Signal', 'Internet', 'Kek', 'Rich', 'Live', 'Antarcica', 'Make', 'Telkomsel']</v>
      </c>
      <c r="D132" s="3">
        <v>1.0</v>
      </c>
    </row>
    <row r="133" ht="15.75" customHeight="1">
      <c r="A133" s="1">
        <v>139.0</v>
      </c>
      <c r="B133" s="3" t="s">
        <v>134</v>
      </c>
      <c r="C133" s="3" t="str">
        <f>IFERROR(__xludf.DUMMYFUNCTION("GOOGLETRANSLATE(B133,""id"",""en"")"),"['easy', 'transact', 'purchase', 'package', 'data']")</f>
        <v>['easy', 'transact', 'purchase', 'package', 'data']</v>
      </c>
      <c r="D133" s="3">
        <v>5.0</v>
      </c>
    </row>
    <row r="134" ht="15.75" customHeight="1">
      <c r="A134" s="1">
        <v>140.0</v>
      </c>
      <c r="B134" s="3" t="s">
        <v>135</v>
      </c>
      <c r="C134" s="3" t="str">
        <f>IFERROR(__xludf.DUMMYFUNCTION("GOOGLETRANSLATE(B134,""id"",""en"")"),"['', 'Login', 'noise', 'Link', 'Link', 'OTP', 'COEG', 'ADD', 'NUMBER', 'AHA', 'HARD', 'Nga', 'Bales ',' BALES ',' Sorry ',' complaints', 'blah', 'bot', 'Berih', 'already', 'moved', 'byu', 'Telkomsel', 'better', 'login', 'Nga', 'Kek', ""]")</f>
        <v>['', 'Login', 'noise', 'Link', 'Link', 'OTP', 'COEG', 'ADD', 'NUMBER', 'AHA', 'HARD', 'Nga', 'Bales ',' BALES ',' Sorry ',' complaints', 'blah', 'bot', 'Berih', 'already', 'moved', 'byu', 'Telkomsel', 'better', 'login', 'Nga', 'Kek', "]</v>
      </c>
      <c r="D134" s="3">
        <v>1.0</v>
      </c>
    </row>
    <row r="135" ht="15.75" customHeight="1">
      <c r="A135" s="1">
        <v>141.0</v>
      </c>
      <c r="B135" s="3" t="s">
        <v>136</v>
      </c>
      <c r="C135" s="3" t="str">
        <f>IFERROR(__xludf.DUMMYFUNCTION("GOOGLETRANSLATE(B135,""id"",""en"")"),"['Application', 'Telkomsel', 'destroyed', 'application', 'good', 'replace', 'destroyed', 'SPT', 'private', 'good', 'like']")</f>
        <v>['Application', 'Telkomsel', 'destroyed', 'application', 'good', 'replace', 'destroyed', 'SPT', 'private', 'good', 'like']</v>
      </c>
      <c r="D135" s="3">
        <v>1.0</v>
      </c>
    </row>
    <row r="136" ht="15.75" customHeight="1">
      <c r="A136" s="1">
        <v>142.0</v>
      </c>
      <c r="B136" s="3" t="s">
        <v>137</v>
      </c>
      <c r="C136" s="3" t="str">
        <f>IFERROR(__xludf.DUMMYFUNCTION("GOOGLETRANSLATE(B136,""id"",""en"")"),"['Out', 'update', 'open', 'uninstall', 'then' install ',' color ',' white ',' open ']")</f>
        <v>['Out', 'update', 'open', 'uninstall', 'then' install ',' color ',' white ',' open ']</v>
      </c>
      <c r="D136" s="3">
        <v>2.0</v>
      </c>
    </row>
    <row r="137" ht="15.75" customHeight="1">
      <c r="A137" s="1">
        <v>143.0</v>
      </c>
      <c r="B137" s="3" t="s">
        <v>138</v>
      </c>
      <c r="C137" s="3" t="str">
        <f>IFERROR(__xludf.DUMMYFUNCTION("GOOGLETRANSLATE(B137,""id"",""en"")"),"['Application', 'SIH', 'Internet', 'Good', 'Enter', 'APK', 'Difficult', 'Very', 'Disright', 'User']")</f>
        <v>['Application', 'SIH', 'Internet', 'Good', 'Enter', 'APK', 'Difficult', 'Very', 'Disright', 'User']</v>
      </c>
      <c r="D137" s="3">
        <v>1.0</v>
      </c>
    </row>
    <row r="138" ht="15.75" customHeight="1">
      <c r="A138" s="1">
        <v>144.0</v>
      </c>
      <c r="B138" s="3" t="s">
        <v>139</v>
      </c>
      <c r="C138" s="3" t="str">
        <f>IFERROR(__xludf.DUMMYFUNCTION("GOOGLETRANSLATE(B138,""id"",""en"")"),"['Package', 'Telkomsel', 'expensive', 'network', 'ugly', 'good', 'network', 'love', 'star', 'full', 'love', ' network ',' ugly ',' like ',' ngeselin ']")</f>
        <v>['Package', 'Telkomsel', 'expensive', 'network', 'ugly', 'good', 'network', 'love', 'star', 'full', 'love', ' network ',' ugly ',' like ',' ngeselin ']</v>
      </c>
      <c r="D138" s="3">
        <v>2.0</v>
      </c>
    </row>
    <row r="139" ht="15.75" customHeight="1">
      <c r="A139" s="1">
        <v>145.0</v>
      </c>
      <c r="B139" s="3" t="s">
        <v>140</v>
      </c>
      <c r="C139" s="3" t="str">
        <f>IFERROR(__xludf.DUMMYFUNCTION("GOOGLETRANSLATE(B139,""id"",""en"")"),"['Provider', 'Control', 'package', 'expensive', 'Internet', 'LEG', 'Main', 'City', '']")</f>
        <v>['Provider', 'Control', 'package', 'expensive', 'Internet', 'LEG', 'Main', 'City', '']</v>
      </c>
      <c r="D139" s="3">
        <v>1.0</v>
      </c>
    </row>
    <row r="140" ht="15.75" customHeight="1">
      <c r="A140" s="1">
        <v>146.0</v>
      </c>
      <c r="B140" s="3" t="s">
        <v>141</v>
      </c>
      <c r="C140" s="3" t="str">
        <f>IFERROR(__xludf.DUMMYFUNCTION("GOOGLETRANSLATE(B140,""id"",""en"")"),"['quota']")</f>
        <v>['quota']</v>
      </c>
      <c r="D140" s="3">
        <v>1.0</v>
      </c>
    </row>
    <row r="141" ht="15.75" customHeight="1">
      <c r="A141" s="1">
        <v>147.0</v>
      </c>
      <c r="B141" s="3" t="s">
        <v>142</v>
      </c>
      <c r="C141" s="3" t="str">
        <f>IFERROR(__xludf.DUMMYFUNCTION("GOOGLETRANSLATE(B141,""id"",""en"")"),"['signal', 'bad', 'play', 'cut', 'pulse', 'provider', 'funny', 'loss']")</f>
        <v>['signal', 'bad', 'play', 'cut', 'pulse', 'provider', 'funny', 'loss']</v>
      </c>
      <c r="D141" s="3">
        <v>1.0</v>
      </c>
    </row>
    <row r="142" ht="15.75" customHeight="1">
      <c r="A142" s="1">
        <v>148.0</v>
      </c>
      <c r="B142" s="3" t="s">
        <v>143</v>
      </c>
      <c r="C142" s="3" t="str">
        <f>IFERROR(__xludf.DUMMYFUNCTION("GOOGLETRANSLATE(B142,""id"",""en"")"),"['Application', 'error']")</f>
        <v>['Application', 'error']</v>
      </c>
      <c r="D142" s="3">
        <v>1.0</v>
      </c>
    </row>
    <row r="143" ht="15.75" customHeight="1">
      <c r="A143" s="1">
        <v>149.0</v>
      </c>
      <c r="B143" s="3" t="s">
        <v>144</v>
      </c>
      <c r="C143" s="3" t="str">
        <f>IFERROR(__xludf.DUMMYFUNCTION("GOOGLETRANSLATE(B143,""id"",""en"")"),"['difficult', 'login']")</f>
        <v>['difficult', 'login']</v>
      </c>
      <c r="D143" s="3">
        <v>1.0</v>
      </c>
    </row>
    <row r="144" ht="15.75" customHeight="1">
      <c r="A144" s="1">
        <v>150.0</v>
      </c>
      <c r="B144" s="3" t="s">
        <v>145</v>
      </c>
      <c r="C144" s="3" t="str">
        <f>IFERROR(__xludf.DUMMYFUNCTION("GOOGLETRANSLATE(B144,""id"",""en"")"),"['HBIS', 'updated', 'Hilng', 'package', 'internetomg', 'gimna', ""]")</f>
        <v>['HBIS', 'updated', 'Hilng', 'package', 'internetomg', 'gimna', "]</v>
      </c>
      <c r="D144" s="3">
        <v>3.0</v>
      </c>
    </row>
    <row r="145" ht="15.75" customHeight="1">
      <c r="A145" s="1">
        <v>151.0</v>
      </c>
      <c r="B145" s="3" t="s">
        <v>146</v>
      </c>
      <c r="C145" s="3" t="str">
        <f>IFERROR(__xludf.DUMMYFUNCTION("GOOGLETRANSLATE(B145,""id"",""en"")"),"['buy', 'package', 'GB', 'usage', 'since' since 'buy', 'package', 'GB', 'fast', 'wasteful', 'use', 'quota', ' Out ',' quota ',' save ',' wasteful ',' ']")</f>
        <v>['buy', 'package', 'GB', 'usage', 'since' since 'buy', 'package', 'GB', 'fast', 'wasteful', 'use', 'quota', ' Out ',' quota ',' save ',' wasteful ',' ']</v>
      </c>
      <c r="D145" s="3">
        <v>1.0</v>
      </c>
    </row>
    <row r="146" ht="15.75" customHeight="1">
      <c r="A146" s="1">
        <v>152.0</v>
      </c>
      <c r="B146" s="3" t="s">
        <v>147</v>
      </c>
      <c r="C146" s="3" t="str">
        <f>IFERROR(__xludf.DUMMYFUNCTION("GOOGLETRANSLATE(B146,""id"",""en"")"),"['Application', 'Tang', 'owned', 'Not bad', 'Cool', 'Guarded', 'Privacy', 'Customer']")</f>
        <v>['Application', 'Tang', 'owned', 'Not bad', 'Cool', 'Guarded', 'Privacy', 'Customer']</v>
      </c>
      <c r="D146" s="3">
        <v>5.0</v>
      </c>
    </row>
    <row r="147" ht="15.75" customHeight="1">
      <c r="A147" s="1">
        <v>153.0</v>
      </c>
      <c r="B147" s="3" t="s">
        <v>148</v>
      </c>
      <c r="C147" s="3" t="str">
        <f>IFERROR(__xludf.DUMMYFUNCTION("GOOGLETRANSLATE(B147,""id"",""en"")"),"['My APK', 'Useful', 'Good', 'Min', 'Lots', 'Sales', 'Pulses']")</f>
        <v>['My APK', 'Useful', 'Good', 'Min', 'Lots', 'Sales', 'Pulses']</v>
      </c>
      <c r="D147" s="3">
        <v>5.0</v>
      </c>
    </row>
    <row r="148" ht="15.75" customHeight="1">
      <c r="A148" s="1">
        <v>154.0</v>
      </c>
      <c r="B148" s="3" t="s">
        <v>149</v>
      </c>
      <c r="C148" s="3" t="str">
        <f>IFERROR(__xludf.DUMMYFUNCTION("GOOGLETRANSLATE(B148,""id"",""en"")"),"['application', 'Quality', 'function', 'use', 'Andorid', 'RAM', 'Latest', 'Tetep', 'Bukak', 'Lemot', 'Super']")</f>
        <v>['application', 'Quality', 'function', 'use', 'Andorid', 'RAM', 'Latest', 'Tetep', 'Bukak', 'Lemot', 'Super']</v>
      </c>
      <c r="D148" s="3">
        <v>1.0</v>
      </c>
    </row>
    <row r="149" ht="15.75" customHeight="1">
      <c r="A149" s="1">
        <v>155.0</v>
      </c>
      <c r="B149" s="3" t="s">
        <v>150</v>
      </c>
      <c r="C149" s="3" t="str">
        <f>IFERROR(__xludf.DUMMYFUNCTION("GOOGLETRANSLATE(B149,""id"",""en"")"),"['Price', 'Not bad', 'Unlimited', 'Main', 'Game']")</f>
        <v>['Price', 'Not bad', 'Unlimited', 'Main', 'Game']</v>
      </c>
      <c r="D149" s="3">
        <v>2.0</v>
      </c>
    </row>
    <row r="150" ht="15.75" customHeight="1">
      <c r="A150" s="1">
        <v>156.0</v>
      </c>
      <c r="B150" s="3" t="s">
        <v>151</v>
      </c>
      <c r="C150" s="3" t="str">
        <f>IFERROR(__xludf.DUMMYFUNCTION("GOOGLETRANSLATE(B150,""id"",""en"")"),"['confusing', 'beginner']")</f>
        <v>['confusing', 'beginner']</v>
      </c>
      <c r="D150" s="3">
        <v>3.0</v>
      </c>
    </row>
    <row r="151" ht="15.75" customHeight="1">
      <c r="A151" s="1">
        <v>157.0</v>
      </c>
      <c r="B151" s="3" t="s">
        <v>152</v>
      </c>
      <c r="C151" s="3" t="str">
        <f>IFERROR(__xludf.DUMMYFUNCTION("GOOGLETRANSLATE(B151,""id"",""en"")"),"['slow connection']")</f>
        <v>['slow connection']</v>
      </c>
      <c r="D151" s="3">
        <v>1.0</v>
      </c>
    </row>
    <row r="152" ht="15.75" customHeight="1">
      <c r="A152" s="1">
        <v>158.0</v>
      </c>
      <c r="B152" s="3" t="s">
        <v>153</v>
      </c>
      <c r="C152" s="3" t="str">
        <f>IFERROR(__xludf.DUMMYFUNCTION("GOOGLETRANSLATE(B152,""id"",""en"")"),"['Please', 'fix', 'login', 'difficult', 'really', 'customer', 'disappointed']")</f>
        <v>['Please', 'fix', 'login', 'difficult', 'really', 'customer', 'disappointed']</v>
      </c>
      <c r="D152" s="3">
        <v>1.0</v>
      </c>
    </row>
    <row r="153" ht="15.75" customHeight="1">
      <c r="A153" s="1">
        <v>159.0</v>
      </c>
      <c r="B153" s="3" t="s">
        <v>154</v>
      </c>
      <c r="C153" s="3" t="str">
        <f>IFERROR(__xludf.DUMMYFUNCTION("GOOGLETRANSLATE(B153,""id"",""en"")"),"['Gabisa', 'opened']")</f>
        <v>['Gabisa', 'opened']</v>
      </c>
      <c r="D153" s="3">
        <v>1.0</v>
      </c>
    </row>
    <row r="154" ht="15.75" customHeight="1">
      <c r="A154" s="1">
        <v>160.0</v>
      </c>
      <c r="B154" s="3" t="s">
        <v>155</v>
      </c>
      <c r="C154" s="3" t="str">
        <f>IFERROR(__xludf.DUMMYFUNCTION("GOOGLETRANSLATE(B154,""id"",""en"")"),"['price', 'package', 'expensive', 'network', 'slow', 'snail', 'moved', 'provider', 'already']")</f>
        <v>['price', 'package', 'expensive', 'network', 'slow', 'snail', 'moved', 'provider', 'already']</v>
      </c>
      <c r="D154" s="3">
        <v>1.0</v>
      </c>
    </row>
    <row r="155" ht="15.75" customHeight="1">
      <c r="A155" s="1">
        <v>161.0</v>
      </c>
      <c r="B155" s="3" t="s">
        <v>156</v>
      </c>
      <c r="C155" s="3" t="str">
        <f>IFERROR(__xludf.DUMMYFUNCTION("GOOGLETRANSLATE(B155,""id"",""en"")"),"['Sometimes', 'disorder']")</f>
        <v>['Sometimes', 'disorder']</v>
      </c>
      <c r="D155" s="3">
        <v>4.0</v>
      </c>
    </row>
    <row r="156" ht="15.75" customHeight="1">
      <c r="A156" s="1">
        <v>163.0</v>
      </c>
      <c r="B156" s="3" t="s">
        <v>157</v>
      </c>
      <c r="C156" s="3" t="str">
        <f>IFERROR(__xludf.DUMMYFUNCTION("GOOGLETRANSLATE(B156,""id"",""en"")"),"['updated', 'opened', 'Hadeeh', 'poor', '']")</f>
        <v>['updated', 'opened', 'Hadeeh', 'poor', '']</v>
      </c>
      <c r="D156" s="3">
        <v>1.0</v>
      </c>
    </row>
    <row r="157" ht="15.75" customHeight="1">
      <c r="A157" s="1">
        <v>164.0</v>
      </c>
      <c r="B157" s="3" t="s">
        <v>158</v>
      </c>
      <c r="C157" s="3" t="str">
        <f>IFERROR(__xludf.DUMMYFUNCTION("GOOGLETRANSLATE(B157,""id"",""en"")"),"['expensive']")</f>
        <v>['expensive']</v>
      </c>
      <c r="D157" s="3">
        <v>3.0</v>
      </c>
    </row>
    <row r="158" ht="15.75" customHeight="1">
      <c r="A158" s="1">
        <v>165.0</v>
      </c>
      <c r="B158" s="3" t="s">
        <v>159</v>
      </c>
      <c r="C158" s="3" t="str">
        <f>IFERROR(__xludf.DUMMYFUNCTION("GOOGLETRANSLATE(B158,""id"",""en"")"),"['Network', 'Telkomsel', 'bad', '']")</f>
        <v>['Network', 'Telkomsel', 'bad', '']</v>
      </c>
      <c r="D158" s="3">
        <v>1.0</v>
      </c>
    </row>
    <row r="159" ht="15.75" customHeight="1">
      <c r="A159" s="1">
        <v>166.0</v>
      </c>
      <c r="B159" s="3" t="s">
        <v>160</v>
      </c>
      <c r="C159" s="3" t="str">
        <f>IFERROR(__xludf.DUMMYFUNCTION("GOOGLETRANSLATE(B159,""id"",""en"")"),"['Enter', 'APK', 'LEG', 'Open', 'APK', 'Current', 'Jaya', 'APK']")</f>
        <v>['Enter', 'APK', 'LEG', 'Open', 'APK', 'Current', 'Jaya', 'APK']</v>
      </c>
      <c r="D159" s="3">
        <v>1.0</v>
      </c>
    </row>
    <row r="160" ht="15.75" customHeight="1">
      <c r="A160" s="1">
        <v>167.0</v>
      </c>
      <c r="B160" s="3" t="s">
        <v>161</v>
      </c>
      <c r="C160" s="3" t="str">
        <f>IFERROR(__xludf.DUMMYFUNCTION("GOOGLETRANSLATE(B160,""id"",""en"")"),"['apk', 'boss']")</f>
        <v>['apk', 'boss']</v>
      </c>
      <c r="D160" s="3">
        <v>2.0</v>
      </c>
    </row>
    <row r="161" ht="15.75" customHeight="1">
      <c r="A161" s="1">
        <v>168.0</v>
      </c>
      <c r="B161" s="3" t="s">
        <v>162</v>
      </c>
      <c r="C161" s="3" t="str">
        <f>IFERROR(__xludf.DUMMYFUNCTION("GOOGLETRANSLATE(B161,""id"",""en"")"),"['Telkomsel', 'signal', 'garbage', 'slow', 'comparable', 'price']")</f>
        <v>['Telkomsel', 'signal', 'garbage', 'slow', 'comparable', 'price']</v>
      </c>
      <c r="D161" s="3">
        <v>1.0</v>
      </c>
    </row>
    <row r="162" ht="15.75" customHeight="1">
      <c r="A162" s="1">
        <v>169.0</v>
      </c>
      <c r="B162" s="3" t="s">
        <v>163</v>
      </c>
      <c r="C162" s="3" t="str">
        <f>IFERROR(__xludf.DUMMYFUNCTION("GOOGLETRANSLATE(B162,""id"",""en"")"),"['supah', 'complicated', 'really', 'login', 'error', 'then', 'gmn', 'min', 'please', 'donk', 'the application', 'fix', ' APK ',' Error ',' BLI ',' Package ',' ']")</f>
        <v>['supah', 'complicated', 'really', 'login', 'error', 'then', 'gmn', 'min', 'please', 'donk', 'the application', 'fix', ' APK ',' Error ',' BLI ',' Package ',' ']</v>
      </c>
      <c r="D162" s="3">
        <v>1.0</v>
      </c>
    </row>
    <row r="163" ht="15.75" customHeight="1">
      <c r="A163" s="1">
        <v>170.0</v>
      </c>
      <c r="B163" s="3" t="s">
        <v>164</v>
      </c>
      <c r="C163" s="3" t="str">
        <f>IFERROR(__xludf.DUMMYFUNCTION("GOOGLETRANSLATE(B163,""id"",""en"")"),"['Please', 'Uptade', 'UDH', 'Uptade', 'Network', 'Comfortable', 'Credit', 'Lost', 'Rb', 'Wear', 'Credit', 'Please', ' Telkomsel ',' held ',' Features', 'Turning', 'Credit', 'Wear', 'Credit', 'Network', 'Lemot', 'Mksh', ""]")</f>
        <v>['Please', 'Uptade', 'UDH', 'Uptade', 'Network', 'Comfortable', 'Credit', 'Lost', 'Rb', 'Wear', 'Credit', 'Please', ' Telkomsel ',' held ',' Features', 'Turning', 'Credit', 'Wear', 'Credit', 'Network', 'Lemot', 'Mksh', "]</v>
      </c>
      <c r="D163" s="3">
        <v>1.0</v>
      </c>
    </row>
    <row r="164" ht="15.75" customHeight="1">
      <c r="A164" s="1">
        <v>171.0</v>
      </c>
      <c r="B164" s="3" t="s">
        <v>165</v>
      </c>
      <c r="C164" s="3" t="str">
        <f>IFERROR(__xludf.DUMMYFUNCTION("GOOGLETRANSLATE(B164,""id"",""en"")"),"['Safety', 'Thanks', 'Telkomsel']")</f>
        <v>['Safety', 'Thanks', 'Telkomsel']</v>
      </c>
      <c r="D164" s="3">
        <v>5.0</v>
      </c>
    </row>
    <row r="165" ht="15.75" customHeight="1">
      <c r="A165" s="1">
        <v>172.0</v>
      </c>
      <c r="B165" s="3" t="s">
        <v>166</v>
      </c>
      <c r="C165" s="3" t="str">
        <f>IFERROR(__xludf.DUMMYFUNCTION("GOOGLETRANSLATE(B165,""id"",""en"")"),"['Check', 'Fun']")</f>
        <v>['Check', 'Fun']</v>
      </c>
      <c r="D165" s="3">
        <v>1.0</v>
      </c>
    </row>
    <row r="166" ht="15.75" customHeight="1">
      <c r="A166" s="1">
        <v>173.0</v>
      </c>
      <c r="B166" s="3" t="s">
        <v>167</v>
      </c>
      <c r="C166" s="3" t="str">
        <f>IFERROR(__xludf.DUMMYFUNCTION("GOOGLETRANSLATE(B166,""id"",""en"")"),"['buy', 'package', 'gamesmax', 'error', 'play', 'game', '']")</f>
        <v>['buy', 'package', 'gamesmax', 'error', 'play', 'game', '']</v>
      </c>
      <c r="D166" s="3">
        <v>2.0</v>
      </c>
    </row>
    <row r="167" ht="15.75" customHeight="1">
      <c r="A167" s="1">
        <v>174.0</v>
      </c>
      <c r="B167" s="3" t="s">
        <v>168</v>
      </c>
      <c r="C167" s="3" t="str">
        <f>IFERROR(__xludf.DUMMYFUNCTION("GOOGLETRANSLATE(B167,""id"",""en"")"),"['network', 'slow', 'quota', 'package', 'expensive', 'already', 'ber', 'subscribe', 'Telkomsel', '']")</f>
        <v>['network', 'slow', 'quota', 'package', 'expensive', 'already', 'ber', 'subscribe', 'Telkomsel', '']</v>
      </c>
      <c r="D167" s="3">
        <v>4.0</v>
      </c>
    </row>
    <row r="168" ht="15.75" customHeight="1">
      <c r="A168" s="1">
        <v>175.0</v>
      </c>
      <c r="B168" s="3" t="s">
        <v>169</v>
      </c>
      <c r="C168" s="3" t="str">
        <f>IFERROR(__xludf.DUMMYFUNCTION("GOOGLETRANSLATE(B168,""id"",""en"")"),"['signal', 'slow']")</f>
        <v>['signal', 'slow']</v>
      </c>
      <c r="D168" s="3">
        <v>3.0</v>
      </c>
    </row>
    <row r="169" ht="15.75" customHeight="1">
      <c r="A169" s="1">
        <v>176.0</v>
      </c>
      <c r="B169" s="3" t="s">
        <v>170</v>
      </c>
      <c r="C169" s="3" t="str">
        <f>IFERROR(__xludf.DUMMYFUNCTION("GOOGLETRANSLATE(B169,""id"",""en"")"),"['TLG', 'Doank', 'HRG', 'Package', 'Combo', 'Sakti', 'Reduce', 'Thank', 'Love']")</f>
        <v>['TLG', 'Doank', 'HRG', 'Package', 'Combo', 'Sakti', 'Reduce', 'Thank', 'Love']</v>
      </c>
      <c r="D169" s="3">
        <v>5.0</v>
      </c>
    </row>
    <row r="170" ht="15.75" customHeight="1">
      <c r="A170" s="1">
        <v>177.0</v>
      </c>
      <c r="B170" s="3" t="s">
        <v>171</v>
      </c>
      <c r="C170" s="3" t="str">
        <f>IFERROR(__xludf.DUMMYFUNCTION("GOOGLETRANSLATE(B170,""id"",""en"")"),"['Steady', 'Anyway', ""]")</f>
        <v>['Steady', 'Anyway', "]</v>
      </c>
      <c r="D170" s="3">
        <v>5.0</v>
      </c>
    </row>
    <row r="171" ht="15.75" customHeight="1">
      <c r="A171" s="1">
        <v>178.0</v>
      </c>
      <c r="B171" s="3" t="s">
        <v>172</v>
      </c>
      <c r="C171" s="3" t="str">
        <f>IFERROR(__xludf.DUMMYFUNCTION("GOOGLETRANSLATE(B171,""id"",""en"")"),"['used', 'number', 'card', 'simcard', 'feature', 'function', 'lose', 'shop', 'online', 'payment', 'shopping', 'results',' convert ',' pulse ',' value ',' exchange ']")</f>
        <v>['used', 'number', 'card', 'simcard', 'feature', 'function', 'lose', 'shop', 'online', 'payment', 'shopping', 'results',' convert ',' pulse ',' value ',' exchange ']</v>
      </c>
      <c r="D171" s="3">
        <v>2.0</v>
      </c>
    </row>
    <row r="172" ht="15.75" customHeight="1">
      <c r="A172" s="1">
        <v>179.0</v>
      </c>
      <c r="B172" s="3" t="s">
        <v>173</v>
      </c>
      <c r="C172" s="3" t="str">
        <f>IFERROR(__xludf.DUMMYFUNCTION("GOOGLETRANSLATE(B172,""id"",""en"")"),"['Telkomsel', 'here', 'network', 'missing', 'Telkomsel', '']")</f>
        <v>['Telkomsel', 'here', 'network', 'missing', 'Telkomsel', '']</v>
      </c>
      <c r="D172" s="3">
        <v>5.0</v>
      </c>
    </row>
    <row r="173" ht="15.75" customHeight="1">
      <c r="A173" s="1">
        <v>180.0</v>
      </c>
      <c r="B173" s="3" t="s">
        <v>174</v>
      </c>
      <c r="C173" s="3" t="str">
        <f>IFERROR(__xludf.DUMMYFUNCTION("GOOGLETRANSLATE(B173,""id"",""en"")"),"['min', 'how', 'network', 'telkom', 'price', 'package', 'expensive', 'price', 'package', 'data', 'naunt', 'connection', ' Internet ',' ']")</f>
        <v>['min', 'how', 'network', 'telkom', 'price', 'package', 'expensive', 'price', 'package', 'data', 'naunt', 'connection', ' Internet ',' ']</v>
      </c>
      <c r="D173" s="3">
        <v>1.0</v>
      </c>
    </row>
    <row r="174" ht="15.75" customHeight="1">
      <c r="A174" s="1">
        <v>181.0</v>
      </c>
      <c r="B174" s="3" t="s">
        <v>175</v>
      </c>
      <c r="C174" s="3" t="str">
        <f>IFERROR(__xludf.DUMMYFUNCTION("GOOGLETRANSLATE(B174,""id"",""en"")"),"['Service', 'good', 'backward']")</f>
        <v>['Service', 'good', 'backward']</v>
      </c>
      <c r="D174" s="3">
        <v>5.0</v>
      </c>
    </row>
    <row r="175" ht="15.75" customHeight="1">
      <c r="A175" s="1">
        <v>182.0</v>
      </c>
      <c r="B175" s="3" t="s">
        <v>176</v>
      </c>
      <c r="C175" s="3" t="str">
        <f>IFERROR(__xludf.DUMMYFUNCTION("GOOGLETRANSLATE(B175,""id"",""en"")"),"['already', 'buy', 'card', 'card', 'magic', 'weve', 'times',' buy ',' get ',' GB ',' rise ',' ngotake ',' GB ',' Come on ',' Papua ',' Telkomsel ',' please ',' complicated ',' price ',' package ',' Ngilake ',' Original ',' ']")</f>
        <v>['already', 'buy', 'card', 'card', 'magic', 'weve', 'times',' buy ',' get ',' GB ',' rise ',' ngotake ',' GB ',' Come on ',' Papua ',' Telkomsel ',' please ',' complicated ',' price ',' package ',' Ngilake ',' Original ',' ']</v>
      </c>
      <c r="D175" s="3">
        <v>2.0</v>
      </c>
    </row>
    <row r="176" ht="15.75" customHeight="1">
      <c r="A176" s="1">
        <v>183.0</v>
      </c>
      <c r="B176" s="3" t="s">
        <v>177</v>
      </c>
      <c r="C176" s="3" t="str">
        <f>IFERROR(__xludf.DUMMYFUNCTION("GOOGLETRANSLATE(B176,""id"",""en"")"),"['Disorders', 'Yesterday', 'Sya', 'buy', 'Package', 'Telkomsel', '']")</f>
        <v>['Disorders', 'Yesterday', 'Sya', 'buy', 'Package', 'Telkomsel', '']</v>
      </c>
      <c r="D176" s="3">
        <v>1.0</v>
      </c>
    </row>
    <row r="177" ht="15.75" customHeight="1">
      <c r="A177" s="1">
        <v>184.0</v>
      </c>
      <c r="B177" s="3" t="s">
        <v>178</v>
      </c>
      <c r="C177" s="3" t="str">
        <f>IFERROR(__xludf.DUMMYFUNCTION("GOOGLETRANSLATE(B177,""id"",""en"")"),"['network', 'Sometimes', 'signal', 'full', 'RTO', 'how', 'package', 'expensive', 'network', 'improved', ""]")</f>
        <v>['network', 'Sometimes', 'signal', 'full', 'RTO', 'how', 'package', 'expensive', 'network', 'improved', "]</v>
      </c>
      <c r="D177" s="3">
        <v>1.0</v>
      </c>
    </row>
    <row r="178" ht="15.75" customHeight="1">
      <c r="A178" s="1">
        <v>185.0</v>
      </c>
      <c r="B178" s="3" t="s">
        <v>179</v>
      </c>
      <c r="C178" s="3" t="str">
        <f>IFERROR(__xludf.DUMMYFUNCTION("GOOGLETRANSLATE(B178,""id"",""en"")"),"['Astaghfirullah', 'already', 'buy', 'package', 'expensive', 'network', 'open', 'slow', 'bin', 'slow', ""]")</f>
        <v>['Astaghfirullah', 'already', 'buy', 'package', 'expensive', 'network', 'open', 'slow', 'bin', 'slow', "]</v>
      </c>
      <c r="D178" s="3">
        <v>1.0</v>
      </c>
    </row>
    <row r="179" ht="15.75" customHeight="1">
      <c r="A179" s="1">
        <v>186.0</v>
      </c>
      <c r="B179" s="3" t="s">
        <v>180</v>
      </c>
      <c r="C179" s="3" t="str">
        <f>IFERROR(__xludf.DUMMYFUNCTION("GOOGLETRANSLATE(B179,""id"",""en"")"),"['Application', 'bad', 'MSA', 'enter', 'canaaaaaaaaa']")</f>
        <v>['Application', 'bad', 'MSA', 'enter', 'canaaaaaaaaa']</v>
      </c>
      <c r="D179" s="3">
        <v>1.0</v>
      </c>
    </row>
    <row r="180" ht="15.75" customHeight="1">
      <c r="A180" s="1">
        <v>188.0</v>
      </c>
      <c r="B180" s="3" t="s">
        <v>181</v>
      </c>
      <c r="C180" s="3" t="str">
        <f>IFERROR(__xludf.DUMMYFUNCTION("GOOGLETRANSLATE(B180,""id"",""en"")"),"['help']")</f>
        <v>['help']</v>
      </c>
      <c r="D180" s="3">
        <v>1.0</v>
      </c>
    </row>
    <row r="181" ht="15.75" customHeight="1">
      <c r="A181" s="1">
        <v>189.0</v>
      </c>
      <c r="B181" s="3" t="s">
        <v>182</v>
      </c>
      <c r="C181" s="3" t="str">
        <f>IFERROR(__xludf.DUMMYFUNCTION("GOOGLETRANSLATE(B181,""id"",""en"")"),"['Please', 'Telkomsel', 'Thinking', 'LGI', 'Expensive', 'Buy', 'Quota', 'TPI', 'Quality', 'Network', 'Gada', 'Brain', ' Thinking ',' treasure ',' TPI ',' think ',' org ',' rich ', ""]")</f>
        <v>['Please', 'Telkomsel', 'Thinking', 'LGI', 'Expensive', 'Buy', 'Quota', 'TPI', 'Quality', 'Network', 'Gada', 'Brain', ' Thinking ',' treasure ',' TPI ',' think ',' org ',' rich ', "]</v>
      </c>
      <c r="D181" s="3">
        <v>1.0</v>
      </c>
    </row>
    <row r="182" ht="15.75" customHeight="1">
      <c r="A182" s="1">
        <v>190.0</v>
      </c>
      <c r="B182" s="3" t="s">
        <v>183</v>
      </c>
      <c r="C182" s="3" t="str">
        <f>IFERROR(__xludf.DUMMYFUNCTION("GOOGLETRANSLATE(B182,""id"",""en"")"),"['How', 'Out', 'Update', 'Sampe', 'White', 'Screen', 'Expensive', 'Doang', 'Satisfying', 'Customer', ""]")</f>
        <v>['How', 'Out', 'Update', 'Sampe', 'White', 'Screen', 'Expensive', 'Doang', 'Satisfying', 'Customer', "]</v>
      </c>
      <c r="D182" s="3">
        <v>1.0</v>
      </c>
    </row>
    <row r="183" ht="15.75" customHeight="1">
      <c r="A183" s="1">
        <v>191.0</v>
      </c>
      <c r="B183" s="3" t="s">
        <v>184</v>
      </c>
      <c r="C183" s="3" t="str">
        <f>IFERROR(__xludf.DUMMYFUNCTION("GOOGLETRANSLATE(B183,""id"",""en"")"),"['update', 'what', 'application', 'Telkomsel', 'before', 'updated', 'smooth', 'told', 'update', 'updated', 'appears',' screen ',' White ',' Nasakan ',' Enter ',' BLM ',' Nyampe ',' Android ', ""]")</f>
        <v>['update', 'what', 'application', 'Telkomsel', 'before', 'updated', 'smooth', 'told', 'update', 'updated', 'appears',' screen ',' White ',' Nasakan ',' Enter ',' BLM ',' Nyampe ',' Android ', "]</v>
      </c>
      <c r="D183" s="3">
        <v>2.0</v>
      </c>
    </row>
    <row r="184" ht="15.75" customHeight="1">
      <c r="A184" s="1">
        <v>192.0</v>
      </c>
      <c r="B184" s="3" t="s">
        <v>185</v>
      </c>
      <c r="C184" s="3" t="str">
        <f>IFERROR(__xludf.DUMMYFUNCTION("GOOGLETRANSLATE(B184,""id"",""en"")"),"['expensive', 'ngelegnya', 'forgiveness',' Ujan ',' ngeleg ',' move ',' cm ',' ngeleg ',' play ',' mobile ',' legend ',' behh ',' ngelegnya ',' ngilkak ',' gmn ',' price ',' ngotake ',' cheap ',' suits', 'quality', 'asw', 'expensive', 'quality', 'mending'"&amp;", 'next door' , 'price', 'cheap', 'according to', 'quality', 'Telkomsel', 'price', 'elite', 'signal', 'wrapped', ""]")</f>
        <v>['expensive', 'ngelegnya', 'forgiveness',' Ujan ',' ngeleg ',' move ',' cm ',' ngeleg ',' play ',' mobile ',' legend ',' behh ',' ngelegnya ',' ngilkak ',' gmn ',' price ',' ngotake ',' cheap ',' suits', 'quality', 'asw', 'expensive', 'quality', 'mending', 'next door' , 'price', 'cheap', 'according to', 'quality', 'Telkomsel', 'price', 'elite', 'signal', 'wrapped', "]</v>
      </c>
      <c r="D184" s="3">
        <v>1.0</v>
      </c>
    </row>
    <row r="185" ht="15.75" customHeight="1">
      <c r="A185" s="1">
        <v>193.0</v>
      </c>
      <c r="B185" s="3" t="s">
        <v>186</v>
      </c>
      <c r="C185" s="3" t="str">
        <f>IFERROR(__xludf.DUMMYFUNCTION("GOOGLETRANSLATE(B185,""id"",""en"")"),"['expensive', 'doang', 'package', 'internet', 'quality', 'zero', 'super', 'slow', '']")</f>
        <v>['expensive', 'doang', 'package', 'internet', 'quality', 'zero', 'super', 'slow', '']</v>
      </c>
      <c r="D185" s="3">
        <v>1.0</v>
      </c>
    </row>
    <row r="186" ht="15.75" customHeight="1">
      <c r="A186" s="1">
        <v>194.0</v>
      </c>
      <c r="B186" s="3" t="s">
        <v>187</v>
      </c>
      <c r="C186" s="3" t="str">
        <f>IFERROR(__xludf.DUMMYFUNCTION("GOOGLETRANSLATE(B186,""id"",""en"")"),"['Login', 'Difficult', 'Verification', 'SMS', 'Fast', '']")</f>
        <v>['Login', 'Difficult', 'Verification', 'SMS', 'Fast', '']</v>
      </c>
      <c r="D186" s="3">
        <v>1.0</v>
      </c>
    </row>
    <row r="187" ht="15.75" customHeight="1">
      <c r="A187" s="1">
        <v>195.0</v>
      </c>
      <c r="B187" s="3" t="s">
        <v>188</v>
      </c>
      <c r="C187" s="3" t="str">
        <f>IFERROR(__xludf.DUMMYFUNCTION("GOOGLETRANSLATE(B187,""id"",""en"")"),"['Telkomsel', 'Telkomsel', 'You', 'Leet', 'Network', 'internet', 'price', 'quota', 'expensive', 'expensive', 'come on', 'Telkomsel', ' move ',' change ',' developed ',' slow ',' nia ',' you ',' silent ',' ']")</f>
        <v>['Telkomsel', 'Telkomsel', 'You', 'Leet', 'Network', 'internet', 'price', 'quota', 'expensive', 'expensive', 'come on', 'Telkomsel', ' move ',' change ',' developed ',' slow ',' nia ',' you ',' silent ',' ']</v>
      </c>
      <c r="D187" s="3">
        <v>2.0</v>
      </c>
    </row>
    <row r="188" ht="15.75" customHeight="1">
      <c r="A188" s="1">
        <v>196.0</v>
      </c>
      <c r="B188" s="3" t="s">
        <v>189</v>
      </c>
      <c r="C188" s="3" t="str">
        <f>IFERROR(__xludf.DUMMYFUNCTION("GOOGLETRANSLATE(B188,""id"",""en"")"),"['easy', 'help', 'user']")</f>
        <v>['easy', 'help', 'user']</v>
      </c>
      <c r="D188" s="3">
        <v>4.0</v>
      </c>
    </row>
    <row r="189" ht="15.75" customHeight="1">
      <c r="A189" s="1">
        <v>197.0</v>
      </c>
      <c r="B189" s="3" t="s">
        <v>190</v>
      </c>
      <c r="C189" s="3" t="str">
        <f>IFERROR(__xludf.DUMMYFUNCTION("GOOGLETRANSLATE(B189,""id"",""en"")"),"['', 'enter', 'morning', 'night', 'enter', 'click', 'link', 'sms', 'mentok', 'enter', 'enter']")</f>
        <v>['', 'enter', 'morning', 'night', 'enter', 'click', 'link', 'sms', 'mentok', 'enter', 'enter']</v>
      </c>
      <c r="D189" s="3">
        <v>1.0</v>
      </c>
    </row>
    <row r="190" ht="15.75" customHeight="1">
      <c r="A190" s="1">
        <v>198.0</v>
      </c>
      <c r="B190" s="3" t="s">
        <v>191</v>
      </c>
      <c r="C190" s="3" t="str">
        <f>IFERROR(__xludf.DUMMYFUNCTION("GOOGLETRANSLATE(B190,""id"",""en"")"),"['Abis', 'update', 'error', 'app', 'right', 'open', 'white', 'doang', 'please', 'fix']")</f>
        <v>['Abis', 'update', 'error', 'app', 'right', 'open', 'white', 'doang', 'please', 'fix']</v>
      </c>
      <c r="D190" s="3">
        <v>2.0</v>
      </c>
    </row>
    <row r="191" ht="15.75" customHeight="1">
      <c r="A191" s="1">
        <v>199.0</v>
      </c>
      <c r="B191" s="3" t="s">
        <v>192</v>
      </c>
      <c r="C191" s="3" t="str">
        <f>IFERROR(__xludf.DUMMYFUNCTION("GOOGLETRANSLATE(B191,""id"",""en"")"),"['helped', 'in my opinion', 'application']")</f>
        <v>['helped', 'in my opinion', 'application']</v>
      </c>
      <c r="D191" s="3">
        <v>5.0</v>
      </c>
    </row>
    <row r="192" ht="15.75" customHeight="1">
      <c r="A192" s="1">
        <v>200.0</v>
      </c>
      <c r="B192" s="3" t="s">
        <v>193</v>
      </c>
      <c r="C192" s="3" t="str">
        <f>IFERROR(__xludf.DUMMYFUNCTION("GOOGLETRANSLATE(B192,""id"",""en"")"),"['Bad', 'really', 'my APK', 'lwmot']")</f>
        <v>['Bad', 'really', 'my APK', 'lwmot']</v>
      </c>
      <c r="D192" s="3">
        <v>1.0</v>
      </c>
    </row>
    <row r="193" ht="15.75" customHeight="1">
      <c r="A193" s="1">
        <v>201.0</v>
      </c>
      <c r="B193" s="3" t="s">
        <v>194</v>
      </c>
      <c r="C193" s="3" t="str">
        <f>IFERROR(__xludf.DUMMYFUNCTION("GOOGLETRANSLATE(B193,""id"",""en"")"),"['easy', 'Telkomsel', 'range', 'comfortable', 'level', 'remote', 'steady']")</f>
        <v>['easy', 'Telkomsel', 'range', 'comfortable', 'level', 'remote', 'steady']</v>
      </c>
      <c r="D193" s="3">
        <v>5.0</v>
      </c>
    </row>
    <row r="194" ht="15.75" customHeight="1">
      <c r="A194" s="1">
        <v>202.0</v>
      </c>
      <c r="B194" s="3" t="s">
        <v>195</v>
      </c>
      <c r="C194" s="3" t="str">
        <f>IFERROR(__xludf.DUMMYFUNCTION("GOOGLETRANSLATE(B194,""id"",""en"")"),"['quota', 'unlimited', 'difficult', 'signal', 'forgiveness', 'poor', 'buy', 'package', 'quota', ""]")</f>
        <v>['quota', 'unlimited', 'difficult', 'signal', 'forgiveness', 'poor', 'buy', 'package', 'quota', "]</v>
      </c>
      <c r="D194" s="3">
        <v>1.0</v>
      </c>
    </row>
    <row r="195" ht="15.75" customHeight="1">
      <c r="A195" s="1">
        <v>203.0</v>
      </c>
      <c r="B195" s="3" t="s">
        <v>196</v>
      </c>
      <c r="C195" s="3" t="str">
        <f>IFERROR(__xludf.DUMMYFUNCTION("GOOGLETRANSLATE(B195,""id"",""en"")"),"['Hopefully', 'materialized']")</f>
        <v>['Hopefully', 'materialized']</v>
      </c>
      <c r="D195" s="3">
        <v>5.0</v>
      </c>
    </row>
    <row r="196" ht="15.75" customHeight="1">
      <c r="A196" s="1">
        <v>204.0</v>
      </c>
      <c r="B196" s="3" t="s">
        <v>197</v>
      </c>
      <c r="C196" s="3" t="str">
        <f>IFERROR(__xludf.DUMMYFUNCTION("GOOGLETRANSLATE(B196,""id"",""en"")"),"['Love', 'Star', 'Network', 'Telkomsel', 'Bad', 'Network', 'Setabil', 'Stay', 'in the city', 'I should', 'Telkomsel', 'Jaringy', ' Good ',' please ',' repaired ',' customer ',' loyal ',' Telkomsel ',' disappointed ']")</f>
        <v>['Love', 'Star', 'Network', 'Telkomsel', 'Bad', 'Network', 'Setabil', 'Stay', 'in the city', 'I should', 'Telkomsel', 'Jaringy', ' Good ',' please ',' repaired ',' customer ',' loyal ',' Telkomsel ',' disappointed ']</v>
      </c>
      <c r="D196" s="3">
        <v>2.0</v>
      </c>
    </row>
    <row r="197" ht="15.75" customHeight="1">
      <c r="A197" s="1">
        <v>205.0</v>
      </c>
      <c r="B197" s="3" t="s">
        <v>198</v>
      </c>
      <c r="C197" s="3" t="str">
        <f>IFERROR(__xludf.DUMMYFUNCTION("GOOGLETRANSLATE(B197,""id"",""en"")"),"['Update', 'Mulu', 'TPI', 'Network', 'Error', 'Game', 'PDAH', 'Signal', 'Full']")</f>
        <v>['Update', 'Mulu', 'TPI', 'Network', 'Error', 'Game', 'PDAH', 'Signal', 'Full']</v>
      </c>
      <c r="D197" s="3">
        <v>1.0</v>
      </c>
    </row>
    <row r="198" ht="15.75" customHeight="1">
      <c r="A198" s="1">
        <v>206.0</v>
      </c>
      <c r="B198" s="3" t="s">
        <v>199</v>
      </c>
      <c r="C198" s="3" t="str">
        <f>IFERROR(__xludf.DUMMYFUNCTION("GOOGLETRANSLATE(B198,""id"",""en"")"),"['Network', 'good', 'darling', 'dipake', 'play', 'mobile', 'leg', 'nd', 'lag']")</f>
        <v>['Network', 'good', 'darling', 'dipake', 'play', 'mobile', 'leg', 'nd', 'lag']</v>
      </c>
      <c r="D198" s="3">
        <v>5.0</v>
      </c>
    </row>
    <row r="199" ht="15.75" customHeight="1">
      <c r="A199" s="1">
        <v>207.0</v>
      </c>
      <c r="B199" s="3" t="s">
        <v>200</v>
      </c>
      <c r="C199" s="3" t="str">
        <f>IFERROR(__xludf.DUMMYFUNCTION("GOOGLETRANSLATE(B199,""id"",""en"")"),"['network', 'Telkomsel', 'slow', 'use', 'list', 'package', 'internet', 'good', 'use', 'wifi', 'guarantee', 'anti', ' Leet ']")</f>
        <v>['network', 'Telkomsel', 'slow', 'use', 'list', 'package', 'internet', 'good', 'use', 'wifi', 'guarantee', 'anti', ' Leet ']</v>
      </c>
      <c r="D199" s="3">
        <v>1.0</v>
      </c>
    </row>
    <row r="200" ht="15.75" customHeight="1">
      <c r="A200" s="1">
        <v>208.0</v>
      </c>
      <c r="B200" s="3" t="s">
        <v>201</v>
      </c>
      <c r="C200" s="3" t="str">
        <f>IFERROR(__xludf.DUMMYFUNCTION("GOOGLETRANSLATE(B200,""id"",""en"")"),"['Help', 'work', 'thank', 'love', 'Telkomsel', 'hope', 'in the past', 'Jaya', ""]")</f>
        <v>['Help', 'work', 'thank', 'love', 'Telkomsel', 'hope', 'in the past', 'Jaya', "]</v>
      </c>
      <c r="D200" s="3">
        <v>5.0</v>
      </c>
    </row>
    <row r="201" ht="15.75" customHeight="1">
      <c r="A201" s="1">
        <v>209.0</v>
      </c>
      <c r="B201" s="3" t="s">
        <v>202</v>
      </c>
      <c r="C201" s="3" t="str">
        <f>IFERROR(__xludf.DUMMYFUNCTION("GOOGLETRANSLATE(B201,""id"",""en"")"),"['right', 'version', 'enter', 'login', 'failed', '']")</f>
        <v>['right', 'version', 'enter', 'login', 'failed', '']</v>
      </c>
      <c r="D201" s="3">
        <v>3.0</v>
      </c>
    </row>
    <row r="202" ht="15.75" customHeight="1">
      <c r="A202" s="1">
        <v>210.0</v>
      </c>
      <c r="B202" s="3" t="s">
        <v>203</v>
      </c>
      <c r="C202" s="3" t="str">
        <f>IFERROR(__xludf.DUMMYFUNCTION("GOOGLETRANSLATE(B202,""id"",""en"")"),"['Package', 'Data', 'Monthly', 'Bring', '']")</f>
        <v>['Package', 'Data', 'Monthly', 'Bring', '']</v>
      </c>
      <c r="D202" s="3">
        <v>3.0</v>
      </c>
    </row>
    <row r="203" ht="15.75" customHeight="1">
      <c r="A203" s="1">
        <v>211.0</v>
      </c>
      <c r="B203" s="3" t="s">
        <v>204</v>
      </c>
      <c r="C203" s="3" t="str">
        <f>IFERROR(__xludf.DUMMYFUNCTION("GOOGLETRANSLATE(B203,""id"",""en"")"),"['The use', 'update', 'difficult', 'login']")</f>
        <v>['The use', 'update', 'difficult', 'login']</v>
      </c>
      <c r="D203" s="3">
        <v>2.0</v>
      </c>
    </row>
    <row r="204" ht="15.75" customHeight="1">
      <c r="A204" s="1">
        <v>212.0</v>
      </c>
      <c r="B204" s="3" t="s">
        <v>205</v>
      </c>
      <c r="C204" s="3" t="str">
        <f>IFERROR(__xludf.DUMMYFUNCTION("GOOGLETRANSLATE(B204,""id"",""en"")"),"['Star', 'Collapin', 'open', 'APK', 'Telkomsel', 'times', 'open', 'signal', 'apk', 'laon', 'open', ""]")</f>
        <v>['Star', 'Collapin', 'open', 'APK', 'Telkomsel', 'times', 'open', 'signal', 'apk', 'laon', 'open', "]</v>
      </c>
      <c r="D204" s="3">
        <v>1.0</v>
      </c>
    </row>
    <row r="205" ht="15.75" customHeight="1">
      <c r="A205" s="1">
        <v>213.0</v>
      </c>
      <c r="B205" s="3" t="s">
        <v>206</v>
      </c>
      <c r="C205" s="3" t="str">
        <f>IFERROR(__xludf.DUMMYFUNCTION("GOOGLETRANSLATE(B205,""id"",""en"")"),"['Application', 'Weight', 'Sometimes', 'Enter', 'Network', 'Safe', '']")</f>
        <v>['Application', 'Weight', 'Sometimes', 'Enter', 'Network', 'Safe', '']</v>
      </c>
      <c r="D205" s="3">
        <v>4.0</v>
      </c>
    </row>
    <row r="206" ht="15.75" customHeight="1">
      <c r="A206" s="1">
        <v>214.0</v>
      </c>
      <c r="B206" s="3" t="s">
        <v>207</v>
      </c>
      <c r="C206" s="3" t="str">
        <f>IFERROR(__xludf.DUMMYFUNCTION("GOOGLETRANSLATE(B206,""id"",""en"")"),"['', 'Telkomsel', 'enter', 'APK', 'MyTelkomasel', 'Network', 'okay', 'wifi', 'okay', 'enter', 'check', 'please', 'fix it ',' Overnight ',' ']")</f>
        <v>['', 'Telkomsel', 'enter', 'APK', 'MyTelkomasel', 'Network', 'okay', 'wifi', 'okay', 'enter', 'check', 'please', 'fix it ',' Overnight ',' ']</v>
      </c>
      <c r="D206" s="3">
        <v>1.0</v>
      </c>
    </row>
    <row r="207" ht="15.75" customHeight="1">
      <c r="A207" s="1">
        <v>216.0</v>
      </c>
      <c r="B207" s="3" t="s">
        <v>208</v>
      </c>
      <c r="C207" s="3" t="str">
        <f>IFERROR(__xludf.DUMMYFUNCTION("GOOGLETRANSLATE(B207,""id"",""en"")"),"['you'll', 'Lottery', 'KNP', 'BLM', 'DPT', 'Info', 'Area', 'Mountain', 'Sindur', 'Bogor', 'Klw', 'Electricity', ' Dead ',' Signal ',' Lost ',' Point ',' Signal ',' Kenceng ',' Hope ',' Repair ',' Telkomsel ',' Thank you ', ""]")</f>
        <v>['you'll', 'Lottery', 'KNP', 'BLM', 'DPT', 'Info', 'Area', 'Mountain', 'Sindur', 'Bogor', 'Klw', 'Electricity', ' Dead ',' Signal ',' Lost ',' Point ',' Signal ',' Kenceng ',' Hope ',' Repair ',' Telkomsel ',' Thank you ', "]</v>
      </c>
      <c r="D207" s="3">
        <v>5.0</v>
      </c>
    </row>
    <row r="208" ht="15.75" customHeight="1">
      <c r="A208" s="1">
        <v>217.0</v>
      </c>
      <c r="B208" s="3" t="s">
        <v>209</v>
      </c>
      <c r="C208" s="3" t="str">
        <f>IFERROR(__xludf.DUMMYFUNCTION("GOOGLETRANSLATE(B208,""id"",""en"")"),"['application', 'slow', 'check', 'balance', 'can', 'color', 'white', '']")</f>
        <v>['application', 'slow', 'check', 'balance', 'can', 'color', 'white', '']</v>
      </c>
      <c r="D208" s="3">
        <v>1.0</v>
      </c>
    </row>
    <row r="209" ht="15.75" customHeight="1">
      <c r="A209" s="1">
        <v>218.0</v>
      </c>
      <c r="B209" s="3" t="s">
        <v>210</v>
      </c>
      <c r="C209" s="3" t="str">
        <f>IFERROR(__xludf.DUMMYFUNCTION("GOOGLETRANSLATE(B209,""id"",""en"")"),"['woi', 'buy', 'package', 'booster', 'printed', 'sosmed', 'youtube', 'tiktok', 'kepakai', 'severe', ""]")</f>
        <v>['woi', 'buy', 'package', 'booster', 'printed', 'sosmed', 'youtube', 'tiktok', 'kepakai', 'severe', "]</v>
      </c>
      <c r="D209" s="3">
        <v>5.0</v>
      </c>
    </row>
    <row r="210" ht="15.75" customHeight="1">
      <c r="A210" s="1">
        <v>219.0</v>
      </c>
      <c r="B210" s="3" t="s">
        <v>211</v>
      </c>
      <c r="C210" s="3" t="str">
        <f>IFERROR(__xludf.DUMMYFUNCTION("GOOGLETRANSLATE(B210,""id"",""en"")"),"['How', 'Telkomsel', 'enter', 'Telkomsel', 'screen', 'white', 'cellphone', 'tried', 'log', 'please', 'fix', ""]")</f>
        <v>['How', 'Telkomsel', 'enter', 'Telkomsel', 'screen', 'white', 'cellphone', 'tried', 'log', 'please', 'fix', "]</v>
      </c>
      <c r="D210" s="3">
        <v>1.0</v>
      </c>
    </row>
    <row r="211" ht="15.75" customHeight="1">
      <c r="A211" s="1">
        <v>220.0</v>
      </c>
      <c r="B211" s="3" t="s">
        <v>212</v>
      </c>
      <c r="C211" s="3" t="str">
        <f>IFERROR(__xludf.DUMMYFUNCTION("GOOGLETRANSLATE(B211,""id"",""en"")"),"['used', 'credit', 'cut', 'sms']")</f>
        <v>['used', 'credit', 'cut', 'sms']</v>
      </c>
      <c r="D211" s="3">
        <v>1.0</v>
      </c>
    </row>
    <row r="212" ht="15.75" customHeight="1">
      <c r="A212" s="1">
        <v>221.0</v>
      </c>
      <c r="B212" s="3" t="s">
        <v>213</v>
      </c>
      <c r="C212" s="3" t="str">
        <f>IFERROR(__xludf.DUMMYFUNCTION("GOOGLETRANSLATE(B212,""id"",""en"")"),"['charging', 'pulse', 'entered', 'jdi', 'buy', 'package', 'data', 'pulse', 'lngsung', 'hbis',' telkomsel ',' emotion ',' ']")</f>
        <v>['charging', 'pulse', 'entered', 'jdi', 'buy', 'package', 'data', 'pulse', 'lngsung', 'hbis',' telkomsel ',' emotion ',' ']</v>
      </c>
      <c r="D212" s="3">
        <v>1.0</v>
      </c>
    </row>
    <row r="213" ht="15.75" customHeight="1">
      <c r="A213" s="1">
        <v>222.0</v>
      </c>
      <c r="B213" s="3" t="s">
        <v>214</v>
      </c>
      <c r="C213" s="3" t="str">
        <f>IFERROR(__xludf.DUMMYFUNCTION("GOOGLETRANSLATE(B213,""id"",""en"")"),"['Satisfied', 'loss', 'pulse', 'use', 'wifi', 'pulses', 'sumps', 'system', 'what', '']")</f>
        <v>['Satisfied', 'loss', 'pulse', 'use', 'wifi', 'pulses', 'sumps', 'system', 'what', '']</v>
      </c>
      <c r="D213" s="3">
        <v>2.0</v>
      </c>
    </row>
    <row r="214" ht="15.75" customHeight="1">
      <c r="A214" s="1">
        <v>223.0</v>
      </c>
      <c r="B214" s="3" t="s">
        <v>215</v>
      </c>
      <c r="C214" s="3" t="str">
        <f>IFERROR(__xludf.DUMMYFUNCTION("GOOGLETRANSLATE(B214,""id"",""en"")"),"['Enter', 'APLKSI', 'PDHL', 'Current', 'Doang', 'Enter', 'Blank', 'White']")</f>
        <v>['Enter', 'APLKSI', 'PDHL', 'Current', 'Doang', 'Enter', 'Blank', 'White']</v>
      </c>
      <c r="D214" s="3">
        <v>1.0</v>
      </c>
    </row>
    <row r="215" ht="15.75" customHeight="1">
      <c r="A215" s="1">
        <v>224.0</v>
      </c>
      <c r="B215" s="3" t="s">
        <v>216</v>
      </c>
      <c r="C215" s="3" t="str">
        <f>IFERROR(__xludf.DUMMYFUNCTION("GOOGLETRANSLATE(B215,""id"",""en"")"),"['Disappointed', 'Network', 'ugly', 'already', 'patient', 'survive', 'change', 'hub', 'ugly', 'seeekkaaliiiii', 'hub', 'ttep', ' bad']")</f>
        <v>['Disappointed', 'Network', 'ugly', 'already', 'patient', 'survive', 'change', 'hub', 'ugly', 'seeekkaaliiiii', 'hub', 'ttep', ' bad']</v>
      </c>
      <c r="D215" s="3">
        <v>1.0</v>
      </c>
    </row>
    <row r="216" ht="15.75" customHeight="1">
      <c r="A216" s="1">
        <v>226.0</v>
      </c>
      <c r="B216" s="3" t="s">
        <v>217</v>
      </c>
      <c r="C216" s="3" t="str">
        <f>IFERROR(__xludf.DUMMYFUNCTION("GOOGLETRANSLATE(B216,""id"",""en"")"),"['satisfying', '']")</f>
        <v>['satisfying', '']</v>
      </c>
      <c r="D216" s="3">
        <v>3.0</v>
      </c>
    </row>
    <row r="217" ht="15.75" customHeight="1">
      <c r="A217" s="1">
        <v>227.0</v>
      </c>
      <c r="B217" s="3" t="s">
        <v>218</v>
      </c>
      <c r="C217" s="3" t="str">
        <f>IFERROR(__xludf.DUMMYFUNCTION("GOOGLETRANSLATE(B217,""id"",""en"")"),"['Sorry', 'Sis', 'Comfortable', 'That's', 'Network', 'Worst', 'Hadeuh', 'kacaw', 'kacaw', 'kacaw', ""]")</f>
        <v>['Sorry', 'Sis', 'Comfortable', 'That's', 'Network', 'Worst', 'Hadeuh', 'kacaw', 'kacaw', 'kacaw', "]</v>
      </c>
      <c r="D217" s="3">
        <v>1.0</v>
      </c>
    </row>
    <row r="218" ht="15.75" customHeight="1">
      <c r="A218" s="1">
        <v>228.0</v>
      </c>
      <c r="B218" s="3" t="s">
        <v>219</v>
      </c>
      <c r="C218" s="3" t="str">
        <f>IFERROR(__xludf.DUMMYFUNCTION("GOOGLETRANSLATE(B218,""id"",""en"")"),"['Like', 'Bangeettt', 'Since', 'Program', 'Chek', 'That's',' Diligently ',' Chek ',' Loyal ',' Quota ',' Additional ',' Free ',' ']")</f>
        <v>['Like', 'Bangeettt', 'Since', 'Program', 'Chek', 'That's',' Diligently ',' Chek ',' Loyal ',' Quota ',' Additional ',' Free ',' ']</v>
      </c>
      <c r="D218" s="3">
        <v>5.0</v>
      </c>
    </row>
    <row r="219" ht="15.75" customHeight="1">
      <c r="A219" s="1">
        <v>229.0</v>
      </c>
      <c r="B219" s="3" t="s">
        <v>220</v>
      </c>
      <c r="C219" s="3" t="str">
        <f>IFERROR(__xludf.DUMMYFUNCTION("GOOGLETRANSLATE(B219,""id"",""en"")"),"['Ngga', 'Features',' Padlock ',' Key ',' Credit ',' Quota ',' Out ',' Data ',' Direct ',' sucked ',' pulse ',' pulses', ' Direct ',' Suck ',' poor ', ""]")</f>
        <v>['Ngga', 'Features',' Padlock ',' Key ',' Credit ',' Quota ',' Out ',' Data ',' Direct ',' sucked ',' pulse ',' pulses', ' Direct ',' Suck ',' poor ', "]</v>
      </c>
      <c r="D219" s="3">
        <v>2.0</v>
      </c>
    </row>
    <row r="220" ht="15.75" customHeight="1">
      <c r="A220" s="1">
        <v>230.0</v>
      </c>
      <c r="B220" s="3" t="s">
        <v>221</v>
      </c>
      <c r="C220" s="3" t="str">
        <f>IFERROR(__xludf.DUMMYFUNCTION("GOOGLETRANSLATE(B220,""id"",""en"")"),"['Severe', 'really', 'open', 'application', 'Telkomsel', 'use', 'wifi', 'difficult', 'really', 'forgiveness', 'severe', 'application']")</f>
        <v>['Severe', 'really', 'open', 'application', 'Telkomsel', 'use', 'wifi', 'difficult', 'really', 'forgiveness', 'severe', 'application']</v>
      </c>
      <c r="D220" s="3">
        <v>1.0</v>
      </c>
    </row>
    <row r="221" ht="15.75" customHeight="1">
      <c r="A221" s="1">
        <v>231.0</v>
      </c>
      <c r="B221" s="3" t="s">
        <v>222</v>
      </c>
      <c r="C221" s="3" t="str">
        <f>IFERROR(__xludf.DUMMYFUNCTION("GOOGLETRANSLATE(B221,""id"",""en"")"),"['Please', 'Signal', 'Telkom', 'LBH', 'BGS', 'Lemot', 'MLLU', 'TRIMS']")</f>
        <v>['Please', 'Signal', 'Telkom', 'LBH', 'BGS', 'Lemot', 'MLLU', 'TRIMS']</v>
      </c>
      <c r="D221" s="3">
        <v>5.0</v>
      </c>
    </row>
    <row r="222" ht="15.75" customHeight="1">
      <c r="A222" s="1">
        <v>232.0</v>
      </c>
      <c r="B222" s="3" t="s">
        <v>223</v>
      </c>
      <c r="C222" s="3" t="str">
        <f>IFERROR(__xludf.DUMMYFUNCTION("GOOGLETRANSLATE(B222,""id"",""en"")"),"['Greetings', 'Kediri']")</f>
        <v>['Greetings', 'Kediri']</v>
      </c>
      <c r="D222" s="3">
        <v>5.0</v>
      </c>
    </row>
    <row r="223" ht="15.75" customHeight="1">
      <c r="A223" s="1">
        <v>233.0</v>
      </c>
      <c r="B223" s="3" t="s">
        <v>224</v>
      </c>
      <c r="C223" s="3" t="str">
        <f>IFERROR(__xludf.DUMMYFUNCTION("GOOGLETRANSLATE(B223,""id"",""en"")"),"['Akor', 'Pukok', 'APP', 'Alap', 'Nian', 'Easy', 'Use', ""]")</f>
        <v>['Akor', 'Pukok', 'APP', 'Alap', 'Nian', 'Easy', 'Use', "]</v>
      </c>
      <c r="D223" s="3">
        <v>5.0</v>
      </c>
    </row>
    <row r="224" ht="15.75" customHeight="1">
      <c r="A224" s="1">
        <v>234.0</v>
      </c>
      <c r="B224" s="3" t="s">
        <v>225</v>
      </c>
      <c r="C224" s="3" t="str">
        <f>IFERROR(__xludf.DUMMYFUNCTION("GOOGLETRANSLATE(B224,""id"",""en"")"),"['Service', 'Network', 'Telkomsel', '']")</f>
        <v>['Service', 'Network', 'Telkomsel', '']</v>
      </c>
      <c r="D224" s="3">
        <v>5.0</v>
      </c>
    </row>
    <row r="225" ht="15.75" customHeight="1">
      <c r="A225" s="1">
        <v>236.0</v>
      </c>
      <c r="B225" s="3" t="s">
        <v>226</v>
      </c>
      <c r="C225" s="3" t="str">
        <f>IFERROR(__xludf.DUMMYFUNCTION("GOOGLETRANSLATE(B225,""id"",""en"")"),"['Price', 'Package', 'GB', 'PAS', 'Price', ""]")</f>
        <v>['Price', 'Package', 'GB', 'PAS', 'Price', "]</v>
      </c>
      <c r="D225" s="3">
        <v>1.0</v>
      </c>
    </row>
    <row r="226" ht="15.75" customHeight="1">
      <c r="A226" s="1">
        <v>237.0</v>
      </c>
      <c r="B226" s="3" t="s">
        <v>227</v>
      </c>
      <c r="C226" s="3" t="str">
        <f>IFERROR(__xludf.DUMMYFUNCTION("GOOGLETRANSLATE(B226,""id"",""en"")"),"['Mulu', 'application', 'knpa', 'sii', 'trs', 'klw', 'entry', 'difficult', 'bner', 'njisss']")</f>
        <v>['Mulu', 'application', 'knpa', 'sii', 'trs', 'klw', 'entry', 'difficult', 'bner', 'njisss']</v>
      </c>
      <c r="D226" s="3">
        <v>1.0</v>
      </c>
    </row>
    <row r="227" ht="15.75" customHeight="1">
      <c r="A227" s="1">
        <v>238.0</v>
      </c>
      <c r="B227" s="3" t="s">
        <v>228</v>
      </c>
      <c r="C227" s="3" t="str">
        <f>IFERROR(__xludf.DUMMYFUNCTION("GOOGLETRANSLATE(B227,""id"",""en"")"),"['Good', 'Succes', 'Jaya']")</f>
        <v>['Good', 'Succes', 'Jaya']</v>
      </c>
      <c r="D227" s="3">
        <v>5.0</v>
      </c>
    </row>
    <row r="228" ht="15.75" customHeight="1">
      <c r="A228" s="1">
        <v>239.0</v>
      </c>
      <c r="B228" s="3" t="s">
        <v>229</v>
      </c>
      <c r="C228" s="3" t="str">
        <f>IFERROR(__xludf.DUMMYFUNCTION("GOOGLETRANSLATE(B228,""id"",""en"")"),"['Honest', 'Disappointed', 'Very', 'Telkomsel', 'Network', 'Disorders', 'Mulu', 'Kayak', 'Network', 'Current', 'Bad', ""]")</f>
        <v>['Honest', 'Disappointed', 'Very', 'Telkomsel', 'Network', 'Disorders', 'Mulu', 'Kayak', 'Network', 'Current', 'Bad', "]</v>
      </c>
      <c r="D228" s="3">
        <v>1.0</v>
      </c>
    </row>
    <row r="229" ht="15.75" customHeight="1">
      <c r="A229" s="1">
        <v>240.0</v>
      </c>
      <c r="B229" s="3" t="s">
        <v>230</v>
      </c>
      <c r="C229" s="3" t="str">
        <f>IFERROR(__xludf.DUMMYFUNCTION("GOOGLETRANSLATE(B229,""id"",""en"")"),"['buy', 'pulse', 'bonus', 'package', 'blum']")</f>
        <v>['buy', 'pulse', 'bonus', 'package', 'blum']</v>
      </c>
      <c r="D229" s="3">
        <v>5.0</v>
      </c>
    </row>
    <row r="230" ht="15.75" customHeight="1">
      <c r="A230" s="1">
        <v>241.0</v>
      </c>
      <c r="B230" s="3" t="s">
        <v>231</v>
      </c>
      <c r="C230" s="3" t="str">
        <f>IFERROR(__xludf.DUMMYFUNCTION("GOOGLETRANSLATE(B230,""id"",""en"")"),"['easy', 'surrounding', 'card', 'Telkomsel', 'have', 'promo', 'interesting', 'telkomsel']")</f>
        <v>['easy', 'surrounding', 'card', 'Telkomsel', 'have', 'promo', 'interesting', 'telkomsel']</v>
      </c>
      <c r="D230" s="3">
        <v>5.0</v>
      </c>
    </row>
    <row r="231" ht="15.75" customHeight="1">
      <c r="A231" s="1">
        <v>242.0</v>
      </c>
      <c r="B231" s="3" t="s">
        <v>232</v>
      </c>
      <c r="C231" s="3" t="str">
        <f>IFERROR(__xludf.DUMMYFUNCTION("GOOGLETRANSLATE(B231,""id"",""en"")"),"['Telkomsel', 'Open', 'Maketin', 'Please', 'Fix']")</f>
        <v>['Telkomsel', 'Open', 'Maketin', 'Please', 'Fix']</v>
      </c>
      <c r="D231" s="3">
        <v>1.0</v>
      </c>
    </row>
    <row r="232" ht="15.75" customHeight="1">
      <c r="A232" s="1">
        <v>243.0</v>
      </c>
      <c r="B232" s="3" t="s">
        <v>233</v>
      </c>
      <c r="C232" s="3" t="str">
        <f>IFERROR(__xludf.DUMMYFUNCTION("GOOGLETRANSLATE(B232,""id"",""en"")"),"['User', 'Rich', 'DPT', 'DoorPrize']")</f>
        <v>['User', 'Rich', 'DPT', 'DoorPrize']</v>
      </c>
      <c r="D232" s="3">
        <v>5.0</v>
      </c>
    </row>
    <row r="233" ht="15.75" customHeight="1">
      <c r="A233" s="1">
        <v>244.0</v>
      </c>
      <c r="B233" s="3" t="s">
        <v>234</v>
      </c>
      <c r="C233" s="3" t="str">
        <f>IFERROR(__xludf.DUMMYFUNCTION("GOOGLETRANSLATE(B233,""id"",""en"")"),"['update', 'no', 'opened', 'screen', 'white', 'network', 'easy', 'changed', 'change', 'easy', 'slow', 'packetan', ' Please note']")</f>
        <v>['update', 'no', 'opened', 'screen', 'white', 'network', 'easy', 'changed', 'change', 'easy', 'slow', 'packetan', ' Please note']</v>
      </c>
      <c r="D233" s="3">
        <v>1.0</v>
      </c>
    </row>
    <row r="234" ht="15.75" customHeight="1">
      <c r="A234" s="1">
        <v>245.0</v>
      </c>
      <c r="B234" s="3" t="s">
        <v>235</v>
      </c>
      <c r="C234" s="3" t="str">
        <f>IFERROR(__xludf.DUMMYFUNCTION("GOOGLETRANSLATE(B234,""id"",""en"")"),"['menu', 'appears']")</f>
        <v>['menu', 'appears']</v>
      </c>
      <c r="D234" s="3">
        <v>1.0</v>
      </c>
    </row>
    <row r="235" ht="15.75" customHeight="1">
      <c r="A235" s="1">
        <v>246.0</v>
      </c>
      <c r="B235" s="3" t="s">
        <v>236</v>
      </c>
      <c r="C235" s="3" t="str">
        <f>IFERROR(__xludf.DUMMYFUNCTION("GOOGLETRANSLATE(B235,""id"",""en"")"),"['Good', 'already', 'check', 'nagak', 'claim']")</f>
        <v>['Good', 'already', 'check', 'nagak', 'claim']</v>
      </c>
      <c r="D235" s="3">
        <v>1.0</v>
      </c>
    </row>
    <row r="236" ht="15.75" customHeight="1">
      <c r="A236" s="1">
        <v>247.0</v>
      </c>
      <c r="B236" s="3" t="s">
        <v>237</v>
      </c>
      <c r="C236" s="3" t="str">
        <f>IFERROR(__xludf.DUMMYFUNCTION("GOOGLETRANSLATE(B236,""id"",""en"")"),"['weve', 'fish', 'shark', 'bite', 'cable', 'network', 'telkom', 'already', 'brapa', 'slow', 'mulu', 'network', ' telkom ',' addicted ',' times', 'fish', 'shark', 'bite', 'cable', 'network', 'telkom', 'already', 'network', 'slow', 'package' , 'Dlurunin', '"&amp;"price', 'fix', 'debate', 'like', 'deh', 'network', 'telkom', 'kek', 'gini', 'trusss']")</f>
        <v>['weve', 'fish', 'shark', 'bite', 'cable', 'network', 'telkom', 'already', 'brapa', 'slow', 'mulu', 'network', ' telkom ',' addicted ',' times', 'fish', 'shark', 'bite', 'cable', 'network', 'telkom', 'already', 'network', 'slow', 'package' , 'Dlurunin', 'price', 'fix', 'debate', 'like', 'deh', 'network', 'telkom', 'kek', 'gini', 'trusss']</v>
      </c>
      <c r="D236" s="3">
        <v>1.0</v>
      </c>
    </row>
    <row r="237" ht="15.75" customHeight="1">
      <c r="A237" s="1">
        <v>248.0</v>
      </c>
      <c r="B237" s="3" t="s">
        <v>238</v>
      </c>
      <c r="C237" s="3" t="str">
        <f>IFERROR(__xludf.DUMMYFUNCTION("GOOGLETRANSLATE(B237,""id"",""en"")"),"['network', 'slow', 'package', 'expensive', 'expensive', 'plus',' package ',' extra ',' extra ',' unlimite ',' remove ',' already ',' Use ',' Telkomsel ',' THN ',' Basically ',' Disappointed ',' Telkomsel ', ""]")</f>
        <v>['network', 'slow', 'package', 'expensive', 'expensive', 'plus',' package ',' extra ',' extra ',' unlimite ',' remove ',' already ',' Use ',' Telkomsel ',' THN ',' Basically ',' Disappointed ',' Telkomsel ', "]</v>
      </c>
      <c r="D237" s="3">
        <v>1.0</v>
      </c>
    </row>
    <row r="238" ht="15.75" customHeight="1">
      <c r="A238" s="1">
        <v>249.0</v>
      </c>
      <c r="B238" s="3" t="s">
        <v>239</v>
      </c>
      <c r="C238" s="3" t="str">
        <f>IFERROR(__xludf.DUMMYFUNCTION("GOOGLETRANSLATE(B238,""id"",""en"")"),"['', 'It's easy', 'really', 'bonus',' review ',' above ',' the application ',' heavy ',' Sya ',' disappointed ',' Developer ',' MyTelkomsel ',' Playstore ',' Hnya ',' MyTelkomsel ',' heavy ',' Dihp ',' Sya ',' RAM ',' GB ',' Sya ',' See ',' Dihp ',' Telko"&amp;"msel ',' Lite ', 'Ukurnnya', 'minimal', 'ready', 'dihp', 'sya', 'enta', 'mean', 'sorry', 'sya', 'edit', 'reviies',' sya ',' star ',' Star ',' SJAA ',' APP ',' Sya ', ""]")</f>
        <v>['', 'It's easy', 'really', 'bonus',' review ',' above ',' the application ',' heavy ',' Sya ',' disappointed ',' Developer ',' MyTelkomsel ',' Playstore ',' Hnya ',' MyTelkomsel ',' heavy ',' Dihp ',' Sya ',' RAM ',' GB ',' Sya ',' See ',' Dihp ',' Telkomsel ',' Lite ', 'Ukurnnya', 'minimal', 'ready', 'dihp', 'sya', 'enta', 'mean', 'sorry', 'sya', 'edit', 'reviies',' sya ',' star ',' Star ',' SJAA ',' APP ',' Sya ', "]</v>
      </c>
      <c r="D238" s="3">
        <v>1.0</v>
      </c>
    </row>
    <row r="239" ht="15.75" customHeight="1">
      <c r="A239" s="1">
        <v>250.0</v>
      </c>
      <c r="B239" s="3" t="s">
        <v>240</v>
      </c>
      <c r="C239" s="3" t="str">
        <f>IFERROR(__xludf.DUMMYFUNCTION("GOOGLETRANSLATE(B239,""id"",""en"")"),"['Knp', 'APK', 'Open', 'Network', 'Good', 'Please', 'Telkomsel']")</f>
        <v>['Knp', 'APK', 'Open', 'Network', 'Good', 'Please', 'Telkomsel']</v>
      </c>
      <c r="D239" s="3">
        <v>1.0</v>
      </c>
    </row>
    <row r="240" ht="15.75" customHeight="1">
      <c r="A240" s="1">
        <v>251.0</v>
      </c>
      <c r="B240" s="3" t="s">
        <v>241</v>
      </c>
      <c r="C240" s="3" t="str">
        <f>IFERROR(__xludf.DUMMYFUNCTION("GOOGLETRANSLATE(B240,""id"",""en"")"),"['Deliberate', 'Difficult', 'Accessible', 'No', 'Claims', 'Daily', 'Check', '']")</f>
        <v>['Deliberate', 'Difficult', 'Accessible', 'No', 'Claims', 'Daily', 'Check', '']</v>
      </c>
      <c r="D240" s="3">
        <v>1.0</v>
      </c>
    </row>
    <row r="241" ht="15.75" customHeight="1">
      <c r="A241" s="1">
        <v>252.0</v>
      </c>
      <c r="B241" s="3" t="s">
        <v>242</v>
      </c>
      <c r="C241" s="3" t="str">
        <f>IFERROR(__xludf.DUMMYFUNCTION("GOOGLETRANSLATE(B241,""id"",""en"")"),"['apk', 'ngeleg', 'really', 'apk', 'smooth']")</f>
        <v>['apk', 'ngeleg', 'really', 'apk', 'smooth']</v>
      </c>
      <c r="D241" s="3">
        <v>1.0</v>
      </c>
    </row>
    <row r="242" ht="15.75" customHeight="1">
      <c r="A242" s="1">
        <v>253.0</v>
      </c>
      <c r="B242" s="3" t="s">
        <v>243</v>
      </c>
      <c r="C242" s="3" t="str">
        <f>IFERROR(__xludf.DUMMYFUNCTION("GOOGLETRANSLATE(B242,""id"",""en"")"),"['price', 'package', 'quality', 'downhill', 'disappointing', 'price', 'package', 'expensive', 'plump', 'ilang', 'lost', 'Indosat', ' troublesome ',' at the same time ',' upload ',' task ',' etc. ',' sorry ',' honest ',' Telkomsel ',' disappointing ',' ']")</f>
        <v>['price', 'package', 'quality', 'downhill', 'disappointing', 'price', 'package', 'expensive', 'plump', 'ilang', 'lost', 'Indosat', ' troublesome ',' at the same time ',' upload ',' task ',' etc. ',' sorry ',' honest ',' Telkomsel ',' disappointing ',' ']</v>
      </c>
      <c r="D242" s="3">
        <v>1.0</v>
      </c>
    </row>
    <row r="243" ht="15.75" customHeight="1">
      <c r="A243" s="1">
        <v>254.0</v>
      </c>
      <c r="B243" s="3" t="s">
        <v>244</v>
      </c>
      <c r="C243" s="3" t="str">
        <f>IFERROR(__xludf.DUMMYFUNCTION("GOOGLETRANSLATE(B243,""id"",""en"")"),"['Coins', 'Tutu', 'Bet']")</f>
        <v>['Coins', 'Tutu', 'Bet']</v>
      </c>
      <c r="D243" s="3">
        <v>5.0</v>
      </c>
    </row>
    <row r="244" ht="15.75" customHeight="1">
      <c r="A244" s="1">
        <v>255.0</v>
      </c>
      <c r="B244" s="3" t="s">
        <v>245</v>
      </c>
      <c r="C244" s="3" t="str">
        <f>IFERROR(__xludf.DUMMYFUNCTION("GOOGLETRANSLATE(B244,""id"",""en"")"),"['Mantap', 'Increase']")</f>
        <v>['Mantap', 'Increase']</v>
      </c>
      <c r="D244" s="3">
        <v>5.0</v>
      </c>
    </row>
    <row r="245" ht="15.75" customHeight="1">
      <c r="A245" s="1">
        <v>256.0</v>
      </c>
      <c r="B245" s="3" t="s">
        <v>246</v>
      </c>
      <c r="C245" s="3" t="str">
        <f>IFERROR(__xludf.DUMMYFUNCTION("GOOGLETRANSLATE(B245,""id"",""en"")"),"['application', 'slow', 'garbage', 'super', 'slow', 'application']")</f>
        <v>['application', 'slow', 'garbage', 'super', 'slow', 'application']</v>
      </c>
      <c r="D245" s="3">
        <v>1.0</v>
      </c>
    </row>
    <row r="246" ht="15.75" customHeight="1">
      <c r="A246" s="1">
        <v>257.0</v>
      </c>
      <c r="B246" s="3" t="s">
        <v>247</v>
      </c>
      <c r="C246" s="3" t="str">
        <f>IFERROR(__xludf.DUMMYFUNCTION("GOOGLETRANSLATE(B246,""id"",""en"")"),"['apk', 'knp', 'open']")</f>
        <v>['apk', 'knp', 'open']</v>
      </c>
      <c r="D246" s="3">
        <v>1.0</v>
      </c>
    </row>
    <row r="247" ht="15.75" customHeight="1">
      <c r="A247" s="1">
        <v>258.0</v>
      </c>
      <c r="B247" s="3" t="s">
        <v>248</v>
      </c>
      <c r="C247" s="3" t="str">
        <f>IFERROR(__xludf.DUMMYFUNCTION("GOOGLETRANSLATE(B247,""id"",""en"")"),"['Mahall', 'SMS', 'MAYAL', '' ']")</f>
        <v>['Mahall', 'SMS', 'MAYAL', '' ']</v>
      </c>
      <c r="D247" s="3">
        <v>2.0</v>
      </c>
    </row>
    <row r="248" ht="15.75" customHeight="1">
      <c r="A248" s="1">
        <v>259.0</v>
      </c>
      <c r="B248" s="3" t="s">
        <v>249</v>
      </c>
      <c r="C248" s="3" t="str">
        <f>IFERROR(__xludf.DUMMYFUNCTION("GOOGLETRANSLATE(B248,""id"",""en"")"),"['open']")</f>
        <v>['open']</v>
      </c>
      <c r="D248" s="3">
        <v>1.0</v>
      </c>
    </row>
    <row r="249" ht="15.75" customHeight="1">
      <c r="A249" s="1">
        <v>260.0</v>
      </c>
      <c r="B249" s="3" t="s">
        <v>250</v>
      </c>
      <c r="C249" s="3" t="str">
        <f>IFERROR(__xludf.DUMMYFUNCTION("GOOGLETRANSLATE(B249,""id"",""en"")"),"['', 'closed']")</f>
        <v>['', 'closed']</v>
      </c>
      <c r="D249" s="3">
        <v>1.0</v>
      </c>
    </row>
    <row r="250" ht="15.75" customHeight="1">
      <c r="A250" s="1">
        <v>261.0</v>
      </c>
      <c r="B250" s="3" t="s">
        <v>251</v>
      </c>
      <c r="C250" s="3" t="str">
        <f>IFERROR(__xludf.DUMMYFUNCTION("GOOGLETRANSLATE(B250,""id"",""en"")"),"['application', 'quality', 'times', 'error', 'that's', '']")</f>
        <v>['application', 'quality', 'times', 'error', 'that's', '']</v>
      </c>
      <c r="D250" s="3">
        <v>1.0</v>
      </c>
    </row>
    <row r="251" ht="15.75" customHeight="1">
      <c r="A251" s="1">
        <v>262.0</v>
      </c>
      <c r="B251" s="3" t="s">
        <v>252</v>
      </c>
      <c r="C251" s="3" t="str">
        <f>IFERROR(__xludf.DUMMYFUNCTION("GOOGLETRANSLATE(B251,""id"",""en"")"),"['Login', 'application', 'difficult', 'really', 'sii', 'application', 'virgin', 'what', '']")</f>
        <v>['Login', 'application', 'difficult', 'really', 'sii', 'application', 'virgin', 'what', '']</v>
      </c>
      <c r="D251" s="3">
        <v>1.0</v>
      </c>
    </row>
    <row r="252" ht="15.75" customHeight="1">
      <c r="A252" s="1">
        <v>263.0</v>
      </c>
      <c r="B252" s="3" t="s">
        <v>253</v>
      </c>
      <c r="C252" s="3" t="str">
        <f>IFERROR(__xludf.DUMMYFUNCTION("GOOGLETRANSLATE(B252,""id"",""en"")"),"['Severe', 'update', 'display', 'icon', 'screen', 'doang', 'loading', 'open', 'application', 'smooth', 'APL', 'Telkomsel', ' Mendem ',' Mending ',' Plus', 'IN', 'Feature', 'Deh', 'Heavy']")</f>
        <v>['Severe', 'update', 'display', 'icon', 'screen', 'doang', 'loading', 'open', 'application', 'smooth', 'APL', 'Telkomsel', ' Mendem ',' Mending ',' Plus', 'IN', 'Feature', 'Deh', 'Heavy']</v>
      </c>
      <c r="D252" s="3">
        <v>1.0</v>
      </c>
    </row>
    <row r="253" ht="15.75" customHeight="1">
      <c r="A253" s="1">
        <v>264.0</v>
      </c>
      <c r="B253" s="3" t="s">
        <v>254</v>
      </c>
      <c r="C253" s="3" t="str">
        <f>IFERROR(__xludf.DUMMYFUNCTION("GOOGLETRANSLATE(B253,""id"",""en"")"),"['Satisfied', 'Application', 'Success', 'YHA']")</f>
        <v>['Satisfied', 'Application', 'Success', 'YHA']</v>
      </c>
      <c r="D253" s="3">
        <v>5.0</v>
      </c>
    </row>
    <row r="254" ht="15.75" customHeight="1">
      <c r="A254" s="1">
        <v>265.0</v>
      </c>
      <c r="B254" s="3" t="s">
        <v>255</v>
      </c>
      <c r="C254" s="3" t="str">
        <f>IFERROR(__xludf.DUMMYFUNCTION("GOOGLETRANSLATE(B254,""id"",""en"")"),"['likes',' funny ',' high school ',' Telkomsel ',' dpet ',' gift ',' ajh ',' pay ',' dlu ',' wkwkk ',' strange ',' TPI ',' funny', '']")</f>
        <v>['likes',' funny ',' high school ',' Telkomsel ',' dpet ',' gift ',' ajh ',' pay ',' dlu ',' wkwkk ',' strange ',' TPI ',' funny', '']</v>
      </c>
      <c r="D254" s="3">
        <v>1.0</v>
      </c>
    </row>
    <row r="255" ht="15.75" customHeight="1">
      <c r="A255" s="1">
        <v>266.0</v>
      </c>
      <c r="B255" s="3" t="s">
        <v>256</v>
      </c>
      <c r="C255" s="3" t="str">
        <f>IFERROR(__xludf.DUMMYFUNCTION("GOOGLETRANSLATE(B255,""id"",""en"")"),"['', 'Appeal', 'Win']")</f>
        <v>['', 'Appeal', 'Win']</v>
      </c>
      <c r="D255" s="3">
        <v>1.0</v>
      </c>
    </row>
    <row r="256" ht="15.75" customHeight="1">
      <c r="A256" s="1">
        <v>267.0</v>
      </c>
      <c r="B256" s="3" t="s">
        <v>257</v>
      </c>
      <c r="C256" s="3" t="str">
        <f>IFERROR(__xludf.DUMMYFUNCTION("GOOGLETRANSLATE(B256,""id"",""en"")"),"['subscribe', 'card', 'Hello', 'payment', 'bills',' different ',' different ',' payment ',' per month ',' additional ',' purchase ',' package ',' Please ',' Hint ',' ']")</f>
        <v>['subscribe', 'card', 'Hello', 'payment', 'bills',' different ',' different ',' payment ',' per month ',' additional ',' purchase ',' package ',' Please ',' Hint ',' ']</v>
      </c>
      <c r="D256" s="3">
        <v>3.0</v>
      </c>
    </row>
    <row r="257" ht="15.75" customHeight="1">
      <c r="A257" s="1">
        <v>268.0</v>
      </c>
      <c r="B257" s="3" t="s">
        <v>258</v>
      </c>
      <c r="C257" s="3" t="str">
        <f>IFERROR(__xludf.DUMMYFUNCTION("GOOGLETRANSLATE(B257,""id"",""en"")"),"['Not bad', 'muraaah', 'network', 'ilang', '']")</f>
        <v>['Not bad', 'muraaah', 'network', 'ilang', '']</v>
      </c>
      <c r="D257" s="3">
        <v>4.0</v>
      </c>
    </row>
    <row r="258" ht="15.75" customHeight="1">
      <c r="A258" s="1">
        <v>269.0</v>
      </c>
      <c r="B258" s="3" t="s">
        <v>259</v>
      </c>
      <c r="C258" s="3" t="str">
        <f>IFERROR(__xludf.DUMMYFUNCTION("GOOGLETRANSLATE(B258,""id"",""en"")"),"['Bgs']")</f>
        <v>['Bgs']</v>
      </c>
      <c r="D258" s="3">
        <v>5.0</v>
      </c>
    </row>
    <row r="259" ht="15.75" customHeight="1">
      <c r="A259" s="1">
        <v>270.0</v>
      </c>
      <c r="B259" s="3" t="s">
        <v>260</v>
      </c>
      <c r="C259" s="3" t="str">
        <f>IFERROR(__xludf.DUMMYFUNCTION("GOOGLETRANSLATE(B259,""id"",""en"")"),"['satisfying', 'staple']")</f>
        <v>['satisfying', 'staple']</v>
      </c>
      <c r="D259" s="3">
        <v>5.0</v>
      </c>
    </row>
    <row r="260" ht="15.75" customHeight="1">
      <c r="A260" s="1">
        <v>271.0</v>
      </c>
      <c r="B260" s="3" t="s">
        <v>261</v>
      </c>
      <c r="C260" s="3" t="str">
        <f>IFERROR(__xludf.DUMMYFUNCTION("GOOGLETRANSLATE(B260,""id"",""en"")"),"['Mantab']")</f>
        <v>['Mantab']</v>
      </c>
      <c r="D260" s="3">
        <v>5.0</v>
      </c>
    </row>
    <row r="261" ht="15.75" customHeight="1">
      <c r="A261" s="1">
        <v>272.0</v>
      </c>
      <c r="B261" s="3" t="s">
        <v>262</v>
      </c>
      <c r="C261" s="3" t="str">
        <f>IFERROR(__xludf.DUMMYFUNCTION("GOOGLETRANSLATE(B261,""id"",""en"")"),"['Application', 'MyTelkomsel', 'help']")</f>
        <v>['Application', 'MyTelkomsel', 'help']</v>
      </c>
      <c r="D261" s="3">
        <v>5.0</v>
      </c>
    </row>
    <row r="262" ht="15.75" customHeight="1">
      <c r="A262" s="1">
        <v>273.0</v>
      </c>
      <c r="B262" s="3" t="s">
        <v>263</v>
      </c>
      <c r="C262" s="3" t="str">
        <f>IFERROR(__xludf.DUMMYFUNCTION("GOOGLETRANSLATE(B262,""id"",""en"")"),"['Buy', 'already', 'Telkomsel', 'Benerin', 'APK', ""]")</f>
        <v>['Buy', 'already', 'Telkomsel', 'Benerin', 'APK', "]</v>
      </c>
      <c r="D262" s="3">
        <v>1.0</v>
      </c>
    </row>
    <row r="263" ht="15.75" customHeight="1">
      <c r="A263" s="1">
        <v>274.0</v>
      </c>
      <c r="B263" s="3" t="s">
        <v>264</v>
      </c>
      <c r="C263" s="3" t="str">
        <f>IFERROR(__xludf.DUMMYFUNCTION("GOOGLETRANSLATE(B263,""id"",""en"")"),"['Mix', 'open', 'application']")</f>
        <v>['Mix', 'open', 'application']</v>
      </c>
      <c r="D263" s="3">
        <v>3.0</v>
      </c>
    </row>
    <row r="264" ht="15.75" customHeight="1">
      <c r="A264" s="1">
        <v>275.0</v>
      </c>
      <c r="B264" s="3" t="s">
        <v>265</v>
      </c>
      <c r="C264" s="3" t="str">
        <f>IFERROR(__xludf.DUMMYFUNCTION("GOOGLETRANSLATE(B264,""id"",""en"")"),"['expensive', 'quality', 'downhill', 'application', 'mytelkomsel', 'open', 'screen', 'white', 'doang', 'appears',' severe ',' abis', ' Mending ',' moved ',' oprator ',' kayak ',' gini ']")</f>
        <v>['expensive', 'quality', 'downhill', 'application', 'mytelkomsel', 'open', 'screen', 'white', 'doang', 'appears',' severe ',' abis', ' Mending ',' moved ',' oprator ',' kayak ',' gini ']</v>
      </c>
      <c r="D264" s="3">
        <v>1.0</v>
      </c>
    </row>
    <row r="265" ht="15.75" customHeight="1">
      <c r="A265" s="1">
        <v>276.0</v>
      </c>
      <c r="B265" s="3" t="s">
        <v>266</v>
      </c>
      <c r="C265" s="3" t="str">
        <f>IFERROR(__xludf.DUMMYFUNCTION("GOOGLETRANSLATE(B265,""id"",""en"")"),"['application', 'trash', 'login', 'download', 'smooth']")</f>
        <v>['application', 'trash', 'login', 'download', 'smooth']</v>
      </c>
      <c r="D265" s="3">
        <v>1.0</v>
      </c>
    </row>
    <row r="266" ht="15.75" customHeight="1">
      <c r="A266" s="1">
        <v>277.0</v>
      </c>
      <c r="B266" s="3" t="s">
        <v>267</v>
      </c>
      <c r="C266" s="3" t="str">
        <f>IFERROR(__xludf.DUMMYFUNCTION("GOOGLETRANSLATE(B266,""id"",""en"")"),"['Application', 'Gakjelas', 'Open', 'Update', 'Open', 'Application', 'Check', 'Quota', 'Signal', 'Good', ""]")</f>
        <v>['Application', 'Gakjelas', 'Open', 'Update', 'Open', 'Application', 'Check', 'Quota', 'Signal', 'Good', "]</v>
      </c>
      <c r="D266" s="3">
        <v>1.0</v>
      </c>
    </row>
    <row r="267" ht="15.75" customHeight="1">
      <c r="A267" s="1">
        <v>278.0</v>
      </c>
      <c r="B267" s="3" t="s">
        <v>268</v>
      </c>
      <c r="C267" s="3" t="str">
        <f>IFERROR(__xludf.DUMMYFUNCTION("GOOGLETRANSLATE(B267,""id"",""en"")"),"['Telkomsel', 'siiii', 'package', 'Inter', 'rb', 'tmn', 'tmn', 'price', 'quota', 'me', 'uda', 'tlkomsel', ' times', 'already', 'disappointed', 'heavy', ""]")</f>
        <v>['Telkomsel', 'siiii', 'package', 'Inter', 'rb', 'tmn', 'tmn', 'price', 'quota', 'me', 'uda', 'tlkomsel', ' times', 'already', 'disappointed', 'heavy', "]</v>
      </c>
      <c r="D267" s="3">
        <v>1.0</v>
      </c>
    </row>
    <row r="268" ht="15.75" customHeight="1">
      <c r="A268" s="1">
        <v>279.0</v>
      </c>
      <c r="B268" s="3" t="s">
        <v>269</v>
      </c>
      <c r="C268" s="3" t="str">
        <f>IFERROR(__xludf.DUMMYFUNCTION("GOOGLETRANSLATE(B268,""id"",""en"")"),"['Come', 'destroyed', 'Telkomsel']")</f>
        <v>['Come', 'destroyed', 'Telkomsel']</v>
      </c>
      <c r="D268" s="3">
        <v>1.0</v>
      </c>
    </row>
    <row r="269" ht="15.75" customHeight="1">
      <c r="A269" s="1">
        <v>280.0</v>
      </c>
      <c r="B269" s="3" t="s">
        <v>270</v>
      </c>
      <c r="C269" s="3" t="str">
        <f>IFERROR(__xludf.DUMMYFUNCTION("GOOGLETRANSLATE(B269,""id"",""en"")"),"['pay']")</f>
        <v>['pay']</v>
      </c>
      <c r="D269" s="3">
        <v>5.0</v>
      </c>
    </row>
    <row r="270" ht="15.75" customHeight="1">
      <c r="A270" s="1">
        <v>281.0</v>
      </c>
      <c r="B270" s="3" t="s">
        <v>271</v>
      </c>
      <c r="C270" s="3" t="str">
        <f>IFERROR(__xludf.DUMMYFUNCTION("GOOGLETRANSLATE(B270,""id"",""en"")"),"['It's easier for']")</f>
        <v>['It's easier for']</v>
      </c>
      <c r="D270" s="3">
        <v>5.0</v>
      </c>
    </row>
    <row r="271" ht="15.75" customHeight="1">
      <c r="A271" s="1">
        <v>282.0</v>
      </c>
      <c r="B271" s="3" t="s">
        <v>272</v>
      </c>
      <c r="C271" s="3" t="str">
        <f>IFERROR(__xludf.DUMMYFUNCTION("GOOGLETRANSLATE(B271,""id"",""en"")"),"['Game', 'Current', 'Jaya', 'Kasi', 'Bintang', 'Nnti']")</f>
        <v>['Game', 'Current', 'Jaya', 'Kasi', 'Bintang', 'Nnti']</v>
      </c>
      <c r="D271" s="3">
        <v>4.0</v>
      </c>
    </row>
    <row r="272" ht="15.75" customHeight="1">
      <c r="A272" s="1">
        <v>283.0</v>
      </c>
      <c r="B272" s="3" t="s">
        <v>273</v>
      </c>
      <c r="C272" s="3" t="str">
        <f>IFERROR(__xludf.DUMMYFUNCTION("GOOGLETRANSLATE(B272,""id"",""en"")"),"['like']")</f>
        <v>['like']</v>
      </c>
      <c r="D272" s="3">
        <v>5.0</v>
      </c>
    </row>
    <row r="273" ht="15.75" customHeight="1">
      <c r="A273" s="1">
        <v>284.0</v>
      </c>
      <c r="B273" s="3" t="s">
        <v>274</v>
      </c>
      <c r="C273" s="3" t="str">
        <f>IFERROR(__xludf.DUMMYFUNCTION("GOOGLETRANSLATE(B273,""id"",""en"")"),"['Cool', 'surprise', 'like']")</f>
        <v>['Cool', 'surprise', 'like']</v>
      </c>
      <c r="D273" s="3">
        <v>5.0</v>
      </c>
    </row>
    <row r="274" ht="15.75" customHeight="1">
      <c r="A274" s="1">
        <v>285.0</v>
      </c>
      <c r="B274" s="3" t="s">
        <v>275</v>
      </c>
      <c r="C274" s="3" t="str">
        <f>IFERROR(__xludf.DUMMYFUNCTION("GOOGLETRANSLATE(B274,""id"",""en"")"),"['Telkomsel', 'right']")</f>
        <v>['Telkomsel', 'right']</v>
      </c>
      <c r="D274" s="3">
        <v>5.0</v>
      </c>
    </row>
    <row r="275" ht="15.75" customHeight="1">
      <c r="A275" s="1">
        <v>286.0</v>
      </c>
      <c r="B275" s="3" t="s">
        <v>276</v>
      </c>
      <c r="C275" s="3" t="str">
        <f>IFERROR(__xludf.DUMMYFUNCTION("GOOGLETRANSLATE(B275,""id"",""en"")"),"['Main', 'game', 'game', 'down', 'signal', 'lost']")</f>
        <v>['Main', 'game', 'game', 'down', 'signal', 'lost']</v>
      </c>
      <c r="D275" s="3">
        <v>1.0</v>
      </c>
    </row>
    <row r="276" ht="15.75" customHeight="1">
      <c r="A276" s="1">
        <v>287.0</v>
      </c>
      <c r="B276" s="3" t="s">
        <v>277</v>
      </c>
      <c r="C276" s="3" t="str">
        <f>IFERROR(__xludf.DUMMYFUNCTION("GOOGLETRANSLATE(B276,""id"",""en"")"),"['picture', 'screen', 'white', 'empty', '']")</f>
        <v>['picture', 'screen', 'white', 'empty', '']</v>
      </c>
      <c r="D276" s="3">
        <v>1.0</v>
      </c>
    </row>
    <row r="277" ht="15.75" customHeight="1">
      <c r="A277" s="1">
        <v>288.0</v>
      </c>
      <c r="B277" s="3" t="s">
        <v>278</v>
      </c>
      <c r="C277" s="3" t="str">
        <f>IFERROR(__xludf.DUMMYFUNCTION("GOOGLETRANSLATE(B277,""id"",""en"")"),"['Good', 'promo', 'internet', 'call', 'naik', 'minutes', 'minutes', 'help', 'badget', 'minimal', 'thank you']")</f>
        <v>['Good', 'promo', 'internet', 'call', 'naik', 'minutes', 'minutes', 'help', 'badget', 'minimal', 'thank you']</v>
      </c>
      <c r="D277" s="3">
        <v>3.0</v>
      </c>
    </row>
    <row r="278" ht="15.75" customHeight="1">
      <c r="A278" s="1">
        <v>289.0</v>
      </c>
      <c r="B278" s="3" t="s">
        <v>279</v>
      </c>
      <c r="C278" s="3" t="str">
        <f>IFERROR(__xludf.DUMMYFUNCTION("GOOGLETRANSLATE(B278,""id"",""en"")"),"['Telkomsel', 'enter', '']")</f>
        <v>['Telkomsel', 'enter', '']</v>
      </c>
      <c r="D278" s="3">
        <v>1.0</v>
      </c>
    </row>
    <row r="279" ht="15.75" customHeight="1">
      <c r="A279" s="1">
        <v>290.0</v>
      </c>
      <c r="B279" s="3" t="s">
        <v>280</v>
      </c>
      <c r="C279" s="3" t="str">
        <f>IFERROR(__xludf.DUMMYFUNCTION("GOOGLETRANSLATE(B279,""id"",""en"")"),"['price', 'package', 'Telkomsel', 'expensive', 'network', 'according to', 'price', 'slow', 'jakarta', 'village', 'mountains',' please ',' Fix ',' Mending ',' Move ',' Network ',' Cheap ',' Network ',' Good ',' Thank you ']")</f>
        <v>['price', 'package', 'Telkomsel', 'expensive', 'network', 'according to', 'price', 'slow', 'jakarta', 'village', 'mountains',' please ',' Fix ',' Mending ',' Move ',' Network ',' Cheap ',' Network ',' Good ',' Thank you ']</v>
      </c>
      <c r="D279" s="3">
        <v>1.0</v>
      </c>
    </row>
    <row r="280" ht="15.75" customHeight="1">
      <c r="A280" s="1">
        <v>291.0</v>
      </c>
      <c r="B280" s="3" t="s">
        <v>281</v>
      </c>
      <c r="C280" s="3" t="str">
        <f>IFERROR(__xludf.DUMMYFUNCTION("GOOGLETRANSLATE(B280,""id"",""en"")"),"['application', 'KNPA', 'open', 'already', 'update', 'broken']")</f>
        <v>['application', 'KNPA', 'open', 'already', 'update', 'broken']</v>
      </c>
      <c r="D280" s="3">
        <v>1.0</v>
      </c>
    </row>
    <row r="281" ht="15.75" customHeight="1">
      <c r="A281" s="1">
        <v>292.0</v>
      </c>
      <c r="B281" s="3" t="s">
        <v>282</v>
      </c>
      <c r="C281" s="3" t="str">
        <f>IFERROR(__xludf.DUMMYFUNCTION("GOOGLETRANSLATE(B281,""id"",""en"")"),"['', 'Klau', 'Telkomsel', 'Ngbulin', 'Promo', 'responds',' Tanngapan ',' Delete ',' App ',' DPT ',' SMS ',' quota ',' Price ',' affordable ',' promo ',' century ',' search ',' already ',' deh ',' bye ']")</f>
        <v>['', 'Klau', 'Telkomsel', 'Ngbulin', 'Promo', 'responds',' Tanngapan ',' Delete ',' App ',' DPT ',' SMS ',' quota ',' Price ',' affordable ',' promo ',' century ',' search ',' already ',' deh ',' bye ']</v>
      </c>
      <c r="D281" s="3">
        <v>1.0</v>
      </c>
    </row>
    <row r="282" ht="15.75" customHeight="1">
      <c r="A282" s="1">
        <v>294.0</v>
      </c>
      <c r="B282" s="3" t="s">
        <v>283</v>
      </c>
      <c r="C282" s="3" t="str">
        <f>IFERROR(__xludf.DUMMYFUNCTION("GOOGLETRANSLATE(B282,""id"",""en"")"),"['outra', 'good', 'love', 'star', '']")</f>
        <v>['outra', 'good', 'love', 'star', '']</v>
      </c>
      <c r="D282" s="3">
        <v>4.0</v>
      </c>
    </row>
    <row r="283" ht="15.75" customHeight="1">
      <c r="A283" s="1">
        <v>295.0</v>
      </c>
      <c r="B283" s="3" t="s">
        <v>284</v>
      </c>
      <c r="C283" s="3" t="str">
        <f>IFERROR(__xludf.DUMMYFUNCTION("GOOGLETRANSLATE(B283,""id"",""en"")"),"['ksh']")</f>
        <v>['ksh']</v>
      </c>
      <c r="D283" s="3">
        <v>3.0</v>
      </c>
    </row>
    <row r="284" ht="15.75" customHeight="1">
      <c r="A284" s="1">
        <v>296.0</v>
      </c>
      <c r="B284" s="3" t="s">
        <v>285</v>
      </c>
      <c r="C284" s="3" t="str">
        <f>IFERROR(__xludf.DUMMYFUNCTION("GOOGLETRANSLATE(B284,""id"",""en"")"),"['Didden', 'migration', 'prepaid', 'postpaid', 'via', 'telephone', 'process',' a week ',' blm ',' finished ',' repeated ',' contact ',' Cust ',' Service ',' Via ',' Tel ',' Call ',' Center ',' Satisfying ',' The answer ',' Process', 'Deadline', 'On', 'Ser"&amp;"vice', 'Telkomsel' , '']")</f>
        <v>['Didden', 'migration', 'prepaid', 'postpaid', 'via', 'telephone', 'process',' a week ',' blm ',' finished ',' repeated ',' contact ',' Cust ',' Service ',' Via ',' Tel ',' Call ',' Center ',' Satisfying ',' The answer ',' Process', 'Deadline', 'On', 'Service', 'Telkomsel' , '']</v>
      </c>
      <c r="D284" s="3">
        <v>1.0</v>
      </c>
    </row>
    <row r="285" ht="15.75" customHeight="1">
      <c r="A285" s="1">
        <v>297.0</v>
      </c>
      <c r="B285" s="3" t="s">
        <v>286</v>
      </c>
      <c r="C285" s="3" t="str">
        <f>IFERROR(__xludf.DUMMYFUNCTION("GOOGLETRANSLATE(B285,""id"",""en"")"),"['good']")</f>
        <v>['good']</v>
      </c>
      <c r="D285" s="3">
        <v>4.0</v>
      </c>
    </row>
    <row r="286" ht="15.75" customHeight="1">
      <c r="A286" s="1">
        <v>298.0</v>
      </c>
      <c r="B286" s="3" t="s">
        <v>287</v>
      </c>
      <c r="C286" s="3" t="str">
        <f>IFERROR(__xludf.DUMMYFUNCTION("GOOGLETRANSLATE(B286,""id"",""en"")"),"['It's easy', 'user', 'recommended']")</f>
        <v>['It's easy', 'user', 'recommended']</v>
      </c>
      <c r="D286" s="3">
        <v>5.0</v>
      </c>
    </row>
    <row r="287" ht="15.75" customHeight="1">
      <c r="A287" s="1">
        <v>299.0</v>
      </c>
      <c r="B287" s="3" t="s">
        <v>288</v>
      </c>
      <c r="C287" s="3" t="str">
        <f>IFERROR(__xludf.DUMMYFUNCTION("GOOGLETRANSLATE(B287,""id"",""en"")"),"['already', 'update', 'TPI', 'no', 'open', '']")</f>
        <v>['already', 'update', 'TPI', 'no', 'open', '']</v>
      </c>
      <c r="D287" s="3">
        <v>1.0</v>
      </c>
    </row>
    <row r="288" ht="15.75" customHeight="1">
      <c r="A288" s="1">
        <v>300.0</v>
      </c>
      <c r="B288" s="3" t="s">
        <v>289</v>
      </c>
      <c r="C288" s="3" t="str">
        <f>IFERROR(__xludf.DUMMYFUNCTION("GOOGLETRANSLATE(B288,""id"",""en"")"),"['expensive', 'slow']")</f>
        <v>['expensive', 'slow']</v>
      </c>
      <c r="D288" s="3">
        <v>1.0</v>
      </c>
    </row>
    <row r="289" ht="15.75" customHeight="1">
      <c r="A289" s="1">
        <v>301.0</v>
      </c>
      <c r="B289" s="3" t="s">
        <v>290</v>
      </c>
      <c r="C289" s="3" t="str">
        <f>IFERROR(__xludf.DUMMYFUNCTION("GOOGLETRANSLATE(B289,""id"",""en"")"),"['Makass', 'Telkomsel', 'hopefully', 'can', 'can', 'gift', 'Invite', 'motor', 'car', 'money']")</f>
        <v>['Makass', 'Telkomsel', 'hopefully', 'can', 'can', 'gift', 'Invite', 'motor', 'car', 'money']</v>
      </c>
      <c r="D289" s="3">
        <v>5.0</v>
      </c>
    </row>
    <row r="290" ht="15.75" customHeight="1">
      <c r="A290" s="1">
        <v>303.0</v>
      </c>
      <c r="B290" s="3" t="s">
        <v>291</v>
      </c>
      <c r="C290" s="3" t="str">
        <f>IFERROR(__xludf.DUMMYFUNCTION("GOOGLETRANSLATE(B290,""id"",""en"")"),"['Credit', 'buy', 'Package', 'telephone', 'Harag']")</f>
        <v>['Credit', 'buy', 'Package', 'telephone', 'Harag']</v>
      </c>
      <c r="D290" s="3">
        <v>1.0</v>
      </c>
    </row>
    <row r="291" ht="15.75" customHeight="1">
      <c r="A291" s="1">
        <v>304.0</v>
      </c>
      <c r="B291" s="3" t="s">
        <v>292</v>
      </c>
      <c r="C291" s="3" t="str">
        <f>IFERROR(__xludf.DUMMYFUNCTION("GOOGLETRANSLATE(B291,""id"",""en"")"),"['useful', 'convenience', 'user']")</f>
        <v>['useful', 'convenience', 'user']</v>
      </c>
      <c r="D291" s="3">
        <v>5.0</v>
      </c>
    </row>
    <row r="292" ht="15.75" customHeight="1">
      <c r="A292" s="1">
        <v>305.0</v>
      </c>
      <c r="B292" s="3" t="s">
        <v>293</v>
      </c>
      <c r="C292" s="3" t="str">
        <f>IFERROR(__xludf.DUMMYFUNCTION("GOOGLETRANSLATE(B292,""id"",""en"")"),"['Network', 'lag', 'tod']")</f>
        <v>['Network', 'lag', 'tod']</v>
      </c>
      <c r="D292" s="3">
        <v>1.0</v>
      </c>
    </row>
    <row r="293" ht="15.75" customHeight="1">
      <c r="A293" s="1">
        <v>306.0</v>
      </c>
      <c r="B293" s="3" t="s">
        <v>294</v>
      </c>
      <c r="C293" s="3" t="str">
        <f>IFERROR(__xludf.DUMMYFUNCTION("GOOGLETRANSLATE(B293,""id"",""en"")"),"['Telkomsel', 'knp', 'card', 'fill', 'reset', 'package', 'GB', 'run out', 'slow', 'severe', 'like', 'that's',' Please ',' Fix ',' Telkomsel ']")</f>
        <v>['Telkomsel', 'knp', 'card', 'fill', 'reset', 'package', 'GB', 'run out', 'slow', 'severe', 'like', 'that's',' Please ',' Fix ',' Telkomsel ']</v>
      </c>
      <c r="D293" s="3">
        <v>2.0</v>
      </c>
    </row>
    <row r="294" ht="15.75" customHeight="1">
      <c r="A294" s="1">
        <v>307.0</v>
      </c>
      <c r="B294" s="3" t="s">
        <v>295</v>
      </c>
      <c r="C294" s="3" t="str">
        <f>IFERROR(__xludf.DUMMYFUNCTION("GOOGLETRANSLATE(B294,""id"",""en"")"),"['Promo', 'steady']")</f>
        <v>['Promo', 'steady']</v>
      </c>
      <c r="D294" s="3">
        <v>4.0</v>
      </c>
    </row>
    <row r="295" ht="15.75" customHeight="1">
      <c r="A295" s="1">
        <v>308.0</v>
      </c>
      <c r="B295" s="3" t="s">
        <v>296</v>
      </c>
      <c r="C295" s="3" t="str">
        <f>IFERROR(__xludf.DUMMYFUNCTION("GOOGLETRANSLATE(B295,""id"",""en"")"),"['Exchange', 'Points', 'Process', 'Ribet', 'Really', 'Give', 'Ampas']")</f>
        <v>['Exchange', 'Points', 'Process', 'Ribet', 'Really', 'Give', 'Ampas']</v>
      </c>
      <c r="D295" s="3">
        <v>1.0</v>
      </c>
    </row>
    <row r="296" ht="15.75" customHeight="1">
      <c r="A296" s="1">
        <v>309.0</v>
      </c>
      <c r="B296" s="3" t="s">
        <v>297</v>
      </c>
      <c r="C296" s="3" t="str">
        <f>IFERROR(__xludf.DUMMYFUNCTION("GOOGLETRANSLATE(B296,""id"",""en"")"),"['bad', 'notification', 'taking', 'pulses']")</f>
        <v>['bad', 'notification', 'taking', 'pulses']</v>
      </c>
      <c r="D296" s="3">
        <v>1.0</v>
      </c>
    </row>
    <row r="297" ht="15.75" customHeight="1">
      <c r="A297" s="1">
        <v>310.0</v>
      </c>
      <c r="B297" s="3" t="s">
        <v>298</v>
      </c>
      <c r="C297" s="3" t="str">
        <f>IFERROR(__xludf.DUMMYFUNCTION("GOOGLETRANSLATE(B297,""id"",""en"")"),"['APK', 'good', 'help']")</f>
        <v>['APK', 'good', 'help']</v>
      </c>
      <c r="D297" s="3">
        <v>5.0</v>
      </c>
    </row>
    <row r="298" ht="15.75" customHeight="1">
      <c r="A298" s="1">
        <v>311.0</v>
      </c>
      <c r="B298" s="3" t="s">
        <v>299</v>
      </c>
      <c r="C298" s="3" t="str">
        <f>IFERROR(__xludf.DUMMYFUNCTION("GOOGLETRANSLATE(B298,""id"",""en"")"),"['Price', 'Package', 'Cheap']")</f>
        <v>['Price', 'Package', 'Cheap']</v>
      </c>
      <c r="D298" s="3">
        <v>4.0</v>
      </c>
    </row>
    <row r="299" ht="15.75" customHeight="1">
      <c r="A299" s="1">
        <v>312.0</v>
      </c>
      <c r="B299" s="3" t="s">
        <v>300</v>
      </c>
      <c r="C299" s="3" t="str">
        <f>IFERROR(__xludf.DUMMYFUNCTION("GOOGLETRANSLATE(B299,""id"",""en"")"),"['', 'users', 'Telkomsel', 'network', 'Telkomsel', 'miss']")</f>
        <v>['', 'users', 'Telkomsel', 'network', 'Telkomsel', 'miss']</v>
      </c>
      <c r="D299" s="3">
        <v>1.0</v>
      </c>
    </row>
    <row r="300" ht="15.75" customHeight="1">
      <c r="A300" s="1">
        <v>313.0</v>
      </c>
      <c r="B300" s="3" t="s">
        <v>301</v>
      </c>
      <c r="C300" s="3" t="str">
        <f>IFERROR(__xludf.DUMMYFUNCTION("GOOGLETRANSLATE(B300,""id"",""en"")"),"['exciting', 'prize']")</f>
        <v>['exciting', 'prize']</v>
      </c>
      <c r="D300" s="3">
        <v>5.0</v>
      </c>
    </row>
    <row r="301" ht="15.75" customHeight="1">
      <c r="A301" s="1">
        <v>314.0</v>
      </c>
      <c r="B301" s="3" t="s">
        <v>302</v>
      </c>
      <c r="C301" s="3" t="str">
        <f>IFERROR(__xludf.DUMMYFUNCTION("GOOGLETRANSLATE(B301,""id"",""en"")"),"['SMS', 'Notice', 'Cut', 'Credit', 'Bankrupt', 'Kek', 'Gini', 'infokan', 'Customer', 'Block', 'Number', 'SMS', ' Telkomsel ']")</f>
        <v>['SMS', 'Notice', 'Cut', 'Credit', 'Bankrupt', 'Kek', 'Gini', 'infokan', 'Customer', 'Block', 'Number', 'SMS', ' Telkomsel ']</v>
      </c>
      <c r="D301" s="3">
        <v>1.0</v>
      </c>
    </row>
    <row r="302" ht="15.75" customHeight="1">
      <c r="A302" s="1">
        <v>315.0</v>
      </c>
      <c r="B302" s="3" t="s">
        <v>303</v>
      </c>
      <c r="C302" s="3" t="str">
        <f>IFERROR(__xludf.DUMMYFUNCTION("GOOGLETRANSLATE(B302,""id"",""en"")"),"['Signal', 'Telkomsel', 'good', 'yahh', 'kayak', 'gini', 'slow', 'already', 'so', 'expensive', ""]")</f>
        <v>['Signal', 'Telkomsel', 'good', 'yahh', 'kayak', 'gini', 'slow', 'already', 'so', 'expensive', "]</v>
      </c>
      <c r="D302" s="3">
        <v>3.0</v>
      </c>
    </row>
    <row r="303" ht="15.75" customHeight="1">
      <c r="A303" s="1">
        <v>316.0</v>
      </c>
      <c r="B303" s="3" t="s">
        <v>304</v>
      </c>
      <c r="C303" s="3" t="str">
        <f>IFERROR(__xludf.DUMMYFUNCTION("GOOGLETRANSLATE(B303,""id"",""en"")"),"['Network', 'Region', 'Good']")</f>
        <v>['Network', 'Region', 'Good']</v>
      </c>
      <c r="D303" s="3">
        <v>2.0</v>
      </c>
    </row>
    <row r="304" ht="15.75" customHeight="1">
      <c r="A304" s="1">
        <v>317.0</v>
      </c>
      <c r="B304" s="3" t="s">
        <v>305</v>
      </c>
      <c r="C304" s="3" t="str">
        <f>IFERROR(__xludf.DUMMYFUNCTION("GOOGLETRANSLATE(B304,""id"",""en"")"),"['Sngat', 'supports', 'help', 'Sya', 'Sngat', 'like', 'application']")</f>
        <v>['Sngat', 'supports', 'help', 'Sya', 'Sngat', 'like', 'application']</v>
      </c>
      <c r="D304" s="3">
        <v>5.0</v>
      </c>
    </row>
    <row r="305" ht="15.75" customHeight="1">
      <c r="A305" s="1">
        <v>318.0</v>
      </c>
      <c r="B305" s="3" t="s">
        <v>306</v>
      </c>
      <c r="C305" s="3" t="str">
        <f>IFERROR(__xludf.DUMMYFUNCTION("GOOGLETRANSLATE(B305,""id"",""en"")"),"['Login', 'Check', 'Paketan', 'Error']")</f>
        <v>['Login', 'Check', 'Paketan', 'Error']</v>
      </c>
      <c r="D305" s="3">
        <v>1.0</v>
      </c>
    </row>
    <row r="306" ht="15.75" customHeight="1">
      <c r="A306" s="1">
        <v>319.0</v>
      </c>
      <c r="B306" s="3" t="s">
        <v>307</v>
      </c>
      <c r="C306" s="3" t="str">
        <f>IFERROR(__xludf.DUMMYFUNCTION("GOOGLETRANSLATE(B306,""id"",""en"")"),"['Come on', 'friend', 'Download', 'Application', 'Ribet', 'Check', 'Data', 'Internet', 'Check', 'Credit', 'Buy', 'Credit', ' Data ',' principal ',' complete ',' deh ',' ']")</f>
        <v>['Come on', 'friend', 'Download', 'Application', 'Ribet', 'Check', 'Data', 'Internet', 'Check', 'Credit', 'Buy', 'Credit', ' Data ',' principal ',' complete ',' deh ',' ']</v>
      </c>
      <c r="D306" s="3">
        <v>5.0</v>
      </c>
    </row>
    <row r="307" ht="15.75" customHeight="1">
      <c r="A307" s="1">
        <v>320.0</v>
      </c>
      <c r="B307" s="3" t="s">
        <v>308</v>
      </c>
      <c r="C307" s="3" t="str">
        <f>IFERROR(__xludf.DUMMYFUNCTION("GOOGLETRANSLATE(B307,""id"",""en"")"),"['signal', 'kayak', 'pig']")</f>
        <v>['signal', 'kayak', 'pig']</v>
      </c>
      <c r="D307" s="3">
        <v>1.0</v>
      </c>
    </row>
    <row r="308" ht="15.75" customHeight="1">
      <c r="A308" s="1">
        <v>321.0</v>
      </c>
      <c r="B308" s="3" t="s">
        <v>309</v>
      </c>
      <c r="C308" s="3" t="str">
        <f>IFERROR(__xludf.DUMMYFUNCTION("GOOGLETRANSLATE(B308,""id"",""en"")"),"['Enter', 'MyTelkomsel', 'difficult', 'signal', 'weak', 'in the area', 'Jakarta']")</f>
        <v>['Enter', 'MyTelkomsel', 'difficult', 'signal', 'weak', 'in the area', 'Jakarta']</v>
      </c>
      <c r="D308" s="3">
        <v>2.0</v>
      </c>
    </row>
    <row r="309" ht="15.75" customHeight="1">
      <c r="A309" s="1">
        <v>322.0</v>
      </c>
      <c r="B309" s="3" t="s">
        <v>310</v>
      </c>
      <c r="C309" s="3" t="str">
        <f>IFERROR(__xludf.DUMMYFUNCTION("GOOGLETRANSLATE(B309,""id"",""en"")"),"['Min', 'knp', 'login']")</f>
        <v>['Min', 'knp', 'login']</v>
      </c>
      <c r="D309" s="3">
        <v>1.0</v>
      </c>
    </row>
    <row r="310" ht="15.75" customHeight="1">
      <c r="A310" s="1">
        <v>323.0</v>
      </c>
      <c r="B310" s="3" t="s">
        <v>311</v>
      </c>
      <c r="C310" s="3" t="str">
        <f>IFERROR(__xludf.DUMMYFUNCTION("GOOGLETRANSLATE(B310,""id"",""en"")"),"['Application', 'Dego', 'Updated', 'Enter', 'Bener', 'Enter', ""]")</f>
        <v>['Application', 'Dego', 'Updated', 'Enter', 'Bener', 'Enter', "]</v>
      </c>
      <c r="D310" s="3">
        <v>1.0</v>
      </c>
    </row>
    <row r="311" ht="15.75" customHeight="1">
      <c r="A311" s="1">
        <v>324.0</v>
      </c>
      <c r="B311" s="3" t="s">
        <v>312</v>
      </c>
      <c r="C311" s="3" t="str">
        <f>IFERROR(__xludf.DUMMYFUNCTION("GOOGLETRANSLATE(B311,""id"",""en"")"),"['quota', 'internet', 'expensive', 'network', 'get', 'no', 'according to', 'price', 'quota', 'bought', 'sympathy', 'already', ' kaga ',' good ',' slow ',' severe ',' open ',' gogle ',' signal ',' lost ',' slow ']")</f>
        <v>['quota', 'internet', 'expensive', 'network', 'get', 'no', 'according to', 'price', 'quota', 'bought', 'sympathy', 'already', ' kaga ',' good ',' slow ',' severe ',' open ',' gogle ',' signal ',' lost ',' slow ']</v>
      </c>
      <c r="D311" s="3">
        <v>1.0</v>
      </c>
    </row>
    <row r="312" ht="15.75" customHeight="1">
      <c r="A312" s="1">
        <v>325.0</v>
      </c>
      <c r="B312" s="3" t="s">
        <v>313</v>
      </c>
      <c r="C312" s="3" t="str">
        <f>IFERROR(__xludf.DUMMYFUNCTION("GOOGLETRANSLATE(B312,""id"",""en"")"),"['signal']")</f>
        <v>['signal']</v>
      </c>
      <c r="D312" s="3">
        <v>5.0</v>
      </c>
    </row>
    <row r="313" ht="15.75" customHeight="1">
      <c r="A313" s="1">
        <v>326.0</v>
      </c>
      <c r="B313" s="3" t="s">
        <v>314</v>
      </c>
      <c r="C313" s="3" t="str">
        <f>IFERROR(__xludf.DUMMYFUNCTION("GOOGLETRANSLATE(B313,""id"",""en"")"),"['trade', 'business', 'betani']")</f>
        <v>['trade', 'business', 'betani']</v>
      </c>
      <c r="D313" s="3">
        <v>1.0</v>
      </c>
    </row>
    <row r="314" ht="15.75" customHeight="1">
      <c r="A314" s="1">
        <v>327.0</v>
      </c>
      <c r="B314" s="3" t="s">
        <v>315</v>
      </c>
      <c r="C314" s="3" t="str">
        <f>IFERROR(__xludf.DUMMYFUNCTION("GOOGLETRANSLATE(B314,""id"",""en"")"),"['report', 'buy', 'quota', 'pay', 'application', 'funds', 'menu', 'application', 'telkkmsel', 'quota', 'enter']")</f>
        <v>['report', 'buy', 'quota', 'pay', 'application', 'funds', 'menu', 'application', 'telkkmsel', 'quota', 'enter']</v>
      </c>
      <c r="D314" s="3">
        <v>4.0</v>
      </c>
    </row>
    <row r="315" ht="15.75" customHeight="1">
      <c r="A315" s="1">
        <v>328.0</v>
      </c>
      <c r="B315" s="3" t="s">
        <v>316</v>
      </c>
      <c r="C315" s="3" t="str">
        <f>IFERROR(__xludf.DUMMYFUNCTION("GOOGLETRANSLATE(B315,""id"",""en"")"),"['Please', 'Hold', 'Kembli', 'Package', 'Call', 'Minutes',' Combo ',' Seat ',' Papa ',' Reduce ',' Package ',' Internet ',' Package ',' Call ',' Lembali ',' Minutes', 'Rich', '']")</f>
        <v>['Please', 'Hold', 'Kembli', 'Package', 'Call', 'Minutes',' Combo ',' Seat ',' Papa ',' Reduce ',' Package ',' Internet ',' Package ',' Call ',' Lembali ',' Minutes', 'Rich', '']</v>
      </c>
      <c r="D315" s="3">
        <v>1.0</v>
      </c>
    </row>
    <row r="316" ht="15.75" customHeight="1">
      <c r="A316" s="1">
        <v>329.0</v>
      </c>
      <c r="B316" s="3" t="s">
        <v>317</v>
      </c>
      <c r="C316" s="3" t="str">
        <f>IFERROR(__xludf.DUMMYFUNCTION("GOOGLETRANSLATE(B316,""id"",""en"")"),"['opened', 'network', 'Indosat', 'buy', 'package', 'tsel', 'the application', 'gmna', 'bambang', 'buy', 'because', 'it runs out', ' JDI ',' BSA ',' Enter ',' APK ']")</f>
        <v>['opened', 'network', 'Indosat', 'buy', 'package', 'tsel', 'the application', 'gmna', 'bambang', 'buy', 'because', 'it runs out', ' JDI ',' BSA ',' Enter ',' APK ']</v>
      </c>
      <c r="D316" s="3">
        <v>1.0</v>
      </c>
    </row>
    <row r="317" ht="15.75" customHeight="1">
      <c r="A317" s="1">
        <v>330.0</v>
      </c>
      <c r="B317" s="3" t="s">
        <v>318</v>
      </c>
      <c r="C317" s="3" t="str">
        <f>IFERROR(__xludf.DUMMYFUNCTION("GOOGLETRANSLATE(B317,""id"",""en"")"),"['right', 'open', 'color', 'white']")</f>
        <v>['right', 'open', 'color', 'white']</v>
      </c>
      <c r="D317" s="3">
        <v>1.0</v>
      </c>
    </row>
    <row r="318" ht="15.75" customHeight="1">
      <c r="A318" s="1">
        <v>331.0</v>
      </c>
      <c r="B318" s="3" t="s">
        <v>319</v>
      </c>
      <c r="C318" s="3" t="str">
        <f>IFERROR(__xludf.DUMMYFUNCTION("GOOGLETRANSLATE(B318,""id"",""en"")"),"['Package', 'Offer', 'expensive']")</f>
        <v>['Package', 'Offer', 'expensive']</v>
      </c>
      <c r="D318" s="3">
        <v>1.0</v>
      </c>
    </row>
    <row r="319" ht="15.75" customHeight="1">
      <c r="A319" s="1">
        <v>332.0</v>
      </c>
      <c r="B319" s="3" t="s">
        <v>320</v>
      </c>
      <c r="C319" s="3" t="str">
        <f>IFERROR(__xludf.DUMMYFUNCTION("GOOGLETRANSLATE(B319,""id"",""en"")"),"['Yes', 'application', 'Good']")</f>
        <v>['Yes', 'application', 'Good']</v>
      </c>
      <c r="D319" s="3">
        <v>5.0</v>
      </c>
    </row>
    <row r="320" ht="15.75" customHeight="1">
      <c r="A320" s="1">
        <v>333.0</v>
      </c>
      <c r="B320" s="3" t="s">
        <v>321</v>
      </c>
      <c r="C320" s="3" t="str">
        <f>IFERROR(__xludf.DUMMYFUNCTION("GOOGLETRANSLATE(B320,""id"",""en"")"),"['Suggestion', 'Simple', 'Most', 'Features',' Features', 'Control', 'Credit', 'SPT', 'Credit', 'Sumpot', 'Out', 'Bonus',' Free ',' Call ',' Telkomsel ',' Mnt ',' buy ',' quota ',' ']")</f>
        <v>['Suggestion', 'Simple', 'Most', 'Features',' Features', 'Control', 'Credit', 'SPT', 'Credit', 'Sumpot', 'Out', 'Bonus',' Free ',' Call ',' Telkomsel ',' Mnt ',' buy ',' quota ',' ']</v>
      </c>
      <c r="D320" s="3">
        <v>5.0</v>
      </c>
    </row>
    <row r="321" ht="15.75" customHeight="1">
      <c r="A321" s="1">
        <v>334.0</v>
      </c>
      <c r="B321" s="3" t="s">
        <v>322</v>
      </c>
      <c r="C321" s="3" t="str">
        <f>IFERROR(__xludf.DUMMYFUNCTION("GOOGLETRANSLATE(B321,""id"",""en"")"),"['fast', 'safe']")</f>
        <v>['fast', 'safe']</v>
      </c>
      <c r="D321" s="3">
        <v>5.0</v>
      </c>
    </row>
    <row r="322" ht="15.75" customHeight="1">
      <c r="A322" s="1">
        <v>335.0</v>
      </c>
      <c r="B322" s="3" t="s">
        <v>323</v>
      </c>
      <c r="C322" s="3" t="str">
        <f>IFERROR(__xludf.DUMMYFUNCTION("GOOGLETRANSLATE(B322,""id"",""en"")"),"['Byk', 'eat', 'quota', 'slow', 'bug', 'mulu', 'Dih']")</f>
        <v>['Byk', 'eat', 'quota', 'slow', 'bug', 'mulu', 'Dih']</v>
      </c>
      <c r="D322" s="3">
        <v>1.0</v>
      </c>
    </row>
    <row r="323" ht="15.75" customHeight="1">
      <c r="A323" s="1">
        <v>336.0</v>
      </c>
      <c r="B323" s="3" t="s">
        <v>324</v>
      </c>
      <c r="C323" s="3" t="str">
        <f>IFERROR(__xludf.DUMMYFUNCTION("GOOGLETRANSLATE(B323,""id"",""en"")"),"['', 'application', 'yak', 'open', 'already', 'try', 'uninstall', 'install', 'tetep', 'open', '']")</f>
        <v>['', 'application', 'yak', 'open', 'already', 'try', 'uninstall', 'install', 'tetep', 'open', '']</v>
      </c>
      <c r="D323" s="3">
        <v>4.0</v>
      </c>
    </row>
    <row r="324" ht="15.75" customHeight="1">
      <c r="A324" s="1">
        <v>337.0</v>
      </c>
      <c r="B324" s="3" t="s">
        <v>325</v>
      </c>
      <c r="C324" s="3" t="str">
        <f>IFERROR(__xludf.DUMMYFUNCTION("GOOGLETRANSLATE(B324,""id"",""en"")"),"['Open', 'application']")</f>
        <v>['Open', 'application']</v>
      </c>
      <c r="D324" s="3">
        <v>1.0</v>
      </c>
    </row>
    <row r="325" ht="15.75" customHeight="1">
      <c r="A325" s="1">
        <v>338.0</v>
      </c>
      <c r="B325" s="3" t="s">
        <v>326</v>
      </c>
      <c r="C325" s="3" t="str">
        <f>IFERROR(__xludf.DUMMYFUNCTION("GOOGLETRANSLATE(B325,""id"",""en"")"),"['woi', 'pulse', 'reduced', 'transaction', 'rb', 'rb', 'cheating', 'play', 'cheat', 'quota', 'internet', 'full', ' Credit ',' Main ',' Rb ',' Rb ',' ']")</f>
        <v>['woi', 'pulse', 'reduced', 'transaction', 'rb', 'rb', 'cheating', 'play', 'cheat', 'quota', 'internet', 'full', ' Credit ',' Main ',' Rb ',' Rb ',' ']</v>
      </c>
      <c r="D325" s="3">
        <v>1.0</v>
      </c>
    </row>
    <row r="326" ht="15.75" customHeight="1">
      <c r="A326" s="1">
        <v>339.0</v>
      </c>
      <c r="B326" s="3" t="s">
        <v>327</v>
      </c>
      <c r="C326" s="3" t="str">
        <f>IFERROR(__xludf.DUMMYFUNCTION("GOOGLETRANSLATE(B326,""id"",""en"")"),"['', 'Telkomsel', 'Open']")</f>
        <v>['', 'Telkomsel', 'Open']</v>
      </c>
      <c r="D326" s="3">
        <v>3.0</v>
      </c>
    </row>
    <row r="327" ht="15.75" customHeight="1">
      <c r="A327" s="1">
        <v>340.0</v>
      </c>
      <c r="B327" s="3" t="s">
        <v>328</v>
      </c>
      <c r="C327" s="3" t="str">
        <f>IFERROR(__xludf.DUMMYFUNCTION("GOOGLETRANSLATE(B327,""id"",""en"")"),"['Hadoh', 'dizziness',' see ',' Telkomsel ',' era ',' take ',' profit ',' thinking ',' user ',' make ',' nurunin ',' quality ',' the signal ',' strong ',' really ',' full ',' bar ',' tetep ',' ngelag ',' times', 'internet', 'pig']")</f>
        <v>['Hadoh', 'dizziness',' see ',' Telkomsel ',' era ',' take ',' profit ',' thinking ',' user ',' make ',' nurunin ',' quality ',' the signal ',' strong ',' really ',' full ',' bar ',' tetep ',' ngelag ',' times', 'internet', 'pig']</v>
      </c>
      <c r="D327" s="3">
        <v>1.0</v>
      </c>
    </row>
    <row r="328" ht="15.75" customHeight="1">
      <c r="A328" s="1">
        <v>341.0</v>
      </c>
      <c r="B328" s="3" t="s">
        <v>329</v>
      </c>
      <c r="C328" s="3" t="str">
        <f>IFERROR(__xludf.DUMMYFUNCTION("GOOGLETRANSLATE(B328,""id"",""en"")"),"['satisfying', 'Hopefully', 'Telkomsel', 'Sakin', 'Jaya', '']")</f>
        <v>['satisfying', 'Hopefully', 'Telkomsel', 'Sakin', 'Jaya', '']</v>
      </c>
      <c r="D328" s="3">
        <v>5.0</v>
      </c>
    </row>
    <row r="329" ht="15.75" customHeight="1">
      <c r="A329" s="1">
        <v>342.0</v>
      </c>
      <c r="B329" s="3" t="s">
        <v>330</v>
      </c>
      <c r="C329" s="3" t="str">
        <f>IFERROR(__xludf.DUMMYFUNCTION("GOOGLETRANSLATE(B329,""id"",""en"")"),"['mantappppppppppppppppppp', 'mahaaaal', 'promo']")</f>
        <v>['mantappppppppppppppppppp', 'mahaaaal', 'promo']</v>
      </c>
      <c r="D329" s="3">
        <v>5.0</v>
      </c>
    </row>
    <row r="330" ht="15.75" customHeight="1">
      <c r="A330" s="1">
        <v>343.0</v>
      </c>
      <c r="B330" s="3" t="s">
        <v>331</v>
      </c>
      <c r="C330" s="3" t="str">
        <f>IFERROR(__xludf.DUMMYFUNCTION("GOOGLETRANSLATE(B330,""id"",""en"")"),"['location', 'airport', 'solo', 'connection', 'signal', 'bad', 'Eid', 'repair', 'signal', 'come on', 'users',' Telkomsel ',' Move ',' Next to ',' Next to ',' Upgrade ',' ']")</f>
        <v>['location', 'airport', 'solo', 'connection', 'signal', 'bad', 'Eid', 'repair', 'signal', 'come on', 'users',' Telkomsel ',' Move ',' Next to ',' Next to ',' Upgrade ',' ']</v>
      </c>
      <c r="D330" s="3">
        <v>1.0</v>
      </c>
    </row>
    <row r="331" ht="15.75" customHeight="1">
      <c r="A331" s="1">
        <v>344.0</v>
      </c>
      <c r="B331" s="3" t="s">
        <v>332</v>
      </c>
      <c r="C331" s="3" t="str">
        <f>IFERROR(__xludf.DUMMYFUNCTION("GOOGLETRANSLATE(B331,""id"",""en"")"),"['Telkomsel', 'mah', 'rotten', 'login', 'Telkomsel', 'ngk']")</f>
        <v>['Telkomsel', 'mah', 'rotten', 'login', 'Telkomsel', 'ngk']</v>
      </c>
      <c r="D331" s="3">
        <v>1.0</v>
      </c>
    </row>
    <row r="332" ht="15.75" customHeight="1">
      <c r="A332" s="1">
        <v>345.0</v>
      </c>
      <c r="B332" s="3" t="s">
        <v>333</v>
      </c>
      <c r="C332" s="3" t="str">
        <f>IFERROR(__xludf.DUMMYFUNCTION("GOOGLETRANSLATE(B332,""id"",""en"")"),"['Hopefully', 'cheap', 'price', 'package', 'data']")</f>
        <v>['Hopefully', 'cheap', 'price', 'package', 'data']</v>
      </c>
      <c r="D332" s="3">
        <v>4.0</v>
      </c>
    </row>
    <row r="333" ht="15.75" customHeight="1">
      <c r="A333" s="1">
        <v>346.0</v>
      </c>
      <c r="B333" s="3" t="s">
        <v>334</v>
      </c>
      <c r="C333" s="3" t="str">
        <f>IFERROR(__xludf.DUMMYFUNCTION("GOOGLETRANSLATE(B333,""id"",""en"")"),"['sympathy', 'here', 'signal', 'area', 'nature', 'silk', 'change', 'sympathy', 'rich', ""]")</f>
        <v>['sympathy', 'here', 'signal', 'area', 'nature', 'silk', 'change', 'sympathy', 'rich', "]</v>
      </c>
      <c r="D333" s="3">
        <v>1.0</v>
      </c>
    </row>
    <row r="334" ht="15.75" customHeight="1">
      <c r="A334" s="1">
        <v>347.0</v>
      </c>
      <c r="B334" s="3" t="s">
        <v>335</v>
      </c>
      <c r="C334" s="3" t="str">
        <f>IFERROR(__xludf.DUMMYFUNCTION("GOOGLETRANSLATE(B334,""id"",""en"")"),"['Looking', 'Best', '']")</f>
        <v>['Looking', 'Best', '']</v>
      </c>
      <c r="D334" s="3">
        <v>5.0</v>
      </c>
    </row>
    <row r="335" ht="15.75" customHeight="1">
      <c r="A335" s="1">
        <v>348.0</v>
      </c>
      <c r="B335" s="3" t="s">
        <v>336</v>
      </c>
      <c r="C335" s="3" t="str">
        <f>IFERROR(__xludf.DUMMYFUNCTION("GOOGLETRANSLATE(B335,""id"",""en"")"),"['Good', 'info', 'NYS']")</f>
        <v>['Good', 'info', 'NYS']</v>
      </c>
      <c r="D335" s="3">
        <v>5.0</v>
      </c>
    </row>
    <row r="336" ht="15.75" customHeight="1">
      <c r="A336" s="1">
        <v>349.0</v>
      </c>
      <c r="B336" s="3" t="s">
        <v>337</v>
      </c>
      <c r="C336" s="3" t="str">
        <f>IFERROR(__xludf.DUMMYFUNCTION("GOOGLETRANSLATE(B336,""id"",""en"")"),"['already', 'provider', 'The network', 'Kyak', 'garbage']")</f>
        <v>['already', 'provider', 'The network', 'Kyak', 'garbage']</v>
      </c>
      <c r="D336" s="3">
        <v>1.0</v>
      </c>
    </row>
    <row r="337" ht="15.75" customHeight="1">
      <c r="A337" s="1">
        <v>350.0</v>
      </c>
      <c r="B337" s="3" t="s">
        <v>338</v>
      </c>
      <c r="C337" s="3" t="str">
        <f>IFERROR(__xludf.DUMMYFUNCTION("GOOGLETRANSLATE(B337,""id"",""en"")"),"['Indonesia', 'company', 'owned', 'government', 'weak', 'PLN', 'Telkomsel', 'Sumbin', 'Update', 'Sumbin', 'slow', 'Loading', ' please ',' check ',' reset ',' cause ',' ganguan ',' technical ',' naturiah ',' human ',' annoying ',' resolved ',' mending ',' "&amp;"replace ',' operator ' , 'cellular', 'next door', '']")</f>
        <v>['Indonesia', 'company', 'owned', 'government', 'weak', 'PLN', 'Telkomsel', 'Sumbin', 'Update', 'Sumbin', 'slow', 'Loading', ' please ',' check ',' reset ',' cause ',' ganguan ',' technical ',' naturiah ',' human ',' annoying ',' resolved ',' mending ',' replace ',' operator ' , 'cellular', 'next door', '']</v>
      </c>
      <c r="D337" s="3">
        <v>1.0</v>
      </c>
    </row>
    <row r="338" ht="15.75" customHeight="1">
      <c r="A338" s="1">
        <v>351.0</v>
      </c>
      <c r="B338" s="3" t="s">
        <v>339</v>
      </c>
      <c r="C338" s="3" t="str">
        <f>IFERROR(__xludf.DUMMYFUNCTION("GOOGLETRANSLATE(B338,""id"",""en"")"),"['ugly', 'really', 'Telkomsel', 'package', 'cave', 'already', 'abis', 'buy', 'Telkomsel', ""]")</f>
        <v>['ugly', 'really', 'Telkomsel', 'package', 'cave', 'already', 'abis', 'buy', 'Telkomsel', "]</v>
      </c>
      <c r="D338" s="3">
        <v>1.0</v>
      </c>
    </row>
    <row r="339" ht="15.75" customHeight="1">
      <c r="A339" s="1">
        <v>352.0</v>
      </c>
      <c r="B339" s="3" t="s">
        <v>340</v>
      </c>
      <c r="C339" s="3" t="str">
        <f>IFERROR(__xludf.DUMMYFUNCTION("GOOGLETRANSLATE(B339,""id"",""en"")"),"['package', 'trapping', 'explanation', 'complicated']")</f>
        <v>['package', 'trapping', 'explanation', 'complicated']</v>
      </c>
      <c r="D339" s="3">
        <v>3.0</v>
      </c>
    </row>
    <row r="340" ht="15.75" customHeight="1">
      <c r="A340" s="1">
        <v>353.0</v>
      </c>
      <c r="B340" s="3" t="s">
        <v>341</v>
      </c>
      <c r="C340" s="3" t="str">
        <f>IFERROR(__xludf.DUMMYFUNCTION("GOOGLETRANSLATE(B340,""id"",""en"")"),"['connection', 'bad', 'pig']")</f>
        <v>['connection', 'bad', 'pig']</v>
      </c>
      <c r="D340" s="3">
        <v>1.0</v>
      </c>
    </row>
    <row r="341" ht="15.75" customHeight="1">
      <c r="A341" s="1">
        <v>354.0</v>
      </c>
      <c r="B341" s="3" t="s">
        <v>342</v>
      </c>
      <c r="C341" s="3" t="str">
        <f>IFERROR(__xludf.DUMMYFUNCTION("GOOGLETRANSLATE(B341,""id"",""en"")"),"['oops', 'error', 'hahaha', 'login', 'difficult', 'signal', 'full', 'road', '']")</f>
        <v>['oops', 'error', 'hahaha', 'login', 'difficult', 'signal', 'full', 'road', '']</v>
      </c>
      <c r="D341" s="3">
        <v>2.0</v>
      </c>
    </row>
    <row r="342" ht="15.75" customHeight="1">
      <c r="A342" s="1">
        <v>355.0</v>
      </c>
      <c r="B342" s="3" t="s">
        <v>343</v>
      </c>
      <c r="C342" s="3" t="str">
        <f>IFERROR(__xludf.DUMMYFUNCTION("GOOGLETRANSLATE(B342,""id"",""en"")"),"['donlod', 'enter', 'difficult', 'quota', 'road', 'sumps', 'what']]")</f>
        <v>['donlod', 'enter', 'difficult', 'quota', 'road', 'sumps', 'what']]</v>
      </c>
      <c r="D342" s="3">
        <v>1.0</v>
      </c>
    </row>
    <row r="343" ht="15.75" customHeight="1">
      <c r="A343" s="1">
        <v>356.0</v>
      </c>
      <c r="B343" s="3" t="s">
        <v>344</v>
      </c>
      <c r="C343" s="3" t="str">
        <f>IFERROR(__xludf.DUMMYFUNCTION("GOOGLETRANSLATE(B343,""id"",""en"")"),"['How', 'Telkomsel', 'buy', 'Package', 'YouTube', 'Nyedot', 'Package', 'quota', 'main', 'KEK', 'Gini', 'Loss',' buy ',' package ',' expensive ',' division ',' package ',' according to ',' yes', 'quota', 'main', 'kontot', 'watch', 'youtube', 'padhal', 'pad"&amp;"hal' , 'already', 'buy', 'Package', 'YouTube', 'ugly', 'times', 'bah', 'system', 'Telkomsel']")</f>
        <v>['How', 'Telkomsel', 'buy', 'Package', 'YouTube', 'Nyedot', 'Package', 'quota', 'main', 'KEK', 'Gini', 'Loss',' buy ',' package ',' expensive ',' division ',' package ',' according to ',' yes', 'quota', 'main', 'kontot', 'watch', 'youtube', 'padhal', 'padhal' , 'already', 'buy', 'Package', 'YouTube', 'ugly', 'times', 'bah', 'system', 'Telkomsel']</v>
      </c>
      <c r="D343" s="3">
        <v>1.0</v>
      </c>
    </row>
    <row r="344" ht="15.75" customHeight="1">
      <c r="A344" s="1">
        <v>357.0</v>
      </c>
      <c r="B344" s="3" t="s">
        <v>345</v>
      </c>
      <c r="C344" s="3" t="str">
        <f>IFERROR(__xludf.DUMMYFUNCTION("GOOGLETRANSLATE(B344,""id"",""en"")"),"['strange', 'run out', 'rain', 'rain', 'network', 'stagnant', 'card', 'good', 'no', 'different', 'card', 'child', ' Open ',' fix ',' Diemin ']")</f>
        <v>['strange', 'run out', 'rain', 'rain', 'network', 'stagnant', 'card', 'good', 'no', 'different', 'card', 'child', ' Open ',' fix ',' Diemin ']</v>
      </c>
      <c r="D344" s="3">
        <v>1.0</v>
      </c>
    </row>
    <row r="345" ht="15.75" customHeight="1">
      <c r="A345" s="1">
        <v>358.0</v>
      </c>
      <c r="B345" s="3" t="s">
        <v>346</v>
      </c>
      <c r="C345" s="3" t="str">
        <f>IFERROR(__xludf.DUMMYFUNCTION("GOOGLETRANSLATE(B345,""id"",""en"")"),"['', 'Telkomsel', 'just', 'darling', 'area', 'signal', 'satisfying', '']")</f>
        <v>['', 'Telkomsel', 'just', 'darling', 'area', 'signal', 'satisfying', '']</v>
      </c>
      <c r="D345" s="3">
        <v>3.0</v>
      </c>
    </row>
    <row r="346" ht="15.75" customHeight="1">
      <c r="A346" s="1">
        <v>359.0</v>
      </c>
      <c r="B346" s="3" t="s">
        <v>347</v>
      </c>
      <c r="C346" s="3" t="str">
        <f>IFERROR(__xludf.DUMMYFUNCTION("GOOGLETRANSLATE(B346,""id"",""en"")"),"['Login', 'Ribet', 'Login', 'Allah', 'ugly', 'Telkomsel']")</f>
        <v>['Login', 'Ribet', 'Login', 'Allah', 'ugly', 'Telkomsel']</v>
      </c>
      <c r="D346" s="3">
        <v>1.0</v>
      </c>
    </row>
    <row r="347" ht="15.75" customHeight="1">
      <c r="A347" s="1">
        <v>360.0</v>
      </c>
      <c r="B347" s="3" t="s">
        <v>348</v>
      </c>
      <c r="C347" s="3" t="str">
        <f>IFERROR(__xludf.DUMMYFUNCTION("GOOGLETRANSLATE(B347,""id"",""en"")"),"['', 'Ngerni', 'work', 'Telkom', 'Internet', 'Kouta', 'card', 'Next to', 'Telkomsel', 'pulse', 'Lurt', ""]")</f>
        <v>['', 'Ngerni', 'work', 'Telkom', 'Internet', 'Kouta', 'card', 'Next to', 'Telkomsel', 'pulse', 'Lurt', "]</v>
      </c>
      <c r="D347" s="3">
        <v>2.0</v>
      </c>
    </row>
    <row r="348" ht="15.75" customHeight="1">
      <c r="A348" s="1">
        <v>361.0</v>
      </c>
      <c r="B348" s="3" t="s">
        <v>349</v>
      </c>
      <c r="C348" s="3" t="str">
        <f>IFERROR(__xludf.DUMMYFUNCTION("GOOGLETRANSLATE(B348,""id"",""en"")"),"['Credit', 'leftover', 'ilang', 'Sndiri', 'Perpormal', 'internet', 'weakened', 'loan', 'pulse', 'city', 'data', 'internet', ' Approval ',' Telkomsel ',' healthy ',' kah ', ""]")</f>
        <v>['Credit', 'leftover', 'ilang', 'Sndiri', 'Perpormal', 'internet', 'weakened', 'loan', 'pulse', 'city', 'data', 'internet', ' Approval ',' Telkomsel ',' healthy ',' kah ', "]</v>
      </c>
      <c r="D348" s="3">
        <v>1.0</v>
      </c>
    </row>
    <row r="349" ht="15.75" customHeight="1">
      <c r="A349" s="1">
        <v>362.0</v>
      </c>
      <c r="B349" s="3" t="s">
        <v>350</v>
      </c>
      <c r="C349" s="3" t="str">
        <f>IFERROR(__xludf.DUMMYFUNCTION("GOOGLETRANSLATE(B349,""id"",""en"")"),"['GMN', 'Network', 'Telkomsel', 'I', 'Tide', 'Package', 'Credit', 'UDH', 'buy', 'right', 'Bukk', 'application', ' screen ',' white ',' gmn ',' min ',' annoying ',' comfort ',' nyesel ',' really ',' contents', 'pulse', 'tired', 'me', 'buy' , 'package', '']")</f>
        <v>['GMN', 'Network', 'Telkomsel', 'I', 'Tide', 'Package', 'Credit', 'UDH', 'buy', 'right', 'Bukk', 'application', ' screen ',' white ',' gmn ',' min ',' annoying ',' comfort ',' nyesel ',' really ',' contents', 'pulse', 'tired', 'me', 'buy' , 'package', '']</v>
      </c>
      <c r="D349" s="3">
        <v>1.0</v>
      </c>
    </row>
    <row r="350" ht="15.75" customHeight="1">
      <c r="A350" s="1">
        <v>363.0</v>
      </c>
      <c r="B350" s="3" t="s">
        <v>351</v>
      </c>
      <c r="C350" s="3" t="str">
        <f>IFERROR(__xludf.DUMMYFUNCTION("GOOGLETRANSLATE(B350,""id"",""en"")"),"['service', 'bgus', 'nnti', 'love', 'star', '']")</f>
        <v>['service', 'bgus', 'nnti', 'love', 'star', '']</v>
      </c>
      <c r="D350" s="3">
        <v>4.0</v>
      </c>
    </row>
    <row r="351" ht="15.75" customHeight="1">
      <c r="A351" s="1">
        <v>364.0</v>
      </c>
      <c r="B351" s="3" t="s">
        <v>352</v>
      </c>
      <c r="C351" s="3" t="str">
        <f>IFERROR(__xludf.DUMMYFUNCTION("GOOGLETRANSLATE(B351,""id"",""en"")"),"['Kluu', 'unlimited', 'free', 'use', 'get', 'FUP', 'UDH', 'buy', 'expensive', 'get', 'Fup', 'mah', ' high school ',' ajh ',' kyk ',' buy ',' quota ',' unlimited ']")</f>
        <v>['Kluu', 'unlimited', 'free', 'use', 'get', 'FUP', 'UDH', 'buy', 'expensive', 'get', 'Fup', 'mah', ' high school ',' ajh ',' kyk ',' buy ',' quota ',' unlimited ']</v>
      </c>
      <c r="D351" s="3">
        <v>2.0</v>
      </c>
    </row>
    <row r="352" ht="15.75" customHeight="1">
      <c r="A352" s="1">
        <v>365.0</v>
      </c>
      <c r="B352" s="3" t="s">
        <v>353</v>
      </c>
      <c r="C352" s="3" t="str">
        <f>IFERROR(__xludf.DUMMYFUNCTION("GOOGLETRANSLATE(B352,""id"",""en"")"),"['steady', 'times', 'buy', 'package', 'easy', 'promo', 'interesting', 'cool', 'telkomsel']")</f>
        <v>['steady', 'times', 'buy', 'package', 'easy', 'promo', 'interesting', 'cool', 'telkomsel']</v>
      </c>
      <c r="D352" s="3">
        <v>5.0</v>
      </c>
    </row>
    <row r="353" ht="15.75" customHeight="1">
      <c r="A353" s="1">
        <v>366.0</v>
      </c>
      <c r="B353" s="3" t="s">
        <v>354</v>
      </c>
      <c r="C353" s="3" t="str">
        <f>IFERROR(__xludf.DUMMYFUNCTION("GOOGLETRANSLATE(B353,""id"",""en"")"),"['contents',' pulse ',' buy ',' quota ',' easy ',' nggk ',' complicated ',' dlm ',' service ',' application ',' promo ',' bonus', ' Thank you ',' Telkomsel ',' smg ',' in front ',' dlm ',' service ',' information ',' technology ',' ']")</f>
        <v>['contents',' pulse ',' buy ',' quota ',' easy ',' nggk ',' complicated ',' dlm ',' service ',' application ',' promo ',' bonus', ' Thank you ',' Telkomsel ',' smg ',' in front ',' dlm ',' service ',' information ',' technology ',' ']</v>
      </c>
      <c r="D353" s="3">
        <v>5.0</v>
      </c>
    </row>
    <row r="354" ht="15.75" customHeight="1">
      <c r="A354" s="1">
        <v>367.0</v>
      </c>
      <c r="B354" s="3" t="s">
        <v>355</v>
      </c>
      <c r="C354" s="3" t="str">
        <f>IFERROR(__xludf.DUMMYFUNCTION("GOOGLETRANSLATE(B354,""id"",""en"")"),"['no', 'open', 'screen', 'white', 'appears',' error ',' udh ',' uninstall ',' install ',' reset ',' no ',' login ',' ']")</f>
        <v>['no', 'open', 'screen', 'white', 'appears',' error ',' udh ',' uninstall ',' install ',' reset ',' no ',' login ',' ']</v>
      </c>
      <c r="D354" s="3">
        <v>1.0</v>
      </c>
    </row>
    <row r="355" ht="15.75" customHeight="1">
      <c r="A355" s="1">
        <v>368.0</v>
      </c>
      <c r="B355" s="3" t="s">
        <v>356</v>
      </c>
      <c r="C355" s="3" t="str">
        <f>IFERROR(__xludf.DUMMYFUNCTION("GOOGLETRANSLATE(B355,""id"",""en"")"),"['', 'The most important', 'buy', 'pulse', 'package', 'internet', 'cheap', 'choice', 'Telkomsel']")</f>
        <v>['', 'The most important', 'buy', 'pulse', 'package', 'internet', 'cheap', 'choice', 'Telkomsel']</v>
      </c>
      <c r="D355" s="3">
        <v>5.0</v>
      </c>
    </row>
    <row r="356" ht="15.75" customHeight="1">
      <c r="A356" s="1">
        <v>369.0</v>
      </c>
      <c r="B356" s="3" t="s">
        <v>357</v>
      </c>
      <c r="C356" s="3" t="str">
        <f>IFERROR(__xludf.DUMMYFUNCTION("GOOGLETRANSLATE(B356,""id"",""en"")"),"['Application', 'Help', 'Delivered', 'Application', 'cellphone', 'version', 'ancient', 'enjoy', 'advantage', 'application', 'thank you']")</f>
        <v>['Application', 'Help', 'Delivered', 'Application', 'cellphone', 'version', 'ancient', 'enjoy', 'advantage', 'application', 'thank you']</v>
      </c>
      <c r="D356" s="3">
        <v>5.0</v>
      </c>
    </row>
    <row r="357" ht="15.75" customHeight="1">
      <c r="A357" s="1">
        <v>370.0</v>
      </c>
      <c r="B357" s="3" t="s">
        <v>358</v>
      </c>
      <c r="C357" s="3" t="str">
        <f>IFERROR(__xludf.DUMMYFUNCTION("GOOGLETRANSLATE(B357,""id"",""en"")"),"['Disruption', 'Network']")</f>
        <v>['Disruption', 'Network']</v>
      </c>
      <c r="D357" s="3">
        <v>5.0</v>
      </c>
    </row>
    <row r="358" ht="15.75" customHeight="1">
      <c r="A358" s="1">
        <v>371.0</v>
      </c>
      <c r="B358" s="3" t="s">
        <v>359</v>
      </c>
      <c r="C358" s="3" t="str">
        <f>IFERROR(__xludf.DUMMYFUNCTION("GOOGLETRANSLATE(B358,""id"",""en"")"),"['garbage', 'regret', 'card', 'comment', 'positive', 'it seems', 'Halu', ""]")</f>
        <v>['garbage', 'regret', 'card', 'comment', 'positive', 'it seems', 'Halu', "]</v>
      </c>
      <c r="D358" s="3">
        <v>5.0</v>
      </c>
    </row>
    <row r="359" ht="15.75" customHeight="1">
      <c r="A359" s="1">
        <v>372.0</v>
      </c>
      <c r="B359" s="3" t="s">
        <v>360</v>
      </c>
      <c r="C359" s="3" t="str">
        <f>IFERROR(__xludf.DUMMYFUNCTION("GOOGLETRANSLATE(B359,""id"",""en"")"),"['steady', 'download', 'slow', 'setting', 'download', 'speeding', 'really']")</f>
        <v>['steady', 'download', 'slow', 'setting', 'download', 'speeding', 'really']</v>
      </c>
      <c r="D359" s="3">
        <v>5.0</v>
      </c>
    </row>
    <row r="360" ht="15.75" customHeight="1">
      <c r="A360" s="1">
        <v>373.0</v>
      </c>
      <c r="B360" s="3" t="s">
        <v>361</v>
      </c>
      <c r="C360" s="3" t="str">
        <f>IFERROR(__xludf.DUMMYFUNCTION("GOOGLETRANSLATE(B360,""id"",""en"")"),"['manteb', 'help']")</f>
        <v>['manteb', 'help']</v>
      </c>
      <c r="D360" s="3">
        <v>5.0</v>
      </c>
    </row>
    <row r="361" ht="15.75" customHeight="1">
      <c r="A361" s="1">
        <v>374.0</v>
      </c>
      <c r="B361" s="3" t="s">
        <v>362</v>
      </c>
      <c r="C361" s="3" t="str">
        <f>IFERROR(__xludf.DUMMYFUNCTION("GOOGLETRANSLATE(B361,""id"",""en"")"),"['steady', 'process', 'charging', 'package', 'fast']")</f>
        <v>['steady', 'process', 'charging', 'package', 'fast']</v>
      </c>
      <c r="D361" s="3">
        <v>5.0</v>
      </c>
    </row>
    <row r="362" ht="15.75" customHeight="1">
      <c r="A362" s="1">
        <v>375.0</v>
      </c>
      <c r="B362" s="3" t="s">
        <v>363</v>
      </c>
      <c r="C362" s="3" t="str">
        <f>IFERROR(__xludf.DUMMYFUNCTION("GOOGLETRANSLATE(B362,""id"",""en"")"),"['Application', 'Telkomsel', 'Open', '']")</f>
        <v>['Application', 'Telkomsel', 'Open', '']</v>
      </c>
      <c r="D362" s="3">
        <v>2.0</v>
      </c>
    </row>
    <row r="363" ht="15.75" customHeight="1">
      <c r="A363" s="1">
        <v>376.0</v>
      </c>
      <c r="B363" s="3" t="s">
        <v>364</v>
      </c>
      <c r="C363" s="3" t="str">
        <f>IFERROR(__xludf.DUMMYFUNCTION("GOOGLETRANSLATE(B363,""id"",""en"")"),"['Cool', 'fast']")</f>
        <v>['Cool', 'fast']</v>
      </c>
      <c r="D363" s="3">
        <v>5.0</v>
      </c>
    </row>
    <row r="364" ht="15.75" customHeight="1">
      <c r="A364" s="1">
        <v>377.0</v>
      </c>
      <c r="B364" s="3" t="s">
        <v>365</v>
      </c>
      <c r="C364" s="3" t="str">
        <f>IFERROR(__xludf.DUMMYFUNCTION("GOOGLETRANSLATE(B364,""id"",""en"")"),"['WITH', 'WITA', 'App', 'Loading', 'Menu', 'Unable', 'Load', 'Sorry', 'There', 'Something', 'Error', 'Our', ' System ',' then ',' right ',' promo ',' enter ',' SMS ',' right ',' clicked ',' appears', 'unstable', 'connection', 'signal', 'normal' , 'Play', "&amp;"'YouTube', 'FPS', 'Current', 'Buy', 'Paketan', 'Wis', 'Indosat', 'Rb', 'get', 'GB']")</f>
        <v>['WITH', 'WITA', 'App', 'Loading', 'Menu', 'Unable', 'Load', 'Sorry', 'There', 'Something', 'Error', 'Our', ' System ',' then ',' right ',' promo ',' enter ',' SMS ',' right ',' clicked ',' appears', 'unstable', 'connection', 'signal', 'normal' , 'Play', 'YouTube', 'FPS', 'Current', 'Buy', 'Paketan', 'Wis', 'Indosat', 'Rb', 'get', 'GB']</v>
      </c>
      <c r="D364" s="3">
        <v>1.0</v>
      </c>
    </row>
    <row r="365" ht="15.75" customHeight="1">
      <c r="A365" s="1">
        <v>378.0</v>
      </c>
      <c r="B365" s="3" t="s">
        <v>366</v>
      </c>
      <c r="C365" s="3" t="str">
        <f>IFERROR(__xludf.DUMMYFUNCTION("GOOGLETRANSLATE(B365,""id"",""en"")"),"['Application', 'Best', '']")</f>
        <v>['Application', 'Best', '']</v>
      </c>
      <c r="D365" s="3">
        <v>5.0</v>
      </c>
    </row>
    <row r="366" ht="15.75" customHeight="1">
      <c r="A366" s="1">
        <v>379.0</v>
      </c>
      <c r="B366" s="3" t="s">
        <v>367</v>
      </c>
      <c r="C366" s="3" t="str">
        <f>IFERROR(__xludf.DUMMYFUNCTION("GOOGLETRANSLATE(B366,""id"",""en"")"),"['card', 'useful', 'price', 'package', 'expensive', 'network', 'kyk', 'gini', 'telkomsel', 'udh', 'thun', 'knp', ' Telkom ',' ugly ',' Mending ',' Change ',' Discard ',' Card ',' Disappointed ']")</f>
        <v>['card', 'useful', 'price', 'package', 'expensive', 'network', 'kyk', 'gini', 'telkomsel', 'udh', 'thun', 'knp', ' Telkom ',' ugly ',' Mending ',' Change ',' Discard ',' Card ',' Disappointed ']</v>
      </c>
      <c r="D366" s="3">
        <v>1.0</v>
      </c>
    </row>
    <row r="367" ht="15.75" customHeight="1">
      <c r="A367" s="1">
        <v>380.0</v>
      </c>
      <c r="B367" s="3" t="s">
        <v>368</v>
      </c>
      <c r="C367" s="3" t="str">
        <f>IFERROR(__xludf.DUMMYFUNCTION("GOOGLETRANSLATE(B367,""id"",""en"")"),"['pulse', 'Woy', 'buy', 'pulse', 'application', 'slow', 'forgiveness',' pdahal ',' pay ',' account ',' virtual ',' uh ',' Mentang ',' telkimsil ']")</f>
        <v>['pulse', 'Woy', 'buy', 'pulse', 'application', 'slow', 'forgiveness',' pdahal ',' pay ',' account ',' virtual ',' uh ',' Mentang ',' telkimsil ']</v>
      </c>
      <c r="D367" s="3">
        <v>1.0</v>
      </c>
    </row>
    <row r="368" ht="15.75" customHeight="1">
      <c r="A368" s="1">
        <v>381.0</v>
      </c>
      <c r="B368" s="3" t="s">
        <v>369</v>
      </c>
      <c r="C368" s="3" t="str">
        <f>IFERROR(__xludf.DUMMYFUNCTION("GOOGLETRANSLATE(B368,""id"",""en"")"),"['Gift', 'Telkomsel', 'Point']")</f>
        <v>['Gift', 'Telkomsel', 'Point']</v>
      </c>
      <c r="D368" s="3">
        <v>1.0</v>
      </c>
    </row>
    <row r="369" ht="15.75" customHeight="1">
      <c r="A369" s="1">
        <v>382.0</v>
      </c>
      <c r="B369" s="3" t="s">
        <v>370</v>
      </c>
      <c r="C369" s="3" t="str">
        <f>IFERROR(__xludf.DUMMYFUNCTION("GOOGLETRANSLATE(B369,""id"",""en"")"),"['Settings', 'Key', 'Credit', 'Use', 'Data', 'Cut', 'Pulses']")</f>
        <v>['Settings', 'Key', 'Credit', 'Use', 'Data', 'Cut', 'Pulses']</v>
      </c>
      <c r="D369" s="3">
        <v>1.0</v>
      </c>
    </row>
    <row r="370" ht="15.75" customHeight="1">
      <c r="A370" s="1">
        <v>383.0</v>
      </c>
      <c r="B370" s="3" t="s">
        <v>371</v>
      </c>
      <c r="C370" s="3" t="str">
        <f>IFERROR(__xludf.DUMMYFUNCTION("GOOGLETRANSLATE(B370,""id"",""en"")"),"['Help', 'check', 'balance', 'pulse', 'package', 'internet', 'process', 'top', 'package', 'internet']")</f>
        <v>['Help', 'check', 'balance', 'pulse', 'package', 'internet', 'process', 'top', 'package', 'internet']</v>
      </c>
      <c r="D370" s="3">
        <v>5.0</v>
      </c>
    </row>
    <row r="371" ht="15.75" customHeight="1">
      <c r="A371" s="1">
        <v>384.0</v>
      </c>
      <c r="B371" s="3" t="s">
        <v>372</v>
      </c>
      <c r="C371" s="3" t="str">
        <f>IFERROR(__xludf.DUMMYFUNCTION("GOOGLETRANSLATE(B371,""id"",""en"")"),"['Bgus', 'sii', 'bgus', 'lgi', 'owe']")</f>
        <v>['Bgus', 'sii', 'bgus', 'lgi', 'owe']</v>
      </c>
      <c r="D371" s="3">
        <v>3.0</v>
      </c>
    </row>
    <row r="372" ht="15.75" customHeight="1">
      <c r="A372" s="1">
        <v>385.0</v>
      </c>
      <c r="B372" s="3" t="s">
        <v>373</v>
      </c>
      <c r="C372" s="3" t="str">
        <f>IFERROR(__xludf.DUMMYFUNCTION("GOOGLETRANSLATE(B372,""id"",""en"")"),"['Min', 'application', 'used', 'error', 'system', '']")</f>
        <v>['Min', 'application', 'used', 'error', 'system', '']</v>
      </c>
      <c r="D372" s="3">
        <v>1.0</v>
      </c>
    </row>
    <row r="373" ht="15.75" customHeight="1">
      <c r="A373" s="1">
        <v>386.0</v>
      </c>
      <c r="B373" s="3" t="s">
        <v>374</v>
      </c>
      <c r="C373" s="3" t="str">
        <f>IFERROR(__xludf.DUMMYFUNCTION("GOOGLETRANSLATE(B373,""id"",""en"")"),"['cool', 'simple', 'like']")</f>
        <v>['cool', 'simple', 'like']</v>
      </c>
      <c r="D373" s="3">
        <v>5.0</v>
      </c>
    </row>
    <row r="374" ht="15.75" customHeight="1">
      <c r="A374" s="1">
        <v>387.0</v>
      </c>
      <c r="B374" s="3" t="s">
        <v>375</v>
      </c>
      <c r="C374" s="3" t="str">
        <f>IFERROR(__xludf.DUMMYFUNCTION("GOOGLETRANSLATE(B374,""id"",""en"")"),"['work', 'broken']")</f>
        <v>['work', 'broken']</v>
      </c>
      <c r="D374" s="3">
        <v>1.0</v>
      </c>
    </row>
    <row r="375" ht="15.75" customHeight="1">
      <c r="A375" s="1">
        <v>388.0</v>
      </c>
      <c r="B375" s="3" t="s">
        <v>376</v>
      </c>
      <c r="C375" s="3" t="str">
        <f>IFERROR(__xludf.DUMMYFUNCTION("GOOGLETRANSLATE(B375,""id"",""en"")"),"['Telkomsel', '']")</f>
        <v>['Telkomsel', '']</v>
      </c>
      <c r="D375" s="3">
        <v>5.0</v>
      </c>
    </row>
    <row r="376" ht="15.75" customHeight="1">
      <c r="A376" s="1">
        <v>389.0</v>
      </c>
      <c r="B376" s="3" t="s">
        <v>377</v>
      </c>
      <c r="C376" s="3" t="str">
        <f>IFERROR(__xludf.DUMMYFUNCTION("GOOGLETRANSLATE(B376,""id"",""en"")"),"['Read', 'The reviews', 'maker', 'APK', 'opened', 'White', 'Tok', 'Mending', 'Operator', ""]")</f>
        <v>['Read', 'The reviews', 'maker', 'APK', 'opened', 'White', 'Tok', 'Mending', 'Operator', "]</v>
      </c>
      <c r="D376" s="3">
        <v>1.0</v>
      </c>
    </row>
    <row r="377" ht="15.75" customHeight="1">
      <c r="A377" s="1">
        <v>390.0</v>
      </c>
      <c r="B377" s="3" t="s">
        <v>378</v>
      </c>
      <c r="C377" s="3" t="str">
        <f>IFERROR(__xludf.DUMMYFUNCTION("GOOGLETRANSLATE(B377,""id"",""en"")"),"['buy', 'package', 'application', 'bad', 'buy', 'package', 'cheerful', 'process',' failure ',' leftover ',' pulse ',' reduced ',' package ',' visits', 'package', 'buy', 'package', 'quota', 'poor', '']")</f>
        <v>['buy', 'package', 'application', 'bad', 'buy', 'package', 'cheerful', 'process',' failure ',' leftover ',' pulse ',' reduced ',' package ',' visits', 'package', 'buy', 'package', 'quota', 'poor', '']</v>
      </c>
      <c r="D377" s="3">
        <v>1.0</v>
      </c>
    </row>
    <row r="378" ht="15.75" customHeight="1">
      <c r="A378" s="1">
        <v>391.0</v>
      </c>
      <c r="B378" s="3" t="s">
        <v>379</v>
      </c>
      <c r="C378" s="3" t="str">
        <f>IFERROR(__xludf.DUMMYFUNCTION("GOOGLETRANSLATE(B378,""id"",""en"")"),"['Package', 'Purchase', 'Data', 'Moga', 'Cheap', '']")</f>
        <v>['Package', 'Purchase', 'Data', 'Moga', 'Cheap', '']</v>
      </c>
      <c r="D378" s="3">
        <v>5.0</v>
      </c>
    </row>
    <row r="379" ht="15.75" customHeight="1">
      <c r="A379" s="1">
        <v>392.0</v>
      </c>
      <c r="B379" s="3" t="s">
        <v>380</v>
      </c>
      <c r="C379" s="3" t="str">
        <f>IFERROR(__xludf.DUMMYFUNCTION("GOOGLETRANSLATE(B379,""id"",""en"")"),"['run out', 'diapdet', 'slow', 'really', 'gabisa', 'use', 'buy', 'quota', 'gimanaaaaaaa']")</f>
        <v>['run out', 'diapdet', 'slow', 'really', 'gabisa', 'use', 'buy', 'quota', 'gimanaaaaaaa']</v>
      </c>
      <c r="D379" s="3">
        <v>1.0</v>
      </c>
    </row>
    <row r="380" ht="15.75" customHeight="1">
      <c r="A380" s="1">
        <v>393.0</v>
      </c>
      <c r="B380" s="3" t="s">
        <v>381</v>
      </c>
      <c r="C380" s="3" t="str">
        <f>IFERROR(__xludf.DUMMYFUNCTION("GOOGLETRANSLATE(B380,""id"",""en"")"),"['pulse', 'missing', 'mortose', 'make', 'subscription', 'internet', 'NSP', 'SMS', 'paid', 'dial', 'Stop', 'krm', ' Report ',' Kominfo ',' Acquired ',' ']")</f>
        <v>['pulse', 'missing', 'mortose', 'make', 'subscription', 'internet', 'NSP', 'SMS', 'paid', 'dial', 'Stop', 'krm', ' Report ',' Kominfo ',' Acquired ',' ']</v>
      </c>
      <c r="D380" s="3">
        <v>1.0</v>
      </c>
    </row>
    <row r="381" ht="15.75" customHeight="1">
      <c r="A381" s="1">
        <v>394.0</v>
      </c>
      <c r="B381" s="3" t="s">
        <v>382</v>
      </c>
      <c r="C381" s="3" t="str">
        <f>IFERROR(__xludf.DUMMYFUNCTION("GOOGLETRANSLATE(B381,""id"",""en"")"),"['Helpful', 'profitable']")</f>
        <v>['Helpful', 'profitable']</v>
      </c>
      <c r="D381" s="3">
        <v>5.0</v>
      </c>
    </row>
    <row r="382" ht="15.75" customHeight="1">
      <c r="A382" s="1">
        <v>395.0</v>
      </c>
      <c r="B382" s="3" t="s">
        <v>383</v>
      </c>
      <c r="C382" s="3" t="str">
        <f>IFERROR(__xludf.DUMMYFUNCTION("GOOGLETRANSLATE(B382,""id"",""en"")"),"['Please', 'Restore', 'Package', 'Unlimited', 'Limited', 'Eliminate', 'Karna', 'Need', 'Family']")</f>
        <v>['Please', 'Restore', 'Package', 'Unlimited', 'Limited', 'Eliminate', 'Karna', 'Need', 'Family']</v>
      </c>
      <c r="D382" s="3">
        <v>5.0</v>
      </c>
    </row>
    <row r="383" ht="15.75" customHeight="1">
      <c r="A383" s="1">
        <v>396.0</v>
      </c>
      <c r="B383" s="3" t="s">
        <v>384</v>
      </c>
      <c r="C383" s="3" t="str">
        <f>IFERROR(__xludf.DUMMYFUNCTION("GOOGLETRANSLATE(B383,""id"",""en"")"),"['cave', 'already', 'loss',' RB ',' Gara ',' Gara ',' buy ',' package ',' his writing ',' already ',' managed ',' right ',' Notif ',' email ',' credit ',' sufficient ',' fill out ',' reset ',' package ',' please ',' contents', 'reset', 'pulse', 'already',"&amp;" 'buy' , 'pulse', 'funds',' balance ',' cave ',' leftover ',' cave ',' kiosk ',' fill ',' pulse ',' right ',' contents', 'package', ' The notification ',' please ',' fix ',' ']")</f>
        <v>['cave', 'already', 'loss',' RB ',' Gara ',' Gara ',' buy ',' package ',' his writing ',' already ',' managed ',' right ',' Notif ',' email ',' credit ',' sufficient ',' fill out ',' reset ',' package ',' please ',' contents', 'reset', 'pulse', 'already', 'buy' , 'pulse', 'funds',' balance ',' cave ',' leftover ',' cave ',' kiosk ',' fill ',' pulse ',' right ',' contents', 'package', ' The notification ',' please ',' fix ',' ']</v>
      </c>
      <c r="D383" s="3">
        <v>1.0</v>
      </c>
    </row>
    <row r="384" ht="15.75" customHeight="1">
      <c r="A384" s="1">
        <v>397.0</v>
      </c>
      <c r="B384" s="3" t="s">
        <v>385</v>
      </c>
      <c r="C384" s="3" t="str">
        <f>IFERROR(__xludf.DUMMYFUNCTION("GOOGLETRANSLATE(B384,""id"",""en"")"),"['embarrassing', 'class',' Telkomsel ',' The network ',' ugly ',' entered ',' MyTelkomsel ',' The reason ',' error ',' please ',' fix ',' Switch ',' Provider ',' cheap ']")</f>
        <v>['embarrassing', 'class',' Telkomsel ',' The network ',' ugly ',' entered ',' MyTelkomsel ',' The reason ',' error ',' please ',' fix ',' Switch ',' Provider ',' cheap ']</v>
      </c>
      <c r="D384" s="3">
        <v>1.0</v>
      </c>
    </row>
    <row r="385" ht="15.75" customHeight="1">
      <c r="A385" s="1">
        <v>398.0</v>
      </c>
      <c r="B385" s="3" t="s">
        <v>386</v>
      </c>
      <c r="C385" s="3" t="str">
        <f>IFERROR(__xludf.DUMMYFUNCTION("GOOGLETRANSLATE(B385,""id"",""en"")"),"['apk', 'taik', 'log', 'difficult', 'pay', 'prepaid', 'udh', 'paketan', 'fast', 'abis', 'poor']")</f>
        <v>['apk', 'taik', 'log', 'difficult', 'pay', 'prepaid', 'udh', 'paketan', 'fast', 'abis', 'poor']</v>
      </c>
      <c r="D385" s="3">
        <v>1.0</v>
      </c>
    </row>
    <row r="386" ht="15.75" customHeight="1">
      <c r="A386" s="1">
        <v>399.0</v>
      </c>
      <c r="B386" s="3" t="s">
        <v>387</v>
      </c>
      <c r="C386" s="3" t="str">
        <f>IFERROR(__xludf.DUMMYFUNCTION("GOOGLETRANSLATE(B386,""id"",""en"")"),"['', 'Give', 'Away']")</f>
        <v>['', 'Give', 'Away']</v>
      </c>
      <c r="D386" s="3">
        <v>1.0</v>
      </c>
    </row>
    <row r="387" ht="15.75" customHeight="1">
      <c r="A387" s="1">
        <v>400.0</v>
      </c>
      <c r="B387" s="3" t="s">
        <v>388</v>
      </c>
      <c r="C387" s="3" t="str">
        <f>IFERROR(__xludf.DUMMYFUNCTION("GOOGLETRANSLATE(B387,""id"",""en"")"),"['Open', 'Dri', 'Morning', '']")</f>
        <v>['Open', 'Dri', 'Morning', '']</v>
      </c>
      <c r="D387" s="3">
        <v>3.0</v>
      </c>
    </row>
    <row r="388" ht="15.75" customHeight="1">
      <c r="A388" s="1">
        <v>401.0</v>
      </c>
      <c r="B388" s="3" t="s">
        <v>389</v>
      </c>
      <c r="C388" s="3" t="str">
        <f>IFERROR(__xludf.DUMMYFUNCTION("GOOGLETRANSLATE(B388,""id"",""en"")"),"['Network', 'Natuna', 'Krang']")</f>
        <v>['Network', 'Natuna', 'Krang']</v>
      </c>
      <c r="D388" s="3">
        <v>4.0</v>
      </c>
    </row>
    <row r="389" ht="15.75" customHeight="1">
      <c r="A389" s="1">
        <v>402.0</v>
      </c>
      <c r="B389" s="3" t="s">
        <v>390</v>
      </c>
      <c r="C389" s="3" t="str">
        <f>IFERROR(__xludf.DUMMYFUNCTION("GOOGLETRANSLATE(B389,""id"",""en"")"),"['check', 'knpa', 'right', 'take', 'prize', 'use', 'pulse', 'please', 'fix', '']")</f>
        <v>['check', 'knpa', 'right', 'take', 'prize', 'use', 'pulse', 'please', 'fix', '']</v>
      </c>
      <c r="D389" s="3">
        <v>1.0</v>
      </c>
    </row>
    <row r="390" ht="15.75" customHeight="1">
      <c r="A390" s="1">
        <v>403.0</v>
      </c>
      <c r="B390" s="3" t="s">
        <v>391</v>
      </c>
      <c r="C390" s="3" t="str">
        <f>IFERROR(__xludf.DUMMYFUNCTION("GOOGLETRANSLATE(B390,""id"",""en"")"),"['slow', 'repairs', 'application', 'Search', 'wifi', 'signal', 'stable']")</f>
        <v>['slow', 'repairs', 'application', 'Search', 'wifi', 'signal', 'stable']</v>
      </c>
      <c r="D390" s="3">
        <v>1.0</v>
      </c>
    </row>
    <row r="391" ht="15.75" customHeight="1">
      <c r="A391" s="1">
        <v>404.0</v>
      </c>
      <c r="B391" s="3" t="s">
        <v>392</v>
      </c>
      <c r="C391" s="3" t="str">
        <f>IFERROR(__xludf.DUMMYFUNCTION("GOOGLETRANSLATE(B391,""id"",""en"")"),"['TPI', 'Trima', '']")</f>
        <v>['TPI', 'Trima', '']</v>
      </c>
      <c r="D391" s="3">
        <v>1.0</v>
      </c>
    </row>
    <row r="392" ht="15.75" customHeight="1">
      <c r="A392" s="1">
        <v>405.0</v>
      </c>
      <c r="B392" s="3" t="s">
        <v>393</v>
      </c>
      <c r="C392" s="3" t="str">
        <f>IFERROR(__xludf.DUMMYFUNCTION("GOOGLETRANSLATE(B392,""id"",""en"")"),"['Steady', 'signal', 'Telkomsel', 'hope', 'Jaya', 'air']")</f>
        <v>['Steady', 'signal', 'Telkomsel', 'hope', 'Jaya', 'air']</v>
      </c>
      <c r="D392" s="3">
        <v>5.0</v>
      </c>
    </row>
    <row r="393" ht="15.75" customHeight="1">
      <c r="A393" s="1">
        <v>406.0</v>
      </c>
      <c r="B393" s="3" t="s">
        <v>394</v>
      </c>
      <c r="C393" s="3" t="str">
        <f>IFERROR(__xludf.DUMMYFUNCTION("GOOGLETRANSLATE(B393,""id"",""en"")"),"['Benerin', 'ties', 'dead', 'lights', 'network', 'missing', 'kouta', 'please', 'Males', 'Telkomtot', ""]")</f>
        <v>['Benerin', 'ties', 'dead', 'lights', 'network', 'missing', 'kouta', 'please', 'Males', 'Telkomtot', "]</v>
      </c>
      <c r="D393" s="3">
        <v>1.0</v>
      </c>
    </row>
    <row r="394" ht="15.75" customHeight="1">
      <c r="A394" s="1">
        <v>407.0</v>
      </c>
      <c r="B394" s="3" t="s">
        <v>395</v>
      </c>
      <c r="C394" s="3" t="str">
        <f>IFERROR(__xludf.DUMMYFUNCTION("GOOGLETRANSLATE(B394,""id"",""en"")"),"['try', 'hope', 'Satisfied']")</f>
        <v>['try', 'hope', 'Satisfied']</v>
      </c>
      <c r="D394" s="3">
        <v>5.0</v>
      </c>
    </row>
    <row r="395" ht="15.75" customHeight="1">
      <c r="A395" s="1">
        <v>408.0</v>
      </c>
      <c r="B395" s="3" t="s">
        <v>396</v>
      </c>
      <c r="C395" s="3" t="str">
        <f>IFERROR(__xludf.DUMMYFUNCTION("GOOGLETRANSLATE(B395,""id"",""en"")"),"['Okay', 'Deeh', 'Level', '']")</f>
        <v>['Okay', 'Deeh', 'Level', '']</v>
      </c>
      <c r="D395" s="3">
        <v>2.0</v>
      </c>
    </row>
    <row r="396" ht="15.75" customHeight="1">
      <c r="A396" s="1">
        <v>409.0</v>
      </c>
      <c r="B396" s="3" t="s">
        <v>397</v>
      </c>
      <c r="C396" s="3" t="str">
        <f>IFERROR(__xludf.DUMMYFUNCTION("GOOGLETRANSLATE(B396,""id"",""en"")"),"['Min', 'clarity', 'complementary', 'please', 'solution']")</f>
        <v>['Min', 'clarity', 'complementary', 'please', 'solution']</v>
      </c>
      <c r="D396" s="3">
        <v>1.0</v>
      </c>
    </row>
    <row r="397" ht="15.75" customHeight="1">
      <c r="A397" s="1">
        <v>410.0</v>
      </c>
      <c r="B397" s="3" t="s">
        <v>398</v>
      </c>
      <c r="C397" s="3" t="str">
        <f>IFERROR(__xludf.DUMMYFUNCTION("GOOGLETRANSLATE(B397,""id"",""en"")"),"['', 'update', 'logo', 'doang', 'hahaha', 'chaotic', 'app', 'mytelkomsel', 'gave', 'convenience', 'lie', 'list', 'package ',' missing ',' example ',' package ',' night ',' rare ',' get ',' package ',' promo ',' age ',' card ',' already ',' bug ', 'scatter"&amp;"ed', 'update', 'defective', 'application']")</f>
        <v>['', 'update', 'logo', 'doang', 'hahaha', 'chaotic', 'app', 'mytelkomsel', 'gave', 'convenience', 'lie', 'list', 'package ',' missing ',' example ',' package ',' night ',' rare ',' get ',' package ',' promo ',' age ',' card ',' already ',' bug ', 'scattered', 'update', 'defective', 'application']</v>
      </c>
      <c r="D397" s="3">
        <v>1.0</v>
      </c>
    </row>
    <row r="398" ht="15.75" customHeight="1">
      <c r="A398" s="1">
        <v>411.0</v>
      </c>
      <c r="B398" s="3" t="s">
        <v>399</v>
      </c>
      <c r="C398" s="3" t="str">
        <f>IFERROR(__xludf.DUMMYFUNCTION("GOOGLETRANSLATE(B398,""id"",""en"")"),"['Price', 'Mulu', 'Malesin']")</f>
        <v>['Price', 'Mulu', 'Malesin']</v>
      </c>
      <c r="D398" s="3">
        <v>1.0</v>
      </c>
    </row>
    <row r="399" ht="15.75" customHeight="1">
      <c r="A399" s="1">
        <v>412.0</v>
      </c>
      <c r="B399" s="3" t="s">
        <v>400</v>
      </c>
      <c r="C399" s="3" t="str">
        <f>IFERROR(__xludf.DUMMYFUNCTION("GOOGLETRANSLATE(B399,""id"",""en"")"),"['Good', 'klaw', 'ugly', 'ksh', 'star', '']")</f>
        <v>['Good', 'klaw', 'ugly', 'ksh', 'star', '']</v>
      </c>
      <c r="D399" s="3">
        <v>5.0</v>
      </c>
    </row>
    <row r="400" ht="15.75" customHeight="1">
      <c r="A400" s="1">
        <v>413.0</v>
      </c>
      <c r="B400" s="3" t="s">
        <v>401</v>
      </c>
      <c r="C400" s="3" t="str">
        <f>IFERROR(__xludf.DUMMYFUNCTION("GOOGLETRANSLATE(B400,""id"",""en"")"),"['banggga', 'product', 'as good', 'cinted']")</f>
        <v>['banggga', 'product', 'as good', 'cinted']</v>
      </c>
      <c r="D400" s="3">
        <v>5.0</v>
      </c>
    </row>
    <row r="401" ht="15.75" customHeight="1">
      <c r="A401" s="1">
        <v>414.0</v>
      </c>
      <c r="B401" s="3" t="s">
        <v>402</v>
      </c>
      <c r="C401" s="3" t="str">
        <f>IFERROR(__xludf.DUMMYFUNCTION("GOOGLETRANSLATE(B401,""id"",""en"")"),"['Help', 'access', 'Telkomsel']")</f>
        <v>['Help', 'access', 'Telkomsel']</v>
      </c>
      <c r="D401" s="3">
        <v>5.0</v>
      </c>
    </row>
    <row r="402" ht="15.75" customHeight="1">
      <c r="A402" s="1">
        <v>415.0</v>
      </c>
      <c r="B402" s="3" t="s">
        <v>403</v>
      </c>
      <c r="C402" s="3" t="str">
        <f>IFERROR(__xludf.DUMMYFUNCTION("GOOGLETRANSLATE(B402,""id"",""en"")"),"['pulses', 'ilang', 'morning', 'sumps', 'try', 'understand', 'quota', 'suck', 'pulses', ""]")</f>
        <v>['pulses', 'ilang', 'morning', 'sumps', 'try', 'understand', 'quota', 'suck', 'pulses', "]</v>
      </c>
      <c r="D402" s="3">
        <v>1.0</v>
      </c>
    </row>
    <row r="403" ht="15.75" customHeight="1">
      <c r="A403" s="1">
        <v>416.0</v>
      </c>
      <c r="B403" s="3" t="s">
        <v>404</v>
      </c>
      <c r="C403" s="3" t="str">
        <f>IFERROR(__xludf.DUMMYFUNCTION("GOOGLETRANSLATE(B403,""id"",""en"")"),"['Sngat', 'helped', 'happy', 'bnyak', 'promo', 'understorey', '']")</f>
        <v>['Sngat', 'helped', 'happy', 'bnyak', 'promo', 'understorey', '']</v>
      </c>
      <c r="D403" s="3">
        <v>5.0</v>
      </c>
    </row>
    <row r="404" ht="15.75" customHeight="1">
      <c r="A404" s="1">
        <v>417.0</v>
      </c>
      <c r="B404" s="3" t="s">
        <v>405</v>
      </c>
      <c r="C404" s="3" t="str">
        <f>IFERROR(__xludf.DUMMYFUNCTION("GOOGLETRANSLATE(B404,""id"",""en"")"),"['', 'upgrade', 'open', 'screen', 'white', 'doank', ""]")</f>
        <v>['', 'upgrade', 'open', 'screen', 'white', 'doank', "]</v>
      </c>
      <c r="D404" s="3">
        <v>1.0</v>
      </c>
    </row>
    <row r="405" ht="15.75" customHeight="1">
      <c r="A405" s="1">
        <v>418.0</v>
      </c>
      <c r="B405" s="3" t="s">
        <v>406</v>
      </c>
      <c r="C405" s="3" t="str">
        <f>IFERROR(__xludf.DUMMYFUNCTION("GOOGLETRANSLATE(B405,""id"",""en"")"),"['ugly', 'ugly', 'kepali', 'application', 'customer', 'disappointed', 'package', 'expensive', 'serin', 'ganguan', 'system', 'like', ' Beroy ',' bandi ',' application ',' oprator ',' service ',' user ',' Telkomsel ',' disappointed ',' package ',' emergency"&amp;" ',' or ',' package ',' cheerful ' , 'Application', 'Telkomsel', 'Terbangpang', 'buy', 'Judgment', 'answer', 'system', 'sedan', 'busy', ""]")</f>
        <v>['ugly', 'ugly', 'kepali', 'application', 'customer', 'disappointed', 'package', 'expensive', 'serin', 'ganguan', 'system', 'like', ' Beroy ',' bandi ',' application ',' oprator ',' service ',' user ',' Telkomsel ',' disappointed ',' package ',' emergency ',' or ',' package ',' cheerful ' , 'Application', 'Telkomsel', 'Terbangpang', 'buy', 'Judgment', 'answer', 'system', 'sedan', 'busy', "]</v>
      </c>
      <c r="D405" s="3">
        <v>1.0</v>
      </c>
    </row>
    <row r="406" ht="15.75" customHeight="1">
      <c r="A406" s="1">
        <v>419.0</v>
      </c>
      <c r="B406" s="3" t="s">
        <v>407</v>
      </c>
      <c r="C406" s="3" t="str">
        <f>IFERROR(__xludf.DUMMYFUNCTION("GOOGLETRANSLATE(B406,""id"",""en"")"),"['updated', 'MLH', 'Nge', 'blank', ""]")</f>
        <v>['updated', 'MLH', 'Nge', 'blank', "]</v>
      </c>
      <c r="D406" s="3">
        <v>1.0</v>
      </c>
    </row>
    <row r="407" ht="15.75" customHeight="1">
      <c r="A407" s="1">
        <v>420.0</v>
      </c>
      <c r="B407" s="3" t="s">
        <v>408</v>
      </c>
      <c r="C407" s="3" t="str">
        <f>IFERROR(__xludf.DUMMYFUNCTION("GOOGLETRANSLATE(B407,""id"",""en"")"),"['price', 'quota', 'internet', 'expensive', 'jdi', 'skrg', 'move', 'trii', 'already', 'gtu', 'slow', 'anjinj', ' emang ',' Telkomsel ',' already ',' expensive ',' slow ',' pig ']")</f>
        <v>['price', 'quota', 'internet', 'expensive', 'jdi', 'skrg', 'move', 'trii', 'already', 'gtu', 'slow', 'anjinj', ' emang ',' Telkomsel ',' already ',' expensive ',' slow ',' pig ']</v>
      </c>
      <c r="D407" s="3">
        <v>1.0</v>
      </c>
    </row>
    <row r="408" ht="15.75" customHeight="1">
      <c r="A408" s="1">
        <v>421.0</v>
      </c>
      <c r="B408" s="3" t="s">
        <v>409</v>
      </c>
      <c r="C408" s="3" t="str">
        <f>IFERROR(__xludf.DUMMYFUNCTION("GOOGLETRANSLATE(B408,""id"",""en"")"),"['easy']")</f>
        <v>['easy']</v>
      </c>
      <c r="D408" s="3">
        <v>5.0</v>
      </c>
    </row>
    <row r="409" ht="15.75" customHeight="1">
      <c r="A409" s="1">
        <v>422.0</v>
      </c>
      <c r="B409" s="3" t="s">
        <v>410</v>
      </c>
      <c r="C409" s="3" t="str">
        <f>IFERROR(__xludf.DUMMYFUNCTION("GOOGLETRANSLATE(B409,""id"",""en"")"),"['Network', 'Telkomsel', 'Knp', 'Good']")</f>
        <v>['Network', 'Telkomsel', 'Knp', 'Good']</v>
      </c>
      <c r="D409" s="3">
        <v>5.0</v>
      </c>
    </row>
    <row r="410" ht="15.75" customHeight="1">
      <c r="A410" s="1">
        <v>423.0</v>
      </c>
      <c r="B410" s="3" t="s">
        <v>411</v>
      </c>
      <c r="C410" s="3" t="str">
        <f>IFERROR(__xludf.DUMMYFUNCTION("GOOGLETRANSLATE(B410,""id"",""en"")"),"['', 'Love', 'You', 'Pokonamah', 'ABULAN', 'ASHIP', 'Speaking', 'Times', 'Thank you', 'ugly', 'really']")</f>
        <v>['', 'Love', 'You', 'Pokonamah', 'ABULAN', 'ASHIP', 'Speaking', 'Times', 'Thank you', 'ugly', 'really']</v>
      </c>
      <c r="D410" s="3">
        <v>5.0</v>
      </c>
    </row>
    <row r="411" ht="15.75" customHeight="1">
      <c r="A411" s="1">
        <v>424.0</v>
      </c>
      <c r="B411" s="3" t="s">
        <v>412</v>
      </c>
      <c r="C411" s="3" t="str">
        <f>IFERROR(__xludf.DUMMYFUNCTION("GOOGLETRANSLATE(B411,""id"",""en"")"),"['Telkomsel', 'opened', 'expensive', 'disappointing']")</f>
        <v>['Telkomsel', 'opened', 'expensive', 'disappointing']</v>
      </c>
      <c r="D411" s="3">
        <v>1.0</v>
      </c>
    </row>
    <row r="412" ht="15.75" customHeight="1">
      <c r="A412" s="1">
        <v>425.0</v>
      </c>
      <c r="B412" s="3" t="s">
        <v>413</v>
      </c>
      <c r="C412" s="3" t="str">
        <f>IFERROR(__xludf.DUMMYFUNCTION("GOOGLETRANSLATE(B412,""id"",""en"")"),"['Application', 'updated', 'opened', 'stuck', 'Dilogo', 'Doang', 'Severe', 'version', 'poor', 'annoying', '']")</f>
        <v>['Application', 'updated', 'opened', 'stuck', 'Dilogo', 'Doang', 'Severe', 'version', 'poor', 'annoying', '']</v>
      </c>
      <c r="D412" s="3">
        <v>1.0</v>
      </c>
    </row>
    <row r="413" ht="15.75" customHeight="1">
      <c r="A413" s="1">
        <v>426.0</v>
      </c>
      <c r="B413" s="3" t="s">
        <v>414</v>
      </c>
      <c r="C413" s="3" t="str">
        <f>IFERROR(__xludf.DUMMYFUNCTION("GOOGLETRANSLATE(B413,""id"",""en"")"),"['Help', 'easy', 'in', 'use', 'staple', 'sip', 'deh', 'bnyak', 'promo', 'horn']")</f>
        <v>['Help', 'easy', 'in', 'use', 'staple', 'sip', 'deh', 'bnyak', 'promo', 'horn']</v>
      </c>
      <c r="D413" s="3">
        <v>5.0</v>
      </c>
    </row>
    <row r="414" ht="15.75" customHeight="1">
      <c r="A414" s="1">
        <v>427.0</v>
      </c>
      <c r="B414" s="3" t="s">
        <v>415</v>
      </c>
      <c r="C414" s="3" t="str">
        <f>IFERROR(__xludf.DUMMYFUNCTION("GOOGLETRANSLATE(B414,""id"",""en"")"),"['Yamaha', 'Telkomsel', 'slow', 'slow', 'Severe', 'destroyed', 'broke', 'Connect', 'missing', 'appears',' signal ',' network ',' Telkomsel ',' most ',' promo ',' use ',' signal ',' network ',' Telkomsel ',' SERES ',' Fix ',' signal ',' network ',' Telkoms"&amp;"el ', ""]")</f>
        <v>['Yamaha', 'Telkomsel', 'slow', 'slow', 'Severe', 'destroyed', 'broke', 'Connect', 'missing', 'appears',' signal ',' network ',' Telkomsel ',' most ',' promo ',' use ',' signal ',' network ',' Telkomsel ',' SERES ',' Fix ',' signal ',' network ',' Telkomsel ', "]</v>
      </c>
      <c r="D414" s="3">
        <v>1.0</v>
      </c>
    </row>
    <row r="415" ht="15.75" customHeight="1">
      <c r="A415" s="1">
        <v>428.0</v>
      </c>
      <c r="B415" s="3" t="s">
        <v>416</v>
      </c>
      <c r="C415" s="3" t="str">
        <f>IFERROR(__xludf.DUMMYFUNCTION("GOOGLETRANSLATE(B415,""id"",""en"")"),"['', 'Maaakkk', 'Inyong', 'buy', 'package', 'data', 'App', 'MyTelkomsel', 'error', 'pray for', 'maaakkk', 'spy', 'mytelkomsel ',' fast ',' waraasss', 'maaakkk', 'that's',' nitip ',' star ',' ']")</f>
        <v>['', 'Maaakkk', 'Inyong', 'buy', 'package', 'data', 'App', 'MyTelkomsel', 'error', 'pray for', 'maaakkk', 'spy', 'mytelkomsel ',' fast ',' waraasss', 'maaakkk', 'that's',' nitip ',' star ',' ']</v>
      </c>
      <c r="D415" s="3">
        <v>1.0</v>
      </c>
    </row>
    <row r="416" ht="15.75" customHeight="1">
      <c r="A416" s="1">
        <v>429.0</v>
      </c>
      <c r="B416" s="3" t="s">
        <v>417</v>
      </c>
      <c r="C416" s="3" t="str">
        <f>IFERROR(__xludf.DUMMYFUNCTION("GOOGLETRANSLATE(B416,""id"",""en"")"),"['Telkomsel', 'rich', 'card', 'skrng', 'mah', 'ugly', 'red', 'mulu', 'maen', 'game']")</f>
        <v>['Telkomsel', 'rich', 'card', 'skrng', 'mah', 'ugly', 'red', 'mulu', 'maen', 'game']</v>
      </c>
      <c r="D416" s="3">
        <v>1.0</v>
      </c>
    </row>
    <row r="417" ht="15.75" customHeight="1">
      <c r="A417" s="1">
        <v>430.0</v>
      </c>
      <c r="B417" s="3" t="s">
        <v>418</v>
      </c>
      <c r="C417" s="3" t="str">
        <f>IFERROR(__xludf.DUMMYFUNCTION("GOOGLETRANSLATE(B417,""id"",""en"")"),"['difficult', 'login', 'many times', 'please', 'donk', 'admin']")</f>
        <v>['difficult', 'login', 'many times', 'please', 'donk', 'admin']</v>
      </c>
      <c r="D417" s="3">
        <v>4.0</v>
      </c>
    </row>
    <row r="418" ht="15.75" customHeight="1">
      <c r="A418" s="1">
        <v>431.0</v>
      </c>
      <c r="B418" s="3" t="s">
        <v>419</v>
      </c>
      <c r="C418" s="3" t="str">
        <f>IFERROR(__xludf.DUMMYFUNCTION("GOOGLETRANSLATE(B418,""id"",""en"")"),"['', 'enter']")</f>
        <v>['', 'enter']</v>
      </c>
      <c r="D418" s="3">
        <v>5.0</v>
      </c>
    </row>
    <row r="419" ht="15.75" customHeight="1">
      <c r="A419" s="1">
        <v>432.0</v>
      </c>
      <c r="B419" s="3" t="s">
        <v>420</v>
      </c>
      <c r="C419" s="3" t="str">
        <f>IFERROR(__xludf.DUMMYFUNCTION("GOOGLETRANSLATE(B419,""id"",""en"")"),"['The network', 'problematic', 'application', 'knp', 'dilapidated', 'check', 'pulse', '']")</f>
        <v>['The network', 'problematic', 'application', 'knp', 'dilapidated', 'check', 'pulse', '']</v>
      </c>
      <c r="D419" s="3">
        <v>1.0</v>
      </c>
    </row>
    <row r="420" ht="15.75" customHeight="1">
      <c r="A420" s="1">
        <v>433.0</v>
      </c>
      <c r="B420" s="3" t="s">
        <v>421</v>
      </c>
      <c r="C420" s="3" t="str">
        <f>IFERROR(__xludf.DUMMYFUNCTION("GOOGLETRANSLATE(B420,""id"",""en"")"),"['Error', 'Delete', 'BLM', 'Perfect', 'earning', 'Application', 'Trying', 'Best', 'Sitting', 'Ngangkang', ""]")</f>
        <v>['Error', 'Delete', 'BLM', 'Perfect', 'earning', 'Application', 'Trying', 'Best', 'Sitting', 'Ngangkang', "]</v>
      </c>
      <c r="D420" s="3">
        <v>1.0</v>
      </c>
    </row>
    <row r="421" ht="15.75" customHeight="1">
      <c r="A421" s="1">
        <v>434.0</v>
      </c>
      <c r="B421" s="3" t="s">
        <v>422</v>
      </c>
      <c r="C421" s="3" t="str">
        <f>IFERROR(__xludf.DUMMYFUNCTION("GOOGLETRANSLATE(B421,""id"",""en"")"),"['already', 'update', 'open', 'picture', 'white', 'doang', 'klu', 'update', 'check', 'hanguuuuus', ""]")</f>
        <v>['already', 'update', 'open', 'picture', 'white', 'doang', 'klu', 'update', 'check', 'hanguuuuus', "]</v>
      </c>
      <c r="D421" s="3">
        <v>1.0</v>
      </c>
    </row>
    <row r="422" ht="15.75" customHeight="1">
      <c r="A422" s="1">
        <v>435.0</v>
      </c>
      <c r="B422" s="3" t="s">
        <v>423</v>
      </c>
      <c r="C422" s="3" t="str">
        <f>IFERROR(__xludf.DUMMYFUNCTION("GOOGLETRANSLATE(B422,""id"",""en"")"),"['It's', 'Gini', 'then', 'mnding', 'price', 'quota', 'collapsed', 'shame', ""]")</f>
        <v>['It's', 'Gini', 'then', 'mnding', 'price', 'quota', 'collapsed', 'shame', "]</v>
      </c>
      <c r="D422" s="3">
        <v>1.0</v>
      </c>
    </row>
    <row r="423" ht="15.75" customHeight="1">
      <c r="A423" s="1">
        <v>436.0</v>
      </c>
      <c r="B423" s="3" t="s">
        <v>424</v>
      </c>
      <c r="C423" s="3" t="str">
        <f>IFERROR(__xludf.DUMMYFUNCTION("GOOGLETRANSLATE(B423,""id"",""en"")"),"['Please', 'info', 'Dunx', 'Telkomsel', 'error', 'yaa', 'kmrn', 'enter', 'loading', 'mulu', 'look', 'white', ' BUTFERING ',' Mulu ',' yaa ']")</f>
        <v>['Please', 'info', 'Dunx', 'Telkomsel', 'error', 'yaa', 'kmrn', 'enter', 'loading', 'mulu', 'look', 'white', ' BUTFERING ',' Mulu ',' yaa ']</v>
      </c>
      <c r="D423" s="3">
        <v>1.0</v>
      </c>
    </row>
    <row r="424" ht="15.75" customHeight="1">
      <c r="A424" s="1">
        <v>437.0</v>
      </c>
      <c r="B424" s="3" t="s">
        <v>425</v>
      </c>
      <c r="C424" s="3" t="str">
        <f>IFERROR(__xludf.DUMMYFUNCTION("GOOGLETRANSLATE(B424,""id"",""en"")"),"['Byk', 'promo', 'Tuker', 'Points', 'Telkomsel', 'Number', 'One', ""]")</f>
        <v>['Byk', 'promo', 'Tuker', 'Points', 'Telkomsel', 'Number', 'One', "]</v>
      </c>
      <c r="D424" s="3">
        <v>5.0</v>
      </c>
    </row>
    <row r="425" ht="15.75" customHeight="1">
      <c r="A425" s="1">
        <v>438.0</v>
      </c>
      <c r="B425" s="3" t="s">
        <v>426</v>
      </c>
      <c r="C425" s="3" t="str">
        <f>IFERROR(__xludf.DUMMYFUNCTION("GOOGLETRANSLATE(B425,""id"",""en"")"),"['Good', 'easy', 'help', ""]")</f>
        <v>['Good', 'easy', 'help', "]</v>
      </c>
      <c r="D425" s="3">
        <v>5.0</v>
      </c>
    </row>
    <row r="426" ht="15.75" customHeight="1">
      <c r="A426" s="1">
        <v>439.0</v>
      </c>
      <c r="B426" s="3" t="s">
        <v>427</v>
      </c>
      <c r="C426" s="3" t="str">
        <f>IFERROR(__xludf.DUMMYFUNCTION("GOOGLETRANSLATE(B426,""id"",""en"")"),"['complaints',' told ',' contact ',' here ',' Night ',' woi ',' Gausah ',' convoluted ',' turned ',' think ',' network ',' area ',' Rustic ',' City ',' Doang ',' Kenceng ',' Sousal ',' Think ',' Kaga ',' Season ',' Class', 'Online', 'Network', 'ilang', 'L"&amp;"ive', 'Live' , 'improve', 'network', 'hereer', 'me', 'complaints', 'via', 'Twitter', 'no', 'change', '']")</f>
        <v>['complaints',' told ',' contact ',' here ',' Night ',' woi ',' Gausah ',' convoluted ',' turned ',' think ',' network ',' area ',' Rustic ',' City ',' Doang ',' Kenceng ',' Sousal ',' Think ',' Kaga ',' Season ',' Class', 'Online', 'Network', 'ilang', 'Live', 'Live' , 'improve', 'network', 'hereer', 'me', 'complaints', 'via', 'Twitter', 'no', 'change', '']</v>
      </c>
      <c r="D426" s="3">
        <v>1.0</v>
      </c>
    </row>
    <row r="427" ht="15.75" customHeight="1">
      <c r="A427" s="1">
        <v>441.0</v>
      </c>
      <c r="B427" s="3" t="s">
        <v>428</v>
      </c>
      <c r="C427" s="3" t="str">
        <f>IFERROR(__xludf.DUMMYFUNCTION("GOOGLETRANSLATE(B427,""id"",""en"")"),"['Steady', 'Glooms', 'child', 'school', 'buy', 'quota']")</f>
        <v>['Steady', 'Glooms', 'child', 'school', 'buy', 'quota']</v>
      </c>
      <c r="D427" s="3">
        <v>5.0</v>
      </c>
    </row>
    <row r="428" ht="15.75" customHeight="1">
      <c r="A428" s="1">
        <v>443.0</v>
      </c>
      <c r="B428" s="3" t="s">
        <v>429</v>
      </c>
      <c r="C428" s="3" t="str">
        <f>IFERROR(__xludf.DUMMYFUNCTION("GOOGLETRANSLATE(B428,""id"",""en"")"),"['Napa', 'the application', 'difficult', 'entry', 'internet', 'smooth', 'open', 'application', 'myaxis',' myim ',' smooth ',' right ',' Open ',' MyTelkomsel ',' Mlah ',' Failed ',' Mulu ',' Network ',' Reply ',' Review ',' Saying ',' Komlaithke ',' Krna '"&amp;",' Ngekuin ',' Hasul ' , 'nil', 'according to', 'Ama', 'asked', '']")</f>
        <v>['Napa', 'the application', 'difficult', 'entry', 'internet', 'smooth', 'open', 'application', 'myaxis',' myim ',' smooth ',' right ',' Open ',' MyTelkomsel ',' Mlah ',' Failed ',' Mulu ',' Network ',' Reply ',' Review ',' Saying ',' Komlaithke ',' Krna ',' Ngekuin ',' Hasul ' , 'nil', 'according to', 'Ama', 'asked', '']</v>
      </c>
      <c r="D428" s="3">
        <v>1.0</v>
      </c>
    </row>
    <row r="429" ht="15.75" customHeight="1">
      <c r="A429" s="1">
        <v>444.0</v>
      </c>
      <c r="B429" s="3" t="s">
        <v>430</v>
      </c>
      <c r="C429" s="3" t="str">
        <f>IFERROR(__xludf.DUMMYFUNCTION("GOOGLETRANSLATE(B429,""id"",""en"")"),"['The application', 'open', 'application', 'Try', 'repaired', 'the center', '']")</f>
        <v>['The application', 'open', 'application', 'Try', 'repaired', 'the center', '']</v>
      </c>
      <c r="D429" s="3">
        <v>1.0</v>
      </c>
    </row>
    <row r="430" ht="15.75" customHeight="1">
      <c r="A430" s="1">
        <v>445.0</v>
      </c>
      <c r="B430" s="3" t="s">
        <v>431</v>
      </c>
      <c r="C430" s="3" t="str">
        <f>IFERROR(__xludf.DUMMYFUNCTION("GOOGLETRANSLATE(B430,""id"",""en"")"),"['', 'Telkomsel', ""]")</f>
        <v>['', 'Telkomsel', "]</v>
      </c>
      <c r="D430" s="3">
        <v>5.0</v>
      </c>
    </row>
    <row r="431" ht="15.75" customHeight="1">
      <c r="A431" s="1">
        <v>446.0</v>
      </c>
      <c r="B431" s="3" t="s">
        <v>432</v>
      </c>
      <c r="C431" s="3" t="str">
        <f>IFERROR(__xludf.DUMMYFUNCTION("GOOGLETRANSLATE(B431,""id"",""en"")"),"['App', 'ugly', 'open', 'app', 'just']")</f>
        <v>['App', 'ugly', 'open', 'app', 'just']</v>
      </c>
      <c r="D431" s="3">
        <v>1.0</v>
      </c>
    </row>
    <row r="432" ht="15.75" customHeight="1">
      <c r="A432" s="1">
        <v>447.0</v>
      </c>
      <c r="B432" s="3" t="s">
        <v>433</v>
      </c>
      <c r="C432" s="3" t="str">
        <f>IFERROR(__xludf.DUMMYFUNCTION("GOOGLETRANSLATE(B432,""id"",""en"")"),"['Daily', 'Check', 'Out', 'Open', 'Telkomsel', 'Color', 'White', 'Please', 'Fix', 'Telkomsel']")</f>
        <v>['Daily', 'Check', 'Out', 'Open', 'Telkomsel', 'Color', 'White', 'Please', 'Fix', 'Telkomsel']</v>
      </c>
      <c r="D432" s="3">
        <v>1.0</v>
      </c>
    </row>
    <row r="433" ht="15.75" customHeight="1">
      <c r="A433" s="1">
        <v>448.0</v>
      </c>
      <c r="B433" s="3" t="s">
        <v>434</v>
      </c>
      <c r="C433" s="3" t="str">
        <f>IFERROR(__xludf.DUMMYFUNCTION("GOOGLETRANSLATE(B433,""id"",""en"")"),"['Application', 'Helping', 'for Papanlan', 'Package', 'Cellular', '']")</f>
        <v>['Application', 'Helping', 'for Papanlan', 'Package', 'Cellular', '']</v>
      </c>
      <c r="D433" s="3">
        <v>5.0</v>
      </c>
    </row>
    <row r="434" ht="15.75" customHeight="1">
      <c r="A434" s="1">
        <v>449.0</v>
      </c>
      <c r="B434" s="3" t="s">
        <v>435</v>
      </c>
      <c r="C434" s="3" t="str">
        <f>IFERROR(__xludf.DUMMYFUNCTION("GOOGLETRANSLATE(B434,""id"",""en"")"),"['signal', 'good', 'Where', 'Where', 'ugly', 'mah', 'shy', 'provider', 'price', 'kouta', 'expensive', 'gmna', ' shame ',' shame ',' signal ']")</f>
        <v>['signal', 'good', 'Where', 'Where', 'ugly', 'mah', 'shy', 'provider', 'price', 'kouta', 'expensive', 'gmna', ' shame ',' shame ',' signal ']</v>
      </c>
      <c r="D434" s="3">
        <v>1.0</v>
      </c>
    </row>
    <row r="435" ht="15.75" customHeight="1">
      <c r="A435" s="1">
        <v>450.0</v>
      </c>
      <c r="B435" s="3" t="s">
        <v>436</v>
      </c>
      <c r="C435" s="3" t="str">
        <f>IFERROR(__xludf.DUMMYFUNCTION("GOOGLETRANSLATE(B435,""id"",""en"")"),"['Jeleeeeeek', 'stlh', 'update', 'log', 'Susaaaaaah', 'Beneeer', 'yaaa', 'application', 'opened', 'ampuuuun', 'deh', 'Telkomsel', ' Threat ',' SKR ',' ']")</f>
        <v>['Jeleeeeeek', 'stlh', 'update', 'log', 'Susaaaaaah', 'Beneeer', 'yaaa', 'application', 'opened', 'ampuuuun', 'deh', 'Telkomsel', ' Threat ',' SKR ',' ']</v>
      </c>
      <c r="D435" s="3">
        <v>1.0</v>
      </c>
    </row>
    <row r="436" ht="15.75" customHeight="1">
      <c r="A436" s="1">
        <v>451.0</v>
      </c>
      <c r="B436" s="3" t="s">
        <v>437</v>
      </c>
      <c r="C436" s="3" t="str">
        <f>IFERROR(__xludf.DUMMYFUNCTION("GOOGLETRANSLATE(B436,""id"",""en"")"),"['Telkomsel', 'Install', '']")</f>
        <v>['Telkomsel', 'Install', '']</v>
      </c>
      <c r="D436" s="3">
        <v>5.0</v>
      </c>
    </row>
    <row r="437" ht="15.75" customHeight="1">
      <c r="A437" s="1">
        <v>452.0</v>
      </c>
      <c r="B437" s="3" t="s">
        <v>438</v>
      </c>
      <c r="C437" s="3" t="str">
        <f>IFERROR(__xludf.DUMMYFUNCTION("GOOGLETRANSLATE(B437,""id"",""en"")"),"['Fast', 'Download', 'Thank you']")</f>
        <v>['Fast', 'Download', 'Thank you']</v>
      </c>
      <c r="D437" s="3">
        <v>5.0</v>
      </c>
    </row>
    <row r="438" ht="15.75" customHeight="1">
      <c r="A438" s="1">
        <v>453.0</v>
      </c>
      <c r="B438" s="3" t="s">
        <v>439</v>
      </c>
      <c r="C438" s="3" t="str">
        <f>IFERROR(__xludf.DUMMYFUNCTION("GOOGLETRANSLATE(B438,""id"",""en"")"),"['log', 'out', 'account', 'many', 'times', 'enter', 'sometimes', 'errorrrrrrr']")</f>
        <v>['log', 'out', 'account', 'many', 'times', 'enter', 'sometimes', 'errorrrrrrr']</v>
      </c>
      <c r="D438" s="3">
        <v>2.0</v>
      </c>
    </row>
    <row r="439" ht="15.75" customHeight="1">
      <c r="A439" s="1">
        <v>454.0</v>
      </c>
      <c r="B439" s="3" t="s">
        <v>440</v>
      </c>
      <c r="C439" s="3" t="str">
        <f>IFERROR(__xludf.DUMMYFUNCTION("GOOGLETRANSLATE(B439,""id"",""en"")"),"['regret', 'update', 'app', 'no', 'login', 'network', 'skrg', 'slow', 'city', 'rural', 'price', 'package', ' internet ',' expensive ',' already ',' slow ',' expensive ',' mending ',' stay ',' replace ',' im ',' package ',' cheap ',' signal ',' internet ' "&amp;", 'Not', 'Bad', 'UPS', 'Sorry', 'Telkomsel', ""]")</f>
        <v>['regret', 'update', 'app', 'no', 'login', 'network', 'skrg', 'slow', 'city', 'rural', 'price', 'package', ' internet ',' expensive ',' already ',' slow ',' expensive ',' mending ',' stay ',' replace ',' im ',' package ',' cheap ',' signal ',' internet ' , 'Not', 'Bad', 'UPS', 'Sorry', 'Telkomsel', "]</v>
      </c>
      <c r="D439" s="3">
        <v>1.0</v>
      </c>
    </row>
    <row r="440" ht="15.75" customHeight="1">
      <c r="A440" s="1">
        <v>455.0</v>
      </c>
      <c r="B440" s="3" t="s">
        <v>441</v>
      </c>
      <c r="C440" s="3" t="str">
        <f>IFERROR(__xludf.DUMMYFUNCTION("GOOGLETRANSLATE(B440,""id"",""en"")"),"['Good', 'speed up', 'process']")</f>
        <v>['Good', 'speed up', 'process']</v>
      </c>
      <c r="D440" s="3">
        <v>5.0</v>
      </c>
    </row>
    <row r="441" ht="15.75" customHeight="1">
      <c r="A441" s="1">
        <v>456.0</v>
      </c>
      <c r="B441" s="3" t="s">
        <v>442</v>
      </c>
      <c r="C441" s="3" t="str">
        <f>IFERROR(__xludf.DUMMYFUNCTION("GOOGLETRANSLATE(B441,""id"",""en"")"),"['Ingsa', 'Allah', 'blessings', 'easy', 'hopefully', 'PMNAND']")</f>
        <v>['Ingsa', 'Allah', 'blessings', 'easy', 'hopefully', 'PMNAND']</v>
      </c>
      <c r="D441" s="3">
        <v>4.0</v>
      </c>
    </row>
    <row r="442" ht="15.75" customHeight="1">
      <c r="A442" s="1">
        <v>457.0</v>
      </c>
      <c r="B442" s="3" t="s">
        <v>443</v>
      </c>
      <c r="C442" s="3" t="str">
        <f>IFERROR(__xludf.DUMMYFUNCTION("GOOGLETRANSLATE(B442,""id"",""en"")"),"['Package', 'Abis',' wifi ',' enter ',' the applications', 'session', 'run out', 'login', 'failed', 'bother', 'really', 'please', ' Repaired ',' ']")</f>
        <v>['Package', 'Abis',' wifi ',' enter ',' the applications', 'session', 'run out', 'login', 'failed', 'bother', 'really', 'please', ' Repaired ',' ']</v>
      </c>
      <c r="D442" s="3">
        <v>1.0</v>
      </c>
    </row>
    <row r="443" ht="15.75" customHeight="1">
      <c r="A443" s="1">
        <v>458.0</v>
      </c>
      <c r="B443" s="3" t="s">
        <v>444</v>
      </c>
      <c r="C443" s="3" t="str">
        <f>IFERROR(__xludf.DUMMYFUNCTION("GOOGLETRANSLATE(B443,""id"",""en"")"),"['Dri', 'Yesterday', 'Troubled', '']")</f>
        <v>['Dri', 'Yesterday', 'Troubled', '']</v>
      </c>
      <c r="D443" s="3">
        <v>1.0</v>
      </c>
    </row>
    <row r="444" ht="15.75" customHeight="1">
      <c r="A444" s="1">
        <v>459.0</v>
      </c>
      <c r="B444" s="3" t="s">
        <v>445</v>
      </c>
      <c r="C444" s="3" t="str">
        <f>IFERROR(__xludf.DUMMYFUNCTION("GOOGLETRANSLATE(B444,""id"",""en"")"),"['', 'beneficial']")</f>
        <v>['', 'beneficial']</v>
      </c>
      <c r="D444" s="3">
        <v>5.0</v>
      </c>
    </row>
    <row r="445" ht="15.75" customHeight="1">
      <c r="A445" s="1">
        <v>460.0</v>
      </c>
      <c r="B445" s="3" t="s">
        <v>446</v>
      </c>
      <c r="C445" s="3" t="str">
        <f>IFERROR(__xludf.DUMMYFUNCTION("GOOGLETRANSLATE(B445,""id"",""en"")"),"['Semngatt', 'Telkom', 'disappointing']")</f>
        <v>['Semngatt', 'Telkom', 'disappointing']</v>
      </c>
      <c r="D445" s="3">
        <v>5.0</v>
      </c>
    </row>
    <row r="446" ht="15.75" customHeight="1">
      <c r="A446" s="1">
        <v>461.0</v>
      </c>
      <c r="B446" s="3" t="s">
        <v>447</v>
      </c>
      <c r="C446" s="3" t="str">
        <f>IFERROR(__xludf.DUMMYFUNCTION("GOOGLETRANSLATE(B446,""id"",""en"")"),"['Dlm', 'condition', 'Telkomsel', 'help']")</f>
        <v>['Dlm', 'condition', 'Telkomsel', 'help']</v>
      </c>
      <c r="D446" s="3">
        <v>5.0</v>
      </c>
    </row>
    <row r="447" ht="15.75" customHeight="1">
      <c r="A447" s="1">
        <v>462.0</v>
      </c>
      <c r="B447" s="3" t="s">
        <v>448</v>
      </c>
      <c r="C447" s="3" t="str">
        <f>IFERROR(__xludf.DUMMYFUNCTION("GOOGLETRANSLATE(B447,""id"",""en"")"),"['application', 'slow', 'slow', 'poor', 'Telkomsel']")</f>
        <v>['application', 'slow', 'slow', 'poor', 'Telkomsel']</v>
      </c>
      <c r="D447" s="3">
        <v>1.0</v>
      </c>
    </row>
    <row r="448" ht="15.75" customHeight="1">
      <c r="A448" s="1">
        <v>463.0</v>
      </c>
      <c r="B448" s="3" t="s">
        <v>449</v>
      </c>
      <c r="C448" s="3" t="str">
        <f>IFERROR(__xludf.DUMMYFUNCTION("GOOGLETRANSLATE(B448,""id"",""en"")"),"['woi', 'Telkomsel', 'contents',' pulse ',' pulse ',' lost ',' dies', 'ngak', 'ngak', 'quiz', 'koata', 'internet', ' Telkom ',' pulse ',' dries']")</f>
        <v>['woi', 'Telkomsel', 'contents',' pulse ',' pulse ',' lost ',' dies', 'ngak', 'ngak', 'quiz', 'koata', 'internet', ' Telkom ',' pulse ',' dries']</v>
      </c>
      <c r="D448" s="3">
        <v>1.0</v>
      </c>
    </row>
    <row r="449" ht="15.75" customHeight="1">
      <c r="A449" s="1">
        <v>464.0</v>
      </c>
      <c r="B449" s="3" t="s">
        <v>450</v>
      </c>
      <c r="C449" s="3" t="str">
        <f>IFERROR(__xludf.DUMMYFUNCTION("GOOGLETRANSLATE(B449,""id"",""en"")"),"['Please', 'Price', 'Ride', 'Quality', 'Signal', 'Fixed', 'Price', 'Signal', 'BURIK', '']")</f>
        <v>['Please', 'Price', 'Ride', 'Quality', 'Signal', 'Fixed', 'Price', 'Signal', 'BURIK', '']</v>
      </c>
      <c r="D449" s="3">
        <v>1.0</v>
      </c>
    </row>
    <row r="450" ht="15.75" customHeight="1">
      <c r="A450" s="1">
        <v>465.0</v>
      </c>
      <c r="B450" s="3" t="s">
        <v>451</v>
      </c>
      <c r="C450" s="3" t="str">
        <f>IFERROR(__xludf.DUMMYFUNCTION("GOOGLETRANSLATE(B450,""id"",""en"")"),"['The network', 'fast', '']")</f>
        <v>['The network', 'fast', '']</v>
      </c>
      <c r="D450" s="3">
        <v>5.0</v>
      </c>
    </row>
    <row r="451" ht="15.75" customHeight="1">
      <c r="A451" s="1">
        <v>466.0</v>
      </c>
      <c r="B451" s="3" t="s">
        <v>452</v>
      </c>
      <c r="C451" s="3" t="str">
        <f>IFERROR(__xludf.DUMMYFUNCTION("GOOGLETRANSLATE(B451,""id"",""en"")"),"['Pay', 'expensive', 'package', 'hundreds', 'thousand', 'speed', 'internet', 'slow', 'package', 'fast', 'run out']")</f>
        <v>['Pay', 'expensive', 'package', 'hundreds', 'thousand', 'speed', 'internet', 'slow', 'package', 'fast', 'run out']</v>
      </c>
      <c r="D451" s="3">
        <v>1.0</v>
      </c>
    </row>
    <row r="452" ht="15.75" customHeight="1">
      <c r="A452" s="1">
        <v>467.0</v>
      </c>
      <c r="B452" s="3" t="s">
        <v>453</v>
      </c>
      <c r="C452" s="3" t="str">
        <f>IFERROR(__xludf.DUMMYFUNCTION("GOOGLETRANSLATE(B452,""id"",""en"")"),"['Telkomsel', 'rich', 'network', 'disorder', 'stupid', ""]")</f>
        <v>['Telkomsel', 'rich', 'network', 'disorder', 'stupid', "]</v>
      </c>
      <c r="D452" s="3">
        <v>1.0</v>
      </c>
    </row>
    <row r="453" ht="15.75" customHeight="1">
      <c r="A453" s="1">
        <v>468.0</v>
      </c>
      <c r="B453" s="3" t="s">
        <v>454</v>
      </c>
      <c r="C453" s="3" t="str">
        <f>IFERROR(__xludf.DUMMYFUNCTION("GOOGLETRANSLATE(B453,""id"",""en"")"),"['', 'application', 'help', 'bonus', 'discount', 'cheap', 'subscribe', 'month', '']")</f>
        <v>['', 'application', 'help', 'bonus', 'discount', 'cheap', 'subscribe', 'month', '']</v>
      </c>
      <c r="D453" s="3">
        <v>5.0</v>
      </c>
    </row>
    <row r="454" ht="15.75" customHeight="1">
      <c r="A454" s="1">
        <v>469.0</v>
      </c>
      <c r="B454" s="3" t="s">
        <v>455</v>
      </c>
      <c r="C454" s="3" t="str">
        <f>IFERROR(__xludf.DUMMYFUNCTION("GOOGLETRANSLATE(B454,""id"",""en"")"),"['trimakasih', 'apk', 'help']")</f>
        <v>['trimakasih', 'apk', 'help']</v>
      </c>
      <c r="D454" s="3">
        <v>3.0</v>
      </c>
    </row>
    <row r="455" ht="15.75" customHeight="1">
      <c r="A455" s="1">
        <v>470.0</v>
      </c>
      <c r="B455" s="3" t="s">
        <v>456</v>
      </c>
      <c r="C455" s="3" t="str">
        <f>IFERROR(__xludf.DUMMYFUNCTION("GOOGLETRANSLATE(B455,""id"",""en"")"),"['signal', 'garbage', 'lag', 'BBRAPA', 'LOCATION', 'LIG', 'LAG', 'NMR', 'already', 'NMR', 'replace', 'NMR', ' neighbors', 'different', 'level', 'smooth', 'signal', 'lbh', 'good', 'dri', '']")</f>
        <v>['signal', 'garbage', 'lag', 'BBRAPA', 'LOCATION', 'LIG', 'LAG', 'NMR', 'already', 'NMR', 'replace', 'NMR', ' neighbors', 'different', 'level', 'smooth', 'signal', 'lbh', 'good', 'dri', '']</v>
      </c>
      <c r="D455" s="3">
        <v>2.0</v>
      </c>
    </row>
    <row r="456" ht="15.75" customHeight="1">
      <c r="A456" s="1">
        <v>471.0</v>
      </c>
      <c r="B456" s="3" t="s">
        <v>457</v>
      </c>
      <c r="C456" s="3" t="str">
        <f>IFERROR(__xludf.DUMMYFUNCTION("GOOGLETRANSLATE(B456,""id"",""en"")"),"['Appsi', 'Good', 'Bagget']")</f>
        <v>['Appsi', 'Good', 'Bagget']</v>
      </c>
      <c r="D456" s="3">
        <v>5.0</v>
      </c>
    </row>
    <row r="457" ht="15.75" customHeight="1">
      <c r="A457" s="1">
        <v>472.0</v>
      </c>
      <c r="B457" s="3" t="s">
        <v>458</v>
      </c>
      <c r="C457" s="3" t="str">
        <f>IFERROR(__xludf.DUMMYFUNCTION("GOOGLETRANSLATE(B457,""id"",""en"")"),"['AITICATION', 'Help', 'facilitates', 'buy', 'package', 'quota']")</f>
        <v>['AITICATION', 'Help', 'facilitates', 'buy', 'package', 'quota']</v>
      </c>
      <c r="D457" s="3">
        <v>5.0</v>
      </c>
    </row>
    <row r="458" ht="15.75" customHeight="1">
      <c r="A458" s="1">
        <v>473.0</v>
      </c>
      <c r="B458" s="3" t="s">
        <v>459</v>
      </c>
      <c r="C458" s="3" t="str">
        <f>IFERROR(__xludf.DUMMYFUNCTION("GOOGLETRANSLATE(B458,""id"",""en"")"),"['Kenepaa', 'use', 'already', 'Errr', 'Minnn', 'Login', 'Color', 'White', 'continued', '']")</f>
        <v>['Kenepaa', 'use', 'already', 'Errr', 'Minnn', 'Login', 'Color', 'White', 'continued', '']</v>
      </c>
      <c r="D458" s="3">
        <v>3.0</v>
      </c>
    </row>
    <row r="459" ht="15.75" customHeight="1">
      <c r="A459" s="1">
        <v>474.0</v>
      </c>
      <c r="B459" s="3" t="s">
        <v>460</v>
      </c>
      <c r="C459" s="3" t="str">
        <f>IFERROR(__xludf.DUMMYFUNCTION("GOOGLETRANSLATE(B459,""id"",""en"")"),"['Telkomsel', 'BIAA', 'opened', 'application', 'heavy', 'MyTelkomsel', 'White', 'appears']")</f>
        <v>['Telkomsel', 'BIAA', 'opened', 'application', 'heavy', 'MyTelkomsel', 'White', 'appears']</v>
      </c>
      <c r="D459" s="3">
        <v>1.0</v>
      </c>
    </row>
    <row r="460" ht="15.75" customHeight="1">
      <c r="A460" s="1">
        <v>475.0</v>
      </c>
      <c r="B460" s="3" t="s">
        <v>461</v>
      </c>
      <c r="C460" s="3" t="str">
        <f>IFERROR(__xludf.DUMMYFUNCTION("GOOGLETRANSLATE(B460,""id"",""en"")"),"['UDH', 'card', 'expensive', 'quota', 'expensive', 'quality', 'ugly', 'price', 'quality', 'according to']")</f>
        <v>['UDH', 'card', 'expensive', 'quota', 'expensive', 'quality', 'ugly', 'price', 'quality', 'according to']</v>
      </c>
      <c r="D460" s="3">
        <v>1.0</v>
      </c>
    </row>
    <row r="461" ht="15.75" customHeight="1">
      <c r="A461" s="1">
        <v>476.0</v>
      </c>
      <c r="B461" s="3" t="s">
        <v>462</v>
      </c>
      <c r="C461" s="3" t="str">
        <f>IFERROR(__xludf.DUMMYFUNCTION("GOOGLETRANSLATE(B461,""id"",""en"")"),"['Kouta', 'main', 'ties',' upload ',' video ',' youtube ',' lap ',' unlimited ',' youtube ',' notif ',' use ',' kouta ',' main ',' already ',' stay ',' MB ',' Kouta ',' cave ',' GB ',' Maling ', ""]")</f>
        <v>['Kouta', 'main', 'ties',' upload ',' video ',' youtube ',' lap ',' unlimited ',' youtube ',' notif ',' use ',' kouta ',' main ',' already ',' stay ',' MB ',' Kouta ',' cave ',' GB ',' Maling ', "]</v>
      </c>
      <c r="D461" s="3">
        <v>1.0</v>
      </c>
    </row>
    <row r="462" ht="15.75" customHeight="1">
      <c r="A462" s="1">
        <v>477.0</v>
      </c>
      <c r="B462" s="3" t="s">
        <v>463</v>
      </c>
      <c r="C462" s="3" t="str">
        <f>IFERROR(__xludf.DUMMYFUNCTION("GOOGLETRANSLATE(B462,""id"",""en"")"),"['stable', 'connection', 'kodisi', 'signal', 'good', 'quota', 'please', 'telkom', 'difix', 'telkom', 'speeding', 'rich', ' rich']")</f>
        <v>['stable', 'connection', 'kodisi', 'signal', 'good', 'quota', 'please', 'telkom', 'difix', 'telkom', 'speeding', 'rich', ' rich']</v>
      </c>
      <c r="D462" s="3">
        <v>1.0</v>
      </c>
    </row>
    <row r="463" ht="15.75" customHeight="1">
      <c r="A463" s="1">
        <v>478.0</v>
      </c>
      <c r="B463" s="3" t="s">
        <v>464</v>
      </c>
      <c r="C463" s="3" t="str">
        <f>IFERROR(__xludf.DUMMYFUNCTION("GOOGLETRANSLATE(B463,""id"",""en"")"),"['slow', 'quota', 'play', 'game', 'red', 'mulu', 'ad', 'doang', 'anti', 'slow', 'slow', '']")</f>
        <v>['slow', 'quota', 'play', 'game', 'red', 'mulu', 'ad', 'doang', 'anti', 'slow', 'slow', '']</v>
      </c>
      <c r="D463" s="3">
        <v>1.0</v>
      </c>
    </row>
    <row r="464" ht="15.75" customHeight="1">
      <c r="A464" s="1">
        <v>479.0</v>
      </c>
      <c r="B464" s="3" t="s">
        <v>465</v>
      </c>
      <c r="C464" s="3" t="str">
        <f>IFERROR(__xludf.DUMMYFUNCTION("GOOGLETRANSLATE(B464,""id"",""en"")"),"['Help', 'Pabila', 'Operator', 'Choose', 'Fair']")</f>
        <v>['Help', 'Pabila', 'Operator', 'Choose', 'Fair']</v>
      </c>
      <c r="D464" s="3">
        <v>5.0</v>
      </c>
    </row>
    <row r="465" ht="15.75" customHeight="1">
      <c r="A465" s="1">
        <v>480.0</v>
      </c>
      <c r="B465" s="3" t="s">
        <v>466</v>
      </c>
      <c r="C465" s="3" t="str">
        <f>IFERROR(__xludf.DUMMYFUNCTION("GOOGLETRANSLATE(B465,""id"",""en"")"),"['already', 'application', 'Telkomsel', 'open', 'opened', 'appears', 'screen', 'white', 'Please', 'fix', 'min']")</f>
        <v>['already', 'application', 'Telkomsel', 'open', 'opened', 'appears', 'screen', 'white', 'Please', 'fix', 'min']</v>
      </c>
      <c r="D465" s="3">
        <v>2.0</v>
      </c>
    </row>
    <row r="466" ht="15.75" customHeight="1">
      <c r="A466" s="1">
        <v>481.0</v>
      </c>
      <c r="B466" s="3" t="s">
        <v>467</v>
      </c>
      <c r="C466" s="3" t="str">
        <f>IFERROR(__xludf.DUMMYFUNCTION("GOOGLETRANSLATE(B466,""id"",""en"")"),"['Login', 'ajah', 'difficult', 'really', 'loading', 'tip', 'end', 'error', 'application', 'embedded', '']")</f>
        <v>['Login', 'ajah', 'difficult', 'really', 'loading', 'tip', 'end', 'error', 'application', 'embedded', '']</v>
      </c>
      <c r="D466" s="3">
        <v>1.0</v>
      </c>
    </row>
    <row r="467" ht="15.75" customHeight="1">
      <c r="A467" s="1">
        <v>482.0</v>
      </c>
      <c r="B467" s="3" t="s">
        <v>468</v>
      </c>
      <c r="C467" s="3" t="str">
        <f>IFERROR(__xludf.DUMMYFUNCTION("GOOGLETRANSLATE(B467,""id"",""en"")"),"['pulse', 'lost', 'quota', 'ada', 'subscribe', 'nsp', 'please', 'work']")</f>
        <v>['pulse', 'lost', 'quota', 'ada', 'subscribe', 'nsp', 'please', 'work']</v>
      </c>
      <c r="D467" s="3">
        <v>1.0</v>
      </c>
    </row>
    <row r="468" ht="15.75" customHeight="1">
      <c r="A468" s="1">
        <v>483.0</v>
      </c>
      <c r="B468" s="3" t="s">
        <v>469</v>
      </c>
      <c r="C468" s="3" t="str">
        <f>IFERROR(__xludf.DUMMYFUNCTION("GOOGLETRANSLATE(B468,""id"",""en"")"),"['', 'Log', 'Yesterday', 'Cok']")</f>
        <v>['', 'Log', 'Yesterday', 'Cok']</v>
      </c>
      <c r="D468" s="3">
        <v>3.0</v>
      </c>
    </row>
    <row r="469" ht="15.75" customHeight="1">
      <c r="A469" s="1">
        <v>484.0</v>
      </c>
      <c r="B469" s="3" t="s">
        <v>470</v>
      </c>
      <c r="C469" s="3" t="str">
        <f>IFERROR(__xludf.DUMMYFUNCTION("GOOGLETRANSLATE(B469,""id"",""en"")"),"['Kejangetan', 'Telkomsel', 'seeing', 'pulse', 'Dienniin', 'little', 'ilang', 'that's',' package ',' subscribe ',' anything ',' package ',' fast ',' abis', 'usage', 'already', 'adjusted', 'fak', 'please', 'greed', 'yaaa', 'telkomsel', 'advice', 'sumps',' "&amp;"pulses' , '']")</f>
        <v>['Kejangetan', 'Telkomsel', 'seeing', 'pulse', 'Dienniin', 'little', 'ilang', 'that's',' package ',' subscribe ',' anything ',' package ',' fast ',' abis', 'usage', 'already', 'adjusted', 'fak', 'please', 'greed', 'yaaa', 'telkomsel', 'advice', 'sumps',' pulses' , '']</v>
      </c>
      <c r="D469" s="3">
        <v>1.0</v>
      </c>
    </row>
    <row r="470" ht="15.75" customHeight="1">
      <c r="A470" s="1">
        <v>485.0</v>
      </c>
      <c r="B470" s="3" t="s">
        <v>471</v>
      </c>
      <c r="C470" s="3" t="str">
        <f>IFERROR(__xludf.DUMMYFUNCTION("GOOGLETRANSLATE(B470,""id"",""en"")"),"['Please', 'fix', 'signal', 'slow', 'really', 'min', 'Telkomsel', 'slow', 'application', 'severe', 'quota', 'GB', ' Non ',' Activate ']")</f>
        <v>['Please', 'fix', 'signal', 'slow', 'really', 'min', 'Telkomsel', 'slow', 'application', 'severe', 'quota', 'GB', ' Non ',' Activate ']</v>
      </c>
      <c r="D470" s="3">
        <v>1.0</v>
      </c>
    </row>
    <row r="471" ht="15.75" customHeight="1">
      <c r="A471" s="1">
        <v>486.0</v>
      </c>
      <c r="B471" s="3" t="s">
        <v>472</v>
      </c>
      <c r="C471" s="3" t="str">
        <f>IFERROR(__xludf.DUMMYFUNCTION("GOOGLETRANSLATE(B471,""id"",""en"")"),"['Increases', 'Quality', 'Network', '']")</f>
        <v>['Increases', 'Quality', 'Network', '']</v>
      </c>
      <c r="D471" s="3">
        <v>5.0</v>
      </c>
    </row>
    <row r="472" ht="15.75" customHeight="1">
      <c r="A472" s="1">
        <v>487.0</v>
      </c>
      <c r="B472" s="3" t="s">
        <v>473</v>
      </c>
      <c r="C472" s="3" t="str">
        <f>IFERROR(__xludf.DUMMYFUNCTION("GOOGLETRANSLATE(B472,""id"",""en"")"),"['The application', 'opened', 'Diuninstal', 'Install', 'enter']")</f>
        <v>['The application', 'opened', 'Diuninstal', 'Install', 'enter']</v>
      </c>
      <c r="D472" s="3">
        <v>5.0</v>
      </c>
    </row>
    <row r="473" ht="15.75" customHeight="1">
      <c r="A473" s="1">
        <v>488.0</v>
      </c>
      <c r="B473" s="3" t="s">
        <v>474</v>
      </c>
      <c r="C473" s="3" t="str">
        <f>IFERROR(__xludf.DUMMYFUNCTION("GOOGLETRANSLATE(B473,""id"",""en"")"),"['promo', '']")</f>
        <v>['promo', '']</v>
      </c>
      <c r="D473" s="3">
        <v>5.0</v>
      </c>
    </row>
    <row r="474" ht="15.75" customHeight="1">
      <c r="A474" s="1">
        <v>489.0</v>
      </c>
      <c r="B474" s="3" t="s">
        <v>475</v>
      </c>
      <c r="C474" s="3" t="str">
        <f>IFERROR(__xludf.DUMMYFUNCTION("GOOGLETRANSLATE(B474,""id"",""en"")"),"['expensive', 'network', 'slow', 'quota', 'access', 'admin', 'Veronika', 'comes', 'gka', 'gave', 'chat', 'ber' reset ',' times', 'gave', 'solution', 'boro', 'bls',' kelurkanya ',' kagak ',' kiciwi ',' admin ',' poor ']")</f>
        <v>['expensive', 'network', 'slow', 'quota', 'access', 'admin', 'Veronika', 'comes', 'gka', 'gave', 'chat', 'ber' reset ',' times', 'gave', 'solution', 'boro', 'bls',' kelurkanya ',' kagak ',' kiciwi ',' admin ',' poor ']</v>
      </c>
      <c r="D474" s="3">
        <v>1.0</v>
      </c>
    </row>
    <row r="475" ht="15.75" customHeight="1">
      <c r="A475" s="1">
        <v>490.0</v>
      </c>
      <c r="B475" s="3" t="s">
        <v>476</v>
      </c>
      <c r="C475" s="3" t="str">
        <f>IFERROR(__xludf.DUMMYFUNCTION("GOOGLETRANSLATE(B475,""id"",""en"")"),"['tackle', 'login', 'difficult']")</f>
        <v>['tackle', 'login', 'difficult']</v>
      </c>
      <c r="D475" s="3">
        <v>2.0</v>
      </c>
    </row>
    <row r="476" ht="15.75" customHeight="1">
      <c r="A476" s="1">
        <v>491.0</v>
      </c>
      <c r="B476" s="3" t="s">
        <v>477</v>
      </c>
      <c r="C476" s="3" t="str">
        <f>IFERROR(__xludf.DUMMYFUNCTION("GOOGLETRANSLATE(B476,""id"",""en"")"),"['package', 'expensive', 'internet', 'slow', 'enter', 'sense', 'play', 'game', 'late', 'peket', 'trick', 'tricks',' Shame ',' giving ',' solution ',' signal ',' ugly ',' told ',' restar ',' synchy ',' ugly ',' signal ',' ugly ',' waiting ',' viral ' , 'Be"&amp;"nerin', 'Why', 'Why', ""]")</f>
        <v>['package', 'expensive', 'internet', 'slow', 'enter', 'sense', 'play', 'game', 'late', 'peket', 'trick', 'tricks',' Shame ',' giving ',' solution ',' signal ',' ugly ',' told ',' restar ',' synchy ',' ugly ',' signal ',' ugly ',' waiting ',' viral ' , 'Benerin', 'Why', 'Why', "]</v>
      </c>
      <c r="D476" s="3">
        <v>1.0</v>
      </c>
    </row>
    <row r="477" ht="15.75" customHeight="1">
      <c r="A477" s="1">
        <v>492.0</v>
      </c>
      <c r="B477" s="3" t="s">
        <v>478</v>
      </c>
      <c r="C477" s="3" t="str">
        <f>IFERROR(__xludf.DUMMYFUNCTION("GOOGLETRANSLATE(B477,""id"",""en"")"),"['Constraints',' buy ',' quota ',' kentengan ',' game ',' play ',' signal ',' good ',' play ',' rank ',' play ',' Ajg ',' Didiemin ']")</f>
        <v>['Constraints',' buy ',' quota ',' kentengan ',' game ',' play ',' signal ',' good ',' play ',' rank ',' play ',' Ajg ',' Didiemin ']</v>
      </c>
      <c r="D477" s="3">
        <v>2.0</v>
      </c>
    </row>
    <row r="478" ht="15.75" customHeight="1">
      <c r="A478" s="1">
        <v>493.0</v>
      </c>
      <c r="B478" s="3" t="s">
        <v>479</v>
      </c>
      <c r="C478" s="3" t="str">
        <f>IFERROR(__xludf.DUMMYFUNCTION("GOOGLETRANSLATE(B478,""id"",""en"")"),"['Please', 'repaired', 'anjingggg', 'cave', 'buy', 'package', 'expensive', 'pig', 'please', 'use', 'brain', 'little']")</f>
        <v>['Please', 'repaired', 'anjingggg', 'cave', 'buy', 'package', 'expensive', 'pig', 'please', 'use', 'brain', 'little']</v>
      </c>
      <c r="D478" s="3">
        <v>1.0</v>
      </c>
    </row>
    <row r="479" ht="15.75" customHeight="1">
      <c r="A479" s="1">
        <v>494.0</v>
      </c>
      <c r="B479" s="3" t="s">
        <v>480</v>
      </c>
      <c r="C479" s="3" t="str">
        <f>IFERROR(__xludf.DUMMYFUNCTION("GOOGLETRANSLATE(B479,""id"",""en"")"),"['', 'Card', 'Telkomsel']")</f>
        <v>['', 'Card', 'Telkomsel']</v>
      </c>
      <c r="D479" s="3">
        <v>5.0</v>
      </c>
    </row>
    <row r="480" ht="15.75" customHeight="1">
      <c r="A480" s="1">
        <v>495.0</v>
      </c>
      <c r="B480" s="3" t="s">
        <v>481</v>
      </c>
      <c r="C480" s="3" t="str">
        <f>IFERROR(__xludf.DUMMYFUNCTION("GOOGLETRANSLATE(B480,""id"",""en"")"),"['Sometimes', 'difficult', 'control']")</f>
        <v>['Sometimes', 'difficult', 'control']</v>
      </c>
      <c r="D480" s="3">
        <v>3.0</v>
      </c>
    </row>
    <row r="481" ht="15.75" customHeight="1">
      <c r="A481" s="1">
        <v>496.0</v>
      </c>
      <c r="B481" s="3" t="s">
        <v>482</v>
      </c>
      <c r="C481" s="3" t="str">
        <f>IFERROR(__xludf.DUMMYFUNCTION("GOOGLETRANSLATE(B481,""id"",""en"")"),"['Mantul', 'affliclication', 'marginalized', 'orng', 'Jau', 'Dri', 'counter']")</f>
        <v>['Mantul', 'affliclication', 'marginalized', 'orng', 'Jau', 'Dri', 'counter']</v>
      </c>
      <c r="D481" s="3">
        <v>5.0</v>
      </c>
    </row>
    <row r="482" ht="15.75" customHeight="1">
      <c r="A482" s="1">
        <v>497.0</v>
      </c>
      <c r="B482" s="3" t="s">
        <v>483</v>
      </c>
      <c r="C482" s="3" t="str">
        <f>IFERROR(__xludf.DUMMYFUNCTION("GOOGLETRANSLATE(B482,""id"",""en"")"),"['surprised', 'Telkomsel', 'already', 'package', 'price', 'expensive', 'network', 'according to', 'tower', 'ugly', 'signal', 'disappointed', ' Telkomsel ',' best ',' network ',' already ',' expensive ',' price ']")</f>
        <v>['surprised', 'Telkomsel', 'already', 'package', 'price', 'expensive', 'network', 'according to', 'tower', 'ugly', 'signal', 'disappointed', ' Telkomsel ',' best ',' network ',' already ',' expensive ',' price ']</v>
      </c>
      <c r="D482" s="3">
        <v>1.0</v>
      </c>
    </row>
    <row r="483" ht="15.75" customHeight="1">
      <c r="A483" s="1">
        <v>498.0</v>
      </c>
      <c r="B483" s="3" t="s">
        <v>484</v>
      </c>
      <c r="C483" s="3" t="str">
        <f>IFERROR(__xludf.DUMMYFUNCTION("GOOGLETRANSLATE(B483,""id"",""en"")"),"['Please', 'BENAHIN', 'System', 'Package', 'Call', 'Data', 'Balance', 'Credit', 'Rupiah', 'Sumpot', 'Use', 'Tombang', ' Package ',' pulse ',' times']")</f>
        <v>['Please', 'BENAHIN', 'System', 'Package', 'Call', 'Data', 'Balance', 'Credit', 'Rupiah', 'Sumpot', 'Use', 'Tombang', ' Package ',' pulse ',' times']</v>
      </c>
      <c r="D483" s="3">
        <v>1.0</v>
      </c>
    </row>
    <row r="484" ht="15.75" customHeight="1">
      <c r="A484" s="1">
        <v>499.0</v>
      </c>
      <c r="B484" s="3" t="s">
        <v>485</v>
      </c>
      <c r="C484" s="3" t="str">
        <f>IFERROR(__xludf.DUMMYFUNCTION("GOOGLETRANSLATE(B484,""id"",""en"")"),"['PLAYER', 'Need', 'Experience', 'Depanya']")</f>
        <v>['PLAYER', 'Need', 'Experience', 'Depanya']</v>
      </c>
      <c r="D484" s="3">
        <v>1.0</v>
      </c>
    </row>
    <row r="485" ht="15.75" customHeight="1">
      <c r="A485" s="1">
        <v>500.0</v>
      </c>
      <c r="B485" s="3" t="s">
        <v>486</v>
      </c>
      <c r="C485" s="3" t="str">
        <f>IFERROR(__xludf.DUMMYFUNCTION("GOOGLETRANSLATE(B485,""id"",""en"")"),"['signal', 'collapse', 'expensive', 'doang']")</f>
        <v>['signal', 'collapse', 'expensive', 'doang']</v>
      </c>
      <c r="D485" s="3">
        <v>1.0</v>
      </c>
    </row>
    <row r="486" ht="15.75" customHeight="1">
      <c r="A486" s="1">
        <v>501.0</v>
      </c>
      <c r="B486" s="3" t="s">
        <v>487</v>
      </c>
      <c r="C486" s="3" t="str">
        <f>IFERROR(__xludf.DUMMYFUNCTION("GOOGLETRANSLATE(B486,""id"",""en"")"),"['application', 'idiot', 'opened', 'appears', 'look', 'white']")</f>
        <v>['application', 'idiot', 'opened', 'appears', 'look', 'white']</v>
      </c>
      <c r="D486" s="3">
        <v>1.0</v>
      </c>
    </row>
    <row r="487" ht="15.75" customHeight="1">
      <c r="A487" s="1">
        <v>502.0</v>
      </c>
      <c r="B487" s="3" t="s">
        <v>488</v>
      </c>
      <c r="C487" s="3" t="str">
        <f>IFERROR(__xludf.DUMMYFUNCTION("GOOGLETRANSLATE(B487,""id"",""en"")"),"['buy', 'pulse', 'pay', 'use', 'ovo', 'enter', 'enter', 'need', 'urgent', 'bother', ""]")</f>
        <v>['buy', 'pulse', 'pay', 'use', 'ovo', 'enter', 'enter', 'need', 'urgent', 'bother', "]</v>
      </c>
      <c r="D487" s="3">
        <v>1.0</v>
      </c>
    </row>
    <row r="488" ht="15.75" customHeight="1">
      <c r="A488" s="1">
        <v>503.0</v>
      </c>
      <c r="B488" s="3" t="s">
        <v>489</v>
      </c>
      <c r="C488" s="3" t="str">
        <f>IFERROR(__xludf.DUMMYFUNCTION("GOOGLETRANSLATE(B488,""id"",""en"")"),"['NOT', 'update', 'good', 'ugly', 'buy', 'quota', 'Gigamax', 'GB', 'quota', 'local', 'use', 'hala']")</f>
        <v>['NOT', 'update', 'good', 'ugly', 'buy', 'quota', 'Gigamax', 'GB', 'quota', 'local', 'use', 'hala']</v>
      </c>
      <c r="D488" s="3">
        <v>1.0</v>
      </c>
    </row>
    <row r="489" ht="15.75" customHeight="1">
      <c r="A489" s="1">
        <v>504.0</v>
      </c>
      <c r="B489" s="3" t="s">
        <v>490</v>
      </c>
      <c r="C489" s="3" t="str">
        <f>IFERROR(__xludf.DUMMYFUNCTION("GOOGLETRANSLATE(B489,""id"",""en"")"),"['expensive', 'bad', 'signal', '']")</f>
        <v>['expensive', 'bad', 'signal', '']</v>
      </c>
      <c r="D489" s="3">
        <v>1.0</v>
      </c>
    </row>
    <row r="490" ht="15.75" customHeight="1">
      <c r="A490" s="1">
        <v>505.0</v>
      </c>
      <c r="B490" s="3" t="s">
        <v>491</v>
      </c>
      <c r="C490" s="3" t="str">
        <f>IFERROR(__xludf.DUMMYFUNCTION("GOOGLETRANSLATE(B490,""id"",""en"")"),"['Difficult', 'really', 'Login', 'Persulit', '']")</f>
        <v>['Difficult', 'really', 'Login', 'Persulit', '']</v>
      </c>
      <c r="D490" s="3">
        <v>1.0</v>
      </c>
    </row>
    <row r="491" ht="15.75" customHeight="1">
      <c r="A491" s="1">
        <v>506.0</v>
      </c>
      <c r="B491" s="3" t="s">
        <v>492</v>
      </c>
      <c r="C491" s="3" t="str">
        <f>IFERROR(__xludf.DUMMYFUNCTION("GOOGLETRANSLATE(B491,""id"",""en"")"),"['Application', 'Best']")</f>
        <v>['Application', 'Best']</v>
      </c>
      <c r="D491" s="3">
        <v>5.0</v>
      </c>
    </row>
    <row r="492" ht="15.75" customHeight="1">
      <c r="A492" s="1">
        <v>507.0</v>
      </c>
      <c r="B492" s="3" t="s">
        <v>493</v>
      </c>
      <c r="C492" s="3" t="str">
        <f>IFERROR(__xludf.DUMMYFUNCTION("GOOGLETRANSLATE(B492,""id"",""en"")"),"['Application', 'Telkomsel', 'Limai', 'Please', 'Check', 'Routine', 'Application', 'Credit', 'Reduced', 'nominal', 'thousand', 'Out', ' trap ',' application ',' Telkomsel ']")</f>
        <v>['Application', 'Telkomsel', 'Limai', 'Please', 'Check', 'Routine', 'Application', 'Credit', 'Reduced', 'nominal', 'thousand', 'Out', ' trap ',' application ',' Telkomsel ']</v>
      </c>
      <c r="D492" s="3">
        <v>1.0</v>
      </c>
    </row>
    <row r="493" ht="15.75" customHeight="1">
      <c r="A493" s="1">
        <v>508.0</v>
      </c>
      <c r="B493" s="3" t="s">
        <v>494</v>
      </c>
      <c r="C493" s="3" t="str">
        <f>IFERROR(__xludf.DUMMYFUNCTION("GOOGLETRANSLATE(B493,""id"",""en"")"),"['opened', 'gabisa', 'session', 'turn', 'verification', 'error', 'network', 'gabisa', 'enter', '']")</f>
        <v>['opened', 'gabisa', 'session', 'turn', 'verification', 'error', 'network', 'gabisa', 'enter', '']</v>
      </c>
      <c r="D493" s="3">
        <v>1.0</v>
      </c>
    </row>
    <row r="494" ht="15.75" customHeight="1">
      <c r="A494" s="1">
        <v>510.0</v>
      </c>
      <c r="B494" s="3" t="s">
        <v>495</v>
      </c>
      <c r="C494" s="3" t="str">
        <f>IFERROR(__xludf.DUMMYFUNCTION("GOOGLETRANSLATE(B494,""id"",""en"")"),"['signal', 'ugly', 'really', 'severe', 'price', 'expensive', 'really', 'comparable', 'different', 'disappointed']")</f>
        <v>['signal', 'ugly', 'really', 'severe', 'price', 'expensive', 'really', 'comparable', 'different', 'disappointed']</v>
      </c>
      <c r="D494" s="3">
        <v>1.0</v>
      </c>
    </row>
    <row r="495" ht="15.75" customHeight="1">
      <c r="A495" s="1">
        <v>511.0</v>
      </c>
      <c r="B495" s="3" t="s">
        <v>496</v>
      </c>
      <c r="C495" s="3" t="str">
        <f>IFERROR(__xludf.DUMMYFUNCTION("GOOGLETRANSLATE(B495,""id"",""en"")"),"['Enter', 'application']")</f>
        <v>['Enter', 'application']</v>
      </c>
      <c r="D495" s="3">
        <v>1.0</v>
      </c>
    </row>
    <row r="496" ht="15.75" customHeight="1">
      <c r="A496" s="1">
        <v>512.0</v>
      </c>
      <c r="B496" s="3" t="s">
        <v>497</v>
      </c>
      <c r="C496" s="3" t="str">
        <f>IFERROR(__xludf.DUMMYFUNCTION("GOOGLETRANSLATE(B496,""id"",""en"")"),"['apk', 'pig', 'network', 'good', 'watch', 'tick', 'tok', 'smooth', 'right', 'open', 'apk', 'Telkomsel', ' slow ',' list ',' chapter ']")</f>
        <v>['apk', 'pig', 'network', 'good', 'watch', 'tick', 'tok', 'smooth', 'right', 'open', 'apk', 'Telkomsel', ' slow ',' list ',' chapter ']</v>
      </c>
      <c r="D496" s="3">
        <v>1.0</v>
      </c>
    </row>
    <row r="497" ht="15.75" customHeight="1">
      <c r="A497" s="1">
        <v>513.0</v>
      </c>
      <c r="B497" s="3" t="s">
        <v>498</v>
      </c>
      <c r="C497" s="3" t="str">
        <f>IFERROR(__xludf.DUMMYFUNCTION("GOOGLETRANSLATE(B497,""id"",""en"")"),"['Open', 'Application', 'Telkomsel', 'appears', 'screen', '']")</f>
        <v>['Open', 'Application', 'Telkomsel', 'appears', 'screen', '']</v>
      </c>
      <c r="D497" s="3">
        <v>4.0</v>
      </c>
    </row>
    <row r="498" ht="15.75" customHeight="1">
      <c r="A498" s="1">
        <v>514.0</v>
      </c>
      <c r="B498" s="3" t="s">
        <v>499</v>
      </c>
      <c r="C498" s="3" t="str">
        <f>IFERROR(__xludf.DUMMYFUNCTION("GOOGLETRANSLATE(B498,""id"",""en"")"),"['Please', 'Network', 'Increase', 'Telkomsel', 'ugly', 'Network']")</f>
        <v>['Please', 'Network', 'Increase', 'Telkomsel', 'ugly', 'Network']</v>
      </c>
      <c r="D498" s="3">
        <v>3.0</v>
      </c>
    </row>
    <row r="499" ht="15.75" customHeight="1">
      <c r="A499" s="1">
        <v>515.0</v>
      </c>
      <c r="B499" s="3" t="s">
        <v>500</v>
      </c>
      <c r="C499" s="3" t="str">
        <f>IFERROR(__xludf.DUMMYFUNCTION("GOOGLETRANSLATE(B499,""id"",""en"")"),"['already', 'package', 'expensive', 'network', 'ugly', 'contents',' pulse ',' pull ',' package ',' Matiin ',' subscribe ',' TPI ',' Pull ',' Good ',' Change ',' Provider ']")</f>
        <v>['already', 'package', 'expensive', 'network', 'ugly', 'contents',' pulse ',' pull ',' package ',' Matiin ',' subscribe ',' TPI ',' Pull ',' Good ',' Change ',' Provider ']</v>
      </c>
      <c r="D499" s="3">
        <v>1.0</v>
      </c>
    </row>
    <row r="500" ht="15.75" customHeight="1">
      <c r="A500" s="1">
        <v>516.0</v>
      </c>
      <c r="B500" s="3" t="s">
        <v>501</v>
      </c>
      <c r="C500" s="3" t="str">
        <f>IFERROR(__xludf.DUMMYFUNCTION("GOOGLETRANSLATE(B500,""id"",""en"")"),"['Telkomsel', 'Open', 'Color', 'White', '']")</f>
        <v>['Telkomsel', 'Open', 'Color', 'White', '']</v>
      </c>
      <c r="D500" s="3">
        <v>1.0</v>
      </c>
    </row>
    <row r="501" ht="15.75" customHeight="1">
      <c r="A501" s="1">
        <v>518.0</v>
      </c>
      <c r="B501" s="3" t="s">
        <v>502</v>
      </c>
      <c r="C501" s="3" t="str">
        <f>IFERROR(__xludf.DUMMYFUNCTION("GOOGLETRANSLATE(B501,""id"",""en"")"),"['Application', 'Telkomsel', 'Open', 'Kmaren', 'Open']")</f>
        <v>['Application', 'Telkomsel', 'Open', 'Kmaren', 'Open']</v>
      </c>
      <c r="D501" s="3">
        <v>1.0</v>
      </c>
    </row>
    <row r="502" ht="15.75" customHeight="1">
      <c r="A502" s="1">
        <v>519.0</v>
      </c>
      <c r="B502" s="3" t="s">
        <v>503</v>
      </c>
      <c r="C502" s="3" t="str">
        <f>IFERROR(__xludf.DUMMYFUNCTION("GOOGLETRANSLATE(B502,""id"",""en"")"),"['up to', '']")</f>
        <v>['up to', '']</v>
      </c>
      <c r="D502" s="3">
        <v>5.0</v>
      </c>
    </row>
    <row r="503" ht="15.75" customHeight="1">
      <c r="A503" s="1">
        <v>520.0</v>
      </c>
      <c r="B503" s="3" t="s">
        <v>504</v>
      </c>
      <c r="C503" s="3" t="str">
        <f>IFERROR(__xludf.DUMMYFUNCTION("GOOGLETRANSLATE(B503,""id"",""en"")"),"['application', 'update', 'error', 'troubling', '']")</f>
        <v>['application', 'update', 'error', 'troubling', '']</v>
      </c>
      <c r="D503" s="3">
        <v>1.0</v>
      </c>
    </row>
    <row r="504" ht="15.75" customHeight="1">
      <c r="A504" s="1">
        <v>521.0</v>
      </c>
      <c r="B504" s="3" t="s">
        <v>505</v>
      </c>
      <c r="C504" s="3" t="str">
        <f>IFERROR(__xludf.DUMMYFUNCTION("GOOGLETRANSLATE(B504,""id"",""en"")"),"['PKE', 'Telkomsel', 'Network', 'slow', 'Yesterday', 'Learning', 'Online', 'Ngelag', 'Suda', 'Telkomsel', 'ugly', 'Telkomsel', ' ugly ',' Telkomsel ',' ugly ',' Telkomsel ',' ugly ',' lolot ']")</f>
        <v>['PKE', 'Telkomsel', 'Network', 'slow', 'Yesterday', 'Learning', 'Online', 'Ngelag', 'Suda', 'Telkomsel', 'ugly', 'Telkomsel', ' ugly ',' Telkomsel ',' ugly ',' Telkomsel ',' ugly ',' lolot ']</v>
      </c>
      <c r="D504" s="3">
        <v>1.0</v>
      </c>
    </row>
    <row r="505" ht="15.75" customHeight="1">
      <c r="A505" s="1">
        <v>522.0</v>
      </c>
      <c r="B505" s="3" t="s">
        <v>506</v>
      </c>
      <c r="C505" s="3" t="str">
        <f>IFERROR(__xludf.DUMMYFUNCTION("GOOGLETRANSLATE(B505,""id"",""en"")"),"['multiply', 'promo', 'cheap', 'min']")</f>
        <v>['multiply', 'promo', 'cheap', 'min']</v>
      </c>
      <c r="D505" s="3">
        <v>5.0</v>
      </c>
    </row>
    <row r="506" ht="15.75" customHeight="1">
      <c r="A506" s="1">
        <v>523.0</v>
      </c>
      <c r="B506" s="3" t="s">
        <v>507</v>
      </c>
      <c r="C506" s="3" t="str">
        <f>IFERROR(__xludf.DUMMYFUNCTION("GOOGLETRANSLATE(B506,""id"",""en"")"),"['Klau', 'backward', 'boss',' Indonesia ',' Need ',' Advertising ',' Service ',' Quota ',' Buy ',' Deceived ',' Advertising ',' Telkomsel ',' ']")</f>
        <v>['Klau', 'backward', 'boss',' Indonesia ',' Need ',' Advertising ',' Service ',' Quota ',' Buy ',' Deceived ',' Advertising ',' Telkomsel ',' ']</v>
      </c>
      <c r="D506" s="3">
        <v>1.0</v>
      </c>
    </row>
    <row r="507" ht="15.75" customHeight="1">
      <c r="A507" s="1">
        <v>524.0</v>
      </c>
      <c r="B507" s="3" t="s">
        <v>508</v>
      </c>
      <c r="C507" s="3" t="str">
        <f>IFERROR(__xludf.DUMMYFUNCTION("GOOGLETRANSLATE(B507,""id"",""en"")"),"['buy', 'package', 'beberry', 'sorry', 'pulse', 'sufficient', 'disorder', 'right', 'try', 'buy', 'package', 'sorry', ' pulses', 'sufficient', 'it's',' package ',' managed ',' bought ',' mah ',' pulse ',' sumps', 'message', 'buy', 'non', 'package' , 'Pleas"&amp;"e', 'buy', 'mean', 'how', 'on' yesterday ',' kagak ',' kayak ',' gini ',' buy ',' package ',' devolover ',' read ',' assisted ']")</f>
        <v>['buy', 'package', 'beberry', 'sorry', 'pulse', 'sufficient', 'disorder', 'right', 'try', 'buy', 'package', 'sorry', ' pulses', 'sufficient', 'it's',' package ',' managed ',' bought ',' mah ',' pulse ',' sumps', 'message', 'buy', 'non', 'package' , 'Please', 'buy', 'mean', 'how', 'on' yesterday ',' kagak ',' kayak ',' gini ',' buy ',' package ',' devolover ',' read ',' assisted ']</v>
      </c>
      <c r="D507" s="3">
        <v>3.0</v>
      </c>
    </row>
    <row r="508" ht="15.75" customHeight="1">
      <c r="A508" s="1">
        <v>525.0</v>
      </c>
      <c r="B508" s="3" t="s">
        <v>509</v>
      </c>
      <c r="C508" s="3" t="str">
        <f>IFERROR(__xludf.DUMMYFUNCTION("GOOGLETRANSLATE(B508,""id"",""en"")"),"['Network', 'Rich', 'Asuuuu']")</f>
        <v>['Network', 'Rich', 'Asuuuu']</v>
      </c>
      <c r="D508" s="3">
        <v>2.0</v>
      </c>
    </row>
    <row r="509" ht="15.75" customHeight="1">
      <c r="A509" s="1">
        <v>526.0</v>
      </c>
      <c r="B509" s="3" t="s">
        <v>510</v>
      </c>
      <c r="C509" s="3" t="str">
        <f>IFERROR(__xludf.DUMMYFUNCTION("GOOGLETRANSLATE(B509,""id"",""en"")"),"['Buy', 'Package', 'Daily', 'Watch', 'WIB', 'Package', 'Expired', 'Watch', 'WIB', 'Montol', 'Telkomsel', 'Clock', ' already ',' expired ',' khontol ',' clock ',' khontol ']")</f>
        <v>['Buy', 'Package', 'Daily', 'Watch', 'WIB', 'Package', 'Expired', 'Watch', 'WIB', 'Montol', 'Telkomsel', 'Clock', ' already ',' expired ',' khontol ',' clock ',' khontol ']</v>
      </c>
      <c r="D509" s="3">
        <v>1.0</v>
      </c>
    </row>
    <row r="510" ht="15.75" customHeight="1">
      <c r="A510" s="1">
        <v>527.0</v>
      </c>
      <c r="B510" s="3" t="s">
        <v>511</v>
      </c>
      <c r="C510" s="3" t="str">
        <f>IFERROR(__xludf.DUMMYFUNCTION("GOOGLETRANSLATE(B510,""id"",""en"")"),"['already', 'contents',' pulse ',' buy ',' package ',' internet ',' gabisa ',' pulse ',' check ',' koh ',' buy ',' package ',' how', '']")</f>
        <v>['already', 'contents',' pulse ',' buy ',' package ',' internet ',' gabisa ',' pulse ',' check ',' koh ',' buy ',' package ',' how', '']</v>
      </c>
      <c r="D510" s="3">
        <v>3.0</v>
      </c>
    </row>
    <row r="511" ht="15.75" customHeight="1">
      <c r="A511" s="1">
        <v>528.0</v>
      </c>
      <c r="B511" s="3" t="s">
        <v>512</v>
      </c>
      <c r="C511" s="3" t="str">
        <f>IFERROR(__xludf.DUMMYFUNCTION("GOOGLETRANSLATE(B511,""id"",""en"")"),"['Message', 'Telkomsel', 'Dear', 'please', 'quota', 'regular', 'reproduced', 'dripada', 'quota', 'multimedian', 'quota', 'multimedia', ' Tiktok ',' useful ',' better ',' replace ',' youtube ',' youtube ',' useful ',' dripada ',' tiktok ',' so ',' suggesti"&amp;"on ',' sorry ',' reting ' , 'Reduce', 'Telkomsel', 'User', 'Telkomsel', 'TPI', 'Service', 'Customer', 'Trimakasih']")</f>
        <v>['Message', 'Telkomsel', 'Dear', 'please', 'quota', 'regular', 'reproduced', 'dripada', 'quota', 'multimedian', 'quota', 'multimedia', ' Tiktok ',' useful ',' better ',' replace ',' youtube ',' youtube ',' useful ',' dripada ',' tiktok ',' so ',' suggestion ',' sorry ',' reting ' , 'Reduce', 'Telkomsel', 'User', 'Telkomsel', 'TPI', 'Service', 'Customer', 'Trimakasih']</v>
      </c>
      <c r="D511" s="3">
        <v>1.0</v>
      </c>
    </row>
    <row r="512" ht="15.75" customHeight="1">
      <c r="A512" s="1">
        <v>529.0</v>
      </c>
      <c r="B512" s="3" t="s">
        <v>513</v>
      </c>
      <c r="C512" s="3" t="str">
        <f>IFERROR(__xludf.DUMMYFUNCTION("GOOGLETRANSLATE(B512,""id"",""en"")"),"['Disappointed', 'really', 'Telkomsel', 'Network', 'poor', 'quota', 'multimedia', 'use', 'please', 'multimedia', 'tip', 'use', ' Multimedia ',' Sosmed ',' Disappointed ',' Very ',' Customer ',' Disappointed ',' Karna ',' Network ',' ugly ',' Region ',' Ci"&amp;"ty ',' Quota ',' Price ' , 'expensive', 'fix', 'package', 'complete', 'disappointed', 'Telkomsel', 'operator']")</f>
        <v>['Disappointed', 'really', 'Telkomsel', 'Network', 'poor', 'quota', 'multimedia', 'use', 'please', 'multimedia', 'tip', 'use', ' Multimedia ',' Sosmed ',' Disappointed ',' Very ',' Customer ',' Disappointed ',' Karna ',' Network ',' ugly ',' Region ',' City ',' Quota ',' Price ' , 'expensive', 'fix', 'package', 'complete', 'disappointed', 'Telkomsel', 'operator']</v>
      </c>
      <c r="D512" s="3">
        <v>1.0</v>
      </c>
    </row>
    <row r="513" ht="15.75" customHeight="1">
      <c r="A513" s="1">
        <v>530.0</v>
      </c>
      <c r="B513" s="3" t="s">
        <v>514</v>
      </c>
      <c r="C513" s="3" t="str">
        <f>IFERROR(__xludf.DUMMYFUNCTION("GOOGLETRANSLATE(B513,""id"",""en"")"),"['Telkomsel', 'expensive', 'package', 'entered', 'difficult', 'Veri', 'call', 'error', 'truss',' on the road ',' clock ',' prah ',' Application ',' update ']")</f>
        <v>['Telkomsel', 'expensive', 'package', 'entered', 'difficult', 'Veri', 'call', 'error', 'truss',' on the road ',' clock ',' prah ',' Application ',' update ']</v>
      </c>
      <c r="D513" s="3">
        <v>1.0</v>
      </c>
    </row>
    <row r="514" ht="15.75" customHeight="1">
      <c r="A514" s="1">
        <v>531.0</v>
      </c>
      <c r="B514" s="3" t="s">
        <v>515</v>
      </c>
      <c r="C514" s="3" t="str">
        <f>IFERROR(__xludf.DUMMYFUNCTION("GOOGLETRANSLATE(B514,""id"",""en"")"),"['ugly', 'really', 'in', 'description', 'failed', 'strange', 'network', 'good', 'wifi', 'tetep', 'rich', 'that's']")</f>
        <v>['ugly', 'really', 'in', 'description', 'failed', 'strange', 'network', 'good', 'wifi', 'tetep', 'rich', 'that's']</v>
      </c>
      <c r="D514" s="3">
        <v>1.0</v>
      </c>
    </row>
    <row r="515" ht="15.75" customHeight="1">
      <c r="A515" s="1">
        <v>532.0</v>
      </c>
      <c r="B515" s="3" t="s">
        <v>516</v>
      </c>
      <c r="C515" s="3" t="str">
        <f>IFERROR(__xludf.DUMMYFUNCTION("GOOGLETRANSLATE(B515,""id"",""en"")"),"['GMNA', 'buy', 'Package', 'Linkaja', 'Don't', 'Have', 'Download', 'Update', 'Already', 'Tetep', 'No', 'Lierrrrrr']")</f>
        <v>['GMNA', 'buy', 'Package', 'Linkaja', 'Don't', 'Have', 'Download', 'Update', 'Already', 'Tetep', 'No', 'Lierrrrrr']</v>
      </c>
      <c r="D515" s="3">
        <v>1.0</v>
      </c>
    </row>
    <row r="516" ht="15.75" customHeight="1">
      <c r="A516" s="1">
        <v>533.0</v>
      </c>
      <c r="B516" s="3" t="s">
        <v>517</v>
      </c>
      <c r="C516" s="3" t="str">
        <f>IFERROR(__xludf.DUMMYFUNCTION("GOOGLETRANSLATE(B516,""id"",""en"")"),"['', 'Star', 'already', 'upgrade', 'quota', 'expensive']")</f>
        <v>['', 'Star', 'already', 'upgrade', 'quota', 'expensive']</v>
      </c>
      <c r="D516" s="3">
        <v>3.0</v>
      </c>
    </row>
    <row r="517" ht="15.75" customHeight="1">
      <c r="A517" s="1">
        <v>534.0</v>
      </c>
      <c r="B517" s="3" t="s">
        <v>518</v>
      </c>
      <c r="C517" s="3" t="str">
        <f>IFERROR(__xludf.DUMMYFUNCTION("GOOGLETRANSLATE(B517,""id"",""en"")"),"['troubling', 'quota', 'GB', 'cheerful', 'buy', 'process', 'already', 'nunngu']")</f>
        <v>['troubling', 'quota', 'GB', 'cheerful', 'buy', 'process', 'already', 'nunngu']</v>
      </c>
      <c r="D517" s="3">
        <v>1.0</v>
      </c>
    </row>
    <row r="518" ht="15.75" customHeight="1">
      <c r="A518" s="1">
        <v>535.0</v>
      </c>
      <c r="B518" s="3" t="s">
        <v>519</v>
      </c>
      <c r="C518" s="3" t="str">
        <f>IFERROR(__xludf.DUMMYFUNCTION("GOOGLETRANSLATE(B518,""id"",""en"")"),"['Network', 'anything', 'update', 'data', 'fast']")</f>
        <v>['Network', 'anything', 'update', 'data', 'fast']</v>
      </c>
      <c r="D518" s="3">
        <v>5.0</v>
      </c>
    </row>
    <row r="519" ht="15.75" customHeight="1">
      <c r="A519" s="1">
        <v>536.0</v>
      </c>
      <c r="B519" s="3" t="s">
        <v>520</v>
      </c>
      <c r="C519" s="3" t="str">
        <f>IFERROR(__xludf.DUMMYFUNCTION("GOOGLETRANSLATE(B519,""id"",""en"")"),"['enter', 'SMS', 'package', 'emergency', 'active', 'active', 'package', 'emergency', 'times', 'please', ""]")</f>
        <v>['enter', 'SMS', 'package', 'emergency', 'active', 'active', 'package', 'emergency', 'times', 'please', "]</v>
      </c>
      <c r="D519" s="3">
        <v>1.0</v>
      </c>
    </row>
    <row r="520" ht="15.75" customHeight="1">
      <c r="A520" s="1">
        <v>537.0</v>
      </c>
      <c r="B520" s="3" t="s">
        <v>521</v>
      </c>
      <c r="C520" s="3" t="str">
        <f>IFERROR(__xludf.DUMMYFUNCTION("GOOGLETRANSLATE(B520,""id"",""en"")"),"['connection', 'bad', 'ugly', 'connection', 'skrg', 'msh', 'good', 'pda', 'telkomsel', 'win', 'expensive', 'minus',' Stars', 'Ane', 'Minus',' ']")</f>
        <v>['connection', 'bad', 'ugly', 'connection', 'skrg', 'msh', 'good', 'pda', 'telkomsel', 'win', 'expensive', 'minus',' Stars', 'Ane', 'Minus',' ']</v>
      </c>
      <c r="D520" s="3">
        <v>1.0</v>
      </c>
    </row>
    <row r="521" ht="15.75" customHeight="1">
      <c r="A521" s="1">
        <v>539.0</v>
      </c>
      <c r="B521" s="3" t="s">
        <v>522</v>
      </c>
      <c r="C521" s="3" t="str">
        <f>IFERROR(__xludf.DUMMYFUNCTION("GOOGLETRANSLATE(B521,""id"",""en"")"),"['Try', 'promise', 'star', 'emg', 'good', 'help', 'cool', ""]")</f>
        <v>['Try', 'promise', 'star', 'emg', 'good', 'help', 'cool', "]</v>
      </c>
      <c r="D521" s="3">
        <v>5.0</v>
      </c>
    </row>
    <row r="522" ht="15.75" customHeight="1">
      <c r="A522" s="1">
        <v>540.0</v>
      </c>
      <c r="B522" s="3" t="s">
        <v>523</v>
      </c>
      <c r="C522" s="3" t="str">
        <f>IFERROR(__xludf.DUMMYFUNCTION("GOOGLETRANSLATE(B522,""id"",""en"")"),"['hope', 'win', 'person', 'old', 'proud']")</f>
        <v>['hope', 'win', 'person', 'old', 'proud']</v>
      </c>
      <c r="D522" s="3">
        <v>5.0</v>
      </c>
    </row>
    <row r="523" ht="15.75" customHeight="1">
      <c r="A523" s="1">
        <v>541.0</v>
      </c>
      <c r="B523" s="3" t="s">
        <v>524</v>
      </c>
      <c r="C523" s="3" t="str">
        <f>IFERROR(__xludf.DUMMYFUNCTION("GOOGLETRANSLATE(B523,""id"",""en"")"),"['Telkomsel', 'Severe', 'intentionally', 'contents',' pulse ',' purpose ',' active ',' grace ',' kagak ',' add ',' contents', 'pulses',' Promo ',' Rp ',' call ',' unlimited ',' automatic ',' contents', 'pulse', 'Rp', 'open', 'no', 'chosen', 'plus',' pulse"&amp;"s' , 'Use', 'Package', 'Call', 'All', 'Operator', 'Tetep', 'Pulses',' Pulses', 'Sumpot', 'Telkomsel', 'Simpik', 'Ticik', ' evil ',' thief ',' corruption ',' blessings', 'halal', 'money', 'fraudsters',' repent ',' regret ']")</f>
        <v>['Telkomsel', 'Severe', 'intentionally', 'contents',' pulse ',' purpose ',' active ',' grace ',' kagak ',' add ',' contents', 'pulses',' Promo ',' Rp ',' call ',' unlimited ',' automatic ',' contents', 'pulse', 'Rp', 'open', 'no', 'chosen', 'plus',' pulses' , 'Use', 'Package', 'Call', 'All', 'Operator', 'Tetep', 'Pulses',' Pulses', 'Sumpot', 'Telkomsel', 'Simpik', 'Ticik', ' evil ',' thief ',' corruption ',' blessings', 'halal', 'money', 'fraudsters',' repent ',' regret ']</v>
      </c>
      <c r="D523" s="3">
        <v>1.0</v>
      </c>
    </row>
    <row r="524" ht="15.75" customHeight="1">
      <c r="A524" s="1">
        <v>542.0</v>
      </c>
      <c r="B524" s="3" t="s">
        <v>525</v>
      </c>
      <c r="C524" s="3" t="str">
        <f>IFERROR(__xludf.DUMMYFUNCTION("GOOGLETRANSLATE(B524,""id"",""en"")"),"['Open', 'Telkomsel', 'Network', 'Leet', 'Telfon', 'The answer', 'Say', 'Wait', 'Wonder', ""]")</f>
        <v>['Open', 'Telkomsel', 'Network', 'Leet', 'Telfon', 'The answer', 'Say', 'Wait', 'Wonder', "]</v>
      </c>
      <c r="D524" s="3">
        <v>1.0</v>
      </c>
    </row>
    <row r="525" ht="15.75" customHeight="1">
      <c r="A525" s="1">
        <v>543.0</v>
      </c>
      <c r="B525" s="3" t="s">
        <v>526</v>
      </c>
      <c r="C525" s="3" t="str">
        <f>IFERROR(__xludf.DUMMYFUNCTION("GOOGLETRANSLATE(B525,""id"",""en"")"),"['Telkomsel', 'already', 'different', 'signal', 'good', 'signal', 'kek', 'pig', 'price', 'expensive', 'quality', 'network', ' bad']")</f>
        <v>['Telkomsel', 'already', 'different', 'signal', 'good', 'signal', 'kek', 'pig', 'price', 'expensive', 'quality', 'network', ' bad']</v>
      </c>
      <c r="D525" s="3">
        <v>1.0</v>
      </c>
    </row>
    <row r="526" ht="15.75" customHeight="1">
      <c r="A526" s="1">
        <v>544.0</v>
      </c>
      <c r="B526" s="3" t="s">
        <v>527</v>
      </c>
      <c r="C526" s="3" t="str">
        <f>IFERROR(__xludf.DUMMYFUNCTION("GOOGLETRANSLATE(B526,""id"",""en"")"),"['Hopefully', 'Telkomsel', 'Leading']")</f>
        <v>['Hopefully', 'Telkomsel', 'Leading']</v>
      </c>
      <c r="D526" s="3">
        <v>5.0</v>
      </c>
    </row>
    <row r="527" ht="15.75" customHeight="1">
      <c r="A527" s="1">
        <v>545.0</v>
      </c>
      <c r="B527" s="3" t="s">
        <v>528</v>
      </c>
      <c r="C527" s="3" t="str">
        <f>IFERROR(__xludf.DUMMYFUNCTION("GOOGLETRANSLATE(B527,""id"",""en"")"),"['The network', 'bad', 'unlimited', 'quota', 'main', 'already', 'finished', 'sosmed', 'price', 'doang', 'expensive']")</f>
        <v>['The network', 'bad', 'unlimited', 'quota', 'main', 'already', 'finished', 'sosmed', 'price', 'doang', 'expensive']</v>
      </c>
      <c r="D527" s="3">
        <v>1.0</v>
      </c>
    </row>
    <row r="528" ht="15.75" customHeight="1">
      <c r="A528" s="1">
        <v>546.0</v>
      </c>
      <c r="B528" s="3" t="s">
        <v>529</v>
      </c>
      <c r="C528" s="3" t="str">
        <f>IFERROR(__xludf.DUMMYFUNCTION("GOOGLETRANSLATE(B528,""id"",""en"")"),"['Please', 'repay', 'LGI', 'Telkomsel', 'UDH', 'Try', 'Between', 'MLH', 'Open', 'Jduhan', 'Raying', 'CPAT', ' White ',' picture ',' ']")</f>
        <v>['Please', 'repay', 'LGI', 'Telkomsel', 'UDH', 'Try', 'Between', 'MLH', 'Open', 'Jduhan', 'Raying', 'CPAT', ' White ',' picture ',' ']</v>
      </c>
      <c r="D528" s="3">
        <v>1.0</v>
      </c>
    </row>
    <row r="529" ht="15.75" customHeight="1">
      <c r="A529" s="1">
        <v>547.0</v>
      </c>
      <c r="B529" s="3" t="s">
        <v>530</v>
      </c>
      <c r="C529" s="3" t="str">
        <f>IFERROR(__xludf.DUMMYFUNCTION("GOOGLETRANSLATE(B529,""id"",""en"")"),"['Please', 'Fix', 'Immediately', 'User', 'Telkomsel', 'Disappointed']")</f>
        <v>['Please', 'Fix', 'Immediately', 'User', 'Telkomsel', 'Disappointed']</v>
      </c>
      <c r="D529" s="3">
        <v>1.0</v>
      </c>
    </row>
    <row r="530" ht="15.75" customHeight="1">
      <c r="A530" s="1">
        <v>548.0</v>
      </c>
      <c r="B530" s="3" t="s">
        <v>531</v>
      </c>
      <c r="C530" s="3" t="str">
        <f>IFERROR(__xludf.DUMMYFUNCTION("GOOGLETRANSLATE(B530,""id"",""en"")"),"['use', 'Telkomsel', 'here', 'ugly', 'connection', 'internet', 'package', 'expensive', 'moved', 'operator', '']")</f>
        <v>['use', 'Telkomsel', 'here', 'ugly', 'connection', 'internet', 'package', 'expensive', 'moved', 'operator', '']</v>
      </c>
      <c r="D530" s="3">
        <v>1.0</v>
      </c>
    </row>
    <row r="531" ht="15.75" customHeight="1">
      <c r="A531" s="1">
        <v>549.0</v>
      </c>
      <c r="B531" s="3" t="s">
        <v>532</v>
      </c>
      <c r="C531" s="3" t="str">
        <f>IFERROR(__xludf.DUMMYFUNCTION("GOOGLETRANSLATE(B531,""id"",""en"")"),"['Package', 'Call', 'Buy', 'Call', 'Credit', 'Cut', 'Steady', 'Soul', 'Employee', 'Hunger', 'yak']")</f>
        <v>['Package', 'Call', 'Buy', 'Call', 'Credit', 'Cut', 'Steady', 'Soul', 'Employee', 'Hunger', 'yak']</v>
      </c>
      <c r="D531" s="3">
        <v>1.0</v>
      </c>
    </row>
    <row r="532" ht="15.75" customHeight="1">
      <c r="A532" s="1">
        <v>551.0</v>
      </c>
      <c r="B532" s="3" t="s">
        <v>533</v>
      </c>
      <c r="C532" s="3" t="str">
        <f>IFERROR(__xludf.DUMMYFUNCTION("GOOGLETRANSLATE(B532,""id"",""en"")"),"['user', 'Telkomsel', 'contents',' pulse ',' package ',' road ',' for a while ',' setting ',' pulse ',' drained ',' left ',' honest ',' disappointed']")</f>
        <v>['user', 'Telkomsel', 'contents',' pulse ',' package ',' road ',' for a while ',' setting ',' pulse ',' drained ',' left ',' honest ',' disappointed']</v>
      </c>
      <c r="D532" s="3">
        <v>1.0</v>
      </c>
    </row>
    <row r="533" ht="15.75" customHeight="1">
      <c r="A533" s="1">
        <v>552.0</v>
      </c>
      <c r="B533" s="3" t="s">
        <v>534</v>
      </c>
      <c r="C533" s="3" t="str">
        <f>IFERROR(__xludf.DUMMYFUNCTION("GOOGLETRANSLATE(B533,""id"",""en"")"),"['Steady', 'Telkomsel', '']")</f>
        <v>['Steady', 'Telkomsel', '']</v>
      </c>
      <c r="D533" s="3">
        <v>5.0</v>
      </c>
    </row>
    <row r="534" ht="15.75" customHeight="1">
      <c r="A534" s="1">
        <v>554.0</v>
      </c>
      <c r="B534" s="3" t="s">
        <v>535</v>
      </c>
      <c r="C534" s="3" t="str">
        <f>IFERROR(__xludf.DUMMYFUNCTION("GOOGLETRANSLATE(B534,""id"",""en"")"),"['chaotic', 'application', 'account', 'right', 'login', 'reset', 'no', 'enter', 'already', 'uninstall', 'download', 'enter', ' Telkomsel ',' Moving ',' Makai ',' Operator ',' Next to ',' Thank ',' Love ', ""]")</f>
        <v>['chaotic', 'application', 'account', 'right', 'login', 'reset', 'no', 'enter', 'already', 'uninstall', 'download', 'enter', ' Telkomsel ',' Moving ',' Makai ',' Operator ',' Next to ',' Thank ',' Love ', "]</v>
      </c>
      <c r="D534" s="3">
        <v>1.0</v>
      </c>
    </row>
    <row r="535" ht="15.75" customHeight="1">
      <c r="A535" s="1">
        <v>555.0</v>
      </c>
      <c r="B535" s="3" t="s">
        <v>536</v>
      </c>
      <c r="C535" s="3" t="str">
        <f>IFERROR(__xludf.DUMMYFUNCTION("GOOGLETRANSLATE(B535,""id"",""en"")"),"['Telkomsel', 'signal', 'package', 'internet', 'telephone', 'adjust', 'budget']")</f>
        <v>['Telkomsel', 'signal', 'package', 'internet', 'telephone', 'adjust', 'budget']</v>
      </c>
      <c r="D535" s="3">
        <v>5.0</v>
      </c>
    </row>
    <row r="536" ht="15.75" customHeight="1">
      <c r="A536" s="1">
        <v>556.0</v>
      </c>
      <c r="B536" s="3" t="s">
        <v>537</v>
      </c>
      <c r="C536" s="3" t="str">
        <f>IFERROR(__xludf.DUMMYFUNCTION("GOOGLETRANSLATE(B536,""id"",""en"")"),"['no', 'mbukak', 'apk', 'kouta', 'dying', 'tdi', 'white', 'network', 'slow', 'emg', 'apk', 'problematic', ' Please ',' Telkomsel ',' Fix ',' System ',' Buy ',' Kouta ']")</f>
        <v>['no', 'mbukak', 'apk', 'kouta', 'dying', 'tdi', 'white', 'network', 'slow', 'emg', 'apk', 'problematic', ' Please ',' Telkomsel ',' Fix ',' System ',' Buy ',' Kouta ']</v>
      </c>
      <c r="D536" s="3">
        <v>1.0</v>
      </c>
    </row>
    <row r="537" ht="15.75" customHeight="1">
      <c r="A537" s="1">
        <v>557.0</v>
      </c>
      <c r="B537" s="3" t="s">
        <v>538</v>
      </c>
      <c r="C537" s="3" t="str">
        <f>IFERROR(__xludf.DUMMYFUNCTION("GOOGLETRANSLATE(B537,""id"",""en"")"),"['how', 'application', 'log', 'strange', 'application', 'klw', 'application']")</f>
        <v>['how', 'application', 'log', 'strange', 'application', 'klw', 'application']</v>
      </c>
      <c r="D537" s="3">
        <v>1.0</v>
      </c>
    </row>
    <row r="538" ht="15.75" customHeight="1">
      <c r="A538" s="1">
        <v>558.0</v>
      </c>
      <c r="B538" s="3" t="s">
        <v>539</v>
      </c>
      <c r="C538" s="3" t="str">
        <f>IFERROR(__xludf.DUMMYFUNCTION("GOOGLETRANSLATE(B538,""id"",""en"")"),"['Package', 'cheap', 'darling', 'signal', 'lemoooooot', 'Telkomsel', 'Telkomsel']")</f>
        <v>['Package', 'cheap', 'darling', 'signal', 'lemoooooot', 'Telkomsel', 'Telkomsel']</v>
      </c>
      <c r="D538" s="3">
        <v>3.0</v>
      </c>
    </row>
    <row r="539" ht="15.75" customHeight="1">
      <c r="A539" s="1">
        <v>559.0</v>
      </c>
      <c r="B539" s="3" t="s">
        <v>540</v>
      </c>
      <c r="C539" s="3" t="str">
        <f>IFERROR(__xludf.DUMMYFUNCTION("GOOGLETRANSLATE(B539,""id"",""en"")"),"['Nihh', 'APL', 'already', 'The network', 'no', 'stable', 'price', 'expensive', 'skarang', 'app', 'no', 'spoke', ' Gini ',' then ',' move ',' network ',' ']")</f>
        <v>['Nihh', 'APL', 'already', 'The network', 'no', 'stable', 'price', 'expensive', 'skarang', 'app', 'no', 'spoke', ' Gini ',' then ',' move ',' network ',' ']</v>
      </c>
      <c r="D539" s="3">
        <v>1.0</v>
      </c>
    </row>
    <row r="540" ht="15.75" customHeight="1">
      <c r="A540" s="1">
        <v>560.0</v>
      </c>
      <c r="B540" s="3" t="s">
        <v>541</v>
      </c>
      <c r="C540" s="3" t="str">
        <f>IFERROR(__xludf.DUMMYFUNCTION("GOOGLETRANSLATE(B540,""id"",""en"")"),"['hopefully']")</f>
        <v>['hopefully']</v>
      </c>
      <c r="D540" s="3">
        <v>5.0</v>
      </c>
    </row>
    <row r="541" ht="15.75" customHeight="1">
      <c r="A541" s="1">
        <v>561.0</v>
      </c>
      <c r="B541" s="3" t="s">
        <v>542</v>
      </c>
      <c r="C541" s="3" t="str">
        <f>IFERROR(__xludf.DUMMYFUNCTION("GOOGLETRANSLATE(B541,""id"",""en"")"),"['activation', 'account', 'zoom', 'spam', 'command', 'instructions', '']")</f>
        <v>['activation', 'account', 'zoom', 'spam', 'command', 'instructions', '']</v>
      </c>
      <c r="D541" s="3">
        <v>2.0</v>
      </c>
    </row>
    <row r="542" ht="15.75" customHeight="1">
      <c r="A542" s="1">
        <v>562.0</v>
      </c>
      <c r="B542" s="3" t="s">
        <v>543</v>
      </c>
      <c r="C542" s="3" t="str">
        <f>IFERROR(__xludf.DUMMYFUNCTION("GOOGLETRANSLATE(B542,""id"",""en"")"),"['Not bad', 'Please', 'Located', 'Package']")</f>
        <v>['Not bad', 'Please', 'Located', 'Package']</v>
      </c>
      <c r="D542" s="3">
        <v>4.0</v>
      </c>
    </row>
    <row r="543" ht="15.75" customHeight="1">
      <c r="A543" s="1">
        <v>563.0</v>
      </c>
      <c r="B543" s="3" t="s">
        <v>544</v>
      </c>
      <c r="C543" s="3" t="str">
        <f>IFERROR(__xludf.DUMMYFUNCTION("GOOGLETRANSLATE(B543,""id"",""en"")"),"['quota', 'internet', 'sucked', 'pulse', 'how', '']")</f>
        <v>['quota', 'internet', 'sucked', 'pulse', 'how', '']</v>
      </c>
      <c r="D543" s="3">
        <v>1.0</v>
      </c>
    </row>
    <row r="544" ht="15.75" customHeight="1">
      <c r="A544" s="1">
        <v>564.0</v>
      </c>
      <c r="B544" s="3" t="s">
        <v>545</v>
      </c>
      <c r="C544" s="3" t="str">
        <f>IFERROR(__xludf.DUMMYFUNCTION("GOOGLETRANSLATE(B544,""id"",""en"")"),"['network', 'inet', 'life', 'dead', 'slow', 'really', 'Please', 'fix']")</f>
        <v>['network', 'inet', 'life', 'dead', 'slow', 'really', 'Please', 'fix']</v>
      </c>
      <c r="D544" s="3">
        <v>1.0</v>
      </c>
    </row>
    <row r="545" ht="15.75" customHeight="1">
      <c r="A545" s="1">
        <v>565.0</v>
      </c>
      <c r="B545" s="3" t="s">
        <v>546</v>
      </c>
      <c r="C545" s="3" t="str">
        <f>IFERROR(__xludf.DUMMYFUNCTION("GOOGLETRANSLATE(B545,""id"",""en"")"),"['Application', 'Good', 'Adal', 'Function', 'Peronika', 'Functioning', 'award', 'Perna']")</f>
        <v>['Application', 'Good', 'Adal', 'Function', 'Peronika', 'Functioning', 'award', 'Perna']</v>
      </c>
      <c r="D545" s="3">
        <v>1.0</v>
      </c>
    </row>
    <row r="546" ht="15.75" customHeight="1">
      <c r="A546" s="1">
        <v>566.0</v>
      </c>
      <c r="B546" s="3" t="s">
        <v>547</v>
      </c>
      <c r="C546" s="3" t="str">
        <f>IFERROR(__xludf.DUMMYFUNCTION("GOOGLETRANSLATE(B546,""id"",""en"")"),"['difficult', 'entry']")</f>
        <v>['difficult', 'entry']</v>
      </c>
      <c r="D546" s="3">
        <v>1.0</v>
      </c>
    </row>
    <row r="547" ht="15.75" customHeight="1">
      <c r="A547" s="1">
        <v>567.0</v>
      </c>
      <c r="B547" s="3" t="s">
        <v>548</v>
      </c>
      <c r="C547" s="3" t="str">
        <f>IFERROR(__xludf.DUMMYFUNCTION("GOOGLETRANSLATE(B547,""id"",""en"")"),"['Network', 'difficult', 'most', 'then']")</f>
        <v>['Network', 'difficult', 'most', 'then']</v>
      </c>
      <c r="D547" s="3">
        <v>2.0</v>
      </c>
    </row>
    <row r="548" ht="15.75" customHeight="1">
      <c r="A548" s="1">
        <v>568.0</v>
      </c>
      <c r="B548" s="3" t="s">
        <v>549</v>
      </c>
      <c r="C548" s="3" t="str">
        <f>IFERROR(__xludf.DUMMYFUNCTION("GOOGLETRANSLATE(B548,""id"",""en"")"),"['hope', 'Network', 'Tsel', 'smooth', 'staying up late', 'outside', 'amiinn']")</f>
        <v>['hope', 'Network', 'Tsel', 'smooth', 'staying up late', 'outside', 'amiinn']</v>
      </c>
      <c r="D548" s="3">
        <v>4.0</v>
      </c>
    </row>
    <row r="549" ht="15.75" customHeight="1">
      <c r="A549" s="1">
        <v>569.0</v>
      </c>
      <c r="B549" s="3" t="s">
        <v>550</v>
      </c>
      <c r="C549" s="3" t="str">
        <f>IFERROR(__xludf.DUMMYFUNCTION("GOOGLETRANSLATE(B549,""id"",""en"")"),"['suggestion', 'focus',' service ',' impressed ',' ribet ',' application ',' shop ',' online ',' make ',' application ',' friendly ',' spec ',' Simple ',' Level ',' Difficult ',' Costemer ',' Disappointed ',' ']")</f>
        <v>['suggestion', 'focus',' service ',' impressed ',' ribet ',' application ',' shop ',' online ',' make ',' application ',' friendly ',' spec ',' Simple ',' Level ',' Difficult ',' Costemer ',' Disappointed ',' ']</v>
      </c>
      <c r="D549" s="3">
        <v>1.0</v>
      </c>
    </row>
    <row r="550" ht="15.75" customHeight="1">
      <c r="A550" s="1">
        <v>570.0</v>
      </c>
      <c r="B550" s="3" t="s">
        <v>551</v>
      </c>
      <c r="C550" s="3" t="str">
        <f>IFERROR(__xludf.DUMMYFUNCTION("GOOGLETRANSLATE(B550,""id"",""en"")"),"['Issue', 'disappears', 'installed', 'reset', 'Hadeh']")</f>
        <v>['Issue', 'disappears', 'installed', 'reset', 'Hadeh']</v>
      </c>
      <c r="D550" s="3">
        <v>2.0</v>
      </c>
    </row>
    <row r="551" ht="15.75" customHeight="1">
      <c r="A551" s="1">
        <v>571.0</v>
      </c>
      <c r="B551" s="3" t="s">
        <v>552</v>
      </c>
      <c r="C551" s="3" t="str">
        <f>IFERROR(__xludf.DUMMYFUNCTION("GOOGLETRANSLATE(B551,""id"",""en"")"),"['Lemot', 'Severe', 'Error']")</f>
        <v>['Lemot', 'Severe', 'Error']</v>
      </c>
      <c r="D551" s="3">
        <v>1.0</v>
      </c>
    </row>
    <row r="552" ht="15.75" customHeight="1">
      <c r="A552" s="1">
        <v>572.0</v>
      </c>
      <c r="B552" s="3" t="s">
        <v>553</v>
      </c>
      <c r="C552" s="3" t="str">
        <f>IFERROR(__xludf.DUMMYFUNCTION("GOOGLETRANSLATE(B552,""id"",""en"")"),"['application', 'garbage', 'error', 'mulu', 'network', 'slow', 'severe', 'ornaments', 'doank', 'kepake', ""]")</f>
        <v>['application', 'garbage', 'error', 'mulu', 'network', 'slow', 'severe', 'ornaments', 'doank', 'kepake', "]</v>
      </c>
      <c r="D552" s="3">
        <v>1.0</v>
      </c>
    </row>
    <row r="553" ht="15.75" customHeight="1">
      <c r="A553" s="1">
        <v>573.0</v>
      </c>
      <c r="B553" s="3" t="s">
        <v>554</v>
      </c>
      <c r="C553" s="3" t="str">
        <f>IFERROR(__xludf.DUMMYFUNCTION("GOOGLETRANSLATE(B553,""id"",""en"")"),"['application', 'help', 'tks']")</f>
        <v>['application', 'help', 'tks']</v>
      </c>
      <c r="D553" s="3">
        <v>5.0</v>
      </c>
    </row>
    <row r="554" ht="15.75" customHeight="1">
      <c r="A554" s="1">
        <v>574.0</v>
      </c>
      <c r="B554" s="3" t="s">
        <v>555</v>
      </c>
      <c r="C554" s="3" t="str">
        <f>IFERROR(__xludf.DUMMYFUNCTION("GOOGLETRANSLATE(B554,""id"",""en"")"),"['Please', 'repaired', 'The network', 'buy', 'Package', 'Combo', 'Sakti', 'Price', 'The network', 'according to', 'Hopefully', 'In the future', ' Good ',' Thanks']")</f>
        <v>['Please', 'repaired', 'The network', 'buy', 'Package', 'Combo', 'Sakti', 'Price', 'The network', 'according to', 'Hopefully', 'In the future', ' Good ',' Thanks']</v>
      </c>
      <c r="D554" s="3">
        <v>3.0</v>
      </c>
    </row>
    <row r="555" ht="15.75" customHeight="1">
      <c r="A555" s="1">
        <v>575.0</v>
      </c>
      <c r="B555" s="3" t="s">
        <v>556</v>
      </c>
      <c r="C555" s="3" t="str">
        <f>IFERROR(__xludf.DUMMYFUNCTION("GOOGLETRANSLATE(B555,""id"",""en"")"),"['Severe', 'package', 'missing', 'buy', 'difficult', 'pulse', 'rich', 'gni', 'jirr', 'parahh']")</f>
        <v>['Severe', 'package', 'missing', 'buy', 'difficult', 'pulse', 'rich', 'gni', 'jirr', 'parahh']</v>
      </c>
      <c r="D555" s="3">
        <v>1.0</v>
      </c>
    </row>
    <row r="556" ht="15.75" customHeight="1">
      <c r="A556" s="1">
        <v>576.0</v>
      </c>
      <c r="B556" s="3" t="s">
        <v>557</v>
      </c>
      <c r="C556" s="3" t="str">
        <f>IFERROR(__xludf.DUMMYFUNCTION("GOOGLETRANSLATE(B556,""id"",""en"")"),"['Network', 'Glasso', 'Move', 'Cheap', 'Good']")</f>
        <v>['Network', 'Glasso', 'Move', 'Cheap', 'Good']</v>
      </c>
      <c r="D556" s="3">
        <v>1.0</v>
      </c>
    </row>
    <row r="557" ht="15.75" customHeight="1">
      <c r="A557" s="1">
        <v>577.0</v>
      </c>
      <c r="B557" s="3" t="s">
        <v>558</v>
      </c>
      <c r="C557" s="3" t="str">
        <f>IFERROR(__xludf.DUMMYFUNCTION("GOOGLETRANSLATE(B557,""id"",""en"")"),"['Load', 'Telkomsel']")</f>
        <v>['Load', 'Telkomsel']</v>
      </c>
      <c r="D557" s="3">
        <v>2.0</v>
      </c>
    </row>
    <row r="558" ht="15.75" customHeight="1">
      <c r="A558" s="1">
        <v>578.0</v>
      </c>
      <c r="B558" s="3" t="s">
        <v>559</v>
      </c>
      <c r="C558" s="3" t="str">
        <f>IFERROR(__xludf.DUMMYFUNCTION("GOOGLETRANSLATE(B558,""id"",""en"")"),"['Sis', 'Fill', 'Package', 'Dimy', 'Telkomsel', 'Lost', 'How', 'Yaa', ""]")</f>
        <v>['Sis', 'Fill', 'Package', 'Dimy', 'Telkomsel', 'Lost', 'How', 'Yaa', "]</v>
      </c>
      <c r="D558" s="3">
        <v>5.0</v>
      </c>
    </row>
    <row r="559" ht="15.75" customHeight="1">
      <c r="A559" s="1">
        <v>579.0</v>
      </c>
      <c r="B559" s="3" t="s">
        <v>560</v>
      </c>
      <c r="C559" s="3" t="str">
        <f>IFERROR(__xludf.DUMMYFUNCTION("GOOGLETRANSLATE(B559,""id"",""en"")"),"['Min', 'difficult', 'bngt', 'login']")</f>
        <v>['Min', 'difficult', 'bngt', 'login']</v>
      </c>
      <c r="D559" s="3">
        <v>2.0</v>
      </c>
    </row>
    <row r="560" ht="15.75" customHeight="1">
      <c r="A560" s="1">
        <v>580.0</v>
      </c>
      <c r="B560" s="3" t="s">
        <v>561</v>
      </c>
      <c r="C560" s="3" t="str">
        <f>IFERROR(__xludf.DUMMYFUNCTION("GOOGLETRANSLATE(B560,""id"",""en"")"),"['Eliminate', 'Package']")</f>
        <v>['Eliminate', 'Package']</v>
      </c>
      <c r="D560" s="3">
        <v>5.0</v>
      </c>
    </row>
    <row r="561" ht="15.75" customHeight="1">
      <c r="A561" s="1">
        <v>581.0</v>
      </c>
      <c r="B561" s="3" t="s">
        <v>562</v>
      </c>
      <c r="C561" s="3" t="str">
        <f>IFERROR(__xludf.DUMMYFUNCTION("GOOGLETRANSLATE(B561,""id"",""en"")"),"['What', 'love', 'program', 'Daily', 'check', 'right', 'claim', 'gift', 'zonkk', ""]")</f>
        <v>['What', 'love', 'program', 'Daily', 'check', 'right', 'claim', 'gift', 'zonkk', "]</v>
      </c>
      <c r="D561" s="3">
        <v>1.0</v>
      </c>
    </row>
    <row r="562" ht="15.75" customHeight="1">
      <c r="A562" s="1">
        <v>582.0</v>
      </c>
      <c r="B562" s="3" t="s">
        <v>563</v>
      </c>
      <c r="C562" s="3" t="str">
        <f>IFERROR(__xludf.DUMMYFUNCTION("GOOGLETRANSLATE(B562,""id"",""en"")"),"['expensive', 'doang', 'fast', 'kgk', 'difficult', 'login']")</f>
        <v>['expensive', 'doang', 'fast', 'kgk', 'difficult', 'login']</v>
      </c>
      <c r="D562" s="3">
        <v>3.0</v>
      </c>
    </row>
    <row r="563" ht="15.75" customHeight="1">
      <c r="A563" s="1">
        <v>583.0</v>
      </c>
      <c r="B563" s="3" t="s">
        <v>564</v>
      </c>
      <c r="C563" s="3" t="str">
        <f>IFERROR(__xludf.DUMMYFUNCTION("GOOGLETRANSLATE(B563,""id"",""en"")"),"['Good', 'APK', 'then', 'prize']")</f>
        <v>['Good', 'APK', 'then', 'prize']</v>
      </c>
      <c r="D563" s="3">
        <v>3.0</v>
      </c>
    </row>
    <row r="564" ht="15.75" customHeight="1">
      <c r="A564" s="1">
        <v>585.0</v>
      </c>
      <c r="B564" s="3" t="s">
        <v>565</v>
      </c>
      <c r="C564" s="3" t="str">
        <f>IFERROR(__xludf.DUMMYFUNCTION("GOOGLETRANSLATE(B564,""id"",""en"")"),"['disturbance', '']")</f>
        <v>['disturbance', '']</v>
      </c>
      <c r="D564" s="3">
        <v>2.0</v>
      </c>
    </row>
    <row r="565" ht="15.75" customHeight="1">
      <c r="A565" s="1">
        <v>586.0</v>
      </c>
      <c r="B565" s="3" t="s">
        <v>566</v>
      </c>
      <c r="C565" s="3" t="str">
        <f>IFERROR(__xludf.DUMMYFUNCTION("GOOGLETRANSLATE(B565,""id"",""en"")"),"['MyTelkomsel', 'Help', 'really', 'convenience', 'transaction', 'fill', 'quota', 'check', 'pulse', 'check', 'quota', 'etc.', ' poko ',' mantaapppp ',' mytelkomsel ']")</f>
        <v>['MyTelkomsel', 'Help', 'really', 'convenience', 'transaction', 'fill', 'quota', 'check', 'pulse', 'check', 'quota', 'etc.', ' poko ',' mantaapppp ',' mytelkomsel ']</v>
      </c>
      <c r="D565" s="3">
        <v>5.0</v>
      </c>
    </row>
    <row r="566" ht="15.75" customHeight="1">
      <c r="A566" s="1">
        <v>588.0</v>
      </c>
      <c r="B566" s="3" t="s">
        <v>567</v>
      </c>
      <c r="C566" s="3" t="str">
        <f>IFERROR(__xludf.DUMMYFUNCTION("GOOGLETRANSLATE(B566,""id"",""en"")"),"['buy', 'package', 'subscription', 'a month', 'mah', 'skrng', 'priode', 'konyollll']")</f>
        <v>['buy', 'package', 'subscription', 'a month', 'mah', 'skrng', 'priode', 'konyollll']</v>
      </c>
      <c r="D566" s="3">
        <v>1.0</v>
      </c>
    </row>
    <row r="567" ht="15.75" customHeight="1">
      <c r="A567" s="1">
        <v>589.0</v>
      </c>
      <c r="B567" s="3" t="s">
        <v>568</v>
      </c>
      <c r="C567" s="3" t="str">
        <f>IFERROR(__xludf.DUMMYFUNCTION("GOOGLETRANSLATE(B567,""id"",""en"")"),"['all', 'complaints',' brapa ',' times', 'swap', 'point', 'results',' answered ',' win ',' feel ',' trick ',' point ',' Hilng ',' ']")</f>
        <v>['all', 'complaints',' brapa ',' times', 'swap', 'point', 'results',' answered ',' win ',' feel ',' trick ',' point ',' Hilng ',' ']</v>
      </c>
      <c r="D567" s="3">
        <v>3.0</v>
      </c>
    </row>
    <row r="568" ht="15.75" customHeight="1">
      <c r="A568" s="1">
        <v>591.0</v>
      </c>
      <c r="B568" s="3" t="s">
        <v>569</v>
      </c>
      <c r="C568" s="3" t="str">
        <f>IFERROR(__xludf.DUMMYFUNCTION("GOOGLETRANSLATE(B568,""id"",""en"")"),"['KOQ', 'Login', 'Telkomsel']")</f>
        <v>['KOQ', 'Login', 'Telkomsel']</v>
      </c>
      <c r="D568" s="3">
        <v>4.0</v>
      </c>
    </row>
    <row r="569" ht="15.75" customHeight="1">
      <c r="A569" s="1">
        <v>592.0</v>
      </c>
      <c r="B569" s="3" t="s">
        <v>570</v>
      </c>
      <c r="C569" s="3" t="str">
        <f>IFERROR(__xludf.DUMMYFUNCTION("GOOGLETRANSLATE(B569,""id"",""en"")"),"['', 'Open', 'App', 'Mutih', 'Continuous', 'Update', 'Latest', 'Try', 'Min']")</f>
        <v>['', 'Open', 'App', 'Mutih', 'Continuous', 'Update', 'Latest', 'Try', 'Min']</v>
      </c>
      <c r="D569" s="3">
        <v>2.0</v>
      </c>
    </row>
    <row r="570" ht="15.75" customHeight="1">
      <c r="A570" s="1">
        <v>593.0</v>
      </c>
      <c r="B570" s="3" t="s">
        <v>571</v>
      </c>
      <c r="C570" s="3" t="str">
        <f>IFERROR(__xludf.DUMMYFUNCTION("GOOGLETRANSLATE(B570,""id"",""en"")"),"['garbage', 'enter', 'application', 'problematic']")</f>
        <v>['garbage', 'enter', 'application', 'problematic']</v>
      </c>
      <c r="D570" s="3">
        <v>1.0</v>
      </c>
    </row>
    <row r="571" ht="15.75" customHeight="1">
      <c r="A571" s="1">
        <v>594.0</v>
      </c>
      <c r="B571" s="3" t="s">
        <v>572</v>
      </c>
      <c r="C571" s="3" t="str">
        <f>IFERROR(__xludf.DUMMYFUNCTION("GOOGLETRANSLATE(B571,""id"",""en"")"),"['Severe', 'Hancurrrrr', 'update', 'open', 'signal', 'oohhhh', 'signal', 'already', 'andelin', ""]")</f>
        <v>['Severe', 'Hancurrrrr', 'update', 'open', 'signal', 'oohhhh', 'signal', 'already', 'andelin', "]</v>
      </c>
      <c r="D571" s="3">
        <v>1.0</v>
      </c>
    </row>
    <row r="572" ht="15.75" customHeight="1">
      <c r="A572" s="1">
        <v>595.0</v>
      </c>
      <c r="B572" s="3" t="s">
        <v>573</v>
      </c>
      <c r="C572" s="3" t="str">
        <f>IFERROR(__xludf.DUMMYFUNCTION("GOOGLETRANSLATE(B572,""id"",""en"")"),"['Good', 'signal', 'okay']")</f>
        <v>['Good', 'signal', 'okay']</v>
      </c>
      <c r="D572" s="3">
        <v>5.0</v>
      </c>
    </row>
    <row r="573" ht="15.75" customHeight="1">
      <c r="A573" s="1">
        <v>596.0</v>
      </c>
      <c r="B573" s="3" t="s">
        <v>574</v>
      </c>
      <c r="C573" s="3" t="str">
        <f>IFERROR(__xludf.DUMMYFUNCTION("GOOGLETRANSLATE(B573,""id"",""en"")"),"['Good', 'cheap', 'easy']")</f>
        <v>['Good', 'cheap', 'easy']</v>
      </c>
      <c r="D573" s="3">
        <v>5.0</v>
      </c>
    </row>
    <row r="574" ht="15.75" customHeight="1">
      <c r="A574" s="1">
        <v>597.0</v>
      </c>
      <c r="B574" s="3" t="s">
        <v>575</v>
      </c>
      <c r="C574" s="3" t="str">
        <f>IFERROR(__xludf.DUMMYFUNCTION("GOOGLETRANSLATE(B574,""id"",""en"")"),"['My APK', 'steady']")</f>
        <v>['My APK', 'steady']</v>
      </c>
      <c r="D574" s="3">
        <v>5.0</v>
      </c>
    </row>
    <row r="575" ht="15.75" customHeight="1">
      <c r="A575" s="1">
        <v>598.0</v>
      </c>
      <c r="B575" s="3" t="s">
        <v>576</v>
      </c>
      <c r="C575" s="3" t="str">
        <f>IFERROR(__xludf.DUMMYFUNCTION("GOOGLETRANSLATE(B575,""id"",""en"")"),"['Network', 'according to', 'price', 'expensive', 'network', 'garbage', ""]")</f>
        <v>['Network', 'according to', 'price', 'expensive', 'network', 'garbage', "]</v>
      </c>
      <c r="D575" s="3">
        <v>2.0</v>
      </c>
    </row>
    <row r="576" ht="15.75" customHeight="1">
      <c r="A576" s="1">
        <v>599.0</v>
      </c>
      <c r="B576" s="3" t="s">
        <v>577</v>
      </c>
      <c r="C576" s="3" t="str">
        <f>IFERROR(__xludf.DUMMYFUNCTION("GOOGLETRANSLATE(B576,""id"",""en"")"),"['Update', 'just', 'smooth', 'week', 'doang', 'failed', 'entry', 'severe', 'really', 'updated', 'the application', 'walking', ' fluent']")</f>
        <v>['Update', 'just', 'smooth', 'week', 'doang', 'failed', 'entry', 'severe', 'really', 'updated', 'the application', 'walking', ' fluent']</v>
      </c>
      <c r="D576" s="3">
        <v>1.0</v>
      </c>
    </row>
    <row r="577" ht="15.75" customHeight="1">
      <c r="A577" s="1">
        <v>600.0</v>
      </c>
      <c r="B577" s="3" t="s">
        <v>578</v>
      </c>
      <c r="C577" s="3" t="str">
        <f>IFERROR(__xludf.DUMMYFUNCTION("GOOGLETRANSLATE(B577,""id"",""en"")"),"['Opened']")</f>
        <v>['Opened']</v>
      </c>
      <c r="D577" s="3">
        <v>5.0</v>
      </c>
    </row>
    <row r="578" ht="15.75" customHeight="1">
      <c r="A578" s="1">
        <v>601.0</v>
      </c>
      <c r="B578" s="3" t="s">
        <v>579</v>
      </c>
      <c r="C578" s="3" t="str">
        <f>IFERROR(__xludf.DUMMYFUNCTION("GOOGLETRANSLATE(B578,""id"",""en"")"),"['Network', 'ugly', 'Severe', 'Application', 'Tidaj', 'Opened']")</f>
        <v>['Network', 'ugly', 'Severe', 'Application', 'Tidaj', 'Opened']</v>
      </c>
      <c r="D578" s="3">
        <v>1.0</v>
      </c>
    </row>
    <row r="579" ht="15.75" customHeight="1">
      <c r="A579" s="1">
        <v>603.0</v>
      </c>
      <c r="B579" s="3" t="s">
        <v>580</v>
      </c>
      <c r="C579" s="3" t="str">
        <f>IFERROR(__xludf.DUMMYFUNCTION("GOOGLETRANSLATE(B579,""id"",""en"")"),"['Good', 'Simple', 'buy', 'Package']")</f>
        <v>['Good', 'Simple', 'buy', 'Package']</v>
      </c>
      <c r="D579" s="3">
        <v>5.0</v>
      </c>
    </row>
    <row r="580" ht="15.75" customHeight="1">
      <c r="A580" s="1">
        <v>604.0</v>
      </c>
      <c r="B580" s="3" t="s">
        <v>581</v>
      </c>
      <c r="C580" s="3" t="str">
        <f>IFERROR(__xludf.DUMMYFUNCTION("GOOGLETRANSLATE(B580,""id"",""en"")"),"['Gajelas',' Nihh ',' Telkomsel ',' already ',' package ',' expensive ',' expensive ',' signal ',' slow ',' sometimes', 'sometimes',' die ',' Gajelas, 'Game', 'Play', 'Damaged', 'Gara', 'Signal', 'Gajelas']")</f>
        <v>['Gajelas',' Nihh ',' Telkomsel ',' already ',' package ',' expensive ',' expensive ',' signal ',' slow ',' sometimes', 'sometimes',' die ',' Gajelas, 'Game', 'Play', 'Damaged', 'Gara', 'Signal', 'Gajelas']</v>
      </c>
      <c r="D580" s="3">
        <v>1.0</v>
      </c>
    </row>
    <row r="581" ht="15.75" customHeight="1">
      <c r="A581" s="1">
        <v>605.0</v>
      </c>
      <c r="B581" s="3" t="s">
        <v>582</v>
      </c>
      <c r="C581" s="3" t="str">
        <f>IFERROR(__xludf.DUMMYFUNCTION("GOOGLETRANSLATE(B581,""id"",""en"")"),"['Loading', 'Transaction', 'Buy', 'Package', 'Application', 'Taunya', 'Enter', 'Package', 'Already', 'Enter', 'Application', 'Severe']")</f>
        <v>['Loading', 'Transaction', 'Buy', 'Package', 'Application', 'Taunya', 'Enter', 'Package', 'Already', 'Enter', 'Application', 'Severe']</v>
      </c>
      <c r="D581" s="3">
        <v>1.0</v>
      </c>
    </row>
    <row r="582" ht="15.75" customHeight="1">
      <c r="A582" s="1">
        <v>606.0</v>
      </c>
      <c r="B582" s="3" t="s">
        <v>583</v>
      </c>
      <c r="C582" s="3" t="str">
        <f>IFERROR(__xludf.DUMMYFUNCTION("GOOGLETRANSLATE(B582,""id"",""en"")"),"['Network', 'kularanin', 'moved', 'operator', 'no', 'Telkomsel', 'no', 'good', 'network', 'Telkomsel', 'moved', 'operator', ' Yok ']")</f>
        <v>['Network', 'kularanin', 'moved', 'operator', 'no', 'Telkomsel', 'no', 'good', 'network', 'Telkomsel', 'moved', 'operator', ' Yok ']</v>
      </c>
      <c r="D582" s="3">
        <v>1.0</v>
      </c>
    </row>
    <row r="583" ht="15.75" customHeight="1">
      <c r="A583" s="1">
        <v>607.0</v>
      </c>
      <c r="B583" s="3" t="s">
        <v>584</v>
      </c>
      <c r="C583" s="3" t="str">
        <f>IFERROR(__xludf.DUMMYFUNCTION("GOOGLETRANSLATE(B583,""id"",""en"")"),"['Help', 'When', 'Emergency']")</f>
        <v>['Help', 'When', 'Emergency']</v>
      </c>
      <c r="D583" s="3">
        <v>4.0</v>
      </c>
    </row>
    <row r="584" ht="15.75" customHeight="1">
      <c r="A584" s="1">
        <v>608.0</v>
      </c>
      <c r="B584" s="3" t="s">
        <v>585</v>
      </c>
      <c r="C584" s="3" t="str">
        <f>IFERROR(__xludf.DUMMYFUNCTION("GOOGLETRANSLATE(B584,""id"",""en"")"),"['Service', 'chat', 'Telkomsel', 'bad', 'application', 'difficult', 'open', 'surprised', 'application', 'loading', 'Dengalah', 'Facebook', ' Severe ',' really ',' application ',' please ',' fix ']")</f>
        <v>['Service', 'chat', 'Telkomsel', 'bad', 'application', 'difficult', 'open', 'surprised', 'application', 'loading', 'Dengalah', 'Facebook', ' Severe ',' really ',' application ',' please ',' fix ']</v>
      </c>
      <c r="D584" s="3">
        <v>1.0</v>
      </c>
    </row>
    <row r="585" ht="15.75" customHeight="1">
      <c r="A585" s="1">
        <v>609.0</v>
      </c>
      <c r="B585" s="3" t="s">
        <v>586</v>
      </c>
      <c r="C585" s="3" t="str">
        <f>IFERROR(__xludf.DUMMYFUNCTION("GOOGLETRANSLATE(B585,""id"",""en"")"),"['The size', 'loading', 'slow', 'login', 'hunting', 'run out', 'rich', 'application', 'similar', 'operator', 'fast', 'responsive', ' ']")</f>
        <v>['The size', 'loading', 'slow', 'login', 'hunting', 'run out', 'rich', 'application', 'similar', 'operator', 'fast', 'responsive', ' ']</v>
      </c>
      <c r="D585" s="3">
        <v>1.0</v>
      </c>
    </row>
    <row r="586" ht="15.75" customHeight="1">
      <c r="A586" s="1">
        <v>610.0</v>
      </c>
      <c r="B586" s="3" t="s">
        <v>587</v>
      </c>
      <c r="C586" s="3" t="str">
        <f>IFERROR(__xludf.DUMMYFUNCTION("GOOGLETRANSLATE(B586,""id"",""en"")"),"['apk', 'tess', 'good', 'love', 'star']")</f>
        <v>['apk', 'tess', 'good', 'love', 'star']</v>
      </c>
      <c r="D586" s="3">
        <v>3.0</v>
      </c>
    </row>
    <row r="587" ht="15.75" customHeight="1">
      <c r="A587" s="1">
        <v>611.0</v>
      </c>
      <c r="B587" s="3" t="s">
        <v>588</v>
      </c>
      <c r="C587" s="3" t="str">
        <f>IFERROR(__xludf.DUMMYFUNCTION("GOOGLETRANSLATE(B587,""id"",""en"")"),"['Network', 'Best', '']")</f>
        <v>['Network', 'Best', '']</v>
      </c>
      <c r="D587" s="3">
        <v>5.0</v>
      </c>
    </row>
    <row r="588" ht="15.75" customHeight="1">
      <c r="A588" s="1">
        <v>612.0</v>
      </c>
      <c r="B588" s="3" t="s">
        <v>589</v>
      </c>
      <c r="C588" s="3" t="str">
        <f>IFERROR(__xludf.DUMMYFUNCTION("GOOGLETRANSLATE(B588,""id"",""en"")"),"['Please', 'fix', 'Telkomsel', 'fees',' package ',' expensive ',' really ',' network ',' slow ',' application ',' Telkomsel ',' opened ',' OIII ',' ']")</f>
        <v>['Please', 'fix', 'Telkomsel', 'fees',' package ',' expensive ',' really ',' network ',' slow ',' application ',' Telkomsel ',' opened ',' OIII ',' ']</v>
      </c>
      <c r="D588" s="3">
        <v>1.0</v>
      </c>
    </row>
    <row r="589" ht="15.75" customHeight="1">
      <c r="A589" s="1">
        <v>613.0</v>
      </c>
      <c r="B589" s="3" t="s">
        <v>590</v>
      </c>
      <c r="C589" s="3" t="str">
        <f>IFERROR(__xludf.DUMMYFUNCTION("GOOGLETRANSLATE(B589,""id"",""en"")"),"['Nga']")</f>
        <v>['Nga']</v>
      </c>
      <c r="D589" s="3">
        <v>5.0</v>
      </c>
    </row>
    <row r="590" ht="15.75" customHeight="1">
      <c r="A590" s="1">
        <v>614.0</v>
      </c>
      <c r="B590" s="3" t="s">
        <v>591</v>
      </c>
      <c r="C590" s="3" t="str">
        <f>IFERROR(__xludf.DUMMYFUNCTION("GOOGLETRANSLATE(B590,""id"",""en"")"),"['Help', 'Ribet']")</f>
        <v>['Help', 'Ribet']</v>
      </c>
      <c r="D590" s="3">
        <v>5.0</v>
      </c>
    </row>
    <row r="591" ht="15.75" customHeight="1">
      <c r="A591" s="1">
        <v>615.0</v>
      </c>
      <c r="B591" s="3" t="s">
        <v>592</v>
      </c>
      <c r="C591" s="3" t="str">
        <f>IFERROR(__xludf.DUMMYFUNCTION("GOOGLETRANSLATE(B591,""id"",""en"")"),"['ugly', 'times', 'network']")</f>
        <v>['ugly', 'times', 'network']</v>
      </c>
      <c r="D591" s="3">
        <v>1.0</v>
      </c>
    </row>
    <row r="592" ht="15.75" customHeight="1">
      <c r="A592" s="1">
        <v>616.0</v>
      </c>
      <c r="B592" s="3" t="s">
        <v>593</v>
      </c>
      <c r="C592" s="3" t="str">
        <f>IFERROR(__xludf.DUMMYFUNCTION("GOOGLETRANSLATE(B592,""id"",""en"")"),"['mantapp', 'love', 'bonus', 'bloon', 'all', 'oprator', 'combo', 'Sakti', '']")</f>
        <v>['mantapp', 'love', 'bonus', 'bloon', 'all', 'oprator', 'combo', 'Sakti', '']</v>
      </c>
      <c r="D592" s="3">
        <v>5.0</v>
      </c>
    </row>
    <row r="593" ht="15.75" customHeight="1">
      <c r="A593" s="1">
        <v>617.0</v>
      </c>
      <c r="B593" s="3" t="s">
        <v>594</v>
      </c>
      <c r="C593" s="3" t="str">
        <f>IFERROR(__xludf.DUMMYFUNCTION("GOOGLETRANSLATE(B593,""id"",""en"")"),"['Network', 'slow', 'difficult', 'login', 'ahhh']")</f>
        <v>['Network', 'slow', 'difficult', 'login', 'ahhh']</v>
      </c>
      <c r="D593" s="3">
        <v>5.0</v>
      </c>
    </row>
    <row r="594" ht="15.75" customHeight="1">
      <c r="A594" s="1">
        <v>618.0</v>
      </c>
      <c r="B594" s="3" t="s">
        <v>595</v>
      </c>
      <c r="C594" s="3" t="str">
        <f>IFERROR(__xludf.DUMMYFUNCTION("GOOGLETRANSLATE(B594,""id"",""en"")"),"['What', 'buy', 'package', 'data', 'Bukak', 'MyTelkom', 'gabisa', 'already', 'bankrupt', 'what', 'provider']")</f>
        <v>['What', 'buy', 'package', 'data', 'Bukak', 'MyTelkom', 'gabisa', 'already', 'bankrupt', 'what', 'provider']</v>
      </c>
      <c r="D594" s="3">
        <v>1.0</v>
      </c>
    </row>
    <row r="595" ht="15.75" customHeight="1">
      <c r="A595" s="1">
        <v>619.0</v>
      </c>
      <c r="B595" s="3" t="s">
        <v>596</v>
      </c>
      <c r="C595" s="3" t="str">
        <f>IFERROR(__xludf.DUMMYFUNCTION("GOOGLETRANSLATE(B595,""id"",""en"")"),"['The application', 'kagak', 'satisfying', 'nakya', 'ugly', 'open', 'application', 'difficult']")</f>
        <v>['The application', 'kagak', 'satisfying', 'nakya', 'ugly', 'open', 'application', 'difficult']</v>
      </c>
      <c r="D595" s="3">
        <v>1.0</v>
      </c>
    </row>
    <row r="596" ht="15.75" customHeight="1">
      <c r="A596" s="1">
        <v>620.0</v>
      </c>
      <c r="B596" s="3" t="s">
        <v>597</v>
      </c>
      <c r="C596" s="3" t="str">
        <f>IFERROR(__xludf.DUMMYFUNCTION("GOOGLETRANSLATE(B596,""id"",""en"")"),"['too expensive']")</f>
        <v>['too expensive']</v>
      </c>
      <c r="D596" s="3">
        <v>3.0</v>
      </c>
    </row>
    <row r="597" ht="15.75" customHeight="1">
      <c r="A597" s="1">
        <v>621.0</v>
      </c>
      <c r="B597" s="3" t="s">
        <v>598</v>
      </c>
      <c r="C597" s="3" t="str">
        <f>IFERROR(__xludf.DUMMYFUNCTION("GOOGLETRANSLATE(B597,""id"",""en"")"),"['Buy', 'Package', 'Gamemax', 'Mobile', 'Legend', 'Silver', 'Kekeke', 'Signal', 'Love', 'Quota', 'GB', 'Kekeke', ' ']")</f>
        <v>['Buy', 'Package', 'Gamemax', 'Mobile', 'Legend', 'Silver', 'Kekeke', 'Signal', 'Love', 'Quota', 'GB', 'Kekeke', ' ']</v>
      </c>
      <c r="D597" s="3">
        <v>1.0</v>
      </c>
    </row>
    <row r="598" ht="15.75" customHeight="1">
      <c r="A598" s="1">
        <v>622.0</v>
      </c>
      <c r="B598" s="3" t="s">
        <v>599</v>
      </c>
      <c r="C598" s="3" t="str">
        <f>IFERROR(__xludf.DUMMYFUNCTION("GOOGLETRANSLATE(B598,""id"",""en"")"),"['Telkomsel', 'Cutting', 'Credit', 'Wear', 'Credit', 'Credit', 'Out', 'Lawy', 'Hold', 'Buy', 'Package', 'Internet' Gara ',' pulses', 'run out', 'eaten', 'Telkomsel', 'crazy', 'friend', 'mending', 'gear', 'pulse', 'kall', 'finished', 'sucked' , 'Telkomsel'"&amp;", '']")</f>
        <v>['Telkomsel', 'Cutting', 'Credit', 'Wear', 'Credit', 'Credit', 'Out', 'Lawy', 'Hold', 'Buy', 'Package', 'Internet' Gara ',' pulses', 'run out', 'eaten', 'Telkomsel', 'crazy', 'friend', 'mending', 'gear', 'pulse', 'kall', 'finished', 'sucked' , 'Telkomsel', '']</v>
      </c>
      <c r="D598" s="3">
        <v>1.0</v>
      </c>
    </row>
    <row r="599" ht="15.75" customHeight="1">
      <c r="A599" s="1">
        <v>623.0</v>
      </c>
      <c r="B599" s="3" t="s">
        <v>600</v>
      </c>
      <c r="C599" s="3" t="str">
        <f>IFERROR(__xludf.DUMMYFUNCTION("GOOGLETRANSLATE(B599,""id"",""en"")"),"['ugly', 'tissue', 'tower', 'telkomsel', 'tower', 'internet', 'expensive', 'internet']")</f>
        <v>['ugly', 'tissue', 'tower', 'telkomsel', 'tower', 'internet', 'expensive', 'internet']</v>
      </c>
      <c r="D599" s="3">
        <v>1.0</v>
      </c>
    </row>
    <row r="600" ht="15.75" customHeight="1">
      <c r="A600" s="1">
        <v>624.0</v>
      </c>
      <c r="B600" s="3" t="s">
        <v>601</v>
      </c>
      <c r="C600" s="3" t="str">
        <f>IFERROR(__xludf.DUMMYFUNCTION("GOOGLETRANSLATE(B600,""id"",""en"")"),"['satisfying', 'thanks', 'features', 'service', 'Telkomsel', '']")</f>
        <v>['satisfying', 'thanks', 'features', 'service', 'Telkomsel', '']</v>
      </c>
      <c r="D600" s="3">
        <v>5.0</v>
      </c>
    </row>
    <row r="601" ht="15.75" customHeight="1">
      <c r="A601" s="1">
        <v>625.0</v>
      </c>
      <c r="B601" s="3" t="s">
        <v>602</v>
      </c>
      <c r="C601" s="3" t="str">
        <f>IFERROR(__xludf.DUMMYFUNCTION("GOOGLETRANSLATE(B601,""id"",""en"")"),"['Telkomsel', 'Easy', 'Understand']")</f>
        <v>['Telkomsel', 'Easy', 'Understand']</v>
      </c>
      <c r="D601" s="3">
        <v>5.0</v>
      </c>
    </row>
    <row r="602" ht="15.75" customHeight="1">
      <c r="A602" s="1">
        <v>626.0</v>
      </c>
      <c r="B602" s="3" t="s">
        <v>603</v>
      </c>
      <c r="C602" s="3" t="str">
        <f>IFERROR(__xludf.DUMMYFUNCTION("GOOGLETRANSLATE(B602,""id"",""en"")"),"['lrmot', 'open', 'open', 'take', 'package']")</f>
        <v>['lrmot', 'open', 'open', 'take', 'package']</v>
      </c>
      <c r="D602" s="3">
        <v>1.0</v>
      </c>
    </row>
    <row r="603" ht="15.75" customHeight="1">
      <c r="A603" s="1">
        <v>627.0</v>
      </c>
      <c r="B603" s="3" t="s">
        <v>604</v>
      </c>
      <c r="C603" s="3" t="str">
        <f>IFERROR(__xludf.DUMMYFUNCTION("GOOGLETRANSLATE(B603,""id"",""en"")"),"['application', 'ugly', 'package', 'already', 'expensive', 'network', 'ugly', 'better', 'Akupindah', 'Indosat', 'package', 'already', ' Cheap ',' Dinyai ',' setabilia ']")</f>
        <v>['application', 'ugly', 'package', 'already', 'expensive', 'network', 'ugly', 'better', 'Akupindah', 'Indosat', 'package', 'already', ' Cheap ',' Dinyai ',' setabilia ']</v>
      </c>
      <c r="D603" s="3">
        <v>1.0</v>
      </c>
    </row>
    <row r="604" ht="15.75" customHeight="1">
      <c r="A604" s="1">
        <v>628.0</v>
      </c>
      <c r="B604" s="3" t="s">
        <v>605</v>
      </c>
      <c r="C604" s="3" t="str">
        <f>IFERROR(__xludf.DUMMYFUNCTION("GOOGLETRANSLATE(B604,""id"",""en"")"),"['gymna', 'app', 'buy', 'package', 'error', 'mulu', 'jaringa', 'Mangkin', 'Telkomsel', 'lose', 'card', 'kayak', ' Indosat ',' ']")</f>
        <v>['gymna', 'app', 'buy', 'package', 'error', 'mulu', 'jaringa', 'Mangkin', 'Telkomsel', 'lose', 'card', 'kayak', ' Indosat ',' ']</v>
      </c>
      <c r="D604" s="3">
        <v>1.0</v>
      </c>
    </row>
    <row r="605" ht="15.75" customHeight="1">
      <c r="A605" s="1">
        <v>629.0</v>
      </c>
      <c r="B605" s="3" t="s">
        <v>606</v>
      </c>
      <c r="C605" s="3" t="str">
        <f>IFERROR(__xludf.DUMMYFUNCTION("GOOGLETRANSLATE(B605,""id"",""en"")"),"['', 'Ignore', 'Selaras', 'Application', 'Program']")</f>
        <v>['', 'Ignore', 'Selaras', 'Application', 'Program']</v>
      </c>
      <c r="D605" s="3">
        <v>5.0</v>
      </c>
    </row>
    <row r="606" ht="15.75" customHeight="1">
      <c r="A606" s="1">
        <v>631.0</v>
      </c>
      <c r="B606" s="3" t="s">
        <v>607</v>
      </c>
      <c r="C606" s="3" t="str">
        <f>IFERROR(__xludf.DUMMYFUNCTION("GOOGLETRANSLATE(B606,""id"",""en"")"),"['Haduk', 'Ribet', '']")</f>
        <v>['Haduk', 'Ribet', '']</v>
      </c>
      <c r="D606" s="3">
        <v>3.0</v>
      </c>
    </row>
    <row r="607" ht="15.75" customHeight="1">
      <c r="A607" s="1">
        <v>632.0</v>
      </c>
      <c r="B607" s="3" t="s">
        <v>608</v>
      </c>
      <c r="C607" s="3" t="str">
        <f>IFERROR(__xludf.DUMMYFUNCTION("GOOGLETRANSLATE(B607,""id"",""en"")"),"['verytt', 'help']")</f>
        <v>['verytt', 'help']</v>
      </c>
      <c r="D607" s="3">
        <v>5.0</v>
      </c>
    </row>
    <row r="608" ht="15.75" customHeight="1">
      <c r="A608" s="1">
        <v>633.0</v>
      </c>
      <c r="B608" s="3" t="s">
        <v>609</v>
      </c>
      <c r="C608" s="3" t="str">
        <f>IFERROR(__xludf.DUMMYFUNCTION("GOOGLETRANSLATE(B608,""id"",""en"")"),"['Telkomsel', 'buy', 'pulse', 'buy', 'quota', 'gabisa', 'open', 'apk', 'white', 'screen', 'gabisa', 'buy', ' Package ',' darling ',' ']")</f>
        <v>['Telkomsel', 'buy', 'pulse', 'buy', 'quota', 'gabisa', 'open', 'apk', 'white', 'screen', 'gabisa', 'buy', ' Package ',' darling ',' ']</v>
      </c>
      <c r="D608" s="3">
        <v>2.0</v>
      </c>
    </row>
    <row r="609" ht="15.75" customHeight="1">
      <c r="A609" s="1">
        <v>634.0</v>
      </c>
      <c r="B609" s="3" t="s">
        <v>610</v>
      </c>
      <c r="C609" s="3" t="str">
        <f>IFERROR(__xludf.DUMMYFUNCTION("GOOGLETRANSLATE(B609,""id"",""en"")"),"['', 'Telkomsel', 'signal']")</f>
        <v>['', 'Telkomsel', 'signal']</v>
      </c>
      <c r="D609" s="3">
        <v>5.0</v>
      </c>
    </row>
    <row r="610" ht="15.75" customHeight="1">
      <c r="A610" s="1">
        <v>635.0</v>
      </c>
      <c r="B610" s="3" t="s">
        <v>611</v>
      </c>
      <c r="C610" s="3" t="str">
        <f>IFERROR(__xludf.DUMMYFUNCTION("GOOGLETRANSLATE(B610,""id"",""en"")"),"['The application', 'Bad', 'Knp', 'Login', 'Link', 'Blom', 'Difficult', 'Open', 'Tussy', 'Jaringabya', 'Lemot', 'Knp', ' simple ',' pin ',' emotion ']")</f>
        <v>['The application', 'Bad', 'Knp', 'Login', 'Link', 'Blom', 'Difficult', 'Open', 'Tussy', 'Jaringabya', 'Lemot', 'Knp', ' simple ',' pin ',' emotion ']</v>
      </c>
      <c r="D610" s="3">
        <v>1.0</v>
      </c>
    </row>
    <row r="611" ht="15.75" customHeight="1">
      <c r="A611" s="1">
        <v>636.0</v>
      </c>
      <c r="B611" s="3" t="s">
        <v>612</v>
      </c>
      <c r="C611" s="3" t="str">
        <f>IFERROR(__xludf.DUMMYFUNCTION("GOOGLETRANSLATE(B611,""id"",""en"")"),"['Telkomsel', 'pig', 'udh', 'buy', 'pulse', 'trs',' buy ',' package ',' promo ',' udh ',' buy ',' enter ',' The quota ',' TRS ',' promo ',' lost ',' by one ',' pig ',' emang ',' pulse ',' UDH ',' Sumpot ',' Matiin ',' Data ']")</f>
        <v>['Telkomsel', 'pig', 'udh', 'buy', 'pulse', 'trs',' buy ',' package ',' promo ',' udh ',' buy ',' enter ',' The quota ',' TRS ',' promo ',' lost ',' by one ',' pig ',' emang ',' pulse ',' UDH ',' Sumpot ',' Matiin ',' Data ']</v>
      </c>
      <c r="D611" s="3">
        <v>1.0</v>
      </c>
    </row>
    <row r="612" ht="15.75" customHeight="1">
      <c r="A612" s="1">
        <v>637.0</v>
      </c>
      <c r="B612" s="3" t="s">
        <v>613</v>
      </c>
      <c r="C612" s="3" t="str">
        <f>IFERROR(__xludf.DUMMYFUNCTION("GOOGLETRANSLATE(B612,""id"",""en"")"),"['Ribet', 'entry', '']")</f>
        <v>['Ribet', 'entry', '']</v>
      </c>
      <c r="D612" s="3">
        <v>1.0</v>
      </c>
    </row>
    <row r="613" ht="15.75" customHeight="1">
      <c r="A613" s="1">
        <v>638.0</v>
      </c>
      <c r="B613" s="3" t="s">
        <v>614</v>
      </c>
      <c r="C613" s="3" t="str">
        <f>IFERROR(__xludf.DUMMYFUNCTION("GOOGLETRANSLATE(B613,""id"",""en"")"),"['response', 'cpt', 'trmksh']")</f>
        <v>['response', 'cpt', 'trmksh']</v>
      </c>
      <c r="D613" s="3">
        <v>4.0</v>
      </c>
    </row>
    <row r="614" ht="15.75" customHeight="1">
      <c r="A614" s="1">
        <v>639.0</v>
      </c>
      <c r="B614" s="3" t="s">
        <v>615</v>
      </c>
      <c r="C614" s="3" t="str">
        <f>IFERROR(__xludf.DUMMYFUNCTION("GOOGLETRANSLATE(B614,""id"",""en"")"),"['Good', 'service', 'hope', 'promo', 'internet', 'interesting', 'in the future']")</f>
        <v>['Good', 'service', 'hope', 'promo', 'internet', 'interesting', 'in the future']</v>
      </c>
      <c r="D614" s="3">
        <v>4.0</v>
      </c>
    </row>
    <row r="615" ht="15.75" customHeight="1">
      <c r="A615" s="1">
        <v>640.0</v>
      </c>
      <c r="B615" s="3" t="s">
        <v>616</v>
      </c>
      <c r="C615" s="3" t="str">
        <f>IFERROR(__xludf.DUMMYFUNCTION("GOOGLETRANSLATE(B615,""id"",""en"")"),"['Network', 'Leet', 'Credit', 'Cut', 'Out', 'Think']")</f>
        <v>['Network', 'Leet', 'Credit', 'Cut', 'Out', 'Think']</v>
      </c>
      <c r="D615" s="3">
        <v>1.0</v>
      </c>
    </row>
    <row r="616" ht="15.75" customHeight="1">
      <c r="A616" s="1">
        <v>641.0</v>
      </c>
      <c r="B616" s="3" t="s">
        <v>617</v>
      </c>
      <c r="C616" s="3" t="str">
        <f>IFERROR(__xludf.DUMMYFUNCTION("GOOGLETRANSLATE(B616,""id"",""en"")"),"['ugly', 'application', 'open', 'fix', 'cook', 'abis', 'update', 'enter']")</f>
        <v>['ugly', 'application', 'open', 'fix', 'cook', 'abis', 'update', 'enter']</v>
      </c>
      <c r="D616" s="3">
        <v>1.0</v>
      </c>
    </row>
    <row r="617" ht="15.75" customHeight="1">
      <c r="A617" s="1">
        <v>642.0</v>
      </c>
      <c r="B617" s="3" t="s">
        <v>618</v>
      </c>
      <c r="C617" s="3" t="str">
        <f>IFERROR(__xludf.DUMMYFUNCTION("GOOGLETRANSLATE(B617,""id"",""en"")"),"['Sya', 'Kasi', 'Bintang', 'Good', 'Add']")</f>
        <v>['Sya', 'Kasi', 'Bintang', 'Good', 'Add']</v>
      </c>
      <c r="D617" s="3">
        <v>3.0</v>
      </c>
    </row>
    <row r="618" ht="15.75" customHeight="1">
      <c r="A618" s="1">
        <v>643.0</v>
      </c>
      <c r="B618" s="3" t="s">
        <v>619</v>
      </c>
      <c r="C618" s="3" t="str">
        <f>IFERROR(__xludf.DUMMYFUNCTION("GOOGLETRANSLATE(B618,""id"",""en"")"),"['', 'Telkomsel', 'pig', 'login', 'persulit', 'goblokkkk', 'unclean', 'telkomsel', 'already', 'years', 'service', 'bad', "" ]")</f>
        <v>['', 'Telkomsel', 'pig', 'login', 'persulit', 'goblokkkk', 'unclean', 'telkomsel', 'already', 'years', 'service', 'bad', " ]</v>
      </c>
      <c r="D618" s="3">
        <v>1.0</v>
      </c>
    </row>
    <row r="619" ht="15.75" customHeight="1">
      <c r="A619" s="1">
        <v>644.0</v>
      </c>
      <c r="B619" s="3" t="s">
        <v>620</v>
      </c>
      <c r="C619" s="3" t="str">
        <f>IFERROR(__xludf.DUMMYFUNCTION("GOOGLETRANSLATE(B619,""id"",""en"")"),"['NOT', 'good', 'satisfying', 'disappointing', 'network', 'ugly', 'package', 'expensive', 'disappointed', 'knapa', 'package', 'price' Bener ',' Bener ',' Severe ',' Telkomsel ',' Move ']")</f>
        <v>['NOT', 'good', 'satisfying', 'disappointing', 'network', 'ugly', 'package', 'expensive', 'disappointed', 'knapa', 'package', 'price' Bener ',' Bener ',' Severe ',' Telkomsel ',' Move ']</v>
      </c>
      <c r="D619" s="3">
        <v>1.0</v>
      </c>
    </row>
    <row r="620" ht="15.75" customHeight="1">
      <c r="A620" s="1">
        <v>645.0</v>
      </c>
      <c r="B620" s="3" t="s">
        <v>621</v>
      </c>
      <c r="C620" s="3" t="str">
        <f>IFERROR(__xludf.DUMMYFUNCTION("GOOGLETRANSLATE(B620,""id"",""en"")"),"['How', 'Telkoms',' already ',' APDET ',' Open ',' Warnaya ',' White ',' Doang ',' Bukak ',' Please ',' Solution ',' Maytelkomsela ',' Flashed ']")</f>
        <v>['How', 'Telkoms',' already ',' APDET ',' Open ',' Warnaya ',' White ',' Doang ',' Bukak ',' Please ',' Solution ',' Maytelkomsela ',' Flashed ']</v>
      </c>
      <c r="D620" s="3">
        <v>1.0</v>
      </c>
    </row>
    <row r="621" ht="15.75" customHeight="1">
      <c r="A621" s="1">
        <v>646.0</v>
      </c>
      <c r="B621" s="3" t="s">
        <v>622</v>
      </c>
      <c r="C621" s="3" t="str">
        <f>IFERROR(__xludf.DUMMYFUNCTION("GOOGLETRANSLATE(B621,""id"",""en"")"),"['finished', 'activity', 'learn', ""]")</f>
        <v>['finished', 'activity', 'learn', "]</v>
      </c>
      <c r="D621" s="3">
        <v>5.0</v>
      </c>
    </row>
    <row r="622" ht="15.75" customHeight="1">
      <c r="A622" s="1">
        <v>647.0</v>
      </c>
      <c r="B622" s="3" t="s">
        <v>623</v>
      </c>
      <c r="C622" s="3" t="str">
        <f>IFERROR(__xludf.DUMMYFUNCTION("GOOGLETRANSLATE(B622,""id"",""en"")"),"['', 'Enter', 'KNPA', 'FAIL', 'TRS', 'SIMPLE']")</f>
        <v>['', 'Enter', 'KNPA', 'FAIL', 'TRS', 'SIMPLE']</v>
      </c>
      <c r="D622" s="3">
        <v>1.0</v>
      </c>
    </row>
    <row r="623" ht="15.75" customHeight="1">
      <c r="A623" s="1">
        <v>648.0</v>
      </c>
      <c r="B623" s="3" t="s">
        <v>624</v>
      </c>
      <c r="C623" s="3" t="str">
        <f>IFERROR(__xludf.DUMMYFUNCTION("GOOGLETRANSLATE(B623,""id"",""en"")"),"['forward', 'abstinence', 'backward', 'keep', 'quality', 'quantity']")</f>
        <v>['forward', 'abstinence', 'backward', 'keep', 'quality', 'quantity']</v>
      </c>
      <c r="D623" s="3">
        <v>5.0</v>
      </c>
    </row>
    <row r="624" ht="15.75" customHeight="1">
      <c r="A624" s="1">
        <v>649.0</v>
      </c>
      <c r="B624" s="3" t="s">
        <v>625</v>
      </c>
      <c r="C624" s="3" t="str">
        <f>IFERROR(__xludf.DUMMYFUNCTION("GOOGLETRANSLATE(B624,""id"",""en"")"),"['Enter', 'selalala', 'no', 'already', 'update']")</f>
        <v>['Enter', 'selalala', 'no', 'already', 'update']</v>
      </c>
      <c r="D624" s="3">
        <v>1.0</v>
      </c>
    </row>
    <row r="625" ht="15.75" customHeight="1">
      <c r="A625" s="1">
        <v>650.0</v>
      </c>
      <c r="B625" s="3" t="s">
        <v>626</v>
      </c>
      <c r="C625" s="3" t="str">
        <f>IFERROR(__xludf.DUMMYFUNCTION("GOOGLETRANSLATE(B625,""id"",""en"")"),"['Internet', 'Sometimes', 'Like', 'Loading', 'Remnant', 'Quota', 'Please', 'Fix', '']")</f>
        <v>['Internet', 'Sometimes', 'Like', 'Loading', 'Remnant', 'Quota', 'Please', 'Fix', '']</v>
      </c>
      <c r="D625" s="3">
        <v>4.0</v>
      </c>
    </row>
    <row r="626" ht="15.75" customHeight="1">
      <c r="A626" s="1">
        <v>651.0</v>
      </c>
      <c r="B626" s="3" t="s">
        <v>627</v>
      </c>
      <c r="C626" s="3" t="str">
        <f>IFERROR(__xludf.DUMMYFUNCTION("GOOGLETRANSLATE(B626,""id"",""en"")"),"['hilaaanngggg', 'screen', 'apk', 'blankkkk', 'white', 'all', 'counter', 'open']")</f>
        <v>['hilaaanngggg', 'screen', 'apk', 'blankkkk', 'white', 'all', 'counter', 'open']</v>
      </c>
      <c r="D626" s="3">
        <v>1.0</v>
      </c>
    </row>
    <row r="627" ht="15.75" customHeight="1">
      <c r="A627" s="1">
        <v>652.0</v>
      </c>
      <c r="B627" s="3" t="s">
        <v>628</v>
      </c>
      <c r="C627" s="3" t="str">
        <f>IFERROR(__xludf.DUMMYFUNCTION("GOOGLETRANSLATE(B627,""id"",""en"")"),"['Notification', 'via', 'SMS', 'Bonus',' quota ',' GB ',' Pay ',' thousand ',' Doang ',' right ',' Download ',' APK ',' muter ',' signal ',' ugly ',' promotion ',' doang ',' customer ',' download ',' apk ',' bonus', 'GB', 'sampek', 'zonkkk', 'bozzz' , 'pr"&amp;"omo', 'abal', 'abal', '']")</f>
        <v>['Notification', 'via', 'SMS', 'Bonus',' quota ',' GB ',' Pay ',' thousand ',' Doang ',' right ',' Download ',' APK ',' muter ',' signal ',' ugly ',' promotion ',' doang ',' customer ',' download ',' apk ',' bonus', 'GB', 'sampek', 'zonkkk', 'bozzz' , 'promo', 'abal', 'abal', '']</v>
      </c>
      <c r="D627" s="3">
        <v>1.0</v>
      </c>
    </row>
    <row r="628" ht="15.75" customHeight="1">
      <c r="A628" s="1">
        <v>653.0</v>
      </c>
      <c r="B628" s="3" t="s">
        <v>629</v>
      </c>
      <c r="C628" s="3" t="str">
        <f>IFERROR(__xludf.DUMMYFUNCTION("GOOGLETRANSLATE(B628,""id"",""en"")"),"['useful', '']")</f>
        <v>['useful', '']</v>
      </c>
      <c r="D628" s="3">
        <v>5.0</v>
      </c>
    </row>
    <row r="629" ht="15.75" customHeight="1">
      <c r="A629" s="1">
        <v>654.0</v>
      </c>
      <c r="B629" s="3" t="s">
        <v>630</v>
      </c>
      <c r="C629" s="3" t="str">
        <f>IFERROR(__xludf.DUMMYFUNCTION("GOOGLETRANSLATE(B629,""id"",""en"")"),"['opened', 'empty', 'color', 'white', 'gmn', ""]")</f>
        <v>['opened', 'empty', 'color', 'white', 'gmn', "]</v>
      </c>
      <c r="D629" s="3">
        <v>2.0</v>
      </c>
    </row>
    <row r="630" ht="15.75" customHeight="1">
      <c r="A630" s="1">
        <v>655.0</v>
      </c>
      <c r="B630" s="3" t="s">
        <v>631</v>
      </c>
      <c r="C630" s="3" t="str">
        <f>IFERROR(__xludf.DUMMYFUNCTION("GOOGLETRANSLATE(B630,""id"",""en"")"),"['lightening', 'bonus']")</f>
        <v>['lightening', 'bonus']</v>
      </c>
      <c r="D630" s="3">
        <v>3.0</v>
      </c>
    </row>
    <row r="631" ht="15.75" customHeight="1">
      <c r="A631" s="1">
        <v>657.0</v>
      </c>
      <c r="B631" s="3" t="s">
        <v>632</v>
      </c>
      <c r="C631" s="3" t="str">
        <f>IFERROR(__xludf.DUMMYFUNCTION("GOOGLETRANSLATE(B631,""id"",""en"")"),"['application', 'good', 'sometimes',' like ',' blank ',' service ',' change ',' top ',' pulse ',' right ',' kouta ',' run out ',' Extend ',' automatic ',' sucked ',' pulse ',' run out ',' hour ',' use ',' internet ',' pulse ',' monetery ',' pulse ',' take"&amp;" ',' ivent ' , 'gini', 'mending', 'card', 'polite', 'take', 'belongs', 'person', 'careless', ""]")</f>
        <v>['application', 'good', 'sometimes',' like ',' blank ',' service ',' change ',' top ',' pulse ',' right ',' kouta ',' run out ',' Extend ',' automatic ',' sucked ',' pulse ',' run out ',' hour ',' use ',' internet ',' pulse ',' monetery ',' pulse ',' take ',' ivent ' , 'gini', 'mending', 'card', 'polite', 'take', 'belongs', 'person', 'careless', "]</v>
      </c>
      <c r="D631" s="3">
        <v>1.0</v>
      </c>
    </row>
    <row r="632" ht="15.75" customHeight="1">
      <c r="A632" s="1">
        <v>658.0</v>
      </c>
      <c r="B632" s="3" t="s">
        <v>633</v>
      </c>
      <c r="C632" s="3" t="str">
        <f>IFERROR(__xludf.DUMMYFUNCTION("GOOGLETRANSLATE(B632,""id"",""en"")"),"['apk', 'slow', 'pdhl', 'already', 'login', 'mlh', 'dsruh', 'login', 'can', 'sms',' verification ',' already ',' Clicked ',' appears', '']")</f>
        <v>['apk', 'slow', 'pdhl', 'already', 'login', 'mlh', 'dsruh', 'login', 'can', 'sms',' verification ',' already ',' Clicked ',' appears', '']</v>
      </c>
      <c r="D632" s="3">
        <v>1.0</v>
      </c>
    </row>
    <row r="633" ht="15.75" customHeight="1">
      <c r="A633" s="1">
        <v>659.0</v>
      </c>
      <c r="B633" s="3" t="s">
        <v>634</v>
      </c>
      <c r="C633" s="3" t="str">
        <f>IFERROR(__xludf.DUMMYFUNCTION("GOOGLETRANSLATE(B633,""id"",""en"")"),"['The application', 'good', 'simple', 'easy', 'understood', 'user', 'yok', 'hunt', 'download', ""]")</f>
        <v>['The application', 'good', 'simple', 'easy', 'understood', 'user', 'yok', 'hunt', 'download', "]</v>
      </c>
      <c r="D633" s="3">
        <v>4.0</v>
      </c>
    </row>
    <row r="634" ht="15.75" customHeight="1">
      <c r="A634" s="1">
        <v>660.0</v>
      </c>
      <c r="B634" s="3" t="s">
        <v>635</v>
      </c>
      <c r="C634" s="3" t="str">
        <f>IFERROR(__xludf.DUMMYFUNCTION("GOOGLETRANSLATE(B634,""id"",""en"")"),"['ugly', 'suck', 'pulse', 'exactly', 'indosat', 'ugly', 'Telkomsel', 'opened', 'kmrn']")</f>
        <v>['ugly', 'suck', 'pulse', 'exactly', 'indosat', 'ugly', 'Telkomsel', 'opened', 'kmrn']</v>
      </c>
      <c r="D634" s="3">
        <v>1.0</v>
      </c>
    </row>
    <row r="635" ht="15.75" customHeight="1">
      <c r="A635" s="1">
        <v>661.0</v>
      </c>
      <c r="B635" s="3" t="s">
        <v>636</v>
      </c>
      <c r="C635" s="3" t="str">
        <f>IFERROR(__xludf.DUMMYFUNCTION("GOOGLETRANSLATE(B635,""id"",""en"")"),"['The application', 'Good', '']")</f>
        <v>['The application', 'Good', '']</v>
      </c>
      <c r="D635" s="3">
        <v>5.0</v>
      </c>
    </row>
    <row r="636" ht="15.75" customHeight="1">
      <c r="A636" s="1">
        <v>662.0</v>
      </c>
      <c r="B636" s="3" t="s">
        <v>637</v>
      </c>
      <c r="C636" s="3" t="str">
        <f>IFERROR(__xludf.DUMMYFUNCTION("GOOGLETRANSLATE(B636,""id"",""en"")"),"['pulse', 'Sumpot', 'minus']")</f>
        <v>['pulse', 'Sumpot', 'minus']</v>
      </c>
      <c r="D636" s="3">
        <v>2.0</v>
      </c>
    </row>
    <row r="637" ht="15.75" customHeight="1">
      <c r="A637" s="1">
        <v>663.0</v>
      </c>
      <c r="B637" s="3" t="s">
        <v>638</v>
      </c>
      <c r="C637" s="3" t="str">
        <f>IFERROR(__xludf.DUMMYFUNCTION("GOOGLETRANSLATE(B637,""id"",""en"")"),"['', 'Satisfied', 'Service', 'Application', 'Telkomsel']")</f>
        <v>['', 'Satisfied', 'Service', 'Application', 'Telkomsel']</v>
      </c>
      <c r="D637" s="3">
        <v>5.0</v>
      </c>
    </row>
    <row r="638" ht="15.75" customHeight="1">
      <c r="A638" s="1">
        <v>664.0</v>
      </c>
      <c r="B638" s="3" t="s">
        <v>639</v>
      </c>
      <c r="C638" s="3" t="str">
        <f>IFERROR(__xludf.DUMMYFUNCTION("GOOGLETRANSLATE(B638,""id"",""en"")"),"['application', 'it's easy']")</f>
        <v>['application', 'it's easy']</v>
      </c>
      <c r="D638" s="3">
        <v>5.0</v>
      </c>
    </row>
    <row r="639" ht="15.75" customHeight="1">
      <c r="A639" s="1">
        <v>665.0</v>
      </c>
      <c r="B639" s="3" t="s">
        <v>640</v>
      </c>
      <c r="C639" s="3" t="str">
        <f>IFERROR(__xludf.DUMMYFUNCTION("GOOGLETRANSLATE(B639,""id"",""en"")"),"['thank you', 'service', '']")</f>
        <v>['thank you', 'service', '']</v>
      </c>
      <c r="D639" s="3">
        <v>4.0</v>
      </c>
    </row>
    <row r="640" ht="15.75" customHeight="1">
      <c r="A640" s="1">
        <v>666.0</v>
      </c>
      <c r="B640" s="3" t="s">
        <v>641</v>
      </c>
      <c r="C640" s="3" t="str">
        <f>IFERROR(__xludf.DUMMYFUNCTION("GOOGLETRANSLATE(B640,""id"",""en"")"),"['Abis',' update ',' Telkomsel ',' ilang ',' then 'installed', 'missing', 'deh', 'claim', 'package', 'claim', '']")</f>
        <v>['Abis',' update ',' Telkomsel ',' ilang ',' then 'installed', 'missing', 'deh', 'claim', 'package', 'claim', '']</v>
      </c>
      <c r="D640" s="3">
        <v>3.0</v>
      </c>
    </row>
    <row r="641" ht="15.75" customHeight="1">
      <c r="A641" s="1">
        <v>667.0</v>
      </c>
      <c r="B641" s="3" t="s">
        <v>642</v>
      </c>
      <c r="C641" s="3" t="str">
        <f>IFERROR(__xludf.DUMMYFUNCTION("GOOGLETRANSLATE(B641,""id"",""en"")"),"['expensive', 'doang', 'network']")</f>
        <v>['expensive', 'doang', 'network']</v>
      </c>
      <c r="D641" s="3">
        <v>1.0</v>
      </c>
    </row>
    <row r="642" ht="15.75" customHeight="1">
      <c r="A642" s="1">
        <v>668.0</v>
      </c>
      <c r="B642" s="3" t="s">
        <v>643</v>
      </c>
      <c r="C642" s="3" t="str">
        <f>IFERROR(__xludf.DUMMYFUNCTION("GOOGLETRANSLATE(B642,""id"",""en"")"),"['Contents',' already ',' reduced ',' lives', 'thousand', 'all', 'whaaaaaaattttt', 'fix', 'donk', 'satisfaction', 'consumers',' expensive ',' appiantly, 'term', 'pending', 'pulse', 'ente', 'hajarrrr', 'transparent']")</f>
        <v>['Contents',' already ',' reduced ',' lives', 'thousand', 'all', 'whaaaaaaattttt', 'fix', 'donk', 'satisfaction', 'consumers',' expensive ',' appiantly, 'term', 'pending', 'pulse', 'ente', 'hajarrrr', 'transparent']</v>
      </c>
      <c r="D642" s="3">
        <v>1.0</v>
      </c>
    </row>
    <row r="643" ht="15.75" customHeight="1">
      <c r="A643" s="1">
        <v>669.0</v>
      </c>
      <c r="B643" s="3" t="s">
        <v>644</v>
      </c>
      <c r="C643" s="3" t="str">
        <f>IFERROR(__xludf.DUMMYFUNCTION("GOOGLETRANSLATE(B643,""id"",""en"")"),"['Love', 'Bintang', 'Bintang', 'Pekah']")</f>
        <v>['Love', 'Bintang', 'Bintang', 'Pekah']</v>
      </c>
      <c r="D643" s="3">
        <v>1.0</v>
      </c>
    </row>
    <row r="644" ht="15.75" customHeight="1">
      <c r="A644" s="1">
        <v>670.0</v>
      </c>
      <c r="B644" s="3" t="s">
        <v>645</v>
      </c>
      <c r="C644" s="3" t="str">
        <f>IFERROR(__xludf.DUMMYFUNCTION("GOOGLETRANSLATE(B644,""id"",""en"")"),"['according to', 'price']")</f>
        <v>['according to', 'price']</v>
      </c>
      <c r="D644" s="3">
        <v>1.0</v>
      </c>
    </row>
    <row r="645" ht="15.75" customHeight="1">
      <c r="A645" s="1">
        <v>671.0</v>
      </c>
      <c r="B645" s="3" t="s">
        <v>646</v>
      </c>
      <c r="C645" s="3" t="str">
        <f>IFERROR(__xludf.DUMMYFUNCTION("GOOGLETRANSLATE(B645,""id"",""en"")"),"['right', 'open', 'telkmosel', 'oopps', 'error', 'difficult', 'entry']")</f>
        <v>['right', 'open', 'telkmosel', 'oopps', 'error', 'difficult', 'entry']</v>
      </c>
      <c r="D645" s="3">
        <v>3.0</v>
      </c>
    </row>
    <row r="646" ht="15.75" customHeight="1">
      <c r="A646" s="1">
        <v>672.0</v>
      </c>
      <c r="B646" s="3" t="s">
        <v>647</v>
      </c>
      <c r="C646" s="3" t="str">
        <f>IFERROR(__xludf.DUMMYFUNCTION("GOOGLETRANSLATE(B646,""id"",""en"")"),"['Easy', 'cheap', 'steady']")</f>
        <v>['Easy', 'cheap', 'steady']</v>
      </c>
      <c r="D646" s="3">
        <v>5.0</v>
      </c>
    </row>
    <row r="647" ht="15.75" customHeight="1">
      <c r="A647" s="1">
        <v>674.0</v>
      </c>
      <c r="B647" s="3" t="s">
        <v>648</v>
      </c>
      <c r="C647" s="3" t="str">
        <f>IFERROR(__xludf.DUMMYFUNCTION("GOOGLETRANSLATE(B647,""id"",""en"")"),"['Safety', 'Djiwa', 'trs', 'combo', 'magic', 'mah']")</f>
        <v>['Safety', 'Djiwa', 'trs', 'combo', 'magic', 'mah']</v>
      </c>
      <c r="D647" s="3">
        <v>5.0</v>
      </c>
    </row>
    <row r="648" ht="15.75" customHeight="1">
      <c r="A648" s="1">
        <v>675.0</v>
      </c>
      <c r="B648" s="3" t="s">
        <v>649</v>
      </c>
      <c r="C648" s="3" t="str">
        <f>IFERROR(__xludf.DUMMYFUNCTION("GOOGLETRANSLATE(B648,""id"",""en"")"),"['The network', 'ugly', 'slow', '']")</f>
        <v>['The network', 'ugly', 'slow', '']</v>
      </c>
      <c r="D648" s="3">
        <v>2.0</v>
      </c>
    </row>
    <row r="649" ht="15.75" customHeight="1">
      <c r="A649" s="1">
        <v>676.0</v>
      </c>
      <c r="B649" s="3" t="s">
        <v>650</v>
      </c>
      <c r="C649" s="3" t="str">
        <f>IFERROR(__xludf.DUMMYFUNCTION("GOOGLETRANSLATE(B649,""id"",""en"")"),"['Network', 'bad', 'entry', 'difficult', 'groups',' expensive ',' BURIK ',' Ryesel ',' Mending ',' Provider ',' Next ""]")</f>
        <v>['Network', 'bad', 'entry', 'difficult', 'groups',' expensive ',' BURIK ',' Ryesel ',' Mending ',' Provider ',' Next "]</v>
      </c>
      <c r="D649" s="3">
        <v>1.0</v>
      </c>
    </row>
    <row r="650" ht="15.75" customHeight="1">
      <c r="A650" s="1">
        <v>677.0</v>
      </c>
      <c r="B650" s="3" t="s">
        <v>651</v>
      </c>
      <c r="C650" s="3" t="str">
        <f>IFERROR(__xludf.DUMMYFUNCTION("GOOGLETRANSLATE(B650,""id"",""en"")"),"['Alhamdulillah', 'price', 'package', 'drain', 'contents', 'pouch', ""]")</f>
        <v>['Alhamdulillah', 'price', 'package', 'drain', 'contents', 'pouch', "]</v>
      </c>
      <c r="D650" s="3">
        <v>5.0</v>
      </c>
    </row>
    <row r="651" ht="15.75" customHeight="1">
      <c r="A651" s="1">
        <v>678.0</v>
      </c>
      <c r="B651" s="3" t="s">
        <v>652</v>
      </c>
      <c r="C651" s="3" t="str">
        <f>IFERROR(__xludf.DUMMYFUNCTION("GOOGLETRANSLATE(B651,""id"",""en"")"),"['spirit', 'forward', '']")</f>
        <v>['spirit', 'forward', '']</v>
      </c>
      <c r="D651" s="3">
        <v>4.0</v>
      </c>
    </row>
    <row r="652" ht="15.75" customHeight="1">
      <c r="A652" s="1">
        <v>679.0</v>
      </c>
      <c r="B652" s="3" t="s">
        <v>653</v>
      </c>
      <c r="C652" s="3" t="str">
        <f>IFERROR(__xludf.DUMMYFUNCTION("GOOGLETRANSLATE(B652,""id"",""en"")"),"['Please', 'Provider', 'Telkomsell', 'Repaired', 'Network', 'Customer', 'MOVER', 'USE', 'TELKOMSELL', 'Disappointed', 'Harmed', 'Service', ' Signal ',' ugly ',' Where ',' ']")</f>
        <v>['Please', 'Provider', 'Telkomsell', 'Repaired', 'Network', 'Customer', 'MOVER', 'USE', 'TELKOMSELL', 'Disappointed', 'Harmed', 'Service', ' Signal ',' ugly ',' Where ',' ']</v>
      </c>
      <c r="D652" s="3">
        <v>2.0</v>
      </c>
    </row>
    <row r="653" ht="15.75" customHeight="1">
      <c r="A653" s="1">
        <v>680.0</v>
      </c>
      <c r="B653" s="3" t="s">
        <v>654</v>
      </c>
      <c r="C653" s="3" t="str">
        <f>IFERROR(__xludf.DUMMYFUNCTION("GOOGLETRANSLATE(B653,""id"",""en"")"),"['Disappointed', 'UPPLICATION', 'PACKAGE', 'INTERNET', 'EXTRA', 'Unlimited', 'PAS', 'The next', 'Day', 'Direct', 'Ngilan', ""]")</f>
        <v>['Disappointed', 'UPPLICATION', 'PACKAGE', 'INTERNET', 'EXTRA', 'Unlimited', 'PAS', 'The next', 'Day', 'Direct', 'Ngilan', "]</v>
      </c>
      <c r="D653" s="3">
        <v>1.0</v>
      </c>
    </row>
    <row r="654" ht="15.75" customHeight="1">
      <c r="A654" s="1">
        <v>681.0</v>
      </c>
      <c r="B654" s="3" t="s">
        <v>655</v>
      </c>
      <c r="C654" s="3" t="str">
        <f>IFERROR(__xludf.DUMMYFUNCTION("GOOGLETRANSLATE(B654,""id"",""en"")"),"['Enjoy', 'promo', 'interesting', 'mytelkomsel']")</f>
        <v>['Enjoy', 'promo', 'interesting', 'mytelkomsel']</v>
      </c>
      <c r="D654" s="3">
        <v>5.0</v>
      </c>
    </row>
    <row r="655" ht="15.75" customHeight="1">
      <c r="A655" s="1">
        <v>682.0</v>
      </c>
      <c r="B655" s="3" t="s">
        <v>656</v>
      </c>
      <c r="C655" s="3" t="str">
        <f>IFERROR(__xludf.DUMMYFUNCTION("GOOGLETRANSLATE(B655,""id"",""en"")"),"['Install', 'Samsung', 'Ultra', 'Android', '']")</f>
        <v>['Install', 'Samsung', 'Ultra', 'Android', '']</v>
      </c>
      <c r="D655" s="3">
        <v>1.0</v>
      </c>
    </row>
    <row r="656" ht="15.75" customHeight="1">
      <c r="A656" s="1">
        <v>683.0</v>
      </c>
      <c r="B656" s="3" t="s">
        <v>657</v>
      </c>
      <c r="C656" s="3" t="str">
        <f>IFERROR(__xludf.DUMMYFUNCTION("GOOGLETRANSLATE(B656,""id"",""en"")"),"['Comfortable', 'bangetttttttt']")</f>
        <v>['Comfortable', 'bangetttttttt']</v>
      </c>
      <c r="D656" s="3">
        <v>5.0</v>
      </c>
    </row>
    <row r="657" ht="15.75" customHeight="1">
      <c r="A657" s="1">
        <v>685.0</v>
      </c>
      <c r="B657" s="3" t="s">
        <v>658</v>
      </c>
      <c r="C657" s="3" t="str">
        <f>IFERROR(__xludf.DUMMYFUNCTION("GOOGLETRANSLATE(B657,""id"",""en"")"),"['Telkomsel', 'network', 'chaotic', 'inside', 'room', 'sya', 'stay', 'jakarta', 'center', '']")</f>
        <v>['Telkomsel', 'network', 'chaotic', 'inside', 'room', 'sya', 'stay', 'jakarta', 'center', '']</v>
      </c>
      <c r="D657" s="3">
        <v>2.0</v>
      </c>
    </row>
    <row r="658" ht="15.75" customHeight="1">
      <c r="A658" s="1">
        <v>686.0</v>
      </c>
      <c r="B658" s="3" t="s">
        <v>659</v>
      </c>
      <c r="C658" s="3" t="str">
        <f>IFERROR(__xludf.DUMMYFUNCTION("GOOGLETRANSLATE(B658,""id"",""en"")"),"['Kasi', 'the application', 'Tambahi', 'star']")</f>
        <v>['Kasi', 'the application', 'Tambahi', 'star']</v>
      </c>
      <c r="D658" s="3">
        <v>3.0</v>
      </c>
    </row>
    <row r="659" ht="15.75" customHeight="1">
      <c r="A659" s="1">
        <v>687.0</v>
      </c>
      <c r="B659" s="3" t="s">
        <v>660</v>
      </c>
      <c r="C659" s="3" t="str">
        <f>IFERROR(__xludf.DUMMYFUNCTION("GOOGLETRANSLATE(B659,""id"",""en"")"),"['buy', 'package', 'expensive', 'network', 'slow']")</f>
        <v>['buy', 'package', 'expensive', 'network', 'slow']</v>
      </c>
      <c r="D659" s="3">
        <v>1.0</v>
      </c>
    </row>
    <row r="660" ht="15.75" customHeight="1">
      <c r="A660" s="1">
        <v>688.0</v>
      </c>
      <c r="B660" s="3" t="s">
        <v>661</v>
      </c>
      <c r="C660" s="3" t="str">
        <f>IFERROR(__xludf.DUMMYFUNCTION("GOOGLETRANSLATE(B660,""id"",""en"")"),"['Steady', 'love', 'box', 'gift', 'giga', 'love', 'borrow', 'quota', 'giga', 'mksh', 'telkomsel']")</f>
        <v>['Steady', 'love', 'box', 'gift', 'giga', 'love', 'borrow', 'quota', 'giga', 'mksh', 'telkomsel']</v>
      </c>
      <c r="D660" s="3">
        <v>5.0</v>
      </c>
    </row>
    <row r="661" ht="15.75" customHeight="1">
      <c r="A661" s="1">
        <v>689.0</v>
      </c>
      <c r="B661" s="3" t="s">
        <v>662</v>
      </c>
      <c r="C661" s="3" t="str">
        <f>IFERROR(__xludf.DUMMYFUNCTION("GOOGLETRANSLATE(B661,""id"",""en"")"),"['woy', 'loading', 'error', 'mulu', 'open', 'smooth', 'fast']")</f>
        <v>['woy', 'loading', 'error', 'mulu', 'open', 'smooth', 'fast']</v>
      </c>
      <c r="D661" s="3">
        <v>1.0</v>
      </c>
    </row>
    <row r="662" ht="15.75" customHeight="1">
      <c r="A662" s="1">
        <v>690.0</v>
      </c>
      <c r="B662" s="3" t="s">
        <v>663</v>
      </c>
      <c r="C662" s="3" t="str">
        <f>IFERROR(__xludf.DUMMYFUNCTION("GOOGLETRANSLATE(B662,""id"",""en"")"),"['Update', 'Difficult', 'Opened']")</f>
        <v>['Update', 'Difficult', 'Opened']</v>
      </c>
      <c r="D662" s="3">
        <v>1.0</v>
      </c>
    </row>
    <row r="663" ht="15.75" customHeight="1">
      <c r="A663" s="1">
        <v>691.0</v>
      </c>
      <c r="B663" s="3" t="s">
        <v>664</v>
      </c>
      <c r="C663" s="3" t="str">
        <f>IFERROR(__xludf.DUMMYFUNCTION("GOOGLETRANSLATE(B663,""id"",""en"")"),"['Open', 'MyTelkomsel', 'Use', 'Network', 'Provider', 'Next', 'Halamam', 'Load', 'Troubled', 'Anyway', 'Similar', 'Notif', ' But ',' Provider ',' Open ',' Fine ',' Fine ',' Network ',' Good ',' Plus', 'Contents',' Credit ',' Remnant ',' Access', 'Internet"&amp;"' , 'SIM', 'Sya', 'only', 'after', 'contents',' pulse ',' notif ',' access', 'internet', 'rates',' hello ',' gunain ',' SIM ',' Tsel ',' Internet ',' Credit ',' Cutting ',' Disappointing ']")</f>
        <v>['Open', 'MyTelkomsel', 'Use', 'Network', 'Provider', 'Next', 'Halamam', 'Load', 'Troubled', 'Anyway', 'Similar', 'Notif', ' But ',' Provider ',' Open ',' Fine ',' Fine ',' Network ',' Good ',' Plus', 'Contents',' Credit ',' Remnant ',' Access', 'Internet' , 'SIM', 'Sya', 'only', 'after', 'contents',' pulse ',' notif ',' access', 'internet', 'rates',' hello ',' gunain ',' SIM ',' Tsel ',' Internet ',' Credit ',' Cutting ',' Disappointing ']</v>
      </c>
      <c r="D663" s="3">
        <v>1.0</v>
      </c>
    </row>
    <row r="664" ht="15.75" customHeight="1">
      <c r="A664" s="1">
        <v>692.0</v>
      </c>
      <c r="B664" s="3" t="s">
        <v>665</v>
      </c>
      <c r="C664" s="3" t="str">
        <f>IFERROR(__xludf.DUMMYFUNCTION("GOOGLETRANSLATE(B664,""id"",""en"")"),"['Telkomsel', 'improvement', 'example', 'signal', 'price', 'quota', ""]")</f>
        <v>['Telkomsel', 'improvement', 'example', 'signal', 'price', 'quota', "]</v>
      </c>
      <c r="D664" s="3">
        <v>3.0</v>
      </c>
    </row>
    <row r="665" ht="15.75" customHeight="1">
      <c r="A665" s="1">
        <v>694.0</v>
      </c>
      <c r="B665" s="3" t="s">
        <v>666</v>
      </c>
      <c r="C665" s="3" t="str">
        <f>IFERROR(__xludf.DUMMYFUNCTION("GOOGLETRANSLATE(B665,""id"",""en"")"),"['The application', 'Ngadat', 'Emotion']")</f>
        <v>['The application', 'Ngadat', 'Emotion']</v>
      </c>
      <c r="D665" s="3">
        <v>1.0</v>
      </c>
    </row>
    <row r="666" ht="15.75" customHeight="1">
      <c r="A666" s="1">
        <v>695.0</v>
      </c>
      <c r="B666" s="3" t="s">
        <v>667</v>
      </c>
      <c r="C666" s="3" t="str">
        <f>IFERROR(__xludf.DUMMYFUNCTION("GOOGLETRANSLATE(B666,""id"",""en"")"),"['Easy', 'Cool', 'Promo']")</f>
        <v>['Easy', 'Cool', 'Promo']</v>
      </c>
      <c r="D666" s="3">
        <v>5.0</v>
      </c>
    </row>
    <row r="667" ht="15.75" customHeight="1">
      <c r="A667" s="1">
        <v>696.0</v>
      </c>
      <c r="B667" s="3" t="s">
        <v>668</v>
      </c>
      <c r="C667" s="3" t="str">
        <f>IFERROR(__xludf.DUMMYFUNCTION("GOOGLETRANSLATE(B667,""id"",""en"")"),"['Telkomsel', 'difficult', 'network', 'application', 'open', 'update', 'ttp', 'open', '']")</f>
        <v>['Telkomsel', 'difficult', 'network', 'application', 'open', 'update', 'ttp', 'open', '']</v>
      </c>
      <c r="D667" s="3">
        <v>2.0</v>
      </c>
    </row>
    <row r="668" ht="15.75" customHeight="1">
      <c r="A668" s="1">
        <v>697.0</v>
      </c>
      <c r="B668" s="3" t="s">
        <v>669</v>
      </c>
      <c r="C668" s="3" t="str">
        <f>IFERROR(__xludf.DUMMYFUNCTION("GOOGLETRANSLATE(B668,""id"",""en"")"),"['Buy', 'Package', 'Telkomsel', 'Entertainment', 'Game', 'Buy', 'Plus',' Diamond ',' MLBB ',' Diamond ',' Enter ',' Nihh ',' Severe ',' Abis', 'Credit', 'DPWT', 'Diomon']")</f>
        <v>['Buy', 'Package', 'Telkomsel', 'Entertainment', 'Game', 'Buy', 'Plus',' Diamond ',' MLBB ',' Diamond ',' Enter ',' Nihh ',' Severe ',' Abis', 'Credit', 'DPWT', 'Diomon']</v>
      </c>
      <c r="D668" s="3">
        <v>1.0</v>
      </c>
    </row>
    <row r="669" ht="15.75" customHeight="1">
      <c r="A669" s="1">
        <v>698.0</v>
      </c>
      <c r="B669" s="3" t="s">
        <v>670</v>
      </c>
      <c r="C669" s="3" t="str">
        <f>IFERROR(__xludf.DUMMYFUNCTION("GOOGLETRANSLATE(B669,""id"",""en"")"),"['buy', 'quota', 'cheap', 'red', 'install', 'application', 'family', '']")</f>
        <v>['buy', 'quota', 'cheap', 'red', 'install', 'application', 'family', '']</v>
      </c>
      <c r="D669" s="3">
        <v>5.0</v>
      </c>
    </row>
    <row r="670" ht="15.75" customHeight="1">
      <c r="A670" s="1">
        <v>699.0</v>
      </c>
      <c r="B670" s="3" t="s">
        <v>671</v>
      </c>
      <c r="C670" s="3" t="str">
        <f>IFERROR(__xludf.DUMMYFUNCTION("GOOGLETRANSLATE(B670,""id"",""en"")"),"['safe']")</f>
        <v>['safe']</v>
      </c>
      <c r="D670" s="3">
        <v>5.0</v>
      </c>
    </row>
    <row r="671" ht="15.75" customHeight="1">
      <c r="A671" s="1">
        <v>700.0</v>
      </c>
      <c r="B671" s="3" t="s">
        <v>672</v>
      </c>
      <c r="C671" s="3" t="str">
        <f>IFERROR(__xludf.DUMMYFUNCTION("GOOGLETRANSLATE(B671,""id"",""en"")"),"['', 'enter', 'error', 'mulu']")</f>
        <v>['', 'enter', 'error', 'mulu']</v>
      </c>
      <c r="D671" s="3">
        <v>1.0</v>
      </c>
    </row>
    <row r="672" ht="15.75" customHeight="1">
      <c r="A672" s="1">
        <v>701.0</v>
      </c>
      <c r="B672" s="3" t="s">
        <v>673</v>
      </c>
      <c r="C672" s="3" t="str">
        <f>IFERROR(__xludf.DUMMYFUNCTION("GOOGLETRANSLATE(B672,""id"",""en"")"),"['Good', 'really', 'Telkomsel']")</f>
        <v>['Good', 'really', 'Telkomsel']</v>
      </c>
      <c r="D672" s="3">
        <v>5.0</v>
      </c>
    </row>
    <row r="673" ht="15.75" customHeight="1">
      <c r="A673" s="1">
        <v>702.0</v>
      </c>
      <c r="B673" s="3" t="s">
        <v>674</v>
      </c>
      <c r="C673" s="3" t="str">
        <f>IFERROR(__xludf.DUMMYFUNCTION("GOOGLETRANSLATE(B673,""id"",""en"")"),"['Try', 'Application', 'Application', 'Bags']")</f>
        <v>['Try', 'Application', 'Application', 'Bags']</v>
      </c>
      <c r="D673" s="3">
        <v>5.0</v>
      </c>
    </row>
    <row r="674" ht="15.75" customHeight="1">
      <c r="A674" s="1">
        <v>703.0</v>
      </c>
      <c r="B674" s="3" t="s">
        <v>675</v>
      </c>
      <c r="C674" s="3" t="str">
        <f>IFERROR(__xludf.DUMMYFUNCTION("GOOGLETRANSLATE(B674,""id"",""en"")"),"['Good', 'fast', 'responsive', 'moment', 'hut', 'slow', 'good', 'slow', 'letoy', ""]")</f>
        <v>['Good', 'fast', 'responsive', 'moment', 'hut', 'slow', 'good', 'slow', 'letoy', "]</v>
      </c>
      <c r="D674" s="3">
        <v>3.0</v>
      </c>
    </row>
    <row r="675" ht="15.75" customHeight="1">
      <c r="A675" s="1">
        <v>704.0</v>
      </c>
      <c r="B675" s="3" t="s">
        <v>676</v>
      </c>
      <c r="C675" s="3" t="str">
        <f>IFERROR(__xludf.DUMMYFUNCTION("GOOGLETRANSLATE(B675,""id"",""en"")"),"['Telkomsel', 'signal', 'steady', 'obstacle']")</f>
        <v>['Telkomsel', 'signal', 'steady', 'obstacle']</v>
      </c>
      <c r="D675" s="3">
        <v>5.0</v>
      </c>
    </row>
    <row r="676" ht="15.75" customHeight="1">
      <c r="A676" s="1">
        <v>705.0</v>
      </c>
      <c r="B676" s="3" t="s">
        <v>677</v>
      </c>
      <c r="C676" s="3" t="str">
        <f>IFERROR(__xludf.DUMMYFUNCTION("GOOGLETRANSLATE(B676,""id"",""en"")"),"['Telkomsel']")</f>
        <v>['Telkomsel']</v>
      </c>
      <c r="D676" s="3">
        <v>5.0</v>
      </c>
    </row>
    <row r="677" ht="15.75" customHeight="1">
      <c r="A677" s="1">
        <v>706.0</v>
      </c>
      <c r="B677" s="3" t="s">
        <v>678</v>
      </c>
      <c r="C677" s="3" t="str">
        <f>IFERROR(__xludf.DUMMYFUNCTION("GOOGLETRANSLATE(B677,""id"",""en"")"),"['Current', 'dizzy', 'full', 'discount', 'points', 'abundant']")</f>
        <v>['Current', 'dizzy', 'full', 'discount', 'points', 'abundant']</v>
      </c>
      <c r="D677" s="3">
        <v>5.0</v>
      </c>
    </row>
    <row r="678" ht="15.75" customHeight="1">
      <c r="A678" s="1">
        <v>707.0</v>
      </c>
      <c r="B678" s="3" t="s">
        <v>679</v>
      </c>
      <c r="C678" s="3" t="str">
        <f>IFERROR(__xludf.DUMMYFUNCTION("GOOGLETRANSLATE(B678,""id"",""en"")"),"['Level', 'bonus']")</f>
        <v>['Level', 'bonus']</v>
      </c>
      <c r="D678" s="3">
        <v>4.0</v>
      </c>
    </row>
    <row r="679" ht="15.75" customHeight="1">
      <c r="A679" s="1">
        <v>708.0</v>
      </c>
      <c r="B679" s="3" t="s">
        <v>680</v>
      </c>
      <c r="C679" s="3" t="str">
        <f>IFERROR(__xludf.DUMMYFUNCTION("GOOGLETRANSLATE(B679,""id"",""en"")"),"['Package', 'Multimedia', 'YouTube', 'Function', 'It's', 'That's', 'Network', 'Leet', 'Really', 'Kayak', 'Gini']")</f>
        <v>['Package', 'Multimedia', 'YouTube', 'Function', 'It's', 'That's', 'Network', 'Leet', 'Really', 'Kayak', 'Gini']</v>
      </c>
      <c r="D679" s="3">
        <v>1.0</v>
      </c>
    </row>
    <row r="680" ht="15.75" customHeight="1">
      <c r="A680" s="1">
        <v>709.0</v>
      </c>
      <c r="B680" s="3" t="s">
        <v>681</v>
      </c>
      <c r="C680" s="3" t="str">
        <f>IFERROR(__xludf.DUMMYFUNCTION("GOOGLETRANSLATE(B680,""id"",""en"")"),"['Hopefully', 'Kulitas', 'Service', '']")</f>
        <v>['Hopefully', 'Kulitas', 'Service', '']</v>
      </c>
      <c r="D680" s="3">
        <v>5.0</v>
      </c>
    </row>
    <row r="681" ht="15.75" customHeight="1">
      <c r="A681" s="1">
        <v>710.0</v>
      </c>
      <c r="B681" s="3" t="s">
        <v>682</v>
      </c>
      <c r="C681" s="3" t="str">
        <f>IFERROR(__xludf.DUMMYFUNCTION("GOOGLETRANSLATE(B681,""id"",""en"")"),"['Login', 'code', 'OTP', 'simple', 'easy', 'rather than', 'link', 'complicated', 'card', ""]")</f>
        <v>['Login', 'code', 'OTP', 'simple', 'easy', 'rather than', 'link', 'complicated', 'card', "]</v>
      </c>
      <c r="D681" s="3">
        <v>5.0</v>
      </c>
    </row>
    <row r="682" ht="15.75" customHeight="1">
      <c r="A682" s="1">
        <v>711.0</v>
      </c>
      <c r="B682" s="3" t="s">
        <v>683</v>
      </c>
      <c r="C682" s="3" t="str">
        <f>IFERROR(__xludf.DUMMYFUNCTION("GOOGLETRANSLATE(B682,""id"",""en"")"),"['Unruk', 'access', 'Sometimes', 'slow', 'loading']")</f>
        <v>['Unruk', 'access', 'Sometimes', 'slow', 'loading']</v>
      </c>
      <c r="D682" s="3">
        <v>3.0</v>
      </c>
    </row>
    <row r="683" ht="15.75" customHeight="1">
      <c r="A683" s="1">
        <v>712.0</v>
      </c>
      <c r="B683" s="3" t="s">
        <v>684</v>
      </c>
      <c r="C683" s="3" t="str">
        <f>IFERROR(__xludf.DUMMYFUNCTION("GOOGLETRANSLATE(B683,""id"",""en"")"),"['application', 'easy', 'buy', 'palette', 'tlkkomsel', 'trimasi', 'work', 'samnya']")</f>
        <v>['application', 'easy', 'buy', 'palette', 'tlkkomsel', 'trimasi', 'work', 'samnya']</v>
      </c>
      <c r="D683" s="3">
        <v>3.0</v>
      </c>
    </row>
    <row r="684" ht="15.75" customHeight="1">
      <c r="A684" s="1">
        <v>713.0</v>
      </c>
      <c r="B684" s="3" t="s">
        <v>685</v>
      </c>
      <c r="C684" s="3" t="str">
        <f>IFERROR(__xludf.DUMMYFUNCTION("GOOGLETRANSLATE(B684,""id"",""en"")"),"['Cool', 'application']")</f>
        <v>['Cool', 'application']</v>
      </c>
      <c r="D684" s="3">
        <v>5.0</v>
      </c>
    </row>
    <row r="685" ht="15.75" customHeight="1">
      <c r="A685" s="1">
        <v>714.0</v>
      </c>
      <c r="B685" s="3" t="s">
        <v>686</v>
      </c>
      <c r="C685" s="3" t="str">
        <f>IFERROR(__xludf.DUMMYFUNCTION("GOOGLETRANSLATE(B685,""id"",""en"")"),"['min', 'apk', 'access', 'already', 'wait', 'white', 'that's', 'screen', 'right', 'open']")</f>
        <v>['min', 'apk', 'access', 'already', 'wait', 'white', 'that's', 'screen', 'right', 'open']</v>
      </c>
      <c r="D685" s="3">
        <v>4.0</v>
      </c>
    </row>
    <row r="686" ht="15.75" customHeight="1">
      <c r="A686" s="1">
        <v>715.0</v>
      </c>
      <c r="B686" s="3" t="s">
        <v>687</v>
      </c>
      <c r="C686" s="3" t="str">
        <f>IFERROR(__xludf.DUMMYFUNCTION("GOOGLETRANSLATE(B686,""id"",""en"")"),"['package', 'emergency']")</f>
        <v>['package', 'emergency']</v>
      </c>
      <c r="D686" s="3">
        <v>1.0</v>
      </c>
    </row>
    <row r="687" ht="15.75" customHeight="1">
      <c r="A687" s="1">
        <v>716.0</v>
      </c>
      <c r="B687" s="3" t="s">
        <v>688</v>
      </c>
      <c r="C687" s="3" t="str">
        <f>IFERROR(__xludf.DUMMYFUNCTION("GOOGLETRANSLATE(B687,""id"",""en"")"),"['efficient', 'help']")</f>
        <v>['efficient', 'help']</v>
      </c>
      <c r="D687" s="3">
        <v>5.0</v>
      </c>
    </row>
    <row r="688" ht="15.75" customHeight="1">
      <c r="A688" s="1">
        <v>717.0</v>
      </c>
      <c r="B688" s="3" t="s">
        <v>689</v>
      </c>
      <c r="C688" s="3" t="str">
        <f>IFERROR(__xludf.DUMMYFUNCTION("GOOGLETRANSLATE(B688,""id"",""en"")"),"['Steady', 'Fix', 'Develop']")</f>
        <v>['Steady', 'Fix', 'Develop']</v>
      </c>
      <c r="D688" s="3">
        <v>4.0</v>
      </c>
    </row>
    <row r="689" ht="15.75" customHeight="1">
      <c r="A689" s="1">
        <v>718.0</v>
      </c>
      <c r="B689" s="3" t="s">
        <v>690</v>
      </c>
      <c r="C689" s="3" t="str">
        <f>IFERROR(__xludf.DUMMYFUNCTION("GOOGLETRANSLATE(B689,""id"",""en"")"),"['dilapidated', 'dilapidated', 'package', 'doang', 'expensive', 'network', 'kaga']")</f>
        <v>['dilapidated', 'dilapidated', 'package', 'doang', 'expensive', 'network', 'kaga']</v>
      </c>
      <c r="D689" s="3">
        <v>2.0</v>
      </c>
    </row>
    <row r="690" ht="15.75" customHeight="1">
      <c r="A690" s="1">
        <v>719.0</v>
      </c>
      <c r="B690" s="3" t="s">
        <v>691</v>
      </c>
      <c r="C690" s="3" t="str">
        <f>IFERROR(__xludf.DUMMYFUNCTION("GOOGLETRANSLATE(B690,""id"",""en"")"),"['Package', 'expensive', 'bro']")</f>
        <v>['Package', 'expensive', 'bro']</v>
      </c>
      <c r="D690" s="3">
        <v>4.0</v>
      </c>
    </row>
    <row r="691" ht="15.75" customHeight="1">
      <c r="A691" s="1">
        <v>720.0</v>
      </c>
      <c r="B691" s="3" t="s">
        <v>692</v>
      </c>
      <c r="C691" s="3" t="str">
        <f>IFERROR(__xludf.DUMMYFUNCTION("GOOGLETRANSLATE(B691,""id"",""en"")"),"['Most', 'reload', 'repairs', 'System', 'Mulu']")</f>
        <v>['Most', 'reload', 'repairs', 'System', 'Mulu']</v>
      </c>
      <c r="D691" s="3">
        <v>1.0</v>
      </c>
    </row>
    <row r="692" ht="15.75" customHeight="1">
      <c r="A692" s="1">
        <v>722.0</v>
      </c>
      <c r="B692" s="3" t="s">
        <v>693</v>
      </c>
      <c r="C692" s="3" t="str">
        <f>IFERROR(__xludf.DUMMYFUNCTION("GOOGLETRANSLATE(B692,""id"",""en"")"),"['What', 'already', 'buy', 'package', 'unlimited', 'reduced', 'package', 'previous',' update ',' kayak ',' that's', 'already', ' buy ',' package ',' internet ',' expensive ',' run out ',' leftover ',' package ',' interent ',' MB ',' use ',' buy ',' packag"&amp;"e ',' unlimited ' , 'Reduced', 'Package', 'main']")</f>
        <v>['What', 'already', 'buy', 'package', 'unlimited', 'reduced', 'package', 'previous',' update ',' kayak ',' that's', 'already', ' buy ',' package ',' internet ',' expensive ',' run out ',' leftover ',' package ',' interent ',' MB ',' use ',' buy ',' package ',' unlimited ' , 'Reduced', 'Package', 'main']</v>
      </c>
      <c r="D692" s="3">
        <v>1.0</v>
      </c>
    </row>
    <row r="693" ht="15.75" customHeight="1">
      <c r="A693" s="1">
        <v>723.0</v>
      </c>
      <c r="B693" s="3" t="s">
        <v>694</v>
      </c>
      <c r="C693" s="3" t="str">
        <f>IFERROR(__xludf.DUMMYFUNCTION("GOOGLETRANSLATE(B693,""id"",""en"")"),"['Developer', 'Please', 'Fix', 'installed', 'Android', '']")</f>
        <v>['Developer', 'Please', 'Fix', 'installed', 'Android', '']</v>
      </c>
      <c r="D693" s="3">
        <v>2.0</v>
      </c>
    </row>
    <row r="694" ht="15.75" customHeight="1">
      <c r="A694" s="1">
        <v>724.0</v>
      </c>
      <c r="B694" s="3" t="s">
        <v>695</v>
      </c>
      <c r="C694" s="3" t="str">
        <f>IFERROR(__xludf.DUMMYFUNCTION("GOOGLETRANSLATE(B694,""id"",""en"")"),"['my apk', 'bgus', 'bangettt']")</f>
        <v>['my apk', 'bgus', 'bangettt']</v>
      </c>
      <c r="D694" s="3">
        <v>5.0</v>
      </c>
    </row>
    <row r="695" ht="15.75" customHeight="1">
      <c r="A695" s="1">
        <v>725.0</v>
      </c>
      <c r="B695" s="3" t="s">
        <v>696</v>
      </c>
      <c r="C695" s="3" t="str">
        <f>IFERROR(__xludf.DUMMYFUNCTION("GOOGLETRANSLATE(B695,""id"",""en"")"),"['signal', 'ugly', 'bad', 'setabilia', 'complement', 'apps',' fix ',' love ',' told ',' buy ',' package ',' sense ',' kouta ',' buwat ',' play ',' game ']")</f>
        <v>['signal', 'ugly', 'bad', 'setabilia', 'complement', 'apps',' fix ',' love ',' told ',' buy ',' package ',' sense ',' kouta ',' buwat ',' play ',' game ']</v>
      </c>
      <c r="D695" s="3">
        <v>1.0</v>
      </c>
    </row>
    <row r="696" ht="15.75" customHeight="1">
      <c r="A696" s="1">
        <v>726.0</v>
      </c>
      <c r="B696" s="3" t="s">
        <v>697</v>
      </c>
      <c r="C696" s="3" t="str">
        <f>IFERROR(__xludf.DUMMYFUNCTION("GOOGLETRANSLATE(B696,""id"",""en"")"),"['giveaway', 'KPD', 'Customer', 'Telkomsel', 'Mantabp', 'Pisan', 'Certainly']")</f>
        <v>['giveaway', 'KPD', 'Customer', 'Telkomsel', 'Mantabp', 'Pisan', 'Certainly']</v>
      </c>
      <c r="D696" s="3">
        <v>4.0</v>
      </c>
    </row>
    <row r="697" ht="15.75" customHeight="1">
      <c r="A697" s="1">
        <v>727.0</v>
      </c>
      <c r="B697" s="3" t="s">
        <v>698</v>
      </c>
      <c r="C697" s="3" t="str">
        <f>IFERROR(__xludf.DUMMYFUNCTION("GOOGLETRANSLATE(B697,""id"",""en"")"),"['why', 'like', 'update', 'Please', 'Increase', 'Sinyaa', 'Untung', 'Region', 'Bandung', 'Kosambi']")</f>
        <v>['why', 'like', 'update', 'Please', 'Increase', 'Sinyaa', 'Untung', 'Region', 'Bandung', 'Kosambi']</v>
      </c>
      <c r="D697" s="3">
        <v>5.0</v>
      </c>
    </row>
    <row r="698" ht="15.75" customHeight="1">
      <c r="A698" s="1">
        <v>728.0</v>
      </c>
      <c r="B698" s="3" t="s">
        <v>699</v>
      </c>
      <c r="C698" s="3" t="str">
        <f>IFERROR(__xludf.DUMMYFUNCTION("GOOGLETRANSLATE(B698,""id"",""en"")"),"['Good', 'like', '']")</f>
        <v>['Good', 'like', '']</v>
      </c>
      <c r="D698" s="3">
        <v>5.0</v>
      </c>
    </row>
    <row r="699" ht="15.75" customHeight="1">
      <c r="A699" s="1">
        <v>729.0</v>
      </c>
      <c r="B699" s="3" t="s">
        <v>700</v>
      </c>
      <c r="C699" s="3" t="str">
        <f>IFERROR(__xludf.DUMMYFUNCTION("GOOGLETRANSLATE(B699,""id"",""en"")"),"['Ngak', 'open', 'APK', 'here', 'ngak', 'Telkomsel', '']")</f>
        <v>['Ngak', 'open', 'APK', 'here', 'ngak', 'Telkomsel', '']</v>
      </c>
      <c r="D699" s="3">
        <v>1.0</v>
      </c>
    </row>
    <row r="700" ht="15.75" customHeight="1">
      <c r="A700" s="1">
        <v>730.0</v>
      </c>
      <c r="B700" s="3" t="s">
        <v>701</v>
      </c>
      <c r="C700" s="3" t="str">
        <f>IFERROR(__xludf.DUMMYFUNCTION("GOOGLETRANSLATE(B700,""id"",""en"")"),"['Hello', 'Sis', 'Points', 'exchanged', 'Degan', 'Credit', 'Regular']")</f>
        <v>['Hello', 'Sis', 'Points', 'exchanged', 'Degan', 'Credit', 'Regular']</v>
      </c>
      <c r="D700" s="3">
        <v>1.0</v>
      </c>
    </row>
    <row r="701" ht="15.75" customHeight="1">
      <c r="A701" s="1">
        <v>732.0</v>
      </c>
      <c r="B701" s="3" t="s">
        <v>702</v>
      </c>
      <c r="C701" s="3" t="str">
        <f>IFERROR(__xludf.DUMMYFUNCTION("GOOGLETRANSLATE(B701,""id"",""en"")"),"['Comfortable', 'Application', 'Disappointing', '']")</f>
        <v>['Comfortable', 'Application', 'Disappointing', '']</v>
      </c>
      <c r="D701" s="3">
        <v>1.0</v>
      </c>
    </row>
    <row r="702" ht="15.75" customHeight="1">
      <c r="A702" s="1">
        <v>733.0</v>
      </c>
      <c r="B702" s="3" t="s">
        <v>636</v>
      </c>
      <c r="C702" s="3" t="str">
        <f>IFERROR(__xludf.DUMMYFUNCTION("GOOGLETRANSLATE(B702,""id"",""en"")"),"['The application', 'Good', '']")</f>
        <v>['The application', 'Good', '']</v>
      </c>
      <c r="D702" s="3">
        <v>4.0</v>
      </c>
    </row>
    <row r="703" ht="15.75" customHeight="1">
      <c r="A703" s="1">
        <v>734.0</v>
      </c>
      <c r="B703" s="3" t="s">
        <v>703</v>
      </c>
      <c r="C703" s="3" t="str">
        <f>IFERROR(__xludf.DUMMYFUNCTION("GOOGLETRANSLATE(B703,""id"",""en"")"),"['Ajah', 'dlu', 'try']")</f>
        <v>['Ajah', 'dlu', 'try']</v>
      </c>
      <c r="D703" s="3">
        <v>3.0</v>
      </c>
    </row>
    <row r="704" ht="15.75" customHeight="1">
      <c r="A704" s="1">
        <v>735.0</v>
      </c>
      <c r="B704" s="3" t="s">
        <v>704</v>
      </c>
      <c r="C704" s="3" t="str">
        <f>IFERROR(__xludf.DUMMYFUNCTION("GOOGLETRANSLATE(B704,""id"",""en"")"),"['Help', 'steady']")</f>
        <v>['Help', 'steady']</v>
      </c>
      <c r="D704" s="3">
        <v>5.0</v>
      </c>
    </row>
    <row r="705" ht="15.75" customHeight="1">
      <c r="A705" s="1">
        <v>737.0</v>
      </c>
      <c r="B705" s="3" t="s">
        <v>705</v>
      </c>
      <c r="C705" s="3" t="str">
        <f>IFERROR(__xludf.DUMMYFUNCTION("GOOGLETRANSLATE(B705,""id"",""en"")"),"['Trllu', 'Select', 'SMA', 'Customer', 'EIAP', 'NOMER', 'Different', 'Offer', 'Knp', 'Fair', 'Buy', 'Bkn', ' ']")</f>
        <v>['Trllu', 'Select', 'SMA', 'Customer', 'EIAP', 'NOMER', 'Different', 'Offer', 'Knp', 'Fair', 'Buy', 'Bkn', ' ']</v>
      </c>
      <c r="D705" s="3">
        <v>1.0</v>
      </c>
    </row>
    <row r="706" ht="15.75" customHeight="1">
      <c r="A706" s="1">
        <v>738.0</v>
      </c>
      <c r="B706" s="3" t="s">
        <v>706</v>
      </c>
      <c r="C706" s="3" t="str">
        <f>IFERROR(__xludf.DUMMYFUNCTION("GOOGLETRANSLATE(B706,""id"",""en"")"),"['hope', 'can', 'gift']")</f>
        <v>['hope', 'can', 'gift']</v>
      </c>
      <c r="D706" s="3">
        <v>5.0</v>
      </c>
    </row>
    <row r="707" ht="15.75" customHeight="1">
      <c r="A707" s="1">
        <v>739.0</v>
      </c>
      <c r="B707" s="3" t="s">
        <v>707</v>
      </c>
      <c r="C707" s="3" t="str">
        <f>IFERROR(__xludf.DUMMYFUNCTION("GOOGLETRANSLATE(B707,""id"",""en"")"),"['inexpensive']")</f>
        <v>['inexpensive']</v>
      </c>
      <c r="D707" s="3">
        <v>5.0</v>
      </c>
    </row>
    <row r="708" ht="15.75" customHeight="1">
      <c r="A708" s="1">
        <v>740.0</v>
      </c>
      <c r="B708" s="3" t="s">
        <v>708</v>
      </c>
      <c r="C708" s="3" t="str">
        <f>IFERROR(__xludf.DUMMYFUNCTION("GOOGLETRANSLATE(B708,""id"",""en"")"),"['The application', 'Good', 'Helping', 'Thank you', 'Telkomsel', ""]")</f>
        <v>['The application', 'Good', 'Helping', 'Thank you', 'Telkomsel', "]</v>
      </c>
      <c r="D708" s="3">
        <v>5.0</v>
      </c>
    </row>
    <row r="709" ht="15.75" customHeight="1">
      <c r="A709" s="1">
        <v>741.0</v>
      </c>
      <c r="B709" s="3" t="s">
        <v>709</v>
      </c>
      <c r="C709" s="3" t="str">
        <f>IFERROR(__xludf.DUMMYFUNCTION("GOOGLETRANSLATE(B709,""id"",""en"")"),"['application', 'bad', 'system', 'can', 'can', 'credit', 'emergency', 'pay', 'send', 'sms',' klu ',' pulse ',' emergency ',' BLM ',' pay ',' sympathy ',' BUMN ',' fooling ']")</f>
        <v>['application', 'bad', 'system', 'can', 'can', 'credit', 'emergency', 'pay', 'send', 'sms',' klu ',' pulse ',' emergency ',' BLM ',' pay ',' sympathy ',' BUMN ',' fooling ']</v>
      </c>
      <c r="D709" s="3">
        <v>1.0</v>
      </c>
    </row>
    <row r="710" ht="15.75" customHeight="1">
      <c r="A710" s="1">
        <v>742.0</v>
      </c>
      <c r="B710" s="3" t="s">
        <v>409</v>
      </c>
      <c r="C710" s="3" t="str">
        <f>IFERROR(__xludf.DUMMYFUNCTION("GOOGLETRANSLATE(B710,""id"",""en"")"),"['easy']")</f>
        <v>['easy']</v>
      </c>
      <c r="D710" s="3">
        <v>5.0</v>
      </c>
    </row>
    <row r="711" ht="15.75" customHeight="1">
      <c r="A711" s="1">
        <v>743.0</v>
      </c>
      <c r="B711" s="3" t="s">
        <v>710</v>
      </c>
      <c r="C711" s="3" t="str">
        <f>IFERROR(__xludf.DUMMYFUNCTION("GOOGLETRANSLATE(B711,""id"",""en"")"),"['Most', 'disorder', 'bacikk']")</f>
        <v>['Most', 'disorder', 'bacikk']</v>
      </c>
      <c r="D711" s="3">
        <v>5.0</v>
      </c>
    </row>
    <row r="712" ht="15.75" customHeight="1">
      <c r="A712" s="1">
        <v>744.0</v>
      </c>
      <c r="B712" s="3" t="s">
        <v>711</v>
      </c>
      <c r="C712" s="3" t="str">
        <f>IFERROR(__xludf.DUMMYFUNCTION("GOOGLETRANSLATE(B712,""id"",""en"")"),"['', 'buy', 'package', 'internet', 'application', 'system', 'improvement', 'price', 'expensive', 'according to', 'the application', 'longing', 'Telkomsel ',' Really ',' Telkomsel ',' good ',' really ',' surgery ']")</f>
        <v>['', 'buy', 'package', 'internet', 'application', 'system', 'improvement', 'price', 'expensive', 'according to', 'the application', 'longing', 'Telkomsel ',' Really ',' Telkomsel ',' good ',' really ',' surgery ']</v>
      </c>
      <c r="D712" s="3">
        <v>1.0</v>
      </c>
    </row>
    <row r="713" ht="15.75" customHeight="1">
      <c r="A713" s="1">
        <v>746.0</v>
      </c>
      <c r="B713" s="3" t="s">
        <v>712</v>
      </c>
      <c r="C713" s="3" t="str">
        <f>IFERROR(__xludf.DUMMYFUNCTION("GOOGLETRANSLATE(B713,""id"",""en"")"),"['Price', 'cheap', 'love']")</f>
        <v>['Price', 'cheap', 'love']</v>
      </c>
      <c r="D713" s="3">
        <v>5.0</v>
      </c>
    </row>
    <row r="714" ht="15.75" customHeight="1">
      <c r="A714" s="1">
        <v>747.0</v>
      </c>
      <c r="B714" s="3" t="s">
        <v>713</v>
      </c>
      <c r="C714" s="3" t="str">
        <f>IFERROR(__xludf.DUMMYFUNCTION("GOOGLETRANSLATE(B714,""id"",""en"")"),"['buy', 'package', 'emergency', 'active', 'how']")</f>
        <v>['buy', 'package', 'emergency', 'active', 'how']</v>
      </c>
      <c r="D714" s="3">
        <v>1.0</v>
      </c>
    </row>
    <row r="715" ht="15.75" customHeight="1">
      <c r="A715" s="1">
        <v>748.0</v>
      </c>
      <c r="B715" s="3" t="s">
        <v>714</v>
      </c>
      <c r="C715" s="3" t="str">
        <f>IFERROR(__xludf.DUMMYFUNCTION("GOOGLETRANSLATE(B715,""id"",""en"")"),"['blank', 'white', 'mulu', 'application']")</f>
        <v>['blank', 'white', 'mulu', 'application']</v>
      </c>
      <c r="D715" s="3">
        <v>1.0</v>
      </c>
    </row>
    <row r="716" ht="15.75" customHeight="1">
      <c r="A716" s="1">
        <v>749.0</v>
      </c>
      <c r="B716" s="3" t="s">
        <v>715</v>
      </c>
      <c r="C716" s="3" t="str">
        <f>IFERROR(__xludf.DUMMYFUNCTION("GOOGLETRANSLATE(B716,""id"",""en"")"),"['sayah', 'Thank you', 'Telkomsel']")</f>
        <v>['sayah', 'Thank you', 'Telkomsel']</v>
      </c>
      <c r="D716" s="3">
        <v>5.0</v>
      </c>
    </row>
    <row r="717" ht="15.75" customHeight="1">
      <c r="A717" s="1">
        <v>750.0</v>
      </c>
      <c r="B717" s="3" t="s">
        <v>716</v>
      </c>
      <c r="C717" s="3" t="str">
        <f>IFERROR(__xludf.DUMMYFUNCTION("GOOGLETRANSLATE(B717,""id"",""en"")"),"['Leet', 'bnget', 'skrang', 'signal', 'full', 'ngeecewain', 'open', 'application', 'tlkmsl', 'quota', 'bnyaaaaaaaaah' payaaaaaaaaah ' ']")</f>
        <v>['Leet', 'bnget', 'skrang', 'signal', 'full', 'ngeecewain', 'open', 'application', 'tlkmsl', 'quota', 'bnyaaaaaaaaah' payaaaaaaaaah ' ']</v>
      </c>
      <c r="D717" s="3">
        <v>4.0</v>
      </c>
    </row>
    <row r="718" ht="15.75" customHeight="1">
      <c r="A718" s="1">
        <v>751.0</v>
      </c>
      <c r="B718" s="3" t="s">
        <v>717</v>
      </c>
      <c r="C718" s="3" t="str">
        <f>IFERROR(__xludf.DUMMYFUNCTION("GOOGLETRANSLATE(B718,""id"",""en"")"),"['', 'Telkomsel', 'dream']")</f>
        <v>['', 'Telkomsel', 'dream']</v>
      </c>
      <c r="D718" s="3">
        <v>5.0</v>
      </c>
    </row>
    <row r="719" ht="15.75" customHeight="1">
      <c r="A719" s="1">
        <v>752.0</v>
      </c>
      <c r="B719" s="3" t="s">
        <v>718</v>
      </c>
      <c r="C719" s="3" t="str">
        <f>IFERROR(__xludf.DUMMYFUNCTION("GOOGLETRANSLATE(B719,""id"",""en"")"),"['Region', 'Buton', 'North', 'Village', 'Affordable', 'Netting', 'Signal']")</f>
        <v>['Region', 'Buton', 'North', 'Village', 'Affordable', 'Netting', 'Signal']</v>
      </c>
      <c r="D719" s="3">
        <v>5.0</v>
      </c>
    </row>
    <row r="720" ht="15.75" customHeight="1">
      <c r="A720" s="1">
        <v>753.0</v>
      </c>
      <c r="B720" s="3" t="s">
        <v>719</v>
      </c>
      <c r="C720" s="3" t="str">
        <f>IFERROR(__xludf.DUMMYFUNCTION("GOOGLETRANSLATE(B720,""id"",""en"")"),"['Star', 'service', 'security', 'steady', 'stay', 'obstacles',' network ',' down ',' telkom ',' help ',' wifi ',' indihome ',' msh ',' lag ',' sometimes', 'play', 'game', 'network', 'difficult', '']")</f>
        <v>['Star', 'service', 'security', 'steady', 'stay', 'obstacles',' network ',' down ',' telkom ',' help ',' wifi ',' indihome ',' msh ',' lag ',' sometimes', 'play', 'game', 'network', 'difficult', '']</v>
      </c>
      <c r="D720" s="3">
        <v>4.0</v>
      </c>
    </row>
    <row r="721" ht="15.75" customHeight="1">
      <c r="A721" s="1">
        <v>754.0</v>
      </c>
      <c r="B721" s="3" t="s">
        <v>720</v>
      </c>
      <c r="C721" s="3" t="str">
        <f>IFERROR(__xludf.DUMMYFUNCTION("GOOGLETRANSLATE(B721,""id"",""en"")"),"['network', 'disruption', 'annoying', 'dead', 'lights',' network ',' total ',' sometimes', 'dead', 'lights',' disorder ',' really ',' disturbance', '']")</f>
        <v>['network', 'disruption', 'annoying', 'dead', 'lights',' network ',' total ',' sometimes', 'dead', 'lights',' disorder ',' really ',' disturbance', '']</v>
      </c>
      <c r="D721" s="3">
        <v>1.0</v>
      </c>
    </row>
    <row r="722" ht="15.75" customHeight="1">
      <c r="A722" s="1">
        <v>755.0</v>
      </c>
      <c r="B722" s="3" t="s">
        <v>721</v>
      </c>
      <c r="C722" s="3" t="str">
        <f>IFERROR(__xludf.DUMMYFUNCTION("GOOGLETRANSLATE(B722,""id"",""en"")"),"['Telkomsel', 'Best', 'users', 'Telkomsel', 'loyal', 'Karna', 'Network', 'Good']")</f>
        <v>['Telkomsel', 'Best', 'users', 'Telkomsel', 'loyal', 'Karna', 'Network', 'Good']</v>
      </c>
      <c r="D722" s="3">
        <v>5.0</v>
      </c>
    </row>
    <row r="723" ht="15.75" customHeight="1">
      <c r="A723" s="1">
        <v>756.0</v>
      </c>
      <c r="B723" s="3" t="s">
        <v>722</v>
      </c>
      <c r="C723" s="3" t="str">
        <f>IFERROR(__xludf.DUMMYFUNCTION("GOOGLETRANSLATE(B723,""id"",""en"")"),"['Package', 'Cheap', 'Application', 'Gift', 'Gift']")</f>
        <v>['Package', 'Cheap', 'Application', 'Gift', 'Gift']</v>
      </c>
      <c r="D723" s="3">
        <v>5.0</v>
      </c>
    </row>
    <row r="724" ht="15.75" customHeight="1">
      <c r="A724" s="1">
        <v>757.0</v>
      </c>
      <c r="B724" s="3" t="s">
        <v>723</v>
      </c>
      <c r="C724" s="3" t="str">
        <f>IFERROR(__xludf.DUMMYFUNCTION("GOOGLETRANSLATE(B724,""id"",""en"")"),"['Good', 'like', 'error']")</f>
        <v>['Good', 'like', 'error']</v>
      </c>
      <c r="D724" s="3">
        <v>4.0</v>
      </c>
    </row>
    <row r="725" ht="15.75" customHeight="1">
      <c r="A725" s="1">
        <v>758.0</v>
      </c>
      <c r="B725" s="3" t="s">
        <v>724</v>
      </c>
      <c r="C725" s="3" t="str">
        <f>IFERROR(__xludf.DUMMYFUNCTION("GOOGLETRANSLATE(B725,""id"",""en"")"),"['Pekahhhh', 'Telkomsel', 'cave', 'Decide', 'seconds', 'move', 'oprator', '']")</f>
        <v>['Pekahhhh', 'Telkomsel', 'cave', 'Decide', 'seconds', 'move', 'oprator', '']</v>
      </c>
      <c r="D725" s="3">
        <v>2.0</v>
      </c>
    </row>
    <row r="726" ht="15.75" customHeight="1">
      <c r="A726" s="1">
        <v>759.0</v>
      </c>
      <c r="B726" s="3" t="s">
        <v>725</v>
      </c>
      <c r="C726" s="3" t="str">
        <f>IFERROR(__xludf.DUMMYFUNCTION("GOOGLETRANSLATE(B726,""id"",""en"")"),"['', 'already', 'a week', 'package', 'taste', 'package', 'actually', 'wrong', ""]")</f>
        <v>['', 'already', 'a week', 'package', 'taste', 'package', 'actually', 'wrong', "]</v>
      </c>
      <c r="D726" s="3">
        <v>1.0</v>
      </c>
    </row>
    <row r="727" ht="15.75" customHeight="1">
      <c r="A727" s="1">
        <v>760.0</v>
      </c>
      <c r="B727" s="3" t="s">
        <v>726</v>
      </c>
      <c r="C727" s="3" t="str">
        <f>IFERROR(__xludf.DUMMYFUNCTION("GOOGLETRANSLATE(B727,""id"",""en"")"),"['connection', 'slow']")</f>
        <v>['connection', 'slow']</v>
      </c>
      <c r="D727" s="3">
        <v>1.0</v>
      </c>
    </row>
    <row r="728" ht="15.75" customHeight="1">
      <c r="A728" s="1">
        <v>761.0</v>
      </c>
      <c r="B728" s="3" t="s">
        <v>727</v>
      </c>
      <c r="C728" s="3" t="str">
        <f>IFERROR(__xludf.DUMMYFUNCTION("GOOGLETRANSLATE(B728,""id"",""en"")"),"['hope', 'cheap', 'package', '']")</f>
        <v>['hope', 'cheap', 'package', '']</v>
      </c>
      <c r="D728" s="3">
        <v>5.0</v>
      </c>
    </row>
    <row r="729" ht="15.75" customHeight="1">
      <c r="A729" s="1">
        <v>763.0</v>
      </c>
      <c r="B729" s="3" t="s">
        <v>728</v>
      </c>
      <c r="C729" s="3" t="str">
        <f>IFERROR(__xludf.DUMMYFUNCTION("GOOGLETRANSLATE(B729,""id"",""en"")"),"['The price', 'expensive', 'network', 'chaotic', 'chaotic', 'company', 'BUMN', 'Mending', 'private', 'smooth', 'balikpapan']")</f>
        <v>['The price', 'expensive', 'network', 'chaotic', 'chaotic', 'company', 'BUMN', 'Mending', 'private', 'smooth', 'balikpapan']</v>
      </c>
      <c r="D729" s="3">
        <v>1.0</v>
      </c>
    </row>
    <row r="730" ht="15.75" customHeight="1">
      <c r="A730" s="1">
        <v>764.0</v>
      </c>
      <c r="B730" s="3" t="s">
        <v>729</v>
      </c>
      <c r="C730" s="3" t="str">
        <f>IFERROR(__xludf.DUMMYFUNCTION("GOOGLETRANSLATE(B730,""id"",""en"")"),"['already', 'try', 'a few', 'times',' open ',' Telkomsel ',' tetihat ',' white ',' boro ',' boro ',' open ',' pulse ',' Stone ',' Fill ',' Sucked ',' Service ',' Karuan ', ""]")</f>
        <v>['already', 'try', 'a few', 'times',' open ',' Telkomsel ',' tetihat ',' white ',' boro ',' boro ',' open ',' pulse ',' Stone ',' Fill ',' Sucked ',' Service ',' Karuan ', "]</v>
      </c>
      <c r="D730" s="3">
        <v>1.0</v>
      </c>
    </row>
    <row r="731" ht="15.75" customHeight="1">
      <c r="A731" s="1">
        <v>765.0</v>
      </c>
      <c r="B731" s="3" t="s">
        <v>730</v>
      </c>
      <c r="C731" s="3" t="str">
        <f>IFERROR(__xludf.DUMMYFUNCTION("GOOGLETRANSLATE(B731,""id"",""en"")"),"['Network', 'rotten']")</f>
        <v>['Network', 'rotten']</v>
      </c>
      <c r="D731" s="3">
        <v>1.0</v>
      </c>
    </row>
    <row r="732" ht="15.75" customHeight="1">
      <c r="A732" s="1">
        <v>766.0</v>
      </c>
      <c r="B732" s="3" t="s">
        <v>731</v>
      </c>
      <c r="C732" s="3" t="str">
        <f>IFERROR(__xludf.DUMMYFUNCTION("GOOGLETRANSLATE(B732,""id"",""en"")"),"['Steady', 'rent', 'car', 'Bangka', 'Come', 'Safe', 'Comfortable', 'friendly', 'clean']")</f>
        <v>['Steady', 'rent', 'car', 'Bangka', 'Come', 'Safe', 'Comfortable', 'friendly', 'clean']</v>
      </c>
      <c r="D732" s="3">
        <v>5.0</v>
      </c>
    </row>
    <row r="733" ht="15.75" customHeight="1">
      <c r="A733" s="1">
        <v>767.0</v>
      </c>
      <c r="B733" s="3" t="s">
        <v>732</v>
      </c>
      <c r="C733" s="3" t="str">
        <f>IFERROR(__xludf.DUMMYFUNCTION("GOOGLETRANSLATE(B733,""id"",""en"")"),"['why', 'Nkakk', 'can', 'log', 'Woyy', 'msHh', 'network', 'trusss']")</f>
        <v>['why', 'Nkakk', 'can', 'log', 'Woyy', 'msHh', 'network', 'trusss']</v>
      </c>
      <c r="D733" s="3">
        <v>1.0</v>
      </c>
    </row>
    <row r="734" ht="15.75" customHeight="1">
      <c r="A734" s="1">
        <v>768.0</v>
      </c>
      <c r="B734" s="3" t="s">
        <v>733</v>
      </c>
      <c r="C734" s="3" t="str">
        <f>IFERROR(__xludf.DUMMYFUNCTION("GOOGLETRANSLATE(B734,""id"",""en"")"),"['Troubled', 'signal']")</f>
        <v>['Troubled', 'signal']</v>
      </c>
      <c r="D734" s="3">
        <v>3.0</v>
      </c>
    </row>
    <row r="735" ht="15.75" customHeight="1">
      <c r="A735" s="1">
        <v>769.0</v>
      </c>
      <c r="B735" s="3" t="s">
        <v>734</v>
      </c>
      <c r="C735" s="3" t="str">
        <f>IFERROR(__xludf.DUMMYFUNCTION("GOOGLETRANSLATE(B735,""id"",""en"")"),"['bad']")</f>
        <v>['bad']</v>
      </c>
      <c r="D735" s="3">
        <v>1.0</v>
      </c>
    </row>
    <row r="736" ht="15.75" customHeight="1">
      <c r="A736" s="1">
        <v>771.0</v>
      </c>
      <c r="B736" s="3" t="s">
        <v>735</v>
      </c>
      <c r="C736" s="3" t="str">
        <f>IFERROR(__xludf.DUMMYFUNCTION("GOOGLETRANSLATE(B736,""id"",""en"")"),"['good', 'application', 'price', 'top', 'Telkomsel', 'expensive', 'uda', 'gtu', 'tax', 'expensive', 'mintak', 'APUN', ' I think ',' Application ',' Good ',' Rupa ',' Crushkn ',' Wallet ']")</f>
        <v>['good', 'application', 'price', 'top', 'Telkomsel', 'expensive', 'uda', 'gtu', 'tax', 'expensive', 'mintak', 'APUN', ' I think ',' Application ',' Good ',' Rupa ',' Crushkn ',' Wallet ']</v>
      </c>
      <c r="D736" s="3">
        <v>1.0</v>
      </c>
    </row>
    <row r="737" ht="15.75" customHeight="1">
      <c r="A737" s="1">
        <v>772.0</v>
      </c>
      <c r="B737" s="3" t="s">
        <v>736</v>
      </c>
      <c r="C737" s="3" t="str">
        <f>IFERROR(__xludf.DUMMYFUNCTION("GOOGLETRANSLATE(B737,""id"",""en"")"),"['Errr', 'gabisa', 'entered', 'as soon as', 'nast', 'buy', 'server', 'disconnected']")</f>
        <v>['Errr', 'gabisa', 'entered', 'as soon as', 'nast', 'buy', 'server', 'disconnected']</v>
      </c>
      <c r="D737" s="3">
        <v>2.0</v>
      </c>
    </row>
    <row r="738" ht="15.75" customHeight="1">
      <c r="A738" s="1">
        <v>773.0</v>
      </c>
      <c r="B738" s="3" t="s">
        <v>737</v>
      </c>
      <c r="C738" s="3" t="str">
        <f>IFERROR(__xludf.DUMMYFUNCTION("GOOGLETRANSLATE(B738,""id"",""en"")"),"['Need', 'Package', 'Learning']")</f>
        <v>['Need', 'Package', 'Learning']</v>
      </c>
      <c r="D738" s="3">
        <v>5.0</v>
      </c>
    </row>
    <row r="739" ht="15.75" customHeight="1">
      <c r="A739" s="1">
        <v>774.0</v>
      </c>
      <c r="B739" s="3" t="s">
        <v>738</v>
      </c>
      <c r="C739" s="3" t="str">
        <f>IFERROR(__xludf.DUMMYFUNCTION("GOOGLETRANSLATE(B739,""id"",""en"")"),"['GMNA', 'Log', 'Difficult', 'UDH', 'Get', 'SMS', 'Link', 'Verivikasi', 'TTP', 'Gabisa', 'Urgent', 'Buy', ' quota']")</f>
        <v>['GMNA', 'Log', 'Difficult', 'UDH', 'Get', 'SMS', 'Link', 'Verivikasi', 'TTP', 'Gabisa', 'Urgent', 'Buy', ' quota']</v>
      </c>
      <c r="D739" s="3">
        <v>1.0</v>
      </c>
    </row>
    <row r="740" ht="15.75" customHeight="1">
      <c r="A740" s="1">
        <v>775.0</v>
      </c>
      <c r="B740" s="3" t="s">
        <v>739</v>
      </c>
      <c r="C740" s="3" t="str">
        <f>IFERROR(__xludf.DUMMYFUNCTION("GOOGLETRANSLATE(B740,""id"",""en"")"),"['Steady', 'TPI', 'Package', 'Buy', 'Change', 'Change']")</f>
        <v>['Steady', 'TPI', 'Package', 'Buy', 'Change', 'Change']</v>
      </c>
      <c r="D740" s="3">
        <v>5.0</v>
      </c>
    </row>
    <row r="741" ht="15.75" customHeight="1">
      <c r="A741" s="1">
        <v>776.0</v>
      </c>
      <c r="B741" s="3" t="s">
        <v>740</v>
      </c>
      <c r="C741" s="3" t="str">
        <f>IFERROR(__xludf.DUMMYFUNCTION("GOOGLETRANSLATE(B741,""id"",""en"")"),"['Tamabahin', 'Lock', 'Credit', 'Sumpot', 'Data', 'On', 'Pas', 'Quota', 'AXIS', 'NET']")</f>
        <v>['Tamabahin', 'Lock', 'Credit', 'Sumpot', 'Data', 'On', 'Pas', 'Quota', 'AXIS', 'NET']</v>
      </c>
      <c r="D741" s="3">
        <v>3.0</v>
      </c>
    </row>
    <row r="742" ht="15.75" customHeight="1">
      <c r="A742" s="1">
        <v>777.0</v>
      </c>
      <c r="B742" s="3" t="s">
        <v>741</v>
      </c>
      <c r="C742" s="3" t="str">
        <f>IFERROR(__xludf.DUMMYFUNCTION("GOOGLETRANSLATE(B742,""id"",""en"")"),"['price', 'package', 'internet', 'expensive', 'expensive', 'pulse', 'sometimes',' sucked ',' quota ',' submit ',' return ',' pulse ',' Fill ',' Data ',' told ',' Wait ',' Clock ',' work ',' Sampe ',' Return ',' Bonus', 'Daily', 'Check', 'Claim', 'Bonus' ,"&amp;" 'quota', 'activated', 'Nurry', 'quota', 'paid', 'bonus', 'quota', 'activated', 'chaotic', ""]")</f>
        <v>['price', 'package', 'internet', 'expensive', 'expensive', 'pulse', 'sometimes',' sucked ',' quota ',' submit ',' return ',' pulse ',' Fill ',' Data ',' told ',' Wait ',' Clock ',' work ',' Sampe ',' Return ',' Bonus', 'Daily', 'Check', 'Claim', 'Bonus' , 'quota', 'activated', 'Nurry', 'quota', 'paid', 'bonus', 'quota', 'activated', 'chaotic', "]</v>
      </c>
      <c r="D742" s="3">
        <v>1.0</v>
      </c>
    </row>
    <row r="743" ht="15.75" customHeight="1">
      <c r="A743" s="1">
        <v>778.0</v>
      </c>
      <c r="B743" s="3" t="s">
        <v>742</v>
      </c>
      <c r="C743" s="3" t="str">
        <f>IFERROR(__xludf.DUMMYFUNCTION("GOOGLETRANSLATE(B743,""id"",""en"")"),"['Telkomsel', 'Severe', 'Severe', 'ilang', 'signal', 'lose', 'neighbor', 'next door', 'please', 'Donk', 'repaired', 'signal', ' Telkomsel ',' Kayak ',' ']")</f>
        <v>['Telkomsel', 'Severe', 'Severe', 'ilang', 'signal', 'lose', 'neighbor', 'next door', 'please', 'Donk', 'repaired', 'signal', ' Telkomsel ',' Kayak ',' ']</v>
      </c>
      <c r="D743" s="3">
        <v>2.0</v>
      </c>
    </row>
    <row r="744" ht="15.75" customHeight="1">
      <c r="A744" s="1">
        <v>779.0</v>
      </c>
      <c r="B744" s="3" t="s">
        <v>743</v>
      </c>
      <c r="C744" s="3" t="str">
        <f>IFERROR(__xludf.DUMMYFUNCTION("GOOGLETRANSLATE(B744,""id"",""en"")"),"['Application', 'little', 'a little', 'renewal', 'BLM', 'Launched', 'imposes', '']")</f>
        <v>['Application', 'little', 'a little', 'renewal', 'BLM', 'Launched', 'imposes', '']</v>
      </c>
      <c r="D744" s="3">
        <v>1.0</v>
      </c>
    </row>
    <row r="745" ht="15.75" customHeight="1">
      <c r="A745" s="1">
        <v>781.0</v>
      </c>
      <c r="B745" s="3" t="s">
        <v>744</v>
      </c>
      <c r="C745" s="3" t="str">
        <f>IFERROR(__xludf.DUMMYFUNCTION("GOOGLETRANSLATE(B745,""id"",""en"")"),"['', 'Update', 'Open', '']")</f>
        <v>['', 'Update', 'Open', '']</v>
      </c>
      <c r="D745" s="3">
        <v>1.0</v>
      </c>
    </row>
    <row r="746" ht="15.75" customHeight="1">
      <c r="A746" s="1">
        <v>782.0</v>
      </c>
      <c r="B746" s="3" t="s">
        <v>745</v>
      </c>
      <c r="C746" s="3" t="str">
        <f>IFERROR(__xludf.DUMMYFUNCTION("GOOGLETRANSLATE(B746,""id"",""en"")"),"['Tingakat', 'promo', 'discount', 'price', 'cheap']")</f>
        <v>['Tingakat', 'promo', 'discount', 'price', 'cheap']</v>
      </c>
      <c r="D746" s="3">
        <v>3.0</v>
      </c>
    </row>
    <row r="747" ht="15.75" customHeight="1">
      <c r="A747" s="1">
        <v>783.0</v>
      </c>
      <c r="B747" s="3" t="s">
        <v>746</v>
      </c>
      <c r="C747" s="3" t="str">
        <f>IFERROR(__xludf.DUMMYFUNCTION("GOOGLETRANSLATE(B747,""id"",""en"")"),"['Good', 'stay', 'pulp', 'slow', '']")</f>
        <v>['Good', 'stay', 'pulp', 'slow', '']</v>
      </c>
      <c r="D747" s="3">
        <v>1.0</v>
      </c>
    </row>
    <row r="748" ht="15.75" customHeight="1">
      <c r="A748" s="1">
        <v>784.0</v>
      </c>
      <c r="B748" s="3" t="s">
        <v>747</v>
      </c>
      <c r="C748" s="3" t="str">
        <f>IFERROR(__xludf.DUMMYFUNCTION("GOOGLETRANSLATE(B748,""id"",""en"")"),"['network', 'super', 'slow']")</f>
        <v>['network', 'super', 'slow']</v>
      </c>
      <c r="D748" s="3">
        <v>1.0</v>
      </c>
    </row>
    <row r="749" ht="15.75" customHeight="1">
      <c r="A749" s="1">
        <v>785.0</v>
      </c>
      <c r="B749" s="3" t="s">
        <v>748</v>
      </c>
      <c r="C749" s="3" t="str">
        <f>IFERROR(__xludf.DUMMYFUNCTION("GOOGLETRANSLATE(B749,""id"",""en"")"),"['already', 'downliad', 'opened']")</f>
        <v>['already', 'downliad', 'opened']</v>
      </c>
      <c r="D749" s="3">
        <v>1.0</v>
      </c>
    </row>
    <row r="750" ht="15.75" customHeight="1">
      <c r="A750" s="1">
        <v>786.0</v>
      </c>
      <c r="B750" s="3" t="s">
        <v>749</v>
      </c>
      <c r="C750" s="3" t="str">
        <f>IFERROR(__xludf.DUMMYFUNCTION("GOOGLETRANSLATE(B750,""id"",""en"")"),"['ugly', 'signal', 'game', 'slow', 'bngt']")</f>
        <v>['ugly', 'signal', 'game', 'slow', 'bngt']</v>
      </c>
      <c r="D750" s="3">
        <v>1.0</v>
      </c>
    </row>
    <row r="751" ht="15.75" customHeight="1">
      <c r="A751" s="1">
        <v>787.0</v>
      </c>
      <c r="B751" s="3" t="s">
        <v>750</v>
      </c>
      <c r="C751" s="3" t="str">
        <f>IFERROR(__xludf.DUMMYFUNCTION("GOOGLETRANSLATE(B751,""id"",""en"")"),"['Good', 'aspect', 'features', 'slow', 'response', 'activate', 'package', 'internet', 'sumps', 'pulses', ""]")</f>
        <v>['Good', 'aspect', 'features', 'slow', 'response', 'activate', 'package', 'internet', 'sumps', 'pulses', "]</v>
      </c>
      <c r="D751" s="3">
        <v>5.0</v>
      </c>
    </row>
    <row r="752" ht="15.75" customHeight="1">
      <c r="A752" s="1">
        <v>788.0</v>
      </c>
      <c r="B752" s="3" t="s">
        <v>751</v>
      </c>
      <c r="C752" s="3" t="str">
        <f>IFERROR(__xludf.DUMMYFUNCTION("GOOGLETRANSLATE(B752,""id"",""en"")"),"['Telkomsel', 'nt', 'llll', 'brain', 'mama', 'clock', 'sllu', 'dead', 'network', 'bujang']")</f>
        <v>['Telkomsel', 'nt', 'llll', 'brain', 'mama', 'clock', 'sllu', 'dead', 'network', 'bujang']</v>
      </c>
      <c r="D752" s="3">
        <v>1.0</v>
      </c>
    </row>
    <row r="753" ht="15.75" customHeight="1">
      <c r="A753" s="1">
        <v>789.0</v>
      </c>
      <c r="B753" s="3" t="s">
        <v>752</v>
      </c>
      <c r="C753" s="3" t="str">
        <f>IFERROR(__xludf.DUMMYFUNCTION("GOOGLETRANSLATE(B753,""id"",""en"")"),"['Aya', 'happy']")</f>
        <v>['Aya', 'happy']</v>
      </c>
      <c r="D753" s="3">
        <v>5.0</v>
      </c>
    </row>
    <row r="754" ht="15.75" customHeight="1">
      <c r="A754" s="1">
        <v>790.0</v>
      </c>
      <c r="B754" s="3" t="s">
        <v>753</v>
      </c>
      <c r="C754" s="3" t="str">
        <f>IFERROR(__xludf.DUMMYFUNCTION("GOOGLETRANSLATE(B754,""id"",""en"")"),"['package', 'expensive', 'net', 'slow', 'city', 'yaa']")</f>
        <v>['package', 'expensive', 'net', 'slow', 'city', 'yaa']</v>
      </c>
      <c r="D754" s="3">
        <v>1.0</v>
      </c>
    </row>
    <row r="755" ht="15.75" customHeight="1">
      <c r="A755" s="1">
        <v>791.0</v>
      </c>
      <c r="B755" s="3" t="s">
        <v>754</v>
      </c>
      <c r="C755" s="3" t="str">
        <f>IFERROR(__xludf.DUMMYFUNCTION("GOOGLETRANSLATE(B755,""id"",""en"")"),"['Satisfied', 'subscribe', 'telkomse']")</f>
        <v>['Satisfied', 'subscribe', 'telkomse']</v>
      </c>
      <c r="D755" s="3">
        <v>5.0</v>
      </c>
    </row>
    <row r="756" ht="15.75" customHeight="1">
      <c r="A756" s="1">
        <v>792.0</v>
      </c>
      <c r="B756" s="3" t="s">
        <v>755</v>
      </c>
      <c r="C756" s="3" t="str">
        <f>IFERROR(__xludf.DUMMYFUNCTION("GOOGLETRANSLATE(B756,""id"",""en"")"),"['update', 'open', 'app', 'Telkomsel', 'check', 'quota', 'etc.', 'please', 'fix', '']")</f>
        <v>['update', 'open', 'app', 'Telkomsel', 'check', 'quota', 'etc.', 'please', 'fix', '']</v>
      </c>
      <c r="D756" s="3">
        <v>1.0</v>
      </c>
    </row>
    <row r="757" ht="15.75" customHeight="1">
      <c r="A757" s="1">
        <v>793.0</v>
      </c>
      <c r="B757" s="3" t="s">
        <v>756</v>
      </c>
      <c r="C757" s="3" t="str">
        <f>IFERROR(__xludf.DUMMYFUNCTION("GOOGLETRANSLATE(B757,""id"",""en"")"),"['cheap', 'cheap', 'priority', 'quality', 'maen', 'game', 'online', 'mulu', 'turn', 'AFK', 'network', 'direct', ' ']")</f>
        <v>['cheap', 'cheap', 'priority', 'quality', 'maen', 'game', 'online', 'mulu', 'turn', 'AFK', 'network', 'direct', ' ']</v>
      </c>
      <c r="D757" s="3">
        <v>1.0</v>
      </c>
    </row>
    <row r="758" ht="15.75" customHeight="1">
      <c r="A758" s="1">
        <v>794.0</v>
      </c>
      <c r="B758" s="3" t="s">
        <v>757</v>
      </c>
      <c r="C758" s="3" t="str">
        <f>IFERROR(__xludf.DUMMYFUNCTION("GOOGLETRANSLATE(B758,""id"",""en"")"),"['TLG', 'Fix', 'Service', 'Signal']")</f>
        <v>['TLG', 'Fix', 'Service', 'Signal']</v>
      </c>
      <c r="D758" s="3">
        <v>2.0</v>
      </c>
    </row>
    <row r="759" ht="15.75" customHeight="1">
      <c r="A759" s="1">
        <v>795.0</v>
      </c>
      <c r="B759" s="3" t="s">
        <v>758</v>
      </c>
      <c r="C759" s="3" t="str">
        <f>IFERROR(__xludf.DUMMYFUNCTION("GOOGLETRANSLATE(B759,""id"",""en"")"),"['Please', 'operator', 'Telkomsel', 'network', 'jammed', 'damaged', 'connection']")</f>
        <v>['Please', 'operator', 'Telkomsel', 'network', 'jammed', 'damaged', 'connection']</v>
      </c>
      <c r="D759" s="3">
        <v>1.0</v>
      </c>
    </row>
    <row r="760" ht="15.75" customHeight="1">
      <c r="A760" s="1">
        <v>797.0</v>
      </c>
      <c r="B760" s="3" t="s">
        <v>759</v>
      </c>
      <c r="C760" s="3" t="str">
        <f>IFERROR(__xludf.DUMMYFUNCTION("GOOGLETRANSLATE(B760,""id"",""en"")"),"['convenience', 'difficult', 'expensive', 'restrictions', 'rules', 'mending', 'switch', 'heart', 'red', 'TPI', 'heart']")</f>
        <v>['convenience', 'difficult', 'expensive', 'restrictions', 'rules', 'mending', 'switch', 'heart', 'red', 'TPI', 'heart']</v>
      </c>
      <c r="D760" s="3">
        <v>1.0</v>
      </c>
    </row>
    <row r="761" ht="15.75" customHeight="1">
      <c r="A761" s="1">
        <v>798.0</v>
      </c>
      <c r="B761" s="3" t="s">
        <v>760</v>
      </c>
      <c r="C761" s="3" t="str">
        <f>IFERROR(__xludf.DUMMYFUNCTION("GOOGLETRANSLATE(B761,""id"",""en"")"),"['Telkomsel', 'buy', 'Package', 'MLBB', 'Main', 'Mobile', 'Legend', 'Disappointed', 'Telkomsel', 'Expensive', 'Disright']")</f>
        <v>['Telkomsel', 'buy', 'Package', 'MLBB', 'Main', 'Mobile', 'Legend', 'Disappointed', 'Telkomsel', 'Expensive', 'Disright']</v>
      </c>
      <c r="D761" s="3">
        <v>1.0</v>
      </c>
    </row>
    <row r="762" ht="15.75" customHeight="1">
      <c r="A762" s="1">
        <v>799.0</v>
      </c>
      <c r="B762" s="3" t="s">
        <v>761</v>
      </c>
      <c r="C762" s="3" t="str">
        <f>IFERROR(__xludf.DUMMYFUNCTION("GOOGLETRANSLATE(B762,""id"",""en"")"),"['no', 'pay', 'no', 'chek', 'use', 'free', 'clock', 'operator', 'right', 'telephone', 'operator', 'said', ' pulses', 'Hadeeuh', 'kumaha', 'oey']")</f>
        <v>['no', 'pay', 'no', 'chek', 'use', 'free', 'clock', 'operator', 'right', 'telephone', 'operator', 'said', ' pulses', 'Hadeeuh', 'kumaha', 'oey']</v>
      </c>
      <c r="D762" s="3">
        <v>1.0</v>
      </c>
    </row>
    <row r="763" ht="15.75" customHeight="1">
      <c r="A763" s="1">
        <v>800.0</v>
      </c>
      <c r="B763" s="3" t="s">
        <v>762</v>
      </c>
      <c r="C763" s="3" t="str">
        <f>IFERROR(__xludf.DUMMYFUNCTION("GOOGLETRANSLATE(B763,""id"",""en"")"),"['Provider', 'service', 'bad', 'open', 'application', 'like', 'disorder', 'signal', 'play', 'game', 'wifi', 'auto', ' slow ',' price ',' expensive ',' according to ']")</f>
        <v>['Provider', 'service', 'bad', 'open', 'application', 'like', 'disorder', 'signal', 'play', 'game', 'wifi', 'auto', ' slow ',' price ',' expensive ',' according to ']</v>
      </c>
      <c r="D763" s="3">
        <v>1.0</v>
      </c>
    </row>
    <row r="764" ht="15.75" customHeight="1">
      <c r="A764" s="1">
        <v>801.0</v>
      </c>
      <c r="B764" s="3" t="s">
        <v>763</v>
      </c>
      <c r="C764" s="3" t="str">
        <f>IFERROR(__xludf.DUMMYFUNCTION("GOOGLETRANSLATE(B764,""id"",""en"")"),"['Sya', 'love', 'star', 'dlu', '']")</f>
        <v>['Sya', 'love', 'star', 'dlu', '']</v>
      </c>
      <c r="D764" s="3">
        <v>3.0</v>
      </c>
    </row>
    <row r="765" ht="15.75" customHeight="1">
      <c r="A765" s="1">
        <v>802.0</v>
      </c>
      <c r="B765" s="3" t="s">
        <v>764</v>
      </c>
      <c r="C765" s="3" t="str">
        <f>IFERROR(__xludf.DUMMYFUNCTION("GOOGLETRANSLATE(B765,""id"",""en"")"),"['Network', 'steady', '']")</f>
        <v>['Network', 'steady', '']</v>
      </c>
      <c r="D765" s="3">
        <v>5.0</v>
      </c>
    </row>
    <row r="766" ht="15.75" customHeight="1">
      <c r="A766" s="1">
        <v>803.0</v>
      </c>
      <c r="B766" s="3" t="s">
        <v>765</v>
      </c>
      <c r="C766" s="3" t="str">
        <f>IFERROR(__xludf.DUMMYFUNCTION("GOOGLETRANSLATE(B766,""id"",""en"")"),"['Application', 'Sngat', 'Good', 'Thank', 'Love', '']")</f>
        <v>['Application', 'Sngat', 'Good', 'Thank', 'Love', '']</v>
      </c>
      <c r="D766" s="3">
        <v>5.0</v>
      </c>
    </row>
    <row r="767" ht="15.75" customHeight="1">
      <c r="A767" s="1">
        <v>804.0</v>
      </c>
      <c r="B767" s="3" t="s">
        <v>766</v>
      </c>
      <c r="C767" s="3" t="str">
        <f>IFERROR(__xludf.DUMMYFUNCTION("GOOGLETRANSLATE(B767,""id"",""en"")"),"['expensive', 'cheap', 'just', 'promo', 'doang', 'like', 'cheap']")</f>
        <v>['expensive', 'cheap', 'just', 'promo', 'doang', 'like', 'cheap']</v>
      </c>
      <c r="D767" s="3">
        <v>4.0</v>
      </c>
    </row>
    <row r="768" ht="15.75" customHeight="1">
      <c r="A768" s="1">
        <v>805.0</v>
      </c>
      <c r="B768" s="3" t="s">
        <v>767</v>
      </c>
      <c r="C768" s="3" t="str">
        <f>IFERROR(__xludf.DUMMYFUNCTION("GOOGLETRANSLATE(B768,""id"",""en"")"),"['Signal', 'experience', 'lag', 'normal', 'please', 'enhanced', ""]")</f>
        <v>['Signal', 'experience', 'lag', 'normal', 'please', 'enhanced', "]</v>
      </c>
      <c r="D768" s="3">
        <v>4.0</v>
      </c>
    </row>
    <row r="769" ht="15.75" customHeight="1">
      <c r="A769" s="1">
        <v>806.0</v>
      </c>
      <c r="B769" s="3" t="s">
        <v>768</v>
      </c>
      <c r="C769" s="3" t="str">
        <f>IFERROR(__xludf.DUMMYFUNCTION("GOOGLETRANSLATE(B769,""id"",""en"")"),"['pulse', 'Sumpot', 'anjirrr', 'buy', 'pulse', 'package', 'data', 'huftt']")</f>
        <v>['pulse', 'Sumpot', 'anjirrr', 'buy', 'pulse', 'package', 'data', 'huftt']</v>
      </c>
      <c r="D769" s="3">
        <v>1.0</v>
      </c>
    </row>
    <row r="770" ht="15.75" customHeight="1">
      <c r="A770" s="1">
        <v>808.0</v>
      </c>
      <c r="B770" s="3" t="s">
        <v>769</v>
      </c>
      <c r="C770" s="3" t="str">
        <f>IFERROR(__xludf.DUMMYFUNCTION("GOOGLETRANSLATE(B770,""id"",""en"")"),"['Telkomsel', 'its network', 'poor', 'open', 'application', 'sosmed', 'game', 'alternating', 'mode', 'fly', 'get', 'quota', ' Learning ',' Kemdikbud ',' Quota ',' Sosmed ',' Game ',' Fill ',' Quota ',' Quota ',' She ',' Gara ',' Kenup ',' Quota ',' Kemdik"&amp;"bud ' , 'Active', 'run out', 'Ngapa', 'What's', 'Yutub', 'Firu,', 'Learning', 'Disable', 'Wonder', 'Disappointed', 'Really', 'Telkomsel']")</f>
        <v>['Telkomsel', 'its network', 'poor', 'open', 'application', 'sosmed', 'game', 'alternating', 'mode', 'fly', 'get', 'quota', ' Learning ',' Kemdikbud ',' Quota ',' Sosmed ',' Game ',' Fill ',' Quota ',' Quota ',' She ',' Gara ',' Kenup ',' Quota ',' Kemdikbud ' , 'Active', 'run out', 'Ngapa', 'What's', 'Yutub', 'Firu,', 'Learning', 'Disable', 'Wonder', 'Disappointed', 'Really', 'Telkomsel']</v>
      </c>
      <c r="D770" s="3">
        <v>1.0</v>
      </c>
    </row>
    <row r="771" ht="15.75" customHeight="1">
      <c r="A771" s="1">
        <v>809.0</v>
      </c>
      <c r="B771" s="3" t="s">
        <v>770</v>
      </c>
      <c r="C771" s="3" t="str">
        <f>IFERROR(__xludf.DUMMYFUNCTION("GOOGLETRANSLATE(B771,""id"",""en"")"),"['cave', 'less',' star ',' error ',' mulean ',' lazy ',' cave ',' gini ',' mnding ',' nich ',' card ',' bwt ',' Tlpnan ',' ']")</f>
        <v>['cave', 'less',' star ',' error ',' mulean ',' lazy ',' cave ',' gini ',' mnding ',' nich ',' card ',' bwt ',' Tlpnan ',' ']</v>
      </c>
      <c r="D771" s="3">
        <v>2.0</v>
      </c>
    </row>
    <row r="772" ht="15.75" customHeight="1">
      <c r="A772" s="1">
        <v>810.0</v>
      </c>
      <c r="B772" s="3" t="s">
        <v>771</v>
      </c>
      <c r="C772" s="3" t="str">
        <f>IFERROR(__xludf.DUMMYFUNCTION("GOOGLETRANSLATE(B772,""id"",""en"")"),"['Help', 'APK']")</f>
        <v>['Help', 'APK']</v>
      </c>
      <c r="D772" s="3">
        <v>5.0</v>
      </c>
    </row>
    <row r="773" ht="15.75" customHeight="1">
      <c r="A773" s="1">
        <v>811.0</v>
      </c>
      <c r="B773" s="3" t="s">
        <v>772</v>
      </c>
      <c r="C773" s="3" t="str">
        <f>IFERROR(__xludf.DUMMYFUNCTION("GOOGLETRANSLATE(B773,""id"",""en"")"),"['Ter', 'Install', 'Application', 'Android']")</f>
        <v>['Ter', 'Install', 'Application', 'Android']</v>
      </c>
      <c r="D773" s="3">
        <v>5.0</v>
      </c>
    </row>
    <row r="774" ht="15.75" customHeight="1">
      <c r="A774" s="1">
        <v>812.0</v>
      </c>
      <c r="B774" s="3" t="s">
        <v>773</v>
      </c>
      <c r="C774" s="3" t="str">
        <f>IFERROR(__xludf.DUMMYFUNCTION("GOOGLETRANSLATE(B774,""id"",""en"")"),"['Network', 'Telkomsel', 'Disappointing', 'Min', 'Please', 'Overcome', 'Comfort', 'User', 'Telkomsel', ""]")</f>
        <v>['Network', 'Telkomsel', 'Disappointing', 'Min', 'Please', 'Overcome', 'Comfort', 'User', 'Telkomsel', "]</v>
      </c>
      <c r="D774" s="3">
        <v>2.0</v>
      </c>
    </row>
    <row r="775" ht="15.75" customHeight="1">
      <c r="A775" s="1">
        <v>813.0</v>
      </c>
      <c r="B775" s="3" t="s">
        <v>774</v>
      </c>
      <c r="C775" s="3" t="str">
        <f>IFERROR(__xludf.DUMMYFUNCTION("GOOGLETRANSLATE(B775,""id"",""en"")"),"['Please', 'Increase', 'The Network', 'Package', 'Unlimitite', 'Used', 'The Network', 'Made', 'Lemot', 'Earrings', 'Very']")</f>
        <v>['Please', 'Increase', 'The Network', 'Package', 'Unlimitite', 'Used', 'The Network', 'Made', 'Lemot', 'Earrings', 'Very']</v>
      </c>
      <c r="D775" s="3">
        <v>1.0</v>
      </c>
    </row>
    <row r="776" ht="15.75" customHeight="1">
      <c r="A776" s="1">
        <v>814.0</v>
      </c>
      <c r="B776" s="3" t="s">
        <v>775</v>
      </c>
      <c r="C776" s="3" t="str">
        <f>IFERROR(__xludf.DUMMYFUNCTION("GOOGLETRANSLATE(B776,""id"",""en"")"),"['Please', 'cheap', 'price', 'Package', 'Pliss']")</f>
        <v>['Please', 'cheap', 'price', 'Package', 'Pliss']</v>
      </c>
      <c r="D776" s="3">
        <v>5.0</v>
      </c>
    </row>
    <row r="777" ht="15.75" customHeight="1">
      <c r="A777" s="1">
        <v>815.0</v>
      </c>
      <c r="B777" s="3" t="s">
        <v>776</v>
      </c>
      <c r="C777" s="3" t="str">
        <f>IFERROR(__xludf.DUMMYFUNCTION("GOOGLETRANSLATE(B777,""id"",""en"")"),"['signal', 'severe']")</f>
        <v>['signal', 'severe']</v>
      </c>
      <c r="D777" s="3">
        <v>1.0</v>
      </c>
    </row>
    <row r="778" ht="15.75" customHeight="1">
      <c r="A778" s="1">
        <v>816.0</v>
      </c>
      <c r="B778" s="3" t="s">
        <v>777</v>
      </c>
      <c r="C778" s="3" t="str">
        <f>IFERROR(__xludf.DUMMYFUNCTION("GOOGLETRANSLATE(B778,""id"",""en"")"),"['Disappointed', 'already', 'signal', 'bad', 'Merantau', 'city', 'ugly', 'ugly', 'entry', 'application', 'color', 'white', ' Mulu ',' pdahal ',' takira ',' hemmm ']")</f>
        <v>['Disappointed', 'already', 'signal', 'bad', 'Merantau', 'city', 'ugly', 'ugly', 'entry', 'application', 'color', 'white', ' Mulu ',' pdahal ',' takira ',' hemmm ']</v>
      </c>
      <c r="D778" s="3">
        <v>1.0</v>
      </c>
    </row>
    <row r="779" ht="15.75" customHeight="1">
      <c r="A779" s="1">
        <v>817.0</v>
      </c>
      <c r="B779" s="3" t="s">
        <v>778</v>
      </c>
      <c r="C779" s="3" t="str">
        <f>IFERROR(__xludf.DUMMYFUNCTION("GOOGLETRANSLATE(B779,""id"",""en"")"),"['Telkomsel', 'here', 'signal', 'dilapidated', 'severe', 'price', 'quota', 'loop', 'cheap', 'conscious',' karna ',' quality ',' Network ',' Good ',' ']")</f>
        <v>['Telkomsel', 'here', 'signal', 'dilapidated', 'severe', 'price', 'quota', 'loop', 'cheap', 'conscious',' karna ',' quality ',' Network ',' Good ',' ']</v>
      </c>
      <c r="D779" s="3">
        <v>1.0</v>
      </c>
    </row>
    <row r="780" ht="15.75" customHeight="1">
      <c r="A780" s="1">
        <v>818.0</v>
      </c>
      <c r="B780" s="3" t="s">
        <v>779</v>
      </c>
      <c r="C780" s="3" t="str">
        <f>IFERROR(__xludf.DUMMYFUNCTION("GOOGLETRANSLATE(B780,""id"",""en"")"),"['Good', 'easy']")</f>
        <v>['Good', 'easy']</v>
      </c>
      <c r="D780" s="3">
        <v>4.0</v>
      </c>
    </row>
    <row r="781" ht="15.75" customHeight="1">
      <c r="A781" s="1">
        <v>819.0</v>
      </c>
      <c r="B781" s="3" t="s">
        <v>780</v>
      </c>
      <c r="C781" s="3" t="str">
        <f>IFERROR(__xludf.DUMMYFUNCTION("GOOGLETRANSLATE(B781,""id"",""en"")"),"['oathhhh', 'the application', 'good', 'really', '']")</f>
        <v>['oathhhh', 'the application', 'good', 'really', '']</v>
      </c>
      <c r="D781" s="3">
        <v>4.0</v>
      </c>
    </row>
    <row r="782" ht="15.75" customHeight="1">
      <c r="A782" s="1">
        <v>820.0</v>
      </c>
      <c r="B782" s="3" t="s">
        <v>781</v>
      </c>
      <c r="C782" s="3" t="str">
        <f>IFERROR(__xludf.DUMMYFUNCTION("GOOGLETRANSLATE(B782,""id"",""en"")"),"['Telkomsel', 'Severe', 'Telkomsel', 'Application', 'Help', 'users', 'Telkomsel', 'make it difficult', '']")</f>
        <v>['Telkomsel', 'Severe', 'Telkomsel', 'Application', 'Help', 'users', 'Telkomsel', 'make it difficult', '']</v>
      </c>
      <c r="D782" s="3">
        <v>1.0</v>
      </c>
    </row>
    <row r="783" ht="15.75" customHeight="1">
      <c r="A783" s="1">
        <v>821.0</v>
      </c>
      <c r="B783" s="3" t="s">
        <v>782</v>
      </c>
      <c r="C783" s="3" t="str">
        <f>IFERROR(__xludf.DUMMYFUNCTION("GOOGLETRANSLATE(B783,""id"",""en"")"),"['application', 'easy', 'transaction', 'great', 'lottery', 'week', 'buy', 'pulse', 'point', 'stay', 'exchange', 'wait', ' Lottery ',' Hopefully ',' Telkomsel ',' Sucses', 'blessings',' advanced ',' Greetings', 'Rizki', ""]")</f>
        <v>['application', 'easy', 'transaction', 'great', 'lottery', 'week', 'buy', 'pulse', 'point', 'stay', 'exchange', 'wait', ' Lottery ',' Hopefully ',' Telkomsel ',' Sucses', 'blessings',' advanced ',' Greetings', 'Rizki', "]</v>
      </c>
      <c r="D783" s="3">
        <v>5.0</v>
      </c>
    </row>
    <row r="784" ht="15.75" customHeight="1">
      <c r="A784" s="1">
        <v>822.0</v>
      </c>
      <c r="B784" s="3" t="s">
        <v>783</v>
      </c>
      <c r="C784" s="3" t="str">
        <f>IFERROR(__xludf.DUMMYFUNCTION("GOOGLETRANSLATE(B784,""id"",""en"")"),"['application', 'knp', 'open', 'screen', 'white', 'doang']")</f>
        <v>['application', 'knp', 'open', 'screen', 'white', 'doang']</v>
      </c>
      <c r="D784" s="3">
        <v>2.0</v>
      </c>
    </row>
    <row r="785" ht="15.75" customHeight="1">
      <c r="A785" s="1">
        <v>823.0</v>
      </c>
      <c r="B785" s="3" t="s">
        <v>784</v>
      </c>
      <c r="C785" s="3" t="str">
        <f>IFERROR(__xludf.DUMMYFUNCTION("GOOGLETRANSLATE(B785,""id"",""en"")"),"['application', 'bravo', 'cheap']")</f>
        <v>['application', 'bravo', 'cheap']</v>
      </c>
      <c r="D785" s="3">
        <v>5.0</v>
      </c>
    </row>
    <row r="786" ht="15.75" customHeight="1">
      <c r="A786" s="1">
        <v>824.0</v>
      </c>
      <c r="B786" s="3" t="s">
        <v>785</v>
      </c>
      <c r="C786" s="3" t="str">
        <f>IFERROR(__xludf.DUMMYFUNCTION("GOOGLETRANSLATE(B786,""id"",""en"")"),"['Application', 'Help', 'User', 'Telkomsel']")</f>
        <v>['Application', 'Help', 'User', 'Telkomsel']</v>
      </c>
      <c r="D786" s="3">
        <v>5.0</v>
      </c>
    </row>
    <row r="787" ht="15.75" customHeight="1">
      <c r="A787" s="1">
        <v>825.0</v>
      </c>
      <c r="B787" s="3" t="s">
        <v>786</v>
      </c>
      <c r="C787" s="3" t="str">
        <f>IFERROR(__xludf.DUMMYFUNCTION("GOOGLETRANSLATE(B787,""id"",""en"")"),"['Cheap', 'festive', 'thank you', 'mytelkomsel']")</f>
        <v>['Cheap', 'festive', 'thank you', 'mytelkomsel']</v>
      </c>
      <c r="D787" s="3">
        <v>5.0</v>
      </c>
    </row>
    <row r="788" ht="15.75" customHeight="1">
      <c r="A788" s="1">
        <v>826.0</v>
      </c>
      <c r="B788" s="3" t="s">
        <v>787</v>
      </c>
      <c r="C788" s="3" t="str">
        <f>IFERROR(__xludf.DUMMYFUNCTION("GOOGLETRANSLATE(B788,""id"",""en"")"),"['application', 'pray for', 'win', 'gift', 'program', 'Telkomsel', 'forget', 'subscribe', 'channel', 'youtube', 'dhul', 'indigenous',' ']")</f>
        <v>['application', 'pray for', 'win', 'gift', 'program', 'Telkomsel', 'forget', 'subscribe', 'channel', 'youtube', 'dhul', 'indigenous',' ']</v>
      </c>
      <c r="D788" s="3">
        <v>5.0</v>
      </c>
    </row>
    <row r="789" ht="15.75" customHeight="1">
      <c r="A789" s="1">
        <v>827.0</v>
      </c>
      <c r="B789" s="3" t="s">
        <v>788</v>
      </c>
      <c r="C789" s="3" t="str">
        <f>IFERROR(__xludf.DUMMYFUNCTION("GOOGLETRANSLATE(B789,""id"",""en"")"),"['network', 'threat', 'how', 'advanced', 'package', 'expensive', 'quality', 'network', 'bad']")</f>
        <v>['network', 'threat', 'how', 'advanced', 'package', 'expensive', 'quality', 'network', 'bad']</v>
      </c>
      <c r="D789" s="3">
        <v>1.0</v>
      </c>
    </row>
    <row r="790" ht="15.75" customHeight="1">
      <c r="A790" s="1">
        <v>828.0</v>
      </c>
      <c r="B790" s="3" t="s">
        <v>789</v>
      </c>
      <c r="C790" s="3" t="str">
        <f>IFERROR(__xludf.DUMMYFUNCTION("GOOGLETRANSLATE(B790,""id"",""en"")"),"['Please', 'repaired', 'Network', 'Telkom', 'Cook', 'UDH', 'a month', 'Network', 'ugly', 'then', 'buy', 'package', ' expensive ',' network ',' error ',' location ',' mountain ',' seven ',' kerinvi ',' jambi ']")</f>
        <v>['Please', 'repaired', 'Network', 'Telkom', 'Cook', 'UDH', 'a month', 'Network', 'ugly', 'then', 'buy', 'package', ' expensive ',' network ',' error ',' location ',' mountain ',' seven ',' kerinvi ',' jambi ']</v>
      </c>
      <c r="D790" s="3">
        <v>1.0</v>
      </c>
    </row>
    <row r="791" ht="15.75" customHeight="1">
      <c r="A791" s="1">
        <v>829.0</v>
      </c>
      <c r="B791" s="3" t="s">
        <v>790</v>
      </c>
      <c r="C791" s="3" t="str">
        <f>IFERROR(__xludf.DUMMYFUNCTION("GOOGLETRANSLATE(B791,""id"",""en"")"),"['', 'Yesterday', 'Login', 'Telkomsel', 'Screen', 'White', 'Ngeblank', '']")</f>
        <v>['', 'Yesterday', 'Login', 'Telkomsel', 'Screen', 'White', 'Ngeblank', '']</v>
      </c>
      <c r="D791" s="3">
        <v>1.0</v>
      </c>
    </row>
    <row r="792" ht="15.75" customHeight="1">
      <c r="A792" s="1">
        <v>830.0</v>
      </c>
      <c r="B792" s="3" t="s">
        <v>791</v>
      </c>
      <c r="C792" s="3" t="str">
        <f>IFERROR(__xludf.DUMMYFUNCTION("GOOGLETRANSLATE(B792,""id"",""en"")"),"['Please', 'explanation', 'credit', 'slow', 'land', 'disappear', 'quota', 'internet', 'quota', 'telephone', 'sms',' register ',' Numbers', 'NSP', 'similar', 'disappointed', '']")</f>
        <v>['Please', 'explanation', 'credit', 'slow', 'land', 'disappear', 'quota', 'internet', 'quota', 'telephone', 'sms',' register ',' Numbers', 'NSP', 'similar', 'disappointed', '']</v>
      </c>
      <c r="D792" s="3">
        <v>3.0</v>
      </c>
    </row>
    <row r="793" ht="15.75" customHeight="1">
      <c r="A793" s="1">
        <v>831.0</v>
      </c>
      <c r="B793" s="3" t="s">
        <v>792</v>
      </c>
      <c r="C793" s="3" t="str">
        <f>IFERROR(__xludf.DUMMYFUNCTION("GOOGLETRANSLATE(B793,""id"",""en"")"),"['Delete', 'Application', 'Function', 'Detinent', 'Quota', '']")</f>
        <v>['Delete', 'Application', 'Function', 'Detinent', 'Quota', '']</v>
      </c>
      <c r="D793" s="3">
        <v>1.0</v>
      </c>
    </row>
    <row r="794" ht="15.75" customHeight="1">
      <c r="A794" s="1">
        <v>832.0</v>
      </c>
      <c r="B794" s="3" t="s">
        <v>793</v>
      </c>
      <c r="C794" s="3" t="str">
        <f>IFERROR(__xludf.DUMMYFUNCTION("GOOGLETRANSLATE(B794,""id"",""en"")"),"['', 'renewed', 'right', 'enter', 'rich', 'person', 'stupid', 'clock', 'until', 'clock', 'open', '']")</f>
        <v>['', 'renewed', 'right', 'enter', 'rich', 'person', 'stupid', 'clock', 'until', 'clock', 'open', '']</v>
      </c>
      <c r="D794" s="3">
        <v>1.0</v>
      </c>
    </row>
    <row r="795" ht="15.75" customHeight="1">
      <c r="A795" s="1">
        <v>833.0</v>
      </c>
      <c r="B795" s="3" t="s">
        <v>794</v>
      </c>
      <c r="C795" s="3" t="str">
        <f>IFERROR(__xludf.DUMMYFUNCTION("GOOGLETRANSLATE(B795,""id"",""en"")"),"['Try', 'fix', 'it's']")</f>
        <v>['Try', 'fix', 'it's']</v>
      </c>
      <c r="D795" s="3">
        <v>4.0</v>
      </c>
    </row>
    <row r="796" ht="15.75" customHeight="1">
      <c r="A796" s="1">
        <v>834.0</v>
      </c>
      <c r="B796" s="3" t="s">
        <v>249</v>
      </c>
      <c r="C796" s="3" t="str">
        <f>IFERROR(__xludf.DUMMYFUNCTION("GOOGLETRANSLATE(B796,""id"",""en"")"),"['open']")</f>
        <v>['open']</v>
      </c>
      <c r="D796" s="3">
        <v>1.0</v>
      </c>
    </row>
    <row r="797" ht="15.75" customHeight="1">
      <c r="A797" s="1">
        <v>835.0</v>
      </c>
      <c r="B797" s="3" t="s">
        <v>795</v>
      </c>
      <c r="C797" s="3" t="str">
        <f>IFERROR(__xludf.DUMMYFUNCTION("GOOGLETRANSLATE(B797,""id"",""en"")"),"['open', 'application', 'heavy', 'blank', 'dead', ""]")</f>
        <v>['open', 'application', 'heavy', 'blank', 'dead', "]</v>
      </c>
      <c r="D797" s="3">
        <v>1.0</v>
      </c>
    </row>
    <row r="798" ht="15.75" customHeight="1">
      <c r="A798" s="1">
        <v>837.0</v>
      </c>
      <c r="B798" s="3" t="s">
        <v>796</v>
      </c>
      <c r="C798" s="3" t="str">
        <f>IFERROR(__xludf.DUMMYFUNCTION("GOOGLETRANSLATE(B798,""id"",""en"")"),"['Network', 'then', 'slow', 'in', 'some,' bln ',' gmn ',' service ',' Telkomsel ',' skrg ']")</f>
        <v>['Network', 'then', 'slow', 'in', 'some,' bln ',' gmn ',' service ',' Telkomsel ',' skrg ']</v>
      </c>
      <c r="D798" s="3">
        <v>1.0</v>
      </c>
    </row>
    <row r="799" ht="15.75" customHeight="1">
      <c r="A799" s="1">
        <v>838.0</v>
      </c>
      <c r="B799" s="3" t="s">
        <v>797</v>
      </c>
      <c r="C799" s="3" t="str">
        <f>IFERROR(__xludf.DUMMYFUNCTION("GOOGLETRANSLATE(B799,""id"",""en"")"),"['I hope all goes well']")</f>
        <v>['I hope all goes well']</v>
      </c>
      <c r="D799" s="3">
        <v>5.0</v>
      </c>
    </row>
    <row r="800" ht="15.75" customHeight="1">
      <c r="A800" s="1">
        <v>839.0</v>
      </c>
      <c r="B800" s="3" t="s">
        <v>798</v>
      </c>
      <c r="C800" s="3" t="str">
        <f>IFERROR(__xludf.DUMMYFUNCTION("GOOGLETRANSLATE(B800,""id"",""en"")"),"['Package', 'Unlimited', 'YouTube', 'Disright', 'Please', 'Fix', '']")</f>
        <v>['Package', 'Unlimited', 'YouTube', 'Disright', 'Please', 'Fix', '']</v>
      </c>
      <c r="D800" s="3">
        <v>1.0</v>
      </c>
    </row>
    <row r="801" ht="15.75" customHeight="1">
      <c r="A801" s="1">
        <v>840.0</v>
      </c>
      <c r="B801" s="3" t="s">
        <v>799</v>
      </c>
      <c r="C801" s="3" t="str">
        <f>IFERROR(__xludf.DUMMYFUNCTION("GOOGLETRANSLATE(B801,""id"",""en"")"),"['Most expensive', 'Harg', 'quota', 'the network', 'bacrriiiiiiitttt', 'original', 'super', 'ugly', 'Leleeeet', 'Switch', 'supah', 'disappointing', ' disappointing ',' Telkomsel ',' jeeeeeeeeeeeeeek ',' bgtu ',' network ',' emotion ',' ']")</f>
        <v>['Most expensive', 'Harg', 'quota', 'the network', 'bacrriiiiiiitttt', 'original', 'super', 'ugly', 'Leleeeet', 'Switch', 'supah', 'disappointing', ' disappointing ',' Telkomsel ',' jeeeeeeeeeeeeeek ',' bgtu ',' network ',' emotion ',' ']</v>
      </c>
      <c r="D801" s="3">
        <v>1.0</v>
      </c>
    </row>
    <row r="802" ht="15.75" customHeight="1">
      <c r="A802" s="1">
        <v>841.0</v>
      </c>
      <c r="B802" s="3" t="s">
        <v>800</v>
      </c>
      <c r="C802" s="3" t="str">
        <f>IFERROR(__xludf.DUMMYFUNCTION("GOOGLETRANSLATE(B802,""id"",""en"")"),"['Promo']")</f>
        <v>['Promo']</v>
      </c>
      <c r="D802" s="3">
        <v>1.0</v>
      </c>
    </row>
    <row r="803" ht="15.75" customHeight="1">
      <c r="A803" s="1">
        <v>843.0</v>
      </c>
      <c r="B803" s="3" t="s">
        <v>801</v>
      </c>
      <c r="C803" s="3" t="str">
        <f>IFERROR(__xludf.DUMMYFUNCTION("GOOGLETRANSLATE(B803,""id"",""en"")"),"['White', 'clean', 'baby', 'born', '']")</f>
        <v>['White', 'clean', 'baby', 'born', '']</v>
      </c>
      <c r="D803" s="3">
        <v>1.0</v>
      </c>
    </row>
    <row r="804" ht="15.75" customHeight="1">
      <c r="A804" s="1">
        <v>844.0</v>
      </c>
      <c r="B804" s="3" t="s">
        <v>802</v>
      </c>
      <c r="C804" s="3" t="str">
        <f>IFERROR(__xludf.DUMMYFUNCTION("GOOGLETRANSLATE(B804,""id"",""en"")"),"['card', 'already', 'fill in', 'quota', 'udh', 'entry', 'appears', 'notif', 'base', 'network', 'delay']")</f>
        <v>['card', 'already', 'fill in', 'quota', 'udh', 'entry', 'appears', 'notif', 'base', 'network', 'delay']</v>
      </c>
      <c r="D804" s="3">
        <v>1.0</v>
      </c>
    </row>
    <row r="805" ht="15.75" customHeight="1">
      <c r="A805" s="1">
        <v>845.0</v>
      </c>
      <c r="B805" s="3" t="s">
        <v>803</v>
      </c>
      <c r="C805" s="3" t="str">
        <f>IFERROR(__xludf.DUMMYFUNCTION("GOOGLETRANSLATE(B805,""id"",""en"")"),"['Level', 'Network']")</f>
        <v>['Level', 'Network']</v>
      </c>
      <c r="D805" s="3">
        <v>3.0</v>
      </c>
    </row>
    <row r="806" ht="15.75" customHeight="1">
      <c r="A806" s="1">
        <v>846.0</v>
      </c>
      <c r="B806" s="3" t="s">
        <v>804</v>
      </c>
      <c r="C806" s="3" t="str">
        <f>IFERROR(__xludf.DUMMYFUNCTION("GOOGLETRANSLATE(B806,""id"",""en"")"),"['Please', 'Price', 'Package', 'Cheap', 'Stable']")</f>
        <v>['Please', 'Price', 'Package', 'Cheap', 'Stable']</v>
      </c>
      <c r="D806" s="3">
        <v>5.0</v>
      </c>
    </row>
    <row r="807" ht="15.75" customHeight="1">
      <c r="A807" s="1">
        <v>847.0</v>
      </c>
      <c r="B807" s="3" t="s">
        <v>805</v>
      </c>
      <c r="C807" s="3" t="str">
        <f>IFERROR(__xludf.DUMMYFUNCTION("GOOGLETRANSLATE(B807,""id"",""en"")"),"['Open', 'Application', 'Log', 'just', 'BebolePali', 'Log', 'Link', 'SMS', 'FAILURE', 'SPECIAL', 'Try', 'contact', ' Nyesek ',' pulse ',' like ',' miss', 'limit', 'usage', 'reached', 'system', 'tormented', 'quota', 'package', 'consumption', 'consumption' "&amp;", 'pulse', 'gubble', 'operator', 'grant', ""]")</f>
        <v>['Open', 'Application', 'Log', 'just', 'BebolePali', 'Log', 'Link', 'SMS', 'FAILURE', 'SPECIAL', 'Try', 'contact', ' Nyesek ',' pulse ',' like ',' miss', 'limit', 'usage', 'reached', 'system', 'tormented', 'quota', 'package', 'consumption', 'consumption' , 'pulse', 'gubble', 'operator', 'grant', "]</v>
      </c>
      <c r="D807" s="3">
        <v>1.0</v>
      </c>
    </row>
    <row r="808" ht="15.75" customHeight="1">
      <c r="A808" s="1">
        <v>848.0</v>
      </c>
      <c r="B808" s="3" t="s">
        <v>806</v>
      </c>
      <c r="C808" s="3" t="str">
        <f>IFERROR(__xludf.DUMMYFUNCTION("GOOGLETRANSLATE(B808,""id"",""en"")"),"['quota', 'quota', 'abis', 'buy', 'package', 'apk', 'network', 'hotspot', 'network', 'entry', 'pepayhhh', ""]")</f>
        <v>['quota', 'quota', 'abis', 'buy', 'package', 'apk', 'network', 'hotspot', 'network', 'entry', 'pepayhhh', "]</v>
      </c>
      <c r="D808" s="3">
        <v>1.0</v>
      </c>
    </row>
    <row r="809" ht="15.75" customHeight="1">
      <c r="A809" s="1">
        <v>849.0</v>
      </c>
      <c r="B809" s="3" t="s">
        <v>807</v>
      </c>
      <c r="C809" s="3" t="str">
        <f>IFERROR(__xludf.DUMMYFUNCTION("GOOGLETRANSLATE(B809,""id"",""en"")"),"['The network', 'difficult', 'really', 'already', 'buy', 'package', 'expensive', 'thousand', 'please', 'repair']")</f>
        <v>['The network', 'difficult', 'really', 'already', 'buy', 'package', 'expensive', 'thousand', 'please', 'repair']</v>
      </c>
      <c r="D809" s="3">
        <v>1.0</v>
      </c>
    </row>
    <row r="810" ht="15.75" customHeight="1">
      <c r="A810" s="1">
        <v>850.0</v>
      </c>
      <c r="B810" s="3" t="s">
        <v>808</v>
      </c>
      <c r="C810" s="3" t="str">
        <f>IFERROR(__xludf.DUMMYFUNCTION("GOOGLETRANSLATE(B810,""id"",""en"")"),"['signal', 'visual', 'doang', 'bar', 'stable', 'kaga', 'fix', 'take', 'salary', 'ngelamin', 'mending', 'replace', ' Providers', 'Next to', 'already', 'cheap', 'stable', '']")</f>
        <v>['signal', 'visual', 'doang', 'bar', 'stable', 'kaga', 'fix', 'take', 'salary', 'ngelamin', 'mending', 'replace', ' Providers', 'Next to', 'already', 'cheap', 'stable', '']</v>
      </c>
      <c r="D810" s="3">
        <v>1.0</v>
      </c>
    </row>
    <row r="811" ht="15.75" customHeight="1">
      <c r="A811" s="1">
        <v>851.0</v>
      </c>
      <c r="B811" s="3" t="s">
        <v>809</v>
      </c>
      <c r="C811" s="3" t="str">
        <f>IFERROR(__xludf.DUMMYFUNCTION("GOOGLETRANSLATE(B811,""id"",""en"")"),"['Download', 'open', 'difficult', 'play', 'comfortable', 'check', 'pallet', 'internet', 'pulse', 'contents',' pulse ',' counter ',' Check ',' obstacles', '']")</f>
        <v>['Download', 'open', 'difficult', 'play', 'comfortable', 'check', 'pallet', 'internet', 'pulse', 'contents',' pulse ',' counter ',' Check ',' obstacles', '']</v>
      </c>
      <c r="D811" s="3">
        <v>3.0</v>
      </c>
    </row>
    <row r="812" ht="15.75" customHeight="1">
      <c r="A812" s="1">
        <v>852.0</v>
      </c>
      <c r="B812" s="3" t="s">
        <v>810</v>
      </c>
      <c r="C812" s="3" t="str">
        <f>IFERROR(__xludf.DUMMYFUNCTION("GOOGLETRANSLATE(B812,""id"",""en"")"),"['Point', 'Exchange', 'Ridem', 'Point', 'Quota', 'Choice', 'GB', 'Exchange', 'Ridem', 'Pulse', 'thousand', 'Rupiah', ' Exchange ',' Point ',' Ridem ',' name ',' Pay ',' Severe ']")</f>
        <v>['Point', 'Exchange', 'Ridem', 'Point', 'Quota', 'Choice', 'GB', 'Exchange', 'Ridem', 'Pulse', 'thousand', 'Rupiah', ' Exchange ',' Point ',' Ridem ',' name ',' Pay ',' Severe ']</v>
      </c>
      <c r="D812" s="3">
        <v>1.0</v>
      </c>
    </row>
    <row r="813" ht="15.75" customHeight="1">
      <c r="A813" s="1">
        <v>853.0</v>
      </c>
      <c r="B813" s="3" t="s">
        <v>811</v>
      </c>
      <c r="C813" s="3" t="str">
        <f>IFERROR(__xludf.DUMMYFUNCTION("GOOGLETRANSLATE(B813,""id"",""en"")"),"['Level', 'Quality']")</f>
        <v>['Level', 'Quality']</v>
      </c>
      <c r="D813" s="3">
        <v>5.0</v>
      </c>
    </row>
    <row r="814" ht="15.75" customHeight="1">
      <c r="A814" s="1">
        <v>854.0</v>
      </c>
      <c r="B814" s="3" t="s">
        <v>812</v>
      </c>
      <c r="C814" s="3" t="str">
        <f>IFERROR(__xludf.DUMMYFUNCTION("GOOGLETRANSLATE(B814,""id"",""en"")"),"['easy', 'dri', 'application']")</f>
        <v>['easy', 'dri', 'application']</v>
      </c>
      <c r="D814" s="3">
        <v>2.0</v>
      </c>
    </row>
    <row r="815" ht="15.75" customHeight="1">
      <c r="A815" s="1">
        <v>855.0</v>
      </c>
      <c r="B815" s="3" t="s">
        <v>813</v>
      </c>
      <c r="C815" s="3" t="str">
        <f>IFERROR(__xludf.DUMMYFUNCTION("GOOGLETRANSLATE(B815,""id"",""en"")"),"['BGS', 'Easy', 'Activein', 'Paketash']")</f>
        <v>['BGS', 'Easy', 'Activein', 'Paketash']</v>
      </c>
      <c r="D815" s="3">
        <v>5.0</v>
      </c>
    </row>
    <row r="816" ht="15.75" customHeight="1">
      <c r="A816" s="1">
        <v>856.0</v>
      </c>
      <c r="B816" s="3" t="s">
        <v>814</v>
      </c>
      <c r="C816" s="3" t="str">
        <f>IFERROR(__xludf.DUMMYFUNCTION("GOOGLETRANSLATE(B816,""id"",""en"")"),"['Telkomsel', 'provider', 'garbage', 'pulse', 'suck', 'package', 'run out', 'network', 'ngeleg', 'jerk', 'artisan', 'tricks',' ']")</f>
        <v>['Telkomsel', 'provider', 'garbage', 'pulse', 'suck', 'package', 'run out', 'network', 'ngeleg', 'jerk', 'artisan', 'tricks',' ']</v>
      </c>
      <c r="D816" s="3">
        <v>1.0</v>
      </c>
    </row>
    <row r="817" ht="15.75" customHeight="1">
      <c r="A817" s="1">
        <v>857.0</v>
      </c>
      <c r="B817" s="3" t="s">
        <v>815</v>
      </c>
      <c r="C817" s="3" t="str">
        <f>IFERROR(__xludf.DUMMYFUNCTION("GOOGLETRANSLATE(B817,""id"",""en"")"),"['Open', 'APK', 'open', 'open', 'poor']")</f>
        <v>['Open', 'APK', 'open', 'open', 'poor']</v>
      </c>
      <c r="D817" s="3">
        <v>1.0</v>
      </c>
    </row>
    <row r="818" ht="15.75" customHeight="1">
      <c r="A818" s="1">
        <v>858.0</v>
      </c>
      <c r="B818" s="3" t="s">
        <v>816</v>
      </c>
      <c r="C818" s="3" t="str">
        <f>IFERROR(__xludf.DUMMYFUNCTION("GOOGLETRANSLATE(B818,""id"",""en"")"),"['JRANKAN', 'MNA', 'KTAX', 'Telkomsel', 'Jringan', 'Pling', 'Spacious',' already ',' upgrade ',' high school ',' maybe ',' crazy ',' Play ',' Nge ',' lag ',' Severe ',' ']")</f>
        <v>['JRANKAN', 'MNA', 'KTAX', 'Telkomsel', 'Jringan', 'Pling', 'Spacious',' already ',' upgrade ',' high school ',' maybe ',' crazy ',' Play ',' Nge ',' lag ',' Severe ',' ']</v>
      </c>
      <c r="D818" s="3">
        <v>1.0</v>
      </c>
    </row>
    <row r="819" ht="15.75" customHeight="1">
      <c r="A819" s="1">
        <v>859.0</v>
      </c>
      <c r="B819" s="3" t="s">
        <v>817</v>
      </c>
      <c r="C819" s="3" t="str">
        <f>IFERROR(__xludf.DUMMYFUNCTION("GOOGLETRANSLATE(B819,""id"",""en"")"),"['', 'cascest', 'star', 'dlu', 'aqu', 'blum', 'bkak', 'application']")</f>
        <v>['', 'cascest', 'star', 'dlu', 'aqu', 'blum', 'bkak', 'application']</v>
      </c>
      <c r="D819" s="3">
        <v>3.0</v>
      </c>
    </row>
    <row r="820" ht="15.75" customHeight="1">
      <c r="A820" s="1">
        <v>860.0</v>
      </c>
      <c r="B820" s="3" t="s">
        <v>818</v>
      </c>
      <c r="C820" s="3" t="str">
        <f>IFERROR(__xludf.DUMMYFUNCTION("GOOGLETRANSLATE(B820,""id"",""en"")"),"['UPDATE', 'JAGE', 'Network', 'Severe', 'Telkomsel']")</f>
        <v>['UPDATE', 'JAGE', 'Network', 'Severe', 'Telkomsel']</v>
      </c>
      <c r="D820" s="3">
        <v>1.0</v>
      </c>
    </row>
    <row r="821" ht="15.75" customHeight="1">
      <c r="A821" s="1">
        <v>861.0</v>
      </c>
      <c r="B821" s="3" t="s">
        <v>819</v>
      </c>
      <c r="C821" s="3" t="str">
        <f>IFERROR(__xludf.DUMMYFUNCTION("GOOGLETRANSLATE(B821,""id"",""en"")"),"['AH ',' go there ',' MyTelkomsel ',' ugly ',' where ',' internet ',' good ',' ugly ',' recommended ']")</f>
        <v>['AH ',' go there ',' MyTelkomsel ',' ugly ',' where ',' internet ',' good ',' ugly ',' recommended ']</v>
      </c>
      <c r="D821" s="3">
        <v>1.0</v>
      </c>
    </row>
    <row r="822" ht="15.75" customHeight="1">
      <c r="A822" s="1">
        <v>862.0</v>
      </c>
      <c r="B822" s="3" t="s">
        <v>820</v>
      </c>
      <c r="C822" s="3" t="str">
        <f>IFERROR(__xludf.DUMMYFUNCTION("GOOGLETRANSLATE(B822,""id"",""en"")"),"['application', 'gabisa', 'rating', 'good', 'weird']")</f>
        <v>['application', 'gabisa', 'rating', 'good', 'weird']</v>
      </c>
      <c r="D822" s="3">
        <v>1.0</v>
      </c>
    </row>
    <row r="823" ht="15.75" customHeight="1">
      <c r="A823" s="1">
        <v>863.0</v>
      </c>
      <c r="B823" s="3" t="s">
        <v>821</v>
      </c>
      <c r="C823" s="3" t="str">
        <f>IFERROR(__xludf.DUMMYFUNCTION("GOOGLETRANSLATE(B823,""id"",""en"")"),"['Since', 'Telkomsel', 'Change', 'Logo', 'Untung', 'No', 'Take', 'Offer', 'Promo', 'Package', 'Offered', 'Via', ' Telephone ',' slow ',' forgiveness', '']")</f>
        <v>['Since', 'Telkomsel', 'Change', 'Logo', 'Untung', 'No', 'Take', 'Offer', 'Promo', 'Package', 'Offered', 'Via', ' Telephone ',' slow ',' forgiveness', '']</v>
      </c>
      <c r="D823" s="3">
        <v>1.0</v>
      </c>
    </row>
    <row r="824" ht="15.75" customHeight="1">
      <c r="A824" s="1">
        <v>864.0</v>
      </c>
      <c r="B824" s="3" t="s">
        <v>822</v>
      </c>
      <c r="C824" s="3" t="str">
        <f>IFERROR(__xludf.DUMMYFUNCTION("GOOGLETRANSLATE(B824,""id"",""en"")"),"['expensive', 'choice', 'package', 'change', 'number', 'darling', 'already']")</f>
        <v>['expensive', 'choice', 'package', 'change', 'number', 'darling', 'already']</v>
      </c>
      <c r="D824" s="3">
        <v>1.0</v>
      </c>
    </row>
    <row r="825" ht="15.75" customHeight="1">
      <c r="A825" s="1">
        <v>865.0</v>
      </c>
      <c r="B825" s="3" t="s">
        <v>823</v>
      </c>
      <c r="C825" s="3" t="str">
        <f>IFERROR(__xludf.DUMMYFUNCTION("GOOGLETRANSLATE(B825,""id"",""en"")"),"['', 'Telkomsel', 'No', 'secondly', '']")</f>
        <v>['', 'Telkomsel', 'No', 'secondly', '']</v>
      </c>
      <c r="D825" s="3">
        <v>5.0</v>
      </c>
    </row>
    <row r="826" ht="15.75" customHeight="1">
      <c r="A826" s="1">
        <v>866.0</v>
      </c>
      <c r="B826" s="3" t="s">
        <v>824</v>
      </c>
      <c r="C826" s="3" t="str">
        <f>IFERROR(__xludf.DUMMYFUNCTION("GOOGLETRANSLATE(B826,""id"",""en"")"),"['skali']")</f>
        <v>['skali']</v>
      </c>
      <c r="D826" s="3">
        <v>5.0</v>
      </c>
    </row>
    <row r="827" ht="15.75" customHeight="1">
      <c r="A827" s="1">
        <v>868.0</v>
      </c>
      <c r="B827" s="3" t="s">
        <v>825</v>
      </c>
      <c r="C827" s="3" t="str">
        <f>IFERROR(__xludf.DUMMYFUNCTION("GOOGLETRANSLATE(B827,""id"",""en"")"),"['signal', 'taik', 'open', 'snap', 'difficult', 'forgiveness',' please ',' telkomsel ',' repair ',' signal ',' mending ',' nggk ',' USA ',' buy ',' Card ',' Telkomsel ',' Raying ']")</f>
        <v>['signal', 'taik', 'open', 'snap', 'difficult', 'forgiveness',' please ',' telkomsel ',' repair ',' signal ',' mending ',' nggk ',' USA ',' buy ',' Card ',' Telkomsel ',' Raying ']</v>
      </c>
      <c r="D827" s="3">
        <v>1.0</v>
      </c>
    </row>
    <row r="828" ht="15.75" customHeight="1">
      <c r="A828" s="1">
        <v>869.0</v>
      </c>
      <c r="B828" s="3" t="s">
        <v>826</v>
      </c>
      <c r="C828" s="3" t="str">
        <f>IFERROR(__xludf.DUMMYFUNCTION("GOOGLETRANSLATE(B828,""id"",""en"")"),"['Destroyed', 'Signal', 'Bener', 'Min', 'Please', 'Fix', 'Signal', 'Open', 'Spsmed', 'White', 'Screen', ""]")</f>
        <v>['Destroyed', 'Signal', 'Bener', 'Min', 'Please', 'Fix', 'Signal', 'Open', 'Spsmed', 'White', 'Screen', "]</v>
      </c>
      <c r="D828" s="3">
        <v>1.0</v>
      </c>
    </row>
    <row r="829" ht="15.75" customHeight="1">
      <c r="A829" s="1">
        <v>870.0</v>
      </c>
      <c r="B829" s="3" t="s">
        <v>827</v>
      </c>
      <c r="C829" s="3" t="str">
        <f>IFERROR(__xludf.DUMMYFUNCTION("GOOGLETRANSLATE(B829,""id"",""en"")"),"['card', 'prime', 'price', 'package', 'expensive', 'rare', 'promo']")</f>
        <v>['card', 'prime', 'price', 'package', 'expensive', 'rare', 'promo']</v>
      </c>
      <c r="D829" s="3">
        <v>5.0</v>
      </c>
    </row>
    <row r="830" ht="15.75" customHeight="1">
      <c r="A830" s="1">
        <v>871.0</v>
      </c>
      <c r="B830" s="3" t="s">
        <v>828</v>
      </c>
      <c r="C830" s="3" t="str">
        <f>IFERROR(__xludf.DUMMYFUNCTION("GOOGLETRANSLATE(B830,""id"",""en"")"),"['Stable', 'signal']")</f>
        <v>['Stable', 'signal']</v>
      </c>
      <c r="D830" s="3">
        <v>2.0</v>
      </c>
    </row>
    <row r="831" ht="15.75" customHeight="1">
      <c r="A831" s="1">
        <v>872.0</v>
      </c>
      <c r="B831" s="3" t="s">
        <v>829</v>
      </c>
      <c r="C831" s="3" t="str">
        <f>IFERROR(__xludf.DUMMYFUNCTION("GOOGLETRANSLATE(B831,""id"",""en"")"),"['Easily', 'Thank you']")</f>
        <v>['Easily', 'Thank you']</v>
      </c>
      <c r="D831" s="3">
        <v>4.0</v>
      </c>
    </row>
    <row r="832" ht="15.75" customHeight="1">
      <c r="A832" s="1">
        <v>873.0</v>
      </c>
      <c r="B832" s="3" t="s">
        <v>830</v>
      </c>
      <c r="C832" s="3" t="str">
        <f>IFERROR(__xludf.DUMMYFUNCTION("GOOGLETRANSLATE(B832,""id"",""en"")"),"['', 'like']")</f>
        <v>['', 'like']</v>
      </c>
      <c r="D832" s="3">
        <v>5.0</v>
      </c>
    </row>
    <row r="833" ht="15.75" customHeight="1">
      <c r="A833" s="1">
        <v>874.0</v>
      </c>
      <c r="B833" s="3" t="s">
        <v>831</v>
      </c>
      <c r="C833" s="3" t="str">
        <f>IFERROR(__xludf.DUMMYFUNCTION("GOOGLETRANSLATE(B833,""id"",""en"")"),"['network', 'used', 'Doang', 'slow', 'disappointed', 'heavy']")</f>
        <v>['network', 'used', 'Doang', 'slow', 'disappointed', 'heavy']</v>
      </c>
      <c r="D833" s="3">
        <v>1.0</v>
      </c>
    </row>
    <row r="834" ht="15.75" customHeight="1">
      <c r="A834" s="1">
        <v>875.0</v>
      </c>
      <c r="B834" s="3" t="s">
        <v>832</v>
      </c>
      <c r="C834" s="3" t="str">
        <f>IFERROR(__xludf.DUMMYFUNCTION("GOOGLETRANSLATE(B834,""id"",""en"")"),"['Telkomsel', 'emang', 'gacoorrr', 'mantaappp', '']")</f>
        <v>['Telkomsel', 'emang', 'gacoorrr', 'mantaappp', '']</v>
      </c>
      <c r="D834" s="3">
        <v>5.0</v>
      </c>
    </row>
    <row r="835" ht="15.75" customHeight="1">
      <c r="A835" s="1">
        <v>876.0</v>
      </c>
      <c r="B835" s="3" t="s">
        <v>833</v>
      </c>
      <c r="C835" s="3" t="str">
        <f>IFERROR(__xludf.DUMMYFUNCTION("GOOGLETRANSLATE(B835,""id"",""en"")"),"['Sya', 'classified', 'customers',' loyal ',' Telkomsel ',' card ',' Telkomsel ',' Flash ',' price ',' internet ',' expensive ',' card ',' Telkomsel ',' customer ',' Reward ',' loyal ',' Telkomsel ', ""]")</f>
        <v>['Sya', 'classified', 'customers',' loyal ',' Telkomsel ',' card ',' Telkomsel ',' Flash ',' price ',' internet ',' expensive ',' card ',' Telkomsel ',' customer ',' Reward ',' loyal ',' Telkomsel ', "]</v>
      </c>
      <c r="D835" s="3">
        <v>1.0</v>
      </c>
    </row>
    <row r="836" ht="15.75" customHeight="1">
      <c r="A836" s="1">
        <v>877.0</v>
      </c>
      <c r="B836" s="3" t="s">
        <v>834</v>
      </c>
      <c r="C836" s="3" t="str">
        <f>IFERROR(__xludf.DUMMYFUNCTION("GOOGLETRANSLATE(B836,""id"",""en"")"),"['Help', 'consume', 'power', 'please', 'fix', '']")</f>
        <v>['Help', 'consume', 'power', 'please', 'fix', '']</v>
      </c>
      <c r="D836" s="3">
        <v>5.0</v>
      </c>
    </row>
    <row r="837" ht="15.75" customHeight="1">
      <c r="A837" s="1">
        <v>878.0</v>
      </c>
      <c r="B837" s="3" t="s">
        <v>835</v>
      </c>
      <c r="C837" s="3" t="str">
        <f>IFERROR(__xludf.DUMMYFUNCTION("GOOGLETRANSLATE(B837,""id"",""en"")"),"['Please', 'Fix', 'Applikasinx', 'Exchange', 'Points',' Item ',' Application ',' Teikomsel ',' Seprti ',' Vocer ',' Gams', 'right', ' Exchange ',' kdaluarsa ',' kidaluarsa ',' sru ',' downlad ',' applices', 'shopbak', 'please', 'good', 'just', 'info', 'sd"&amp;"ah' , 'Bgus', 'applicationx', 'ksi', 'star', '']")</f>
        <v>['Please', 'Fix', 'Applikasinx', 'Exchange', 'Points',' Item ',' Application ',' Teikomsel ',' Seprti ',' Vocer ',' Gams', 'right', ' Exchange ',' kdaluarsa ',' kidaluarsa ',' sru ',' downlad ',' applices', 'shopbak', 'please', 'good', 'just', 'info', 'sdah' , 'Bgus', 'applicationx', 'ksi', 'star', '']</v>
      </c>
      <c r="D837" s="3">
        <v>4.0</v>
      </c>
    </row>
    <row r="838" ht="15.75" customHeight="1">
      <c r="A838" s="1">
        <v>879.0</v>
      </c>
      <c r="B838" s="3" t="s">
        <v>836</v>
      </c>
      <c r="C838" s="3" t="str">
        <f>IFERROR(__xludf.DUMMYFUNCTION("GOOGLETRANSLATE(B838,""id"",""en"")"),"['Help', 'really', 'try', 'times',' system ',' lined ',' min ',' package ',' off ',' open ',' apk ',' Telkomsel ',' Buy ',' package ',' there ',' ']")</f>
        <v>['Help', 'really', 'try', 'times',' system ',' lined ',' min ',' package ',' off ',' open ',' apk ',' Telkomsel ',' Buy ',' package ',' there ',' ']</v>
      </c>
      <c r="D838" s="3">
        <v>5.0</v>
      </c>
    </row>
    <row r="839" ht="15.75" customHeight="1">
      <c r="A839" s="1">
        <v>880.0</v>
      </c>
      <c r="B839" s="3" t="s">
        <v>837</v>
      </c>
      <c r="C839" s="3" t="str">
        <f>IFERROR(__xludf.DUMMYFUNCTION("GOOGLETRANSLATE(B839,""id"",""en"")"),"['signal', 'skrg', 'slow', 'udh', 'good', 'gmn', '']")</f>
        <v>['signal', 'skrg', 'slow', 'udh', 'good', 'gmn', '']</v>
      </c>
      <c r="D839" s="3">
        <v>1.0</v>
      </c>
    </row>
    <row r="840" ht="15.75" customHeight="1">
      <c r="A840" s="1">
        <v>881.0</v>
      </c>
      <c r="B840" s="3" t="s">
        <v>838</v>
      </c>
      <c r="C840" s="3" t="str">
        <f>IFERROR(__xludf.DUMMYFUNCTION("GOOGLETRANSLATE(B840,""id"",""en"")"),"['hope', 'quota', 'promo', 'term']")</f>
        <v>['hope', 'quota', 'promo', 'term']</v>
      </c>
      <c r="D840" s="3">
        <v>5.0</v>
      </c>
    </row>
    <row r="841" ht="15.75" customHeight="1">
      <c r="A841" s="1">
        <v>882.0</v>
      </c>
      <c r="B841" s="3" t="s">
        <v>839</v>
      </c>
      <c r="C841" s="3" t="str">
        <f>IFERROR(__xludf.DUMMYFUNCTION("GOOGLETRANSLATE(B841,""id"",""en"")"),"['Application', 'Good', 'Like', 'Telkomsel', 'Change', 'Network', 'Good', 'Exchange', 'Points',' Easy ',' Exchange ',' Points', ' Hadia ',' car ',' spirit ',' Telkomsel ']")</f>
        <v>['Application', 'Good', 'Like', 'Telkomsel', 'Change', 'Network', 'Good', 'Exchange', 'Points',' Easy ',' Exchange ',' Points', ' Hadia ',' car ',' spirit ',' Telkomsel ']</v>
      </c>
      <c r="D841" s="3">
        <v>5.0</v>
      </c>
    </row>
    <row r="842" ht="15.75" customHeight="1">
      <c r="A842" s="1">
        <v>883.0</v>
      </c>
      <c r="B842" s="3" t="s">
        <v>840</v>
      </c>
      <c r="C842" s="3" t="str">
        <f>IFERROR(__xludf.DUMMYFUNCTION("GOOGLETRANSLATE(B842,""id"",""en"")"),"['Benerin', 'Network', 'Price', 'Doang', 'Dinaikin', 'kmprt']")</f>
        <v>['Benerin', 'Network', 'Price', 'Doang', 'Dinaikin', 'kmprt']</v>
      </c>
      <c r="D842" s="3">
        <v>1.0</v>
      </c>
    </row>
    <row r="843" ht="15.75" customHeight="1">
      <c r="A843" s="1">
        <v>884.0</v>
      </c>
      <c r="B843" s="3" t="s">
        <v>841</v>
      </c>
      <c r="C843" s="3" t="str">
        <f>IFERROR(__xludf.DUMMYFUNCTION("GOOGLETRANSLATE(B843,""id"",""en"")"),"['Network', 'slow', 'how', 'Satisfied', 'customer', '']")</f>
        <v>['Network', 'slow', 'how', 'Satisfied', 'customer', '']</v>
      </c>
      <c r="D843" s="3">
        <v>1.0</v>
      </c>
    </row>
    <row r="844" ht="15.75" customHeight="1">
      <c r="A844" s="1">
        <v>885.0</v>
      </c>
      <c r="B844" s="3" t="s">
        <v>842</v>
      </c>
      <c r="C844" s="3" t="str">
        <f>IFERROR(__xludf.DUMMYFUNCTION("GOOGLETRANSLATE(B844,""id"",""en"")"),"['Network', 'Bungik', 'Raying', 'Make', 'Telkomsel']")</f>
        <v>['Network', 'Bungik', 'Raying', 'Make', 'Telkomsel']</v>
      </c>
      <c r="D844" s="3">
        <v>1.0</v>
      </c>
    </row>
    <row r="845" ht="15.75" customHeight="1">
      <c r="A845" s="1">
        <v>886.0</v>
      </c>
      <c r="B845" s="3" t="s">
        <v>843</v>
      </c>
      <c r="C845" s="3" t="str">
        <f>IFERROR(__xludf.DUMMYFUNCTION("GOOGLETRANSLATE(B845,""id"",""en"")"),"['Help', 'Good']")</f>
        <v>['Help', 'Good']</v>
      </c>
      <c r="D845" s="3">
        <v>5.0</v>
      </c>
    </row>
    <row r="846" ht="15.75" customHeight="1">
      <c r="A846" s="1">
        <v>887.0</v>
      </c>
      <c r="B846" s="3" t="s">
        <v>844</v>
      </c>
      <c r="C846" s="3" t="str">
        <f>IFERROR(__xludf.DUMMYFUNCTION("GOOGLETRANSLATE(B846,""id"",""en"")"),"['Gini', 'APK', 'enter']")</f>
        <v>['Gini', 'APK', 'enter']</v>
      </c>
      <c r="D846" s="3">
        <v>1.0</v>
      </c>
    </row>
    <row r="847" ht="15.75" customHeight="1">
      <c r="A847" s="1">
        <v>888.0</v>
      </c>
      <c r="B847" s="3" t="s">
        <v>845</v>
      </c>
      <c r="C847" s="3" t="str">
        <f>IFERROR(__xludf.DUMMYFUNCTION("GOOGLETRANSLATE(B847,""id"",""en"")"),"['Mantabb', 'Increases', 'Telkomsel', 'Current', 'The Network', '']")</f>
        <v>['Mantabb', 'Increases', 'Telkomsel', 'Current', 'The Network', '']</v>
      </c>
      <c r="D847" s="3">
        <v>5.0</v>
      </c>
    </row>
    <row r="848" ht="15.75" customHeight="1">
      <c r="A848" s="1">
        <v>889.0</v>
      </c>
      <c r="B848" s="3" t="s">
        <v>846</v>
      </c>
      <c r="C848" s="3" t="str">
        <f>IFERROR(__xludf.DUMMYFUNCTION("GOOGLETRANSLATE(B848,""id"",""en"")"),"['Love', 'Bintamg', 'Streaming', 'Video', 'Pekah', 'Slow', 'Download', 'Main', 'Game', 'Online']")</f>
        <v>['Love', 'Bintamg', 'Streaming', 'Video', 'Pekah', 'Slow', 'Download', 'Main', 'Game', 'Online']</v>
      </c>
      <c r="D848" s="3">
        <v>1.0</v>
      </c>
    </row>
    <row r="849" ht="15.75" customHeight="1">
      <c r="A849" s="1">
        <v>890.0</v>
      </c>
      <c r="B849" s="3" t="s">
        <v>847</v>
      </c>
      <c r="C849" s="3" t="str">
        <f>IFERROR(__xludf.DUMMYFUNCTION("GOOGLETRANSLATE(B849,""id"",""en"")"),"['Badkkkk', 'login', 'difficult', 'really', 'link', 'verification', 'right', 'run out', 'fail', 'mulu', 'taeeekkkkk', '']")</f>
        <v>['Badkkkk', 'login', 'difficult', 'really', 'link', 'verification', 'right', 'run out', 'fail', 'mulu', 'taeeekkkkk', '']</v>
      </c>
      <c r="D849" s="3">
        <v>1.0</v>
      </c>
    </row>
    <row r="850" ht="15.75" customHeight="1">
      <c r="A850" s="1">
        <v>891.0</v>
      </c>
      <c r="B850" s="3" t="s">
        <v>848</v>
      </c>
      <c r="C850" s="3" t="str">
        <f>IFERROR(__xludf.DUMMYFUNCTION("GOOGLETRANSLATE(B850,""id"",""en"")"),"['', 'Telkomsel', 'Good', 'really', '']")</f>
        <v>['', 'Telkomsel', 'Good', 'really', '']</v>
      </c>
      <c r="D850" s="3">
        <v>5.0</v>
      </c>
    </row>
    <row r="851" ht="15.75" customHeight="1">
      <c r="A851" s="1">
        <v>892.0</v>
      </c>
      <c r="B851" s="3" t="s">
        <v>849</v>
      </c>
      <c r="C851" s="3" t="str">
        <f>IFERROR(__xludf.DUMMYFUNCTION("GOOGLETRANSLATE(B851,""id"",""en"")"),"['buy', 'package', 'game', 'use', 'maximum', 'held', 'package', 'game', '']")</f>
        <v>['buy', 'package', 'game', 'use', 'maximum', 'held', 'package', 'game', '']</v>
      </c>
      <c r="D851" s="3">
        <v>4.0</v>
      </c>
    </row>
    <row r="852" ht="15.75" customHeight="1">
      <c r="A852" s="1">
        <v>893.0</v>
      </c>
      <c r="B852" s="3" t="s">
        <v>850</v>
      </c>
      <c r="C852" s="3" t="str">
        <f>IFERROR(__xludf.DUMMYFUNCTION("GOOGLETRANSLATE(B852,""id"",""en"")"),"['Network', 'Leet', 'Plus', 'HR', 'Riau', 'Congkak', 'Life', 'Money', 'Society', 'Belagu', ""]")</f>
        <v>['Network', 'Leet', 'Plus', 'HR', 'Riau', 'Congkak', 'Life', 'Money', 'Society', 'Belagu', "]</v>
      </c>
      <c r="D852" s="3">
        <v>1.0</v>
      </c>
    </row>
    <row r="853" ht="15.75" customHeight="1">
      <c r="A853" s="1">
        <v>894.0</v>
      </c>
      <c r="B853" s="3" t="s">
        <v>851</v>
      </c>
      <c r="C853" s="3" t="str">
        <f>IFERROR(__xludf.DUMMYFUNCTION("GOOGLETRANSLATE(B853,""id"",""en"")"),"['Dear', 'Depelover', 'Telkomsel', 'Disappointed', 'Package', 'Games',' Max ',' Package ',' Games', 'Masi', 'Internet', 'Local', ' run out ',' right ',' play ',' game ',' taken ',' pulse ',' quota ',' games', 'max', 'point', 'quota', 'gamesmax', 'tsb' , '"&amp;"Please', 'eliminated', 'Package', 'Games',' Max ',' Cheated ',' Please ',' Real ',' Tipu ',' Disappointed ',' Karuan ',' Karuan ',' Package ',' Random ',' Telkomsel ',' annoying ',' blur ',' vocational ']")</f>
        <v>['Dear', 'Depelover', 'Telkomsel', 'Disappointed', 'Package', 'Games',' Max ',' Package ',' Games', 'Masi', 'Internet', 'Local', ' run out ',' right ',' play ',' game ',' taken ',' pulse ',' quota ',' games', 'max', 'point', 'quota', 'gamesmax', 'tsb' , 'Please', 'eliminated', 'Package', 'Games',' Max ',' Cheated ',' Please ',' Real ',' Tipu ',' Disappointed ',' Karuan ',' Karuan ',' Package ',' Random ',' Telkomsel ',' annoying ',' blur ',' vocational ']</v>
      </c>
      <c r="D853" s="3">
        <v>1.0</v>
      </c>
    </row>
    <row r="854" ht="15.75" customHeight="1">
      <c r="A854" s="1">
        <v>895.0</v>
      </c>
      <c r="B854" s="3" t="s">
        <v>852</v>
      </c>
      <c r="C854" s="3" t="str">
        <f>IFERROR(__xludf.DUMMYFUNCTION("GOOGLETRANSLATE(B854,""id"",""en"")"),"['Enter', 'Hendro']")</f>
        <v>['Enter', 'Hendro']</v>
      </c>
      <c r="D854" s="3">
        <v>5.0</v>
      </c>
    </row>
    <row r="855" ht="15.75" customHeight="1">
      <c r="A855" s="1">
        <v>896.0</v>
      </c>
      <c r="B855" s="3" t="s">
        <v>853</v>
      </c>
      <c r="C855" s="3" t="str">
        <f>IFERROR(__xludf.DUMMYFUNCTION("GOOGLETRANSLATE(B855,""id"",""en"")"),"['signal', 'Full', 'bar', 'bwt', 'data', 'down', 'bwt', 'ngekame', 'signal', 'down', 'already', 'down', ' back behind ',' difficult ',' Musti ',' dimode ',' plane ',' that's', 'alternating', 'app', 'ngelag', 'like', 'force', 'close', 'event' , 'checkin', "&amp;"'difficult', 'opened', 'app', '']")</f>
        <v>['signal', 'Full', 'bar', 'bwt', 'data', 'down', 'bwt', 'ngekame', 'signal', 'down', 'already', 'down', ' back behind ',' difficult ',' Musti ',' dimode ',' plane ',' that's', 'alternating', 'app', 'ngelag', 'like', 'force', 'close', 'event' , 'checkin', 'difficult', 'opened', 'app', '']</v>
      </c>
      <c r="D855" s="3">
        <v>1.0</v>
      </c>
    </row>
    <row r="856" ht="15.75" customHeight="1">
      <c r="A856" s="1">
        <v>898.0</v>
      </c>
      <c r="B856" s="3" t="s">
        <v>854</v>
      </c>
      <c r="C856" s="3" t="str">
        <f>IFERROR(__xludf.DUMMYFUNCTION("GOOGLETRANSLATE(B856,""id"",""en"")"),"['Have', 'apdet', 'already', 'apdet', 'alternating', 'uninstall', 'blank', 'white', 'doank', 'after', 'quota', ""]")</f>
        <v>['Have', 'apdet', 'already', 'apdet', 'alternating', 'uninstall', 'blank', 'white', 'doank', 'after', 'quota', "]</v>
      </c>
      <c r="D856" s="3">
        <v>1.0</v>
      </c>
    </row>
    <row r="857" ht="15.75" customHeight="1">
      <c r="A857" s="1">
        <v>899.0</v>
      </c>
      <c r="B857" s="3" t="s">
        <v>855</v>
      </c>
      <c r="C857" s="3" t="str">
        <f>IFERROR(__xludf.DUMMYFUNCTION("GOOGLETRANSLATE(B857,""id"",""en"")"),"['Telalu', 'bad', 'bah', 'sngat', 'bad']")</f>
        <v>['Telalu', 'bad', 'bah', 'sngat', 'bad']</v>
      </c>
      <c r="D857" s="3">
        <v>1.0</v>
      </c>
    </row>
    <row r="858" ht="15.75" customHeight="1">
      <c r="A858" s="1">
        <v>900.0</v>
      </c>
      <c r="B858" s="3" t="s">
        <v>856</v>
      </c>
      <c r="C858" s="3" t="str">
        <f>IFERROR(__xludf.DUMMYFUNCTION("GOOGLETRANSLATE(B858,""id"",""en"")"),"['poor', 'original', 'signal', 'Sometimes',' Sometimes', 'November', 'Sampe', 'December', 'Sellau', 'Ngeleg', 'Yesterday', 'Sellau', ' Ngeteleg ',' Different ',' shop ',' next door ',' Walaw ',' cheap ',' signal ',' good ',' walaw ',' sometimes', 'like', "&amp;"'ngeeleg', 'right' , 'Rain', 'signal', 'guarantee', 'really', 'shop', 'next door', 'compared', 'please', 'Expand', 'reach', 'network', 'consumer', ' comfortable']")</f>
        <v>['poor', 'original', 'signal', 'Sometimes',' Sometimes', 'November', 'Sampe', 'December', 'Sellau', 'Ngeleg', 'Yesterday', 'Sellau', ' Ngeteleg ',' Different ',' shop ',' next door ',' Walaw ',' cheap ',' signal ',' good ',' walaw ',' sometimes', 'like', 'ngeeleg', 'right' , 'Rain', 'signal', 'guarantee', 'really', 'shop', 'next door', 'compared', 'please', 'Expand', 'reach', 'network', 'consumer', ' comfortable']</v>
      </c>
      <c r="D858" s="3">
        <v>1.0</v>
      </c>
    </row>
    <row r="859" ht="15.75" customHeight="1">
      <c r="A859" s="1">
        <v>901.0</v>
      </c>
      <c r="B859" s="3" t="s">
        <v>857</v>
      </c>
      <c r="C859" s="3" t="str">
        <f>IFERROR(__xludf.DUMMYFUNCTION("GOOGLETRANSLATE(B859,""id"",""en"")"),"['Please', 'Telkomsel', 'Fix', 'Network', 'Region', 'Simalungun', 'Karna', 'Network', 'Region', 'Simalungun', 'Disconnect', ""]")</f>
        <v>['Please', 'Telkomsel', 'Fix', 'Network', 'Region', 'Simalungun', 'Karna', 'Network', 'Region', 'Simalungun', 'Disconnect', "]</v>
      </c>
      <c r="D859" s="3">
        <v>1.0</v>
      </c>
    </row>
    <row r="860" ht="15.75" customHeight="1">
      <c r="A860" s="1">
        <v>902.0</v>
      </c>
      <c r="B860" s="3" t="s">
        <v>858</v>
      </c>
      <c r="C860" s="3" t="str">
        <f>IFERROR(__xludf.DUMMYFUNCTION("GOOGLETRANSLATE(B860,""id"",""en"")"),"['network', 'Telkomsel', 'poor', 'really', 'already', 'buy', 'expensive', 'expensive', 'please', 'Inquiry', 'network', 'kek', ' Gini ',' network ',' weak ',' yaudah ',' moved ',' card ',' cave ',' ']")</f>
        <v>['network', 'Telkomsel', 'poor', 'really', 'already', 'buy', 'expensive', 'expensive', 'please', 'Inquiry', 'network', 'kek', ' Gini ',' network ',' weak ',' yaudah ',' moved ',' card ',' cave ',' ']</v>
      </c>
      <c r="D860" s="3">
        <v>2.0</v>
      </c>
    </row>
    <row r="861" ht="15.75" customHeight="1">
      <c r="A861" s="1">
        <v>903.0</v>
      </c>
      <c r="B861" s="3" t="s">
        <v>859</v>
      </c>
      <c r="C861" s="3" t="str">
        <f>IFERROR(__xludf.DUMMYFUNCTION("GOOGLETRANSLATE(B861,""id"",""en"")"),"['Error', 'Kah', 'Telkomsel', 'Mass', 'Open', 'wifi', 'bsa']")</f>
        <v>['Error', 'Kah', 'Telkomsel', 'Mass', 'Open', 'wifi', 'bsa']</v>
      </c>
      <c r="D861" s="3">
        <v>1.0</v>
      </c>
    </row>
    <row r="862" ht="15.75" customHeight="1">
      <c r="A862" s="1">
        <v>904.0</v>
      </c>
      <c r="B862" s="3" t="s">
        <v>860</v>
      </c>
      <c r="C862" s="3" t="str">
        <f>IFERROR(__xludf.DUMMYFUNCTION("GOOGLETRANSLATE(B862,""id"",""en"")"),"['bang', 'Telkomsel', 'how', 'signal', 'bad', 'cave', 'play', 'AFK']")</f>
        <v>['bang', 'Telkomsel', 'how', 'signal', 'bad', 'cave', 'play', 'AFK']</v>
      </c>
      <c r="D862" s="3">
        <v>1.0</v>
      </c>
    </row>
    <row r="863" ht="15.75" customHeight="1">
      <c r="A863" s="1">
        <v>905.0</v>
      </c>
      <c r="B863" s="3" t="s">
        <v>861</v>
      </c>
      <c r="C863" s="3" t="str">
        <f>IFERROR(__xludf.DUMMYFUNCTION("GOOGLETRANSLATE(B863,""id"",""en"")"),"['Signal', 'ugly', 'lost', 'Connected', 'Network', '']")</f>
        <v>['Signal', 'ugly', 'lost', 'Connected', 'Network', '']</v>
      </c>
      <c r="D863" s="3">
        <v>2.0</v>
      </c>
    </row>
    <row r="864" ht="15.75" customHeight="1">
      <c r="A864" s="1">
        <v>906.0</v>
      </c>
      <c r="B864" s="3" t="s">
        <v>862</v>
      </c>
      <c r="C864" s="3" t="str">
        <f>IFERROR(__xludf.DUMMYFUNCTION("GOOGLETRANSLATE(B864,""id"",""en"")"),"['steady', 'all-round', 'easy', 'buy', 'package']")</f>
        <v>['steady', 'all-round', 'easy', 'buy', 'package']</v>
      </c>
      <c r="D864" s="3">
        <v>5.0</v>
      </c>
    </row>
    <row r="865" ht="15.75" customHeight="1">
      <c r="A865" s="1">
        <v>907.0</v>
      </c>
      <c r="B865" s="3" t="s">
        <v>863</v>
      </c>
      <c r="C865" s="3" t="str">
        <f>IFERROR(__xludf.DUMMYFUNCTION("GOOGLETRANSLATE(B865,""id"",""en"")"),"['multiply', 'discount', 'min']")</f>
        <v>['multiply', 'discount', 'min']</v>
      </c>
      <c r="D865" s="3">
        <v>4.0</v>
      </c>
    </row>
    <row r="866" ht="15.75" customHeight="1">
      <c r="A866" s="1">
        <v>908.0</v>
      </c>
      <c r="B866" s="3" t="s">
        <v>864</v>
      </c>
      <c r="C866" s="3" t="str">
        <f>IFERROR(__xludf.DUMMYFUNCTION("GOOGLETRANSLATE(B866,""id"",""en"")"),"['network', 'emang', 'emotion', 'if', 'love', 'rating', 'love', ""]")</f>
        <v>['network', 'emang', 'emotion', 'if', 'love', 'rating', 'love', "]</v>
      </c>
      <c r="D866" s="3">
        <v>1.0</v>
      </c>
    </row>
    <row r="867" ht="15.75" customHeight="1">
      <c r="A867" s="1">
        <v>909.0</v>
      </c>
      <c r="B867" s="3" t="s">
        <v>865</v>
      </c>
      <c r="C867" s="3" t="str">
        <f>IFERROR(__xludf.DUMMYFUNCTION("GOOGLETRANSLATE(B867,""id"",""en"")"),"['open', 'error', 'system', 'told', 'update', 'update', 'open', 'buy', 'package', 'internet', 'fix', 'comfortable', ' Users', 'dizziness',' ']")</f>
        <v>['open', 'error', 'system', 'told', 'update', 'update', 'open', 'buy', 'package', 'internet', 'fix', 'comfortable', ' Users', 'dizziness',' ']</v>
      </c>
      <c r="D867" s="3">
        <v>1.0</v>
      </c>
    </row>
    <row r="868" ht="15.75" customHeight="1">
      <c r="A868" s="1">
        <v>910.0</v>
      </c>
      <c r="B868" s="3" t="s">
        <v>866</v>
      </c>
      <c r="C868" s="3" t="str">
        <f>IFERROR(__xludf.DUMMYFUNCTION("GOOGLETRANSLATE(B868,""id"",""en"")"),"['after', 'update', 'heavy', 'open', 'application', 'ugly']")</f>
        <v>['after', 'update', 'heavy', 'open', 'application', 'ugly']</v>
      </c>
      <c r="D868" s="3">
        <v>1.0</v>
      </c>
    </row>
    <row r="869" ht="15.75" customHeight="1">
      <c r="A869" s="1">
        <v>911.0</v>
      </c>
      <c r="B869" s="3" t="s">
        <v>867</v>
      </c>
      <c r="C869" s="3" t="str">
        <f>IFERROR(__xludf.DUMMYFUNCTION("GOOGLETRANSLATE(B869,""id"",""en"")"),"['Help', 'Increase']")</f>
        <v>['Help', 'Increase']</v>
      </c>
      <c r="D869" s="3">
        <v>5.0</v>
      </c>
    </row>
    <row r="870" ht="15.75" customHeight="1">
      <c r="A870" s="1">
        <v>912.0</v>
      </c>
      <c r="B870" s="3" t="s">
        <v>868</v>
      </c>
      <c r="C870" s="3" t="str">
        <f>IFERROR(__xludf.DUMMYFUNCTION("GOOGLETRANSLATE(B870,""id"",""en"")"),"['Telkomsel', 'why', 'yaaa', 'network', 'uda', 'update', 'open', 'service', 'contents',' package ',' opened ',' need ',' The quota is', 'Lho', 'Yaaa', 'Please', 'repaired', 'Open', 'Review', 'BBRAPA', '']")</f>
        <v>['Telkomsel', 'why', 'yaaa', 'network', 'uda', 'update', 'open', 'service', 'contents',' package ',' opened ',' need ',' The quota is', 'Lho', 'Yaaa', 'Please', 'repaired', 'Open', 'Review', 'BBRAPA', '']</v>
      </c>
      <c r="D870" s="3">
        <v>1.0</v>
      </c>
    </row>
    <row r="871" ht="15.75" customHeight="1">
      <c r="A871" s="1">
        <v>914.0</v>
      </c>
      <c r="B871" s="3" t="s">
        <v>869</v>
      </c>
      <c r="C871" s="3" t="str">
        <f>IFERROR(__xludf.DUMMYFUNCTION("GOOGLETRANSLATE(B871,""id"",""en"")"),"['Package', 'love', 'cheap', 'little']")</f>
        <v>['Package', 'love', 'cheap', 'little']</v>
      </c>
      <c r="D871" s="3">
        <v>5.0</v>
      </c>
    </row>
    <row r="872" ht="15.75" customHeight="1">
      <c r="A872" s="1">
        <v>915.0</v>
      </c>
      <c r="B872" s="3" t="s">
        <v>870</v>
      </c>
      <c r="C872" s="3" t="str">
        <f>IFERROR(__xludf.DUMMYFUNCTION("GOOGLETRANSLATE(B872,""id"",""en"")"),"['Purchase', 'Diamond', 'missing', '']")</f>
        <v>['Purchase', 'Diamond', 'missing', '']</v>
      </c>
      <c r="D872" s="3">
        <v>4.0</v>
      </c>
    </row>
    <row r="873" ht="15.75" customHeight="1">
      <c r="A873" s="1">
        <v>916.0</v>
      </c>
      <c r="B873" s="3" t="s">
        <v>871</v>
      </c>
      <c r="C873" s="3" t="str">
        <f>IFERROR(__xludf.DUMMYFUNCTION("GOOGLETRANSLATE(B873,""id"",""en"")"),"['network', 'internet', 'times',' disorder ',' enter ',' sunset ',' until ',' clock ',' night ',' fix ',' already ',' disorder ',' please ',' price ',' package ',' expensive ',' respond ',' keluahan ',' ']")</f>
        <v>['network', 'internet', 'times',' disorder ',' enter ',' sunset ',' until ',' clock ',' night ',' fix ',' already ',' disorder ',' please ',' price ',' package ',' expensive ',' respond ',' keluahan ',' ']</v>
      </c>
      <c r="D873" s="3">
        <v>1.0</v>
      </c>
    </row>
    <row r="874" ht="15.75" customHeight="1">
      <c r="A874" s="1">
        <v>917.0</v>
      </c>
      <c r="B874" s="3" t="s">
        <v>872</v>
      </c>
      <c r="C874" s="3" t="str">
        <f>IFERROR(__xludf.DUMMYFUNCTION("GOOGLETRANSLATE(B874,""id"",""en"")"),"['min', 'quota', 'game', 'max', 'mlbb', 'gabisa', 'dipake', 'udh', 'buy', 'ttp', 'juke', 'quota', ' main ',' please ',' min ']")</f>
        <v>['min', 'quota', 'game', 'max', 'mlbb', 'gabisa', 'dipake', 'udh', 'buy', 'ttp', 'juke', 'quota', ' main ',' please ',' min ']</v>
      </c>
      <c r="D874" s="3">
        <v>1.0</v>
      </c>
    </row>
    <row r="875" ht="15.75" customHeight="1">
      <c r="A875" s="1">
        <v>918.0</v>
      </c>
      <c r="B875" s="3" t="s">
        <v>873</v>
      </c>
      <c r="C875" s="3" t="str">
        <f>IFERROR(__xludf.DUMMYFUNCTION("GOOGLETRANSLATE(B875,""id"",""en"")"),"['Make it easy', 'user']")</f>
        <v>['Make it easy', 'user']</v>
      </c>
      <c r="D875" s="3">
        <v>3.0</v>
      </c>
    </row>
    <row r="876" ht="15.75" customHeight="1">
      <c r="A876" s="1">
        <v>919.0</v>
      </c>
      <c r="B876" s="3" t="s">
        <v>874</v>
      </c>
      <c r="C876" s="3" t="str">
        <f>IFERROR(__xludf.DUMMYFUNCTION("GOOGLETRANSLATE(B876,""id"",""en"")"),"['expensive', 'card', 'more', 'cheap', 'user', 'sympathy', 'cheap', '']")</f>
        <v>['expensive', 'card', 'more', 'cheap', 'user', 'sympathy', 'cheap', '']</v>
      </c>
      <c r="D876" s="3">
        <v>2.0</v>
      </c>
    </row>
    <row r="877" ht="15.75" customHeight="1">
      <c r="A877" s="1">
        <v>920.0</v>
      </c>
      <c r="B877" s="3" t="s">
        <v>875</v>
      </c>
      <c r="C877" s="3" t="str">
        <f>IFERROR(__xludf.DUMMYFUNCTION("GOOGLETRANSLATE(B877,""id"",""en"")"),"['The application', 'open', 'already', 'install', 'reset', 'tetep']")</f>
        <v>['The application', 'open', 'already', 'install', 'reset', 'tetep']</v>
      </c>
      <c r="D877" s="3">
        <v>1.0</v>
      </c>
    </row>
    <row r="878" ht="15.75" customHeight="1">
      <c r="A878" s="1">
        <v>921.0</v>
      </c>
      <c r="B878" s="3" t="s">
        <v>876</v>
      </c>
      <c r="C878" s="3" t="str">
        <f>IFERROR(__xludf.DUMMYFUNCTION("GOOGLETRANSLATE(B878,""id"",""en"")"),"['Disruption', 'system', 'already', 'buy', 'pulse', 'gabisa', 'contents', 'quota', 'walahh']")</f>
        <v>['Disruption', 'system', 'already', 'buy', 'pulse', 'gabisa', 'contents', 'quota', 'walahh']</v>
      </c>
      <c r="D878" s="3">
        <v>1.0</v>
      </c>
    </row>
    <row r="879" ht="15.75" customHeight="1">
      <c r="A879" s="1">
        <v>922.0</v>
      </c>
      <c r="B879" s="3" t="s">
        <v>877</v>
      </c>
      <c r="C879" s="3" t="str">
        <f>IFERROR(__xludf.DUMMYFUNCTION("GOOGLETRANSLATE(B879,""id"",""en"")"),"['Surprisingly', 'Telkomsel', 'already', 'The net', 'slow', 'contents',' pulse ',' always', 'chick', 'package', 'expensive', 'expensive', ' ']")</f>
        <v>['Surprisingly', 'Telkomsel', 'already', 'The net', 'slow', 'contents',' pulse ',' always', 'chick', 'package', 'expensive', 'expensive', ' ']</v>
      </c>
      <c r="D879" s="3">
        <v>1.0</v>
      </c>
    </row>
    <row r="880" ht="15.75" customHeight="1">
      <c r="A880" s="1">
        <v>923.0</v>
      </c>
      <c r="B880" s="3" t="s">
        <v>878</v>
      </c>
      <c r="C880" s="3" t="str">
        <f>IFERROR(__xludf.DUMMYFUNCTION("GOOGLETRANSLATE(B880,""id"",""en"")"),"['Raying', 'Telkom']")</f>
        <v>['Raying', 'Telkom']</v>
      </c>
      <c r="D880" s="3">
        <v>1.0</v>
      </c>
    </row>
    <row r="881" ht="15.75" customHeight="1">
      <c r="A881" s="1">
        <v>924.0</v>
      </c>
      <c r="B881" s="3" t="s">
        <v>879</v>
      </c>
      <c r="C881" s="3" t="str">
        <f>IFERROR(__xludf.DUMMYFUNCTION("GOOGLETRANSLATE(B881,""id"",""en"")"),"['application', 'ugly', 'already', 'update', 'open', 'taik', 'tracet', 'take', 'bonus', 'check', '']")</f>
        <v>['application', 'ugly', 'already', 'update', 'open', 'taik', 'tracet', 'take', 'bonus', 'check', '']</v>
      </c>
      <c r="D881" s="3">
        <v>1.0</v>
      </c>
    </row>
    <row r="882" ht="15.75" customHeight="1">
      <c r="A882" s="1">
        <v>925.0</v>
      </c>
      <c r="B882" s="3" t="s">
        <v>880</v>
      </c>
      <c r="C882" s="3" t="str">
        <f>IFERROR(__xludf.DUMMYFUNCTION("GOOGLETRANSLATE(B882,""id"",""en"")"),"['Signal', 'Bad', 'Application', 'Zoom', 'Meating', 'Meet']")</f>
        <v>['Signal', 'Bad', 'Application', 'Zoom', 'Meating', 'Meet']</v>
      </c>
      <c r="D882" s="3">
        <v>2.0</v>
      </c>
    </row>
    <row r="883" ht="15.75" customHeight="1">
      <c r="A883" s="1">
        <v>927.0</v>
      </c>
      <c r="B883" s="3" t="s">
        <v>881</v>
      </c>
      <c r="C883" s="3" t="str">
        <f>IFERROR(__xludf.DUMMYFUNCTION("GOOGLETRANSLATE(B883,""id"",""en"")"),"['Price', 'Package', 'Telkomsel', 'Down', 'Pliss', 'Thank', 'Love']")</f>
        <v>['Price', 'Package', 'Telkomsel', 'Down', 'Pliss', 'Thank', 'Love']</v>
      </c>
      <c r="D883" s="3">
        <v>4.0</v>
      </c>
    </row>
    <row r="884" ht="15.75" customHeight="1">
      <c r="A884" s="1">
        <v>928.0</v>
      </c>
      <c r="B884" s="3" t="s">
        <v>882</v>
      </c>
      <c r="C884" s="3" t="str">
        <f>IFERROR(__xludf.DUMMYFUNCTION("GOOGLETRANSLATE(B884,""id"",""en"")"),"['Application', 'petrified', 'whose', 'cave', 'love', 'star', '']")</f>
        <v>['Application', 'petrified', 'whose', 'cave', 'love', 'star', '']</v>
      </c>
      <c r="D884" s="3">
        <v>5.0</v>
      </c>
    </row>
    <row r="885" ht="15.75" customHeight="1">
      <c r="A885" s="1">
        <v>929.0</v>
      </c>
      <c r="B885" s="3" t="s">
        <v>883</v>
      </c>
      <c r="C885" s="3" t="str">
        <f>IFERROR(__xludf.DUMMYFUNCTION("GOOGLETRANSLATE(B885,""id"",""en"")"),"['quota', 'expensive', 'signal', 'ugly', 'Tangerang', 'mountain', 'pulse', 'suck', 'udh', 'can', 'mending', 'Disband', ' Telkomsel ',' Advertising ',' Signal ',' Good ',' Omdo ',' Monk ',' Doang ', ""]")</f>
        <v>['quota', 'expensive', 'signal', 'ugly', 'Tangerang', 'mountain', 'pulse', 'suck', 'udh', 'can', 'mending', 'Disband', ' Telkomsel ',' Advertising ',' Signal ',' Good ',' Omdo ',' Monk ',' Doang ', "]</v>
      </c>
      <c r="D885" s="3">
        <v>1.0</v>
      </c>
    </row>
    <row r="886" ht="15.75" customHeight="1">
      <c r="A886" s="1">
        <v>930.0</v>
      </c>
      <c r="B886" s="3" t="s">
        <v>884</v>
      </c>
      <c r="C886" s="3" t="str">
        <f>IFERROR(__xludf.DUMMYFUNCTION("GOOGLETRANSLATE(B886,""id"",""en"")"),"['Good', 'buy', 'pulse', 'package', 'data', 'cheap', '']")</f>
        <v>['Good', 'buy', 'pulse', 'package', 'data', 'cheap', '']</v>
      </c>
      <c r="D886" s="3">
        <v>4.0</v>
      </c>
    </row>
    <row r="887" ht="15.75" customHeight="1">
      <c r="A887" s="1">
        <v>931.0</v>
      </c>
      <c r="B887" s="3" t="s">
        <v>885</v>
      </c>
      <c r="C887" s="3" t="str">
        <f>IFERROR(__xludf.DUMMYFUNCTION("GOOGLETRANSLATE(B887,""id"",""en"")"),"['Good', 'application']")</f>
        <v>['Good', 'application']</v>
      </c>
      <c r="D887" s="3">
        <v>5.0</v>
      </c>
    </row>
    <row r="888" ht="15.75" customHeight="1">
      <c r="A888" s="1">
        <v>932.0</v>
      </c>
      <c r="B888" s="3" t="s">
        <v>886</v>
      </c>
      <c r="C888" s="3" t="str">
        <f>IFERROR(__xludf.DUMMYFUNCTION("GOOGLETRANSLATE(B888,""id"",""en"")"),"['Hallo', 'number', 'Telkomsel', 'person', 'registration', 'data', 'personal', ""]")</f>
        <v>['Hallo', 'number', 'Telkomsel', 'person', 'registration', 'data', 'personal', "]</v>
      </c>
      <c r="D888" s="3">
        <v>3.0</v>
      </c>
    </row>
    <row r="889" ht="15.75" customHeight="1">
      <c r="A889" s="1">
        <v>933.0</v>
      </c>
      <c r="B889" s="3" t="s">
        <v>887</v>
      </c>
      <c r="C889" s="3" t="str">
        <f>IFERROR(__xludf.DUMMYFUNCTION("GOOGLETRANSLATE(B889,""id"",""en"")"),"['Memabantu']")</f>
        <v>['Memabantu']</v>
      </c>
      <c r="D889" s="3">
        <v>5.0</v>
      </c>
    </row>
    <row r="890" ht="15.75" customHeight="1">
      <c r="A890" s="1">
        <v>934.0</v>
      </c>
      <c r="B890" s="3" t="s">
        <v>888</v>
      </c>
      <c r="C890" s="3" t="str">
        <f>IFERROR(__xludf.DUMMYFUNCTION("GOOGLETRANSLATE(B890,""id"",""en"")"),"['Network', 'chaotic', 'given', 'quota', 'dikbud', 'dipake', 'online', 'jiah']")</f>
        <v>['Network', 'chaotic', 'given', 'quota', 'dikbud', 'dipake', 'online', 'jiah']</v>
      </c>
      <c r="D890" s="3">
        <v>1.0</v>
      </c>
    </row>
    <row r="891" ht="15.75" customHeight="1">
      <c r="A891" s="1">
        <v>935.0</v>
      </c>
      <c r="B891" s="3" t="s">
        <v>889</v>
      </c>
      <c r="C891" s="3" t="str">
        <f>IFERROR(__xludf.DUMMYFUNCTION("GOOGLETRANSLATE(B891,""id"",""en"")"),"['Please', 'Knp', 'price', 'package', 'expensive', 'wrong', 'card', 'since', 'pkai', 'card', 'yrs',' package ',' cheap ',' package ',' call ',' pity ',' economy ',' low ',' bkn ',' entrepreneur ',' pakain ',' package ',' month ',' use ',' need ' , 'said',"&amp;" 'Activate', 'Package', 'price', 'RB', 'Live', 'North Sumatra', 'Nias',' West ',' City ',' Mount ',' Sitoli ',' TLG ',' Note ',' Yaaaaa ',' ']")</f>
        <v>['Please', 'Knp', 'price', 'package', 'expensive', 'wrong', 'card', 'since', 'pkai', 'card', 'yrs',' package ',' cheap ',' package ',' call ',' pity ',' economy ',' low ',' bkn ',' entrepreneur ',' pakain ',' package ',' month ',' use ',' need ' , 'said', 'Activate', 'Package', 'price', 'RB', 'Live', 'North Sumatra', 'Nias',' West ',' City ',' Mount ',' Sitoli ',' TLG ',' Note ',' Yaaaaa ',' ']</v>
      </c>
      <c r="D891" s="3">
        <v>1.0</v>
      </c>
    </row>
    <row r="892" ht="15.75" customHeight="1">
      <c r="A892" s="1">
        <v>936.0</v>
      </c>
      <c r="B892" s="3" t="s">
        <v>890</v>
      </c>
      <c r="C892" s="3" t="str">
        <f>IFERROR(__xludf.DUMMYFUNCTION("GOOGLETRANSLATE(B892,""id"",""en"")"),"['good', '']")</f>
        <v>['good', '']</v>
      </c>
      <c r="D892" s="3">
        <v>5.0</v>
      </c>
    </row>
    <row r="893" ht="15.75" customHeight="1">
      <c r="A893" s="1">
        <v>937.0</v>
      </c>
      <c r="B893" s="3" t="s">
        <v>891</v>
      </c>
      <c r="C893" s="3" t="str">
        <f>IFERROR(__xludf.DUMMYFUNCTION("GOOGLETRANSLATE(B893,""id"",""en"")"),"['Network', 'slow', 'then', 'siiih', 'problematic', 'smpe', 'replace', 'bru', 'ttp', 'buriiiiikkk', 'network', ""]")</f>
        <v>['Network', 'slow', 'then', 'siiih', 'problematic', 'smpe', 'replace', 'bru', 'ttp', 'buriiiiikkk', 'network', "]</v>
      </c>
      <c r="D893" s="3">
        <v>1.0</v>
      </c>
    </row>
    <row r="894" ht="15.75" customHeight="1">
      <c r="A894" s="1">
        <v>938.0</v>
      </c>
      <c r="B894" s="3" t="s">
        <v>892</v>
      </c>
      <c r="C894" s="3" t="str">
        <f>IFERROR(__xludf.DUMMYFUNCTION("GOOGLETRANSLATE(B894,""id"",""en"")"),"['application', 'operator', 'worst', 'signal', 'stable', 'application', 'heavy', 'really', 'geming', 'emang', 'telkomnyet']")</f>
        <v>['application', 'operator', 'worst', 'signal', 'stable', 'application', 'heavy', 'really', 'geming', 'emang', 'telkomnyet']</v>
      </c>
      <c r="D894" s="3">
        <v>1.0</v>
      </c>
    </row>
    <row r="895" ht="15.75" customHeight="1">
      <c r="A895" s="1">
        <v>939.0</v>
      </c>
      <c r="B895" s="3" t="s">
        <v>893</v>
      </c>
      <c r="C895" s="3" t="str">
        <f>IFERROR(__xludf.DUMMYFUNCTION("GOOGLETRANSLATE(B895,""id"",""en"")"),"['signal', 'kek', 'Dajjal', 'Nge', 'lag', 'really', 'ckckck', 'down', 'price', 'down', 'quality', 'wkwkwk']")</f>
        <v>['signal', 'kek', 'Dajjal', 'Nge', 'lag', 'really', 'ckckck', 'down', 'price', 'down', 'quality', 'wkwkwk']</v>
      </c>
      <c r="D895" s="3">
        <v>1.0</v>
      </c>
    </row>
    <row r="896" ht="15.75" customHeight="1">
      <c r="A896" s="1">
        <v>940.0</v>
      </c>
      <c r="B896" s="3" t="s">
        <v>894</v>
      </c>
      <c r="C896" s="3" t="str">
        <f>IFERROR(__xludf.DUMMYFUNCTION("GOOGLETRANSLATE(B896,""id"",""en"")"),"['already', 'update', 'APK', 'Open', 'MLH', 'Display', 'White', 'Kek', 'Tenokk', 'item', 'Kek', 'Charcoal', ' Hadehhh ',' package ',' already ',' expensive ',' Errrr ',' truss', 'apk', 'Hadehhh', 'Tlong', 'Lahh']")</f>
        <v>['already', 'update', 'APK', 'Open', 'MLH', 'Display', 'White', 'Kek', 'Tenokk', 'item', 'Kek', 'Charcoal', ' Hadehhh ',' package ',' already ',' expensive ',' Errrr ',' truss', 'apk', 'Hadehhh', 'Tlong', 'Lahh']</v>
      </c>
      <c r="D896" s="3">
        <v>1.0</v>
      </c>
    </row>
    <row r="897" ht="15.75" customHeight="1">
      <c r="A897" s="1">
        <v>941.0</v>
      </c>
      <c r="B897" s="3" t="s">
        <v>895</v>
      </c>
      <c r="C897" s="3" t="str">
        <f>IFERROR(__xludf.DUMMYFUNCTION("GOOGLETRANSLATE(B897,""id"",""en"")"),"['Special', 'Indonesia', 'East', 'package', 'internet', 'smakin', 'smakin', 'expensive', 'sihhh', ""]")</f>
        <v>['Special', 'Indonesia', 'East', 'package', 'internet', 'smakin', 'smakin', 'expensive', 'sihhh', "]</v>
      </c>
      <c r="D897" s="3">
        <v>3.0</v>
      </c>
    </row>
    <row r="898" ht="15.75" customHeight="1">
      <c r="A898" s="1">
        <v>942.0</v>
      </c>
      <c r="B898" s="3" t="s">
        <v>896</v>
      </c>
      <c r="C898" s="3" t="str">
        <f>IFERROR(__xludf.DUMMYFUNCTION("GOOGLETRANSLATE(B898,""id"",""en"")"),"['Anying', 'palm', 'Login', 'reset', ""]")</f>
        <v>['Anying', 'palm', 'Login', 'reset', "]</v>
      </c>
      <c r="D898" s="3">
        <v>1.0</v>
      </c>
    </row>
    <row r="899" ht="15.75" customHeight="1">
      <c r="A899" s="1">
        <v>943.0</v>
      </c>
      <c r="B899" s="3" t="s">
        <v>897</v>
      </c>
      <c r="C899" s="3" t="str">
        <f>IFERROR(__xludf.DUMMYFUNCTION("GOOGLETRANSLATE(B899,""id"",""en"")"),"['roaming', 'network', 'service', 'garbage', 'moved', 'network', 'serving', 'network', 'indosat', 'etc.', 'price', 'affordable', ' Services', 'satisfying', 'hinga', 'bonus',' kah ',' ']")</f>
        <v>['roaming', 'network', 'service', 'garbage', 'moved', 'network', 'serving', 'network', 'indosat', 'etc.', 'price', 'affordable', ' Services', 'satisfying', 'hinga', 'bonus',' kah ',' ']</v>
      </c>
      <c r="D899" s="3">
        <v>1.0</v>
      </c>
    </row>
    <row r="900" ht="15.75" customHeight="1">
      <c r="A900" s="1">
        <v>944.0</v>
      </c>
      <c r="B900" s="3" t="s">
        <v>898</v>
      </c>
      <c r="C900" s="3" t="str">
        <f>IFERROR(__xludf.DUMMYFUNCTION("GOOGLETRANSLATE(B900,""id"",""en"")"),"['Application', 'opened']")</f>
        <v>['Application', 'opened']</v>
      </c>
      <c r="D900" s="3">
        <v>1.0</v>
      </c>
    </row>
    <row r="901" ht="15.75" customHeight="1">
      <c r="A901" s="1">
        <v>945.0</v>
      </c>
      <c r="B901" s="3" t="s">
        <v>899</v>
      </c>
      <c r="C901" s="3" t="str">
        <f>IFERROR(__xludf.DUMMYFUNCTION("GOOGLETRANSLATE(B901,""id"",""en"")"),"['Service', 'Best']")</f>
        <v>['Service', 'Best']</v>
      </c>
      <c r="D901" s="3">
        <v>5.0</v>
      </c>
    </row>
    <row r="902" ht="15.75" customHeight="1">
      <c r="A902" s="1">
        <v>946.0</v>
      </c>
      <c r="B902" s="3" t="s">
        <v>900</v>
      </c>
      <c r="C902" s="3" t="str">
        <f>IFERROR(__xludf.DUMMYFUNCTION("GOOGLETRANSLATE(B902,""id"",""en"")"),"['signal', 'destroyed', 'crevused', 'Package', 'Edge', '']")</f>
        <v>['signal', 'destroyed', 'crevused', 'Package', 'Edge', '']</v>
      </c>
      <c r="D902" s="3">
        <v>2.0</v>
      </c>
    </row>
    <row r="903" ht="15.75" customHeight="1">
      <c r="A903" s="1">
        <v>947.0</v>
      </c>
      <c r="B903" s="3" t="s">
        <v>901</v>
      </c>
      <c r="C903" s="3" t="str">
        <f>IFERROR(__xludf.DUMMYFUNCTION("GOOGLETRANSLATE(B903,""id"",""en"")"),"['Telalu', 'Embed', 'Enter', 'Kayak']")</f>
        <v>['Telalu', 'Embed', 'Enter', 'Kayak']</v>
      </c>
      <c r="D903" s="3">
        <v>1.0</v>
      </c>
    </row>
    <row r="904" ht="15.75" customHeight="1">
      <c r="A904" s="1">
        <v>948.0</v>
      </c>
      <c r="B904" s="3" t="s">
        <v>902</v>
      </c>
      <c r="C904" s="3" t="str">
        <f>IFERROR(__xludf.DUMMYFUNCTION("GOOGLETRANSLATE(B904,""id"",""en"")"),"['best']")</f>
        <v>['best']</v>
      </c>
      <c r="D904" s="3">
        <v>5.0</v>
      </c>
    </row>
    <row r="905" ht="15.75" customHeight="1">
      <c r="A905" s="1">
        <v>949.0</v>
      </c>
      <c r="B905" s="3" t="s">
        <v>903</v>
      </c>
      <c r="C905" s="3" t="str">
        <f>IFERROR(__xludf.DUMMYFUNCTION("GOOGLETRANSLATE(B905,""id"",""en"")"),"['Practical', 'fast', 'cheap']")</f>
        <v>['Practical', 'fast', 'cheap']</v>
      </c>
      <c r="D905" s="3">
        <v>5.0</v>
      </c>
    </row>
    <row r="906" ht="15.75" customHeight="1">
      <c r="A906" s="1">
        <v>950.0</v>
      </c>
      <c r="B906" s="3" t="s">
        <v>904</v>
      </c>
      <c r="C906" s="3" t="str">
        <f>IFERROR(__xludf.DUMMYFUNCTION("GOOGLETRANSLATE(B906,""id"",""en"")"),"['Satisfied', 'Wear', 'Card', '']")</f>
        <v>['Satisfied', 'Wear', 'Card', '']</v>
      </c>
      <c r="D906" s="3">
        <v>3.0</v>
      </c>
    </row>
    <row r="907" ht="15.75" customHeight="1">
      <c r="A907" s="1">
        <v>951.0</v>
      </c>
      <c r="B907" s="3" t="s">
        <v>905</v>
      </c>
      <c r="C907" s="3" t="str">
        <f>IFERROR(__xludf.DUMMYFUNCTION("GOOGLETRANSLATE(B907,""id"",""en"")"),"['Telkomsel', 'it's easy', 'work', 'activity', 'learning', 'based', 'online']")</f>
        <v>['Telkomsel', 'it's easy', 'work', 'activity', 'learning', 'based', 'online']</v>
      </c>
      <c r="D907" s="3">
        <v>5.0</v>
      </c>
    </row>
    <row r="908" ht="15.75" customHeight="1">
      <c r="A908" s="1">
        <v>952.0</v>
      </c>
      <c r="B908" s="3" t="s">
        <v>906</v>
      </c>
      <c r="C908" s="3" t="str">
        <f>IFERROR(__xludf.DUMMYFUNCTION("GOOGLETRANSLATE(B908,""id"",""en"")"),"['Good', 'application', 'makes it easy', 'search', 'information', 'surrounding', 'Telkomsel', 'best', 'love', 'Telkomsel', ""]")</f>
        <v>['Good', 'application', 'makes it easy', 'search', 'information', 'surrounding', 'Telkomsel', 'best', 'love', 'Telkomsel', "]</v>
      </c>
      <c r="D908" s="3">
        <v>5.0</v>
      </c>
    </row>
    <row r="909" ht="15.75" customHeight="1">
      <c r="A909" s="1">
        <v>953.0</v>
      </c>
      <c r="B909" s="3" t="s">
        <v>907</v>
      </c>
      <c r="C909" s="3" t="str">
        <f>IFERROR(__xludf.DUMMYFUNCTION("GOOGLETRANSLATE(B909,""id"",""en"")"),"['Price', 'quota', 'rise', '']")</f>
        <v>['Price', 'quota', 'rise', '']</v>
      </c>
      <c r="D909" s="3">
        <v>1.0</v>
      </c>
    </row>
    <row r="910" ht="15.75" customHeight="1">
      <c r="A910" s="1">
        <v>954.0</v>
      </c>
      <c r="B910" s="3" t="s">
        <v>908</v>
      </c>
      <c r="C910" s="3" t="str">
        <f>IFERROR(__xludf.DUMMYFUNCTION("GOOGLETRANSLATE(B910,""id"",""en"")"),"['price', 'package', 'expensive', 'network', 'slow', 'please', 'adjust', 'name', 'doang', 'unlimited', 'unlimited', ' The difference is', 'Package', '']")</f>
        <v>['price', 'package', 'expensive', 'network', 'slow', 'please', 'adjust', 'name', 'doang', 'unlimited', 'unlimited', ' The difference is', 'Package', '']</v>
      </c>
      <c r="D910" s="3">
        <v>1.0</v>
      </c>
    </row>
    <row r="911" ht="15.75" customHeight="1">
      <c r="A911" s="1">
        <v>955.0</v>
      </c>
      <c r="B911" s="3" t="s">
        <v>909</v>
      </c>
      <c r="C911" s="3" t="str">
        <f>IFERROR(__xludf.DUMMYFUNCTION("GOOGLETRANSLATE(B911,""id"",""en"")"),"['Price', 'Bintag', 'Quality', 'Comberan', 'Nice', 'Network', ""]")</f>
        <v>['Price', 'Bintag', 'Quality', 'Comberan', 'Nice', 'Network', "]</v>
      </c>
      <c r="D911" s="3">
        <v>1.0</v>
      </c>
    </row>
    <row r="912" ht="15.75" customHeight="1">
      <c r="A912" s="1">
        <v>956.0</v>
      </c>
      <c r="B912" s="3" t="s">
        <v>910</v>
      </c>
      <c r="C912" s="3" t="str">
        <f>IFERROR(__xludf.DUMMYFUNCTION("GOOGLETRANSLATE(B912,""id"",""en"")"),"['Provider', 'ugly', 'region', 'Indonesia', 'East', 'squeezed', 'services',' profit ',' provider ',' service ',' rotten ',' signal ',' Bad, 'price', 'expensive', 'provider', 'entry', 'region', 'Indonesia', 'East', 'provider', 'make', 'clothesline', 'cloth"&amp;"es', ""]")</f>
        <v>['Provider', 'ugly', 'region', 'Indonesia', 'East', 'squeezed', 'services',' profit ',' provider ',' service ',' rotten ',' signal ',' Bad, 'price', 'expensive', 'provider', 'entry', 'region', 'Indonesia', 'East', 'provider', 'make', 'clothesline', 'clothes', "]</v>
      </c>
      <c r="D912" s="3">
        <v>1.0</v>
      </c>
    </row>
    <row r="913" ht="15.75" customHeight="1">
      <c r="A913" s="1">
        <v>957.0</v>
      </c>
      <c r="B913" s="3" t="s">
        <v>911</v>
      </c>
      <c r="C913" s="3" t="str">
        <f>IFERROR(__xludf.DUMMYFUNCTION("GOOGLETRANSLATE(B913,""id"",""en"")"),"['Loading']")</f>
        <v>['Loading']</v>
      </c>
      <c r="D913" s="3">
        <v>2.0</v>
      </c>
    </row>
    <row r="914" ht="15.75" customHeight="1">
      <c r="A914" s="1">
        <v>958.0</v>
      </c>
      <c r="B914" s="3" t="s">
        <v>912</v>
      </c>
      <c r="C914" s="3" t="str">
        <f>IFERROR(__xludf.DUMMYFUNCTION("GOOGLETRANSLATE(B914,""id"",""en"")"),"['network', '']")</f>
        <v>['network', '']</v>
      </c>
      <c r="D914" s="3">
        <v>4.0</v>
      </c>
    </row>
    <row r="915" ht="15.75" customHeight="1">
      <c r="A915" s="1">
        <v>959.0</v>
      </c>
      <c r="B915" s="3" t="s">
        <v>913</v>
      </c>
      <c r="C915" s="3" t="str">
        <f>IFERROR(__xludf.DUMMYFUNCTION("GOOGLETRANSLATE(B915,""id"",""en"")"),"['easy', 'help', 'mantaap']")</f>
        <v>['easy', 'help', 'mantaap']</v>
      </c>
      <c r="D915" s="3">
        <v>5.0</v>
      </c>
    </row>
    <row r="916" ht="15.75" customHeight="1">
      <c r="A916" s="1">
        <v>960.0</v>
      </c>
      <c r="B916" s="3" t="s">
        <v>914</v>
      </c>
      <c r="C916" s="3" t="str">
        <f>IFERROR(__xludf.DUMMYFUNCTION("GOOGLETRANSLATE(B916,""id"",""en"")"),"['happy', 'use', 'Telkomsel', 'info', 'klw', 'mytelkomsel', 'win', 'gift', 'degan', 'gather', 'point', 'hope', ' fortune ',' aamiin ']")</f>
        <v>['happy', 'use', 'Telkomsel', 'info', 'klw', 'mytelkomsel', 'win', 'gift', 'degan', 'gather', 'point', 'hope', ' fortune ',' aamiin ']</v>
      </c>
      <c r="D916" s="3">
        <v>5.0</v>
      </c>
    </row>
    <row r="917" ht="15.75" customHeight="1">
      <c r="A917" s="1">
        <v>961.0</v>
      </c>
      <c r="B917" s="3" t="s">
        <v>915</v>
      </c>
      <c r="C917" s="3" t="str">
        <f>IFERROR(__xludf.DUMMYFUNCTION("GOOGLETRANSLATE(B917,""id"",""en"")"),"['Network', 'internet', 'good', '']")</f>
        <v>['Network', 'internet', 'good', '']</v>
      </c>
      <c r="D917" s="3">
        <v>3.0</v>
      </c>
    </row>
    <row r="918" ht="15.75" customHeight="1">
      <c r="A918" s="1">
        <v>962.0</v>
      </c>
      <c r="B918" s="3" t="s">
        <v>916</v>
      </c>
      <c r="C918" s="3" t="str">
        <f>IFERROR(__xludf.DUMMYFUNCTION("GOOGLETRANSLATE(B918,""id"",""en"")"),"['Please', 'signal', 'fix', 'hope', 'price', 'package', 'expensive', 'darling', 'pouch', 'thin']")</f>
        <v>['Please', 'signal', 'fix', 'hope', 'price', 'package', 'expensive', 'darling', 'pouch', 'thin']</v>
      </c>
      <c r="D918" s="3">
        <v>4.0</v>
      </c>
    </row>
    <row r="919" ht="15.75" customHeight="1">
      <c r="A919" s="1">
        <v>963.0</v>
      </c>
      <c r="B919" s="3" t="s">
        <v>917</v>
      </c>
      <c r="C919" s="3" t="str">
        <f>IFERROR(__xludf.DUMMYFUNCTION("GOOGLETRANSLATE(B919,""id"",""en"")"),"['', 'application', 'promo', 'application', 'good']")</f>
        <v>['', 'application', 'promo', 'application', 'good']</v>
      </c>
      <c r="D919" s="3">
        <v>5.0</v>
      </c>
    </row>
    <row r="920" ht="15.75" customHeight="1">
      <c r="A920" s="1">
        <v>964.0</v>
      </c>
      <c r="B920" s="3" t="s">
        <v>918</v>
      </c>
      <c r="C920" s="3" t="str">
        <f>IFERROR(__xludf.DUMMYFUNCTION("GOOGLETRANSLATE(B920,""id"",""en"")"),"['Comment', 'use', 'Belm', 'admin', 'Telkomsel', 'Response']")</f>
        <v>['Comment', 'use', 'Belm', 'admin', 'Telkomsel', 'Response']</v>
      </c>
      <c r="D920" s="3">
        <v>5.0</v>
      </c>
    </row>
    <row r="921" ht="15.75" customHeight="1">
      <c r="A921" s="1">
        <v>965.0</v>
      </c>
      <c r="B921" s="3" t="s">
        <v>919</v>
      </c>
      <c r="C921" s="3" t="str">
        <f>IFERROR(__xludf.DUMMYFUNCTION("GOOGLETRANSLATE(B921,""id"",""en"")"),"['Gajelas', 'signal', 'ilang']")</f>
        <v>['Gajelas', 'signal', 'ilang']</v>
      </c>
      <c r="D921" s="3">
        <v>1.0</v>
      </c>
    </row>
    <row r="922" ht="15.75" customHeight="1">
      <c r="A922" s="1">
        <v>966.0</v>
      </c>
      <c r="B922" s="3" t="s">
        <v>920</v>
      </c>
      <c r="C922" s="3" t="str">
        <f>IFERROR(__xludf.DUMMYFUNCTION("GOOGLETRANSLATE(B922,""id"",""en"")"),"['Like', 'really', 'Telkom', 'Sometimes',' App ',' Like ',' Leg ',' The network ',' right ',' opened ',' Gabisa ',' Increase ',' Terips', 'yacchh']")</f>
        <v>['Like', 'really', 'Telkom', 'Sometimes',' App ',' Like ',' Leg ',' The network ',' right ',' opened ',' Gabisa ',' Increase ',' Terips', 'yacchh']</v>
      </c>
      <c r="D922" s="3">
        <v>4.0</v>
      </c>
    </row>
    <row r="923" ht="15.75" customHeight="1">
      <c r="A923" s="1">
        <v>967.0</v>
      </c>
      <c r="B923" s="3" t="s">
        <v>921</v>
      </c>
      <c r="C923" s="3" t="str">
        <f>IFERROR(__xludf.DUMMYFUNCTION("GOOGLETRANSLATE(B923,""id"",""en"")"),"['Opened', 'Telkomsel']")</f>
        <v>['Opened', 'Telkomsel']</v>
      </c>
      <c r="D923" s="3">
        <v>5.0</v>
      </c>
    </row>
    <row r="924" ht="15.75" customHeight="1">
      <c r="A924" s="1">
        <v>968.0</v>
      </c>
      <c r="B924" s="3" t="s">
        <v>922</v>
      </c>
      <c r="C924" s="3" t="str">
        <f>IFERROR(__xludf.DUMMYFUNCTION("GOOGLETRANSLATE(B924,""id"",""en"")"),"['Application', 'opened', 'wifi', 'poor']")</f>
        <v>['Application', 'opened', 'wifi', 'poor']</v>
      </c>
      <c r="D924" s="3">
        <v>1.0</v>
      </c>
    </row>
    <row r="925" ht="15.75" customHeight="1">
      <c r="A925" s="1">
        <v>969.0</v>
      </c>
      <c r="B925" s="3" t="s">
        <v>923</v>
      </c>
      <c r="C925" s="3" t="str">
        <f>IFERROR(__xludf.DUMMYFUNCTION("GOOGLETRANSLATE(B925,""id"",""en"")"),"['Telkomsel', 'slow', 'really', 'love', 'star', 'network', 'slow', 'really']")</f>
        <v>['Telkomsel', 'slow', 'really', 'love', 'star', 'network', 'slow', 'really']</v>
      </c>
      <c r="D925" s="3">
        <v>1.0</v>
      </c>
    </row>
    <row r="926" ht="15.75" customHeight="1">
      <c r="A926" s="1">
        <v>970.0</v>
      </c>
      <c r="B926" s="3" t="s">
        <v>924</v>
      </c>
      <c r="C926" s="3" t="str">
        <f>IFERROR(__xludf.DUMMYFUNCTION("GOOGLETRANSLATE(B926,""id"",""en"")"),"['min', 'please', 'fix', 'send', 'gift', 'package', 'nelfon', 'code', 'otp', 'visits',' send ',' sms', ' PADAHAH ',' NMR ',' On ',' ']")</f>
        <v>['min', 'please', 'fix', 'send', 'gift', 'package', 'nelfon', 'code', 'otp', 'visits',' send ',' sms', ' PADAHAH ',' NMR ',' On ',' ']</v>
      </c>
      <c r="D926" s="3">
        <v>1.0</v>
      </c>
    </row>
    <row r="927" ht="15.75" customHeight="1">
      <c r="A927" s="1">
        <v>971.0</v>
      </c>
      <c r="B927" s="3" t="s">
        <v>925</v>
      </c>
      <c r="C927" s="3" t="str">
        <f>IFERROR(__xludf.DUMMYFUNCTION("GOOGLETRANSLATE(B927,""id"",""en"")"),"['', 'Doang', 'Network', 'Kek', 'Taik', 'Yok', 'Yok', ""]")</f>
        <v>['', 'Doang', 'Network', 'Kek', 'Taik', 'Yok', 'Yok', "]</v>
      </c>
      <c r="D927" s="3">
        <v>1.0</v>
      </c>
    </row>
    <row r="928" ht="15.75" customHeight="1">
      <c r="A928" s="1">
        <v>972.0</v>
      </c>
      <c r="B928" s="3" t="s">
        <v>926</v>
      </c>
      <c r="C928" s="3" t="str">
        <f>IFERROR(__xludf.DUMMYFUNCTION("GOOGLETRANSLATE(B928,""id"",""en"")"),"['Kasi', 'dlu', 'because' rare ',' dpat ',' promo ',' pulse ',' internet ']")</f>
        <v>['Kasi', 'dlu', 'because' rare ',' dpat ',' promo ',' pulse ',' internet ']</v>
      </c>
      <c r="D928" s="3">
        <v>3.0</v>
      </c>
    </row>
    <row r="929" ht="15.75" customHeight="1">
      <c r="A929" s="1">
        <v>973.0</v>
      </c>
      <c r="B929" s="3" t="s">
        <v>927</v>
      </c>
      <c r="C929" s="3" t="str">
        <f>IFERROR(__xludf.DUMMYFUNCTION("GOOGLETRANSLATE(B929,""id"",""en"")"),"['Please', 'network', 'repaired', 'log', 'experience', 'obstacle']")</f>
        <v>['Please', 'network', 'repaired', 'log', 'experience', 'obstacle']</v>
      </c>
      <c r="D929" s="3">
        <v>1.0</v>
      </c>
    </row>
    <row r="930" ht="15.75" customHeight="1">
      <c r="A930" s="1">
        <v>974.0</v>
      </c>
      <c r="B930" s="3" t="s">
        <v>928</v>
      </c>
      <c r="C930" s="3" t="str">
        <f>IFERROR(__xludf.DUMMYFUNCTION("GOOGLETRANSLATE(B930,""id"",""en"")"),"['', 'AGK', 'Lemot', 'Open']")</f>
        <v>['', 'AGK', 'Lemot', 'Open']</v>
      </c>
      <c r="D930" s="3">
        <v>4.0</v>
      </c>
    </row>
    <row r="931" ht="15.75" customHeight="1">
      <c r="A931" s="1">
        <v>975.0</v>
      </c>
      <c r="B931" s="3" t="s">
        <v>929</v>
      </c>
      <c r="C931" s="3" t="str">
        <f>IFERROR(__xludf.DUMMYFUNCTION("GOOGLETRANSLATE(B931,""id"",""en"")"),"['how', 'Telkomsel', 'buy', 'quota', 'complicated', 'putiiiiihhhhh', 'ajaaaa', 'application', 'please', 'fix', 'what', 'user', ' Comfortable ',' usage ',' ugly ',' ']")</f>
        <v>['how', 'Telkomsel', 'buy', 'quota', 'complicated', 'putiiiiihhhhh', 'ajaaaa', 'application', 'please', 'fix', 'what', 'user', ' Comfortable ',' usage ',' ugly ',' ']</v>
      </c>
      <c r="D931" s="3">
        <v>2.0</v>
      </c>
    </row>
    <row r="932" ht="15.75" customHeight="1">
      <c r="A932" s="1">
        <v>976.0</v>
      </c>
      <c r="B932" s="3" t="s">
        <v>930</v>
      </c>
      <c r="C932" s="3" t="str">
        <f>IFERROR(__xludf.DUMMYFUNCTION("GOOGLETRANSLATE(B932,""id"",""en"")"),"['', 'net', 'Telkomsel', 'already', 'please', 'operator', 'fix', 'the network']")</f>
        <v>['', 'net', 'Telkomsel', 'already', 'please', 'operator', 'fix', 'the network']</v>
      </c>
      <c r="D932" s="3">
        <v>1.0</v>
      </c>
    </row>
    <row r="933" ht="15.75" customHeight="1">
      <c r="A933" s="1">
        <v>977.0</v>
      </c>
      <c r="B933" s="3" t="s">
        <v>931</v>
      </c>
      <c r="C933" s="3" t="str">
        <f>IFERROR(__xludf.DUMMYFUNCTION("GOOGLETRANSLATE(B933,""id"",""en"")"),"['Quota', 'Thinking', 'YouTube', 'No', 'Dipake', 'Signal', 'ilang', 'Pas',' Main ',' Game ',' Quota ',' waste ',' pulses', 'ilang', 'ghoib', 'card', 'card', 'price', 'quota', 'different', ""]")</f>
        <v>['Quota', 'Thinking', 'YouTube', 'No', 'Dipake', 'Signal', 'ilang', 'Pas',' Main ',' Game ',' Quota ',' waste ',' pulses', 'ilang', 'ghoib', 'card', 'card', 'price', 'quota', 'different', "]</v>
      </c>
      <c r="D933" s="3">
        <v>1.0</v>
      </c>
    </row>
    <row r="934" ht="15.75" customHeight="1">
      <c r="A934" s="1">
        <v>978.0</v>
      </c>
      <c r="B934" s="3" t="s">
        <v>932</v>
      </c>
      <c r="C934" s="3" t="str">
        <f>IFERROR(__xludf.DUMMYFUNCTION("GOOGLETRANSLATE(B934,""id"",""en"")"),"['Increase', 'promo', 'package', 'combo']")</f>
        <v>['Increase', 'promo', 'package', 'combo']</v>
      </c>
      <c r="D934" s="3">
        <v>3.0</v>
      </c>
    </row>
    <row r="935" ht="15.75" customHeight="1">
      <c r="A935" s="1">
        <v>979.0</v>
      </c>
      <c r="B935" s="3" t="s">
        <v>933</v>
      </c>
      <c r="C935" s="3" t="str">
        <f>IFERROR(__xludf.DUMMYFUNCTION("GOOGLETRANSLATE(B935,""id"",""en"")"),"['pull', 'star', 'signal', 'garbage', 'price', 'sultan', 'sure', 'try', 'signal', 'provider', 'area', 'Telkomsel', ' disappointing ',' sorry ',' star ',' minus', 'choose']")</f>
        <v>['pull', 'star', 'signal', 'garbage', 'price', 'sultan', 'sure', 'try', 'signal', 'provider', 'area', 'Telkomsel', ' disappointing ',' sorry ',' star ',' minus', 'choose']</v>
      </c>
      <c r="D935" s="3">
        <v>1.0</v>
      </c>
    </row>
    <row r="936" ht="15.75" customHeight="1">
      <c r="A936" s="1">
        <v>980.0</v>
      </c>
      <c r="B936" s="3" t="s">
        <v>934</v>
      </c>
      <c r="C936" s="3" t="str">
        <f>IFERROR(__xludf.DUMMYFUNCTION("GOOGLETRANSLATE(B936,""id"",""en"")"),"['Error', 'Check', 'Quota', 'Hadehhhhh']")</f>
        <v>['Error', 'Check', 'Quota', 'Hadehhhhh']</v>
      </c>
      <c r="D936" s="3">
        <v>1.0</v>
      </c>
    </row>
    <row r="937" ht="15.75" customHeight="1">
      <c r="A937" s="1">
        <v>982.0</v>
      </c>
      <c r="B937" s="3" t="s">
        <v>935</v>
      </c>
      <c r="C937" s="3" t="str">
        <f>IFERROR(__xludf.DUMMYFUNCTION("GOOGLETRANSLATE(B937,""id"",""en"")"),"['It's easy', 'buy', 'Package']")</f>
        <v>['It's easy', 'buy', 'Package']</v>
      </c>
      <c r="D937" s="3">
        <v>5.0</v>
      </c>
    </row>
    <row r="938" ht="15.75" customHeight="1">
      <c r="A938" s="1">
        <v>983.0</v>
      </c>
      <c r="B938" s="3" t="s">
        <v>936</v>
      </c>
      <c r="C938" s="3" t="str">
        <f>IFERROR(__xludf.DUMMYFUNCTION("GOOGLETRANSLATE(B938,""id"",""en"")"),"['oiiii', 'Telkomsel', 'network', 'destroyed', 'gerangan', 'Telkomsel', '']")</f>
        <v>['oiiii', 'Telkomsel', 'network', 'destroyed', 'gerangan', 'Telkomsel', '']</v>
      </c>
      <c r="D938" s="3">
        <v>1.0</v>
      </c>
    </row>
    <row r="939" ht="15.75" customHeight="1">
      <c r="A939" s="1">
        <v>984.0</v>
      </c>
      <c r="B939" s="3" t="s">
        <v>937</v>
      </c>
      <c r="C939" s="3" t="str">
        <f>IFERROR(__xludf.DUMMYFUNCTION("GOOGLETRANSLATE(B939,""id"",""en"")"),"['Star', 'less',' feel ',' disappointed ',' constraints', 'repeated', 'reset', 'network', 'Telkomsel', 'price', 'package', 'internet', ' quality ',' neighbor ',' next door ',' price ',' package ',' internet ',' cheap ',' ']")</f>
        <v>['Star', 'less',' feel ',' disappointed ',' constraints', 'repeated', 'reset', 'network', 'Telkomsel', 'price', 'package', 'internet', ' quality ',' neighbor ',' next door ',' price ',' package ',' internet ',' cheap ',' ']</v>
      </c>
      <c r="D939" s="3">
        <v>1.0</v>
      </c>
    </row>
    <row r="940" ht="15.75" customHeight="1">
      <c r="A940" s="1">
        <v>985.0</v>
      </c>
      <c r="B940" s="3" t="s">
        <v>938</v>
      </c>
      <c r="C940" s="3" t="str">
        <f>IFERROR(__xludf.DUMMYFUNCTION("GOOGLETRANSLATE(B940,""id"",""en"")"),"['update', 'opened', 'already', 'signal', 'try', 'pakek', 'wifi', 'open']")</f>
        <v>['update', 'opened', 'already', 'signal', 'try', 'pakek', 'wifi', 'open']</v>
      </c>
      <c r="D940" s="3">
        <v>1.0</v>
      </c>
    </row>
    <row r="941" ht="15.75" customHeight="1">
      <c r="A941" s="1">
        <v>986.0</v>
      </c>
      <c r="B941" s="3" t="s">
        <v>939</v>
      </c>
      <c r="C941" s="3" t="str">
        <f>IFERROR(__xludf.DUMMYFUNCTION("GOOGLETRANSLATE(B941,""id"",""en"")"),"['Come', 'ugly', 'The network', 'PDHL', 'tariff', 'quota', 'rates',' Sultan ',' Males', 'internet', 'moved', 'Haluan', ' Sibiru ',' lbh ',' cheap ',' slow ',' repaired ',' donk ',' comfortable ',' pakenya ']")</f>
        <v>['Come', 'ugly', 'The network', 'PDHL', 'tariff', 'quota', 'rates',' Sultan ',' Males', 'internet', 'moved', 'Haluan', ' Sibiru ',' lbh ',' cheap ',' slow ',' repaired ',' donk ',' comfortable ',' pakenya ']</v>
      </c>
      <c r="D941" s="3">
        <v>1.0</v>
      </c>
    </row>
    <row r="942" ht="15.75" customHeight="1">
      <c r="A942" s="1">
        <v>987.0</v>
      </c>
      <c r="B942" s="3" t="s">
        <v>940</v>
      </c>
      <c r="C942" s="3" t="str">
        <f>IFERROR(__xludf.DUMMYFUNCTION("GOOGLETRANSLATE(B942,""id"",""en"")"),"['Telkomsel', 'Network', 'Perna', 'Ngelag', 'already', 'lag']")</f>
        <v>['Telkomsel', 'Network', 'Perna', 'Ngelag', 'already', 'lag']</v>
      </c>
      <c r="D942" s="3">
        <v>1.0</v>
      </c>
    </row>
    <row r="943" ht="15.75" customHeight="1">
      <c r="A943" s="1">
        <v>988.0</v>
      </c>
      <c r="B943" s="3" t="s">
        <v>941</v>
      </c>
      <c r="C943" s="3" t="str">
        <f>IFERROR(__xludf.DUMMYFUNCTION("GOOGLETRANSLATE(B943,""id"",""en"")"),"['buy', 'pulse', 'belom', 'sempet', 'packagein', 'already', 'scorched']")</f>
        <v>['buy', 'pulse', 'belom', 'sempet', 'packagein', 'already', 'scorched']</v>
      </c>
      <c r="D943" s="3">
        <v>1.0</v>
      </c>
    </row>
    <row r="944" ht="15.75" customHeight="1">
      <c r="A944" s="1">
        <v>989.0</v>
      </c>
      <c r="B944" s="3" t="s">
        <v>942</v>
      </c>
      <c r="C944" s="3" t="str">
        <f>IFERROR(__xludf.DUMMYFUNCTION("GOOGLETRANSLATE(B944,""id"",""en"")"),"['right', 'open', 'color', 'white', 'no', 'black']")</f>
        <v>['right', 'open', 'color', 'white', 'no', 'black']</v>
      </c>
      <c r="D944" s="3">
        <v>1.0</v>
      </c>
    </row>
    <row r="945" ht="15.75" customHeight="1">
      <c r="A945" s="1">
        <v>990.0</v>
      </c>
      <c r="B945" s="3" t="s">
        <v>943</v>
      </c>
      <c r="C945" s="3" t="str">
        <f>IFERROR(__xludf.DUMMYFUNCTION("GOOGLETRANSLATE(B945,""id"",""en"")"),"['price', 'package', 'expensive', 'expensive']")</f>
        <v>['price', 'package', 'expensive', 'expensive']</v>
      </c>
      <c r="D945" s="3">
        <v>1.0</v>
      </c>
    </row>
    <row r="946" ht="15.75" customHeight="1">
      <c r="A946" s="1">
        <v>991.0</v>
      </c>
      <c r="B946" s="3" t="s">
        <v>944</v>
      </c>
      <c r="C946" s="3" t="str">
        <f>IFERROR(__xludf.DUMMYFUNCTION("GOOGLETRANSLATE(B946,""id"",""en"")"),"['Practical', 'buy', 'quota', '']")</f>
        <v>['Practical', 'buy', 'quota', '']</v>
      </c>
      <c r="D946" s="3">
        <v>5.0</v>
      </c>
    </row>
    <row r="947" ht="15.75" customHeight="1">
      <c r="A947" s="1">
        <v>992.0</v>
      </c>
      <c r="B947" s="3" t="s">
        <v>945</v>
      </c>
      <c r="C947" s="3" t="str">
        <f>IFERROR(__xludf.DUMMYFUNCTION("GOOGLETRANSLATE(B947,""id"",""en"")"),"['signal', 'good', 'package', 'net', 'gon', 'mahl']")</f>
        <v>['signal', 'good', 'package', 'net', 'gon', 'mahl']</v>
      </c>
      <c r="D947" s="3">
        <v>5.0</v>
      </c>
    </row>
    <row r="948" ht="15.75" customHeight="1">
      <c r="A948" s="1">
        <v>993.0</v>
      </c>
      <c r="B948" s="3" t="s">
        <v>629</v>
      </c>
      <c r="C948" s="3" t="str">
        <f>IFERROR(__xludf.DUMMYFUNCTION("GOOGLETRANSLATE(B948,""id"",""en"")"),"['useful', '']")</f>
        <v>['useful', '']</v>
      </c>
      <c r="D948" s="3">
        <v>5.0</v>
      </c>
    </row>
    <row r="949" ht="15.75" customHeight="1">
      <c r="A949" s="1">
        <v>994.0</v>
      </c>
      <c r="B949" s="3" t="s">
        <v>946</v>
      </c>
      <c r="C949" s="3" t="str">
        <f>IFERROR(__xludf.DUMMYFUNCTION("GOOGLETRANSLATE(B949,""id"",""en"")"),"['quota', 'active', 'just', 'for a while', 'quota', 'take', 'active', 'smart', 'really', 'quota', 'take', ' Because ',' On ',' Out ',' ']")</f>
        <v>['quota', 'active', 'just', 'for a while', 'quota', 'take', 'active', 'smart', 'really', 'quota', 'take', ' Because ',' On ',' Out ',' ']</v>
      </c>
      <c r="D949" s="3">
        <v>1.0</v>
      </c>
    </row>
    <row r="950" ht="15.75" customHeight="1">
      <c r="A950" s="1">
        <v>995.0</v>
      </c>
      <c r="B950" s="3" t="s">
        <v>947</v>
      </c>
      <c r="C950" s="3" t="str">
        <f>IFERROR(__xludf.DUMMYFUNCTION("GOOGLETRANSLATE(B950,""id"",""en"")"),"['The net', 'verytt', 'ugly', 'Gaaays', 'Kuotaa', 'Mahalll', 'quota', 'contents', 'GB', 'Gatau', 'like', 'error']")</f>
        <v>['The net', 'verytt', 'ugly', 'Gaaays', 'Kuotaa', 'Mahalll', 'quota', 'contents', 'GB', 'Gatau', 'like', 'error']</v>
      </c>
      <c r="D950" s="3">
        <v>2.0</v>
      </c>
    </row>
    <row r="951" ht="15.75" customHeight="1">
      <c r="A951" s="1">
        <v>996.0</v>
      </c>
      <c r="B951" s="3" t="s">
        <v>948</v>
      </c>
      <c r="C951" s="3" t="str">
        <f>IFERROR(__xludf.DUMMYFUNCTION("GOOGLETRANSLATE(B951,""id"",""en"")"),"['Alhamdulillah']")</f>
        <v>['Alhamdulillah']</v>
      </c>
      <c r="D951" s="3">
        <v>4.0</v>
      </c>
    </row>
    <row r="952" ht="15.75" customHeight="1">
      <c r="A952" s="1">
        <v>997.0</v>
      </c>
      <c r="B952" s="3" t="s">
        <v>949</v>
      </c>
      <c r="C952" s="3" t="str">
        <f>IFERROR(__xludf.DUMMYFUNCTION("GOOGLETRANSLATE(B952,""id"",""en"")"),"['morning', 'signal', 'ugly', 'mulu', 'buy', 'expensive', 'signla', 'ugly', 'please', 'fix', '']")</f>
        <v>['morning', 'signal', 'ugly', 'mulu', 'buy', 'expensive', 'signla', 'ugly', 'please', 'fix', '']</v>
      </c>
      <c r="D952" s="3">
        <v>1.0</v>
      </c>
    </row>
    <row r="953" ht="15.75" customHeight="1">
      <c r="A953" s="1">
        <v>998.0</v>
      </c>
      <c r="B953" s="3" t="s">
        <v>950</v>
      </c>
      <c r="C953" s="3" t="str">
        <f>IFERROR(__xludf.DUMMYFUNCTION("GOOGLETRANSLATE(B953,""id"",""en"")"),"['Muhon', 'Network', 'Sometimes', 'Likes', 'Laq', 'Thank', 'Love']")</f>
        <v>['Muhon', 'Network', 'Sometimes', 'Likes', 'Laq', 'Thank', 'Love']</v>
      </c>
      <c r="D953" s="3">
        <v>5.0</v>
      </c>
    </row>
    <row r="954" ht="15.75" customHeight="1">
      <c r="A954" s="1">
        <v>999.0</v>
      </c>
      <c r="B954" s="3" t="s">
        <v>951</v>
      </c>
      <c r="C954" s="3" t="str">
        <f>IFERROR(__xludf.DUMMYFUNCTION("GOOGLETRANSLATE(B954,""id"",""en"")"),"['connection', 'fast', 'quality', 'picture', 'good', '']")</f>
        <v>['connection', 'fast', 'quality', 'picture', 'good', '']</v>
      </c>
      <c r="D954" s="3">
        <v>5.0</v>
      </c>
    </row>
    <row r="955" ht="15.75" customHeight="1">
      <c r="A955" s="1">
        <v>1000.0</v>
      </c>
      <c r="B955" s="3" t="s">
        <v>952</v>
      </c>
      <c r="C955" s="3" t="str">
        <f>IFERROR(__xludf.DUMMYFUNCTION("GOOGLETRANSLATE(B955,""id"",""en"")"),"['Present "",' Package ',' Internet ',' Sakti ',' Class', 'Economy',""]")</f>
        <v>['Present ",' Package ',' Internet ',' Sakti ',' Class', 'Economy',"]</v>
      </c>
      <c r="D955" s="3">
        <v>3.0</v>
      </c>
    </row>
    <row r="956" ht="15.75" customHeight="1">
      <c r="A956" s="1">
        <v>1001.0</v>
      </c>
      <c r="B956" s="3" t="s">
        <v>953</v>
      </c>
      <c r="C956" s="3" t="str">
        <f>IFERROR(__xludf.DUMMYFUNCTION("GOOGLETRANSLATE(B956,""id"",""en"")"),"['Network', 'Telkomsel', 'receded', 'Uda', 'a year', 'Gini', 'then', 'just', 'look', 'Doank', 'a little', 'missing', ' right ',' change ',' ama ',' road ',' internet ',' sring ',' buy ',' data ',' ampe ',' week ',' bru ',' run out ',' uda ' , 'just', 'Doa"&amp;"nk', 'Ama', 'MiGi', 'Uda', 'Out', 'Payment', 'Kouta', 'expensive', 'offer', 'quota', 'TPI', ' Tetal ',' expensive ',' ']")</f>
        <v>['Network', 'Telkomsel', 'receded', 'Uda', 'a year', 'Gini', 'then', 'just', 'look', 'Doank', 'a little', 'missing', ' right ',' change ',' ama ',' road ',' internet ',' sring ',' buy ',' data ',' ampe ',' week ',' bru ',' run out ',' uda ' , 'just', 'Doank', 'Ama', 'MiGi', 'Uda', 'Out', 'Payment', 'Kouta', 'expensive', 'offer', 'quota', 'TPI', ' Tetal ',' expensive ',' ']</v>
      </c>
      <c r="D956" s="3">
        <v>1.0</v>
      </c>
    </row>
    <row r="957" ht="15.75" customHeight="1">
      <c r="A957" s="1">
        <v>1002.0</v>
      </c>
      <c r="B957" s="3" t="s">
        <v>954</v>
      </c>
      <c r="C957" s="3" t="str">
        <f>IFERROR(__xludf.DUMMYFUNCTION("GOOGLETRANSLATE(B957,""id"",""en"")"),"['price', 'package', 'expensive', 'network', 'slow', 'kayak', 'snail', 'personal', 'disappointed', 'subscribe']")</f>
        <v>['price', 'package', 'expensive', 'network', 'slow', 'kayak', 'snail', 'personal', 'disappointed', 'subscribe']</v>
      </c>
      <c r="D957" s="3">
        <v>1.0</v>
      </c>
    </row>
    <row r="958" ht="15.75" customHeight="1">
      <c r="A958" s="1">
        <v>1003.0</v>
      </c>
      <c r="B958" s="3" t="s">
        <v>902</v>
      </c>
      <c r="C958" s="3" t="str">
        <f>IFERROR(__xludf.DUMMYFUNCTION("GOOGLETRANSLATE(B958,""id"",""en"")"),"['best']")</f>
        <v>['best']</v>
      </c>
      <c r="D958" s="3">
        <v>5.0</v>
      </c>
    </row>
    <row r="959" ht="15.75" customHeight="1">
      <c r="A959" s="1">
        <v>1004.0</v>
      </c>
      <c r="B959" s="3" t="s">
        <v>955</v>
      </c>
      <c r="C959" s="3" t="str">
        <f>IFERROR(__xludf.DUMMYFUNCTION("GOOGLETRANSLATE(B959,""id"",""en"")"),"['Package', 'Unlimited', '']")</f>
        <v>['Package', 'Unlimited', '']</v>
      </c>
      <c r="D959" s="3">
        <v>1.0</v>
      </c>
    </row>
    <row r="960" ht="15.75" customHeight="1">
      <c r="A960" s="1">
        <v>1005.0</v>
      </c>
      <c r="B960" s="3" t="s">
        <v>956</v>
      </c>
      <c r="C960" s="3" t="str">
        <f>IFERROR(__xludf.DUMMYFUNCTION("GOOGLETRANSLATE(B960,""id"",""en"")"),"['Please', 'BLM', 'Date', 'Fall', 'Tempo', 'mmbral', 'Notification']")</f>
        <v>['Please', 'BLM', 'Date', 'Fall', 'Tempo', 'mmbral', 'Notification']</v>
      </c>
      <c r="D960" s="3">
        <v>5.0</v>
      </c>
    </row>
    <row r="961" ht="15.75" customHeight="1">
      <c r="A961" s="1">
        <v>1006.0</v>
      </c>
      <c r="B961" s="3" t="s">
        <v>957</v>
      </c>
      <c r="C961" s="3" t="str">
        <f>IFERROR(__xludf.DUMMYFUNCTION("GOOGLETRANSLATE(B961,""id"",""en"")"),"['Good', 'The network', 'slow']")</f>
        <v>['Good', 'The network', 'slow']</v>
      </c>
      <c r="D961" s="3">
        <v>4.0</v>
      </c>
    </row>
    <row r="962" ht="15.75" customHeight="1">
      <c r="A962" s="1">
        <v>1007.0</v>
      </c>
      <c r="B962" s="3" t="s">
        <v>958</v>
      </c>
      <c r="C962" s="3" t="str">
        <f>IFERROR(__xludf.DUMMYFUNCTION("GOOGLETRANSLATE(B962,""id"",""en"")"),"['application', 'difficult', 'open']")</f>
        <v>['application', 'difficult', 'open']</v>
      </c>
      <c r="D962" s="3">
        <v>1.0</v>
      </c>
    </row>
    <row r="963" ht="15.75" customHeight="1">
      <c r="A963" s="1">
        <v>1008.0</v>
      </c>
      <c r="B963" s="3" t="s">
        <v>959</v>
      </c>
      <c r="C963" s="3" t="str">
        <f>IFERROR(__xludf.DUMMYFUNCTION("GOOGLETRANSLATE(B963,""id"",""en"")"),"['Please', 'Fix', 'Network', 'Karna', 'Network', 'Internet', 'Telkomsel']")</f>
        <v>['Please', 'Fix', 'Network', 'Karna', 'Network', 'Internet', 'Telkomsel']</v>
      </c>
      <c r="D963" s="3">
        <v>4.0</v>
      </c>
    </row>
    <row r="964" ht="15.75" customHeight="1">
      <c r="A964" s="1">
        <v>1009.0</v>
      </c>
      <c r="B964" s="3" t="s">
        <v>960</v>
      </c>
      <c r="C964" s="3" t="str">
        <f>IFERROR(__xludf.DUMMYFUNCTION("GOOGLETRANSLATE(B964,""id"",""en"")"),"['hope', 'winner']")</f>
        <v>['hope', 'winner']</v>
      </c>
      <c r="D964" s="3">
        <v>5.0</v>
      </c>
    </row>
    <row r="965" ht="15.75" customHeight="1">
      <c r="A965" s="1">
        <v>1011.0</v>
      </c>
      <c r="B965" s="3" t="s">
        <v>961</v>
      </c>
      <c r="C965" s="3" t="str">
        <f>IFERROR(__xludf.DUMMYFUNCTION("GOOGLETRANSLATE(B965,""id"",""en"")"),"['Rate', 'star', 'because', 'card', 'Hello', 'access', 'Points', '']")</f>
        <v>['Rate', 'star', 'because', 'card', 'Hello', 'access', 'Points', '']</v>
      </c>
      <c r="D965" s="3">
        <v>1.0</v>
      </c>
    </row>
    <row r="966" ht="15.75" customHeight="1">
      <c r="A966" s="1">
        <v>1012.0</v>
      </c>
      <c r="B966" s="3" t="s">
        <v>962</v>
      </c>
      <c r="C966" s="3" t="str">
        <f>IFERROR(__xludf.DUMMYFUNCTION("GOOGLETRANSLATE(B966,""id"",""en"")"),"['Lelelt', 'ugly', 'Switch', 'emurd', '']")</f>
        <v>['Lelelt', 'ugly', 'Switch', 'emurd', '']</v>
      </c>
      <c r="D966" s="3">
        <v>1.0</v>
      </c>
    </row>
    <row r="967" ht="15.75" customHeight="1">
      <c r="A967" s="1">
        <v>1013.0</v>
      </c>
      <c r="B967" s="3" t="s">
        <v>963</v>
      </c>
      <c r="C967" s="3" t="str">
        <f>IFERROR(__xludf.DUMMYFUNCTION("GOOGLETRANSLATE(B967,""id"",""en"")"),"['expensive', 'price', 'package', 'internetny', 'skrg', 'signal', 'difficult', '']")</f>
        <v>['expensive', 'price', 'package', 'internetny', 'skrg', 'signal', 'difficult', '']</v>
      </c>
      <c r="D967" s="3">
        <v>1.0</v>
      </c>
    </row>
    <row r="968" ht="15.75" customHeight="1">
      <c r="A968" s="1">
        <v>1014.0</v>
      </c>
      <c r="B968" s="3" t="s">
        <v>964</v>
      </c>
      <c r="C968" s="3" t="str">
        <f>IFERROR(__xludf.DUMMYFUNCTION("GOOGLETRANSLATE(B968,""id"",""en"")"),"['bad', 'slow', 'complicated', 'good', 'im', 'fast', 'promo', '']")</f>
        <v>['bad', 'slow', 'complicated', 'good', 'im', 'fast', 'promo', '']</v>
      </c>
      <c r="D968" s="3">
        <v>1.0</v>
      </c>
    </row>
    <row r="969" ht="15.75" customHeight="1">
      <c r="A969" s="1">
        <v>1015.0</v>
      </c>
      <c r="B969" s="3" t="s">
        <v>965</v>
      </c>
      <c r="C969" s="3" t="str">
        <f>IFERROR(__xludf.DUMMYFUNCTION("GOOGLETRANSLATE(B969,""id"",""en"")"),"['Come', 'Gara', 'enek', 'network', 'Telkomsel', 'tasty', 'mah', 'mending', 'smartfren']")</f>
        <v>['Come', 'Gara', 'enek', 'network', 'Telkomsel', 'tasty', 'mah', 'mending', 'smartfren']</v>
      </c>
      <c r="D969" s="3">
        <v>1.0</v>
      </c>
    </row>
    <row r="970" ht="15.75" customHeight="1">
      <c r="A970" s="1">
        <v>1016.0</v>
      </c>
      <c r="B970" s="3" t="s">
        <v>966</v>
      </c>
      <c r="C970" s="3" t="str">
        <f>IFERROR(__xludf.DUMMYFUNCTION("GOOGLETRANSLATE(B970,""id"",""en"")"),"['The application', 'opened', 'appears', 'blank', 'white', 'open', 'app', 'please', 'repair']")</f>
        <v>['The application', 'opened', 'appears', 'blank', 'white', 'open', 'app', 'please', 'repair']</v>
      </c>
      <c r="D970" s="3">
        <v>1.0</v>
      </c>
    </row>
    <row r="971" ht="15.75" customHeight="1">
      <c r="A971" s="1">
        <v>1017.0</v>
      </c>
      <c r="B971" s="3" t="s">
        <v>967</v>
      </c>
      <c r="C971" s="3" t="str">
        <f>IFERROR(__xludf.DUMMYFUNCTION("GOOGLETRANSLATE(B971,""id"",""en"")"),"['Application', 'good', 'help']")</f>
        <v>['Application', 'good', 'help']</v>
      </c>
      <c r="D971" s="3">
        <v>5.0</v>
      </c>
    </row>
    <row r="972" ht="15.75" customHeight="1">
      <c r="A972" s="1">
        <v>1018.0</v>
      </c>
      <c r="B972" s="3" t="s">
        <v>968</v>
      </c>
      <c r="C972" s="3" t="str">
        <f>IFERROR(__xludf.DUMMYFUNCTION("GOOGLETRANSLATE(B972,""id"",""en"")"),"['application', '']")</f>
        <v>['application', '']</v>
      </c>
      <c r="D972" s="3">
        <v>1.0</v>
      </c>
    </row>
    <row r="973" ht="15.75" customHeight="1">
      <c r="A973" s="1">
        <v>1019.0</v>
      </c>
      <c r="B973" s="3" t="s">
        <v>969</v>
      </c>
      <c r="C973" s="3" t="str">
        <f>IFERROR(__xludf.DUMMYFUNCTION("GOOGLETRANSLATE(B973,""id"",""en"")"),"['voucher', 'game', 'difficult', 'can', 'contacted', 'busy', ""]")</f>
        <v>['voucher', 'game', 'difficult', 'can', 'contacted', 'busy', "]</v>
      </c>
      <c r="D973" s="3">
        <v>1.0</v>
      </c>
    </row>
    <row r="974" ht="15.75" customHeight="1">
      <c r="A974" s="1">
        <v>1020.0</v>
      </c>
      <c r="B974" s="3" t="s">
        <v>970</v>
      </c>
      <c r="C974" s="3" t="str">
        <f>IFERROR(__xludf.DUMMYFUNCTION("GOOGLETRANSLATE(B974,""id"",""en"")"),"['Direct', 'Open', 'PKE', 'number', 'Yesterday', 'Yesterday', 'Open']")</f>
        <v>['Direct', 'Open', 'PKE', 'number', 'Yesterday', 'Yesterday', 'Open']</v>
      </c>
      <c r="D974" s="3">
        <v>2.0</v>
      </c>
    </row>
    <row r="975" ht="15.75" customHeight="1">
      <c r="A975" s="1">
        <v>1021.0</v>
      </c>
      <c r="B975" s="3" t="s">
        <v>971</v>
      </c>
      <c r="C975" s="3" t="str">
        <f>IFERROR(__xludf.DUMMYFUNCTION("GOOGLETRANSLATE(B975,""id"",""en"")"),"['Thank you', 'Telkomsel', 'improves', 'in', 'system', 'service', 'Network', ""]")</f>
        <v>['Thank you', 'Telkomsel', 'improves', 'in', 'system', 'service', 'Network', "]</v>
      </c>
      <c r="D975" s="3">
        <v>5.0</v>
      </c>
    </row>
    <row r="976" ht="15.75" customHeight="1">
      <c r="A976" s="1">
        <v>1022.0</v>
      </c>
      <c r="B976" s="3" t="s">
        <v>972</v>
      </c>
      <c r="C976" s="3" t="str">
        <f>IFERROR(__xludf.DUMMYFUNCTION("GOOGLETRANSLATE(B976,""id"",""en"")"),"['application', 'ugly', 'open']")</f>
        <v>['application', 'ugly', 'open']</v>
      </c>
      <c r="D976" s="3">
        <v>1.0</v>
      </c>
    </row>
    <row r="977" ht="15.75" customHeight="1">
      <c r="A977" s="1">
        <v>1023.0</v>
      </c>
      <c r="B977" s="3" t="s">
        <v>973</v>
      </c>
      <c r="C977" s="3" t="str">
        <f>IFERROR(__xludf.DUMMYFUNCTION("GOOGLETRANSLATE(B977,""id"",""en"")"),"['Application', 'Useful', 'User', 'Telkomsel']")</f>
        <v>['Application', 'Useful', 'User', 'Telkomsel']</v>
      </c>
      <c r="D977" s="3">
        <v>5.0</v>
      </c>
    </row>
    <row r="978" ht="15.75" customHeight="1">
      <c r="A978" s="1">
        <v>1024.0</v>
      </c>
      <c r="B978" s="3" t="s">
        <v>974</v>
      </c>
      <c r="C978" s="3" t="str">
        <f>IFERROR(__xludf.DUMMYFUNCTION("GOOGLETRANSLATE(B978,""id"",""en"")"),"['Signal', 'Stable']")</f>
        <v>['Signal', 'Stable']</v>
      </c>
      <c r="D978" s="3">
        <v>4.0</v>
      </c>
    </row>
    <row r="979" ht="15.75" customHeight="1">
      <c r="A979" s="1">
        <v>1026.0</v>
      </c>
      <c r="B979" s="3" t="s">
        <v>975</v>
      </c>
      <c r="C979" s="3" t="str">
        <f>IFERROR(__xludf.DUMMYFUNCTION("GOOGLETRANSLATE(B979,""id"",""en"")"),"['Mntap', 'bro', 'network', 'ugly', 'really']")</f>
        <v>['Mntap', 'bro', 'network', 'ugly', 'really']</v>
      </c>
      <c r="D979" s="3">
        <v>1.0</v>
      </c>
    </row>
    <row r="980" ht="15.75" customHeight="1">
      <c r="A980" s="1">
        <v>1027.0</v>
      </c>
      <c r="B980" s="3" t="s">
        <v>976</v>
      </c>
      <c r="C980" s="3" t="str">
        <f>IFERROR(__xludf.DUMMYFUNCTION("GOOGLETRANSLATE(B980,""id"",""en"")"),"['Not bad', 'Sometimes', 'Like', 'Lemot', 'Telkomsel']")</f>
        <v>['Not bad', 'Sometimes', 'Like', 'Lemot', 'Telkomsel']</v>
      </c>
      <c r="D980" s="3">
        <v>4.0</v>
      </c>
    </row>
    <row r="981" ht="15.75" customHeight="1">
      <c r="A981" s="1">
        <v>1029.0</v>
      </c>
      <c r="B981" s="3" t="s">
        <v>977</v>
      </c>
      <c r="C981" s="3" t="str">
        <f>IFERROR(__xludf.DUMMYFUNCTION("GOOGLETRANSLATE(B981,""id"",""en"")"),"['Please', 'The name', 'package', 'expensive', 'signal', 'Kek', '']")</f>
        <v>['Please', 'The name', 'package', 'expensive', 'signal', 'Kek', '']</v>
      </c>
      <c r="D981" s="3">
        <v>1.0</v>
      </c>
    </row>
    <row r="982" ht="15.75" customHeight="1">
      <c r="A982" s="1">
        <v>1030.0</v>
      </c>
      <c r="B982" s="3" t="s">
        <v>978</v>
      </c>
      <c r="C982" s="3" t="str">
        <f>IFERROR(__xludf.DUMMYFUNCTION("GOOGLETRANSLATE(B982,""id"",""en"")"),"['Service', 'steady', 'responsive', '']")</f>
        <v>['Service', 'steady', 'responsive', '']</v>
      </c>
      <c r="D982" s="3">
        <v>5.0</v>
      </c>
    </row>
    <row r="983" ht="15.75" customHeight="1">
      <c r="A983" s="1">
        <v>1031.0</v>
      </c>
      <c r="B983" s="3" t="s">
        <v>979</v>
      </c>
      <c r="C983" s="3" t="str">
        <f>IFERROR(__xludf.DUMMYFUNCTION("GOOGLETRANSLATE(B983,""id"",""en"")"),"['Please', 'area', 'signal', 'stable', 'like', 'please', 'stabilized', 'smooth', 'internet']")</f>
        <v>['Please', 'area', 'signal', 'stable', 'like', 'please', 'stabilized', 'smooth', 'internet']</v>
      </c>
      <c r="D983" s="3">
        <v>3.0</v>
      </c>
    </row>
    <row r="984" ht="15.75" customHeight="1">
      <c r="A984" s="1">
        <v>1032.0</v>
      </c>
      <c r="B984" s="3" t="s">
        <v>980</v>
      </c>
      <c r="C984" s="3" t="str">
        <f>IFERROR(__xludf.DUMMYFUNCTION("GOOGLETRANSLATE(B984,""id"",""en"")"),"['Updated', 'Difficult', 'Enter', 'White', 'Scren', 'Need', 'APK', 'Telkomsel', 'Please', 'Fix', 'Used', ""]")</f>
        <v>['Updated', 'Difficult', 'Enter', 'White', 'Scren', 'Need', 'APK', 'Telkomsel', 'Please', 'Fix', 'Used', "]</v>
      </c>
      <c r="D984" s="3">
        <v>2.0</v>
      </c>
    </row>
    <row r="985" ht="15.75" customHeight="1">
      <c r="A985" s="1">
        <v>1033.0</v>
      </c>
      <c r="B985" s="3" t="s">
        <v>981</v>
      </c>
      <c r="C985" s="3" t="str">
        <f>IFERROR(__xludf.DUMMYFUNCTION("GOOGLETRANSLATE(B985,""id"",""en"")"),"['Already', 'Good', 'Safe', 'Measured', 'caya']")</f>
        <v>['Already', 'Good', 'Safe', 'Measured', 'caya']</v>
      </c>
      <c r="D985" s="3">
        <v>5.0</v>
      </c>
    </row>
    <row r="986" ht="15.75" customHeight="1">
      <c r="A986" s="1">
        <v>1034.0</v>
      </c>
      <c r="B986" s="3" t="s">
        <v>982</v>
      </c>
      <c r="C986" s="3" t="str">
        <f>IFERROR(__xludf.DUMMYFUNCTION("GOOGLETRANSLATE(B986,""id"",""en"")"),"['application', 'ugly', 'expensive', 'signal', 'bad', 'developer']")</f>
        <v>['application', 'ugly', 'expensive', 'signal', 'bad', 'developer']</v>
      </c>
      <c r="D986" s="3">
        <v>1.0</v>
      </c>
    </row>
    <row r="987" ht="15.75" customHeight="1">
      <c r="A987" s="1">
        <v>1035.0</v>
      </c>
      <c r="B987" s="3" t="s">
        <v>983</v>
      </c>
      <c r="C987" s="3" t="str">
        <f>IFERROR(__xludf.DUMMYFUNCTION("GOOGLETRANSLATE(B987,""id"",""en"")"),"['Telkomsel', 'weird', 'already', 'packagein', 'quota', 'thousand', 'pakek', 'already', 'times',' thousand ',' package ',' tetp ',' Giman ',' Service ',' Bagus', 'BSK', ""]")</f>
        <v>['Telkomsel', 'weird', 'already', 'packagein', 'quota', 'thousand', 'pakek', 'already', 'times',' thousand ',' package ',' tetp ',' Giman ',' Service ',' Bagus', 'BSK', "]</v>
      </c>
      <c r="D987" s="3">
        <v>1.0</v>
      </c>
    </row>
    <row r="988" ht="15.75" customHeight="1">
      <c r="A988" s="1">
        <v>1036.0</v>
      </c>
      <c r="B988" s="3" t="s">
        <v>984</v>
      </c>
      <c r="C988" s="3" t="str">
        <f>IFERROR(__xludf.DUMMYFUNCTION("GOOGLETRANSLATE(B988,""id"",""en"")"),"['Please', 'Update', 'Telkomsel', 'Boss',' Update ',' Android ',' System ',' Application ',' Telkomsel ',' Lost ',' Try ',' Restart ',' Install ',' reset ',' application ',' MyTelkomsel ',' error ',' failed ',' Install ',' reset ']")</f>
        <v>['Please', 'Update', 'Telkomsel', 'Boss',' Update ',' Android ',' System ',' Application ',' Telkomsel ',' Lost ',' Try ',' Restart ',' Install ',' reset ',' application ',' MyTelkomsel ',' error ',' failed ',' Install ',' reset ']</v>
      </c>
      <c r="D988" s="3">
        <v>1.0</v>
      </c>
    </row>
    <row r="989" ht="15.75" customHeight="1">
      <c r="A989" s="1">
        <v>1037.0</v>
      </c>
      <c r="B989" s="3" t="s">
        <v>985</v>
      </c>
      <c r="C989" s="3" t="str">
        <f>IFERROR(__xludf.DUMMYFUNCTION("GOOGLETRANSLATE(B989,""id"",""en"")"),"['signal', 'ilang', 'price', 'doang', 'expensive', 'pulse', 'like', 'reduced', 'padahl', 'fill', 'down', 'rating', ' MAH ',' Gada ',' Change ',' ']")</f>
        <v>['signal', 'ilang', 'price', 'doang', 'expensive', 'pulse', 'like', 'reduced', 'padahl', 'fill', 'down', 'rating', ' MAH ',' Gada ',' Change ',' ']</v>
      </c>
      <c r="D989" s="3">
        <v>1.0</v>
      </c>
    </row>
    <row r="990" ht="15.75" customHeight="1">
      <c r="A990" s="1">
        <v>1038.0</v>
      </c>
      <c r="B990" s="3" t="s">
        <v>986</v>
      </c>
      <c r="C990" s="3" t="str">
        <f>IFERROR(__xludf.DUMMYFUNCTION("GOOGLETRANSLATE(B990,""id"",""en"")"),"['Price', 'Mangkin', 'Signal', 'Mangkin', 'BURIK', 'DMNA', 'Price', 'Quality', 'Mangkin', ""]")</f>
        <v>['Price', 'Mangkin', 'Signal', 'Mangkin', 'BURIK', 'DMNA', 'Price', 'Quality', 'Mangkin', "]</v>
      </c>
      <c r="D990" s="3">
        <v>1.0</v>
      </c>
    </row>
    <row r="991" ht="15.75" customHeight="1">
      <c r="A991" s="1">
        <v>1039.0</v>
      </c>
      <c r="B991" s="3" t="s">
        <v>987</v>
      </c>
      <c r="C991" s="3" t="str">
        <f>IFERROR(__xludf.DUMMYFUNCTION("GOOGLETRANSLATE(B991,""id"",""en"")"),"['Telkomsel', 'ugly', 'network', 'then', 'renewal', 'run out', 'update', 'change', ""]")</f>
        <v>['Telkomsel', 'ugly', 'network', 'then', 'renewal', 'run out', 'update', 'change', "]</v>
      </c>
      <c r="D991" s="3">
        <v>1.0</v>
      </c>
    </row>
    <row r="992" ht="15.75" customHeight="1">
      <c r="A992" s="1">
        <v>1040.0</v>
      </c>
      <c r="B992" s="3" t="s">
        <v>988</v>
      </c>
      <c r="C992" s="3" t="str">
        <f>IFERROR(__xludf.DUMMYFUNCTION("GOOGLETRANSLATE(B992,""id"",""en"")"),"['Save', 'Easy', '']")</f>
        <v>['Save', 'Easy', '']</v>
      </c>
      <c r="D992" s="3">
        <v>5.0</v>
      </c>
    </row>
    <row r="993" ht="15.75" customHeight="1">
      <c r="A993" s="1">
        <v>1041.0</v>
      </c>
      <c r="B993" s="3" t="s">
        <v>989</v>
      </c>
      <c r="C993" s="3" t="str">
        <f>IFERROR(__xludf.DUMMYFUNCTION("GOOGLETRANSLATE(B993,""id"",""en"")"),"['blessing', 'Telkomsel']")</f>
        <v>['blessing', 'Telkomsel']</v>
      </c>
      <c r="D993" s="3">
        <v>5.0</v>
      </c>
    </row>
    <row r="994" ht="15.75" customHeight="1">
      <c r="A994" s="1">
        <v>1042.0</v>
      </c>
      <c r="B994" s="3" t="s">
        <v>990</v>
      </c>
      <c r="C994" s="3" t="str">
        <f>IFERROR(__xludf.DUMMYFUNCTION("GOOGLETRANSLATE(B994,""id"",""en"")"),"['Season', 'Card', 'Telkomsel', 'Region', 'Madura', 'Agenda', 'Compete', 'Cards', 'Kayak', '']")</f>
        <v>['Season', 'Card', 'Telkomsel', 'Region', 'Madura', 'Agenda', 'Compete', 'Cards', 'Kayak', '']</v>
      </c>
      <c r="D994" s="3">
        <v>5.0</v>
      </c>
    </row>
    <row r="995" ht="15.75" customHeight="1">
      <c r="A995" s="1">
        <v>1043.0</v>
      </c>
      <c r="B995" s="3" t="s">
        <v>991</v>
      </c>
      <c r="C995" s="3" t="str">
        <f>IFERROR(__xludf.DUMMYFUNCTION("GOOGLETRANSLATE(B995,""id"",""en"")"),"['buy', 'package', 'internet', 'enter', 'already', 'pay', 'check', 'pulse', 'whole', 'error', 'repeat', 'until', ' Enter ',' steady ',' Telkomsel ',' replace ',' loss', 'pulaaj']")</f>
        <v>['buy', 'package', 'internet', 'enter', 'already', 'pay', 'check', 'pulse', 'whole', 'error', 'repeat', 'until', ' Enter ',' steady ',' Telkomsel ',' replace ',' loss', 'pulaaj']</v>
      </c>
      <c r="D995" s="3">
        <v>1.0</v>
      </c>
    </row>
    <row r="996" ht="15.75" customHeight="1">
      <c r="A996" s="1">
        <v>1044.0</v>
      </c>
      <c r="B996" s="3" t="s">
        <v>992</v>
      </c>
      <c r="C996" s="3" t="str">
        <f>IFERROR(__xludf.DUMMYFUNCTION("GOOGLETRANSLATE(B996,""id"",""en"")"),"['urban', 'signal', 'difficult', 'telkom', 'play', 'game', 'lag']")</f>
        <v>['urban', 'signal', 'difficult', 'telkom', 'play', 'game', 'lag']</v>
      </c>
      <c r="D996" s="3">
        <v>1.0</v>
      </c>
    </row>
    <row r="997" ht="15.75" customHeight="1">
      <c r="A997" s="1">
        <v>1045.0</v>
      </c>
      <c r="B997" s="3" t="s">
        <v>993</v>
      </c>
      <c r="C997" s="3" t="str">
        <f>IFERROR(__xludf.DUMMYFUNCTION("GOOGLETRANSLATE(B997,""id"",""en"")"),"['advanced technology', 'Telkomsel', 'difficult', 'network', 'cloudy', 'drizzle', 'matillamu', 'wassalam', 'ilang', 'network', 'signal', ' signal']")</f>
        <v>['advanced technology', 'Telkomsel', 'difficult', 'network', 'cloudy', 'drizzle', 'matillamu', 'wassalam', 'ilang', 'network', 'signal', ' signal']</v>
      </c>
      <c r="D997" s="3">
        <v>1.0</v>
      </c>
    </row>
    <row r="998" ht="15.75" customHeight="1">
      <c r="A998" s="1">
        <v>1046.0</v>
      </c>
      <c r="B998" s="3" t="s">
        <v>994</v>
      </c>
      <c r="C998" s="3" t="str">
        <f>IFERROR(__xludf.DUMMYFUNCTION("GOOGLETRANSLATE(B998,""id"",""en"")"),"['Please', 'repaired', 'signal', 'area', 'sya']")</f>
        <v>['Please', 'repaired', 'signal', 'area', 'sya']</v>
      </c>
      <c r="D998" s="3">
        <v>1.0</v>
      </c>
    </row>
    <row r="999" ht="15.75" customHeight="1">
      <c r="A999" s="1">
        <v>1047.0</v>
      </c>
      <c r="B999" s="3" t="s">
        <v>995</v>
      </c>
      <c r="C999" s="3" t="str">
        <f>IFERROR(__xludf.DUMMYFUNCTION("GOOGLETRANSLATE(B999,""id"",""en"")"),"['Please', 'Developer', 'NTelkomsel', 'Fix', 'Quality', 'Signal', 'Signal', 'Damaged', 'Price', 'Package', 'Expensive', 'Life', ' right ',' right ',' ']")</f>
        <v>['Please', 'Developer', 'NTelkomsel', 'Fix', 'Quality', 'Signal', 'Signal', 'Damaged', 'Price', 'Package', 'Expensive', 'Life', ' right ',' right ',' ']</v>
      </c>
      <c r="D999" s="3">
        <v>1.0</v>
      </c>
    </row>
    <row r="1000" ht="15.75" customHeight="1">
      <c r="A1000" s="1">
        <v>1048.0</v>
      </c>
      <c r="B1000" s="3" t="s">
        <v>996</v>
      </c>
      <c r="C1000" s="3" t="str">
        <f>IFERROR(__xludf.DUMMYFUNCTION("GOOGLETRANSLATE(B1000,""id"",""en"")"),"['Application', 'Good', '']")</f>
        <v>['Application', 'Good', '']</v>
      </c>
      <c r="D1000" s="3">
        <v>5.0</v>
      </c>
    </row>
    <row r="1001" ht="15.75" customHeight="1">
      <c r="A1001" s="1">
        <v>1050.0</v>
      </c>
      <c r="B1001" s="3" t="s">
        <v>997</v>
      </c>
      <c r="C1001" s="3" t="str">
        <f>IFERROR(__xludf.DUMMYFUNCTION("GOOGLETRANSLATE(B1001,""id"",""en"")"),"['signal', 'Telkomsel', 'smakin', 'truruk', 'rural', 'inclusion', 'consumer', 'ttp', 'survive', 'please', 'fix', 'signal', ' internet ',' note ',' donk ',' complaints', 'customer', 'usually', 'ride', 'price', 'quota', 'udh', 'expensive', 'TPI', 'signal' ,"&amp;" 'good', 'already', 'lbh', 'yrs',' pke ',' Telkomsel ',' brtahan ',' TPI ',' SLL ',' Selawakn ',' network ',' internet ',' JLS ',' Fans', 'Game', 'SLL', 'APDUTE', 'Emotion', 'Bngt', 'Signal', ""]")</f>
        <v>['signal', 'Telkomsel', 'smakin', 'truruk', 'rural', 'inclusion', 'consumer', 'ttp', 'survive', 'please', 'fix', 'signal', ' internet ',' note ',' donk ',' complaints', 'customer', 'usually', 'ride', 'price', 'quota', 'udh', 'expensive', 'TPI', 'signal' , 'good', 'already', 'lbh', 'yrs',' pke ',' Telkomsel ',' brtahan ',' TPI ',' SLL ',' Selawakn ',' network ',' internet ',' JLS ',' Fans', 'Game', 'SLL', 'APDUTE', 'Emotion', 'Bngt', 'Signal', "]</v>
      </c>
      <c r="D1001" s="3">
        <v>1.0</v>
      </c>
    </row>
    <row r="1002" ht="15.75" customHeight="1">
      <c r="A1002" s="1">
        <v>1051.0</v>
      </c>
      <c r="B1002" s="3" t="s">
        <v>998</v>
      </c>
      <c r="C1002" s="3" t="str">
        <f>IFERROR(__xludf.DUMMYFUNCTION("GOOGLETRANSLATE(B1002,""id"",""en"")"),"['Telkomsel', 'tasty', 'forehead', 'nge', 'delete', 'choice', 'package', 'combo', 'sakti', 'pay', 'meet', 'needs',' quota ',' delicious', 'delete', 'choice', 'package', 'combo', 'sakti', 'already', 'price', 'package', 'expensive', 'service', 'ntah' , '']")</f>
        <v>['Telkomsel', 'tasty', 'forehead', 'nge', 'delete', 'choice', 'package', 'combo', 'sakti', 'pay', 'meet', 'needs',' quota ',' delicious', 'delete', 'choice', 'package', 'combo', 'sakti', 'already', 'price', 'package', 'expensive', 'service', 'ntah' , '']</v>
      </c>
      <c r="D1002" s="3">
        <v>1.0</v>
      </c>
    </row>
    <row r="1003" ht="15.75" customHeight="1">
      <c r="A1003" s="1">
        <v>1052.0</v>
      </c>
      <c r="B1003" s="3" t="s">
        <v>999</v>
      </c>
      <c r="C1003" s="3" t="str">
        <f>IFERROR(__xludf.DUMMYFUNCTION("GOOGLETRANSLATE(B1003,""id"",""en"")"),"['Severe', 'Severe', 'Severe', 'Network', 'Slow', 'Enter', 'Application', 'Telkomsel', 'Rich', 'GNI', ""]")</f>
        <v>['Severe', 'Severe', 'Severe', 'Network', 'Slow', 'Enter', 'Application', 'Telkomsel', 'Rich', 'GNI', "]</v>
      </c>
      <c r="D1003" s="3">
        <v>1.0</v>
      </c>
    </row>
    <row r="1004" ht="15.75" customHeight="1">
      <c r="A1004" s="1">
        <v>1053.0</v>
      </c>
      <c r="B1004" s="3" t="s">
        <v>1000</v>
      </c>
      <c r="C1004" s="3" t="str">
        <f>IFERROR(__xludf.DUMMYFUNCTION("GOOGLETRANSLATE(B1004,""id"",""en"")"),"['Package', 'Promo', '']")</f>
        <v>['Package', 'Promo', '']</v>
      </c>
      <c r="D1004" s="3">
        <v>5.0</v>
      </c>
    </row>
    <row r="1005" ht="15.75" customHeight="1">
      <c r="A1005" s="1">
        <v>1054.0</v>
      </c>
      <c r="B1005" s="3" t="s">
        <v>1001</v>
      </c>
      <c r="C1005" s="3" t="str">
        <f>IFERROR(__xludf.DUMMYFUNCTION("GOOGLETRANSLATE(B1005,""id"",""en"")"),"['knapa', 'error', 'his net', 'open', 'the application', 'just', 'screen', 'white', 'skali', 'login']")</f>
        <v>['knapa', 'error', 'his net', 'open', 'the application', 'just', 'screen', 'white', 'skali', 'login']</v>
      </c>
      <c r="D1005" s="3">
        <v>2.0</v>
      </c>
    </row>
    <row r="1006" ht="15.75" customHeight="1">
      <c r="A1006" s="1">
        <v>1055.0</v>
      </c>
      <c r="B1006" s="3" t="s">
        <v>1002</v>
      </c>
      <c r="C1006" s="3" t="str">
        <f>IFERROR(__xludf.DUMMYFUNCTION("GOOGLETRANSLATE(B1006,""id"",""en"")"),"['Kokk', 'Network', 'Telkomsel', 'Severe', 'Yaa', 'Ngeggame', 'Severe', 'lag', 'Nya', 'Package', 'Doang', 'expensive', ' Taikk ',' Lahh ']")</f>
        <v>['Kokk', 'Network', 'Telkomsel', 'Severe', 'Yaa', 'Ngeggame', 'Severe', 'lag', 'Nya', 'Package', 'Doang', 'expensive', ' Taikk ',' Lahh ']</v>
      </c>
      <c r="D1006" s="3">
        <v>1.0</v>
      </c>
    </row>
    <row r="1007" ht="15.75" customHeight="1">
      <c r="A1007" s="1">
        <v>1056.0</v>
      </c>
      <c r="B1007" s="3" t="s">
        <v>1003</v>
      </c>
      <c r="C1007" s="3" t="str">
        <f>IFERROR(__xludf.DUMMYFUNCTION("GOOGLETRANSLATE(B1007,""id"",""en"")"),"['Telkomsel', 'anjg', 'network', 'ugly', 'price', 'package', 'expensive', 'all', 'according to', 'quality', 'ajg']")</f>
        <v>['Telkomsel', 'anjg', 'network', 'ugly', 'price', 'package', 'expensive', 'all', 'according to', 'quality', 'ajg']</v>
      </c>
      <c r="D1007" s="3">
        <v>1.0</v>
      </c>
    </row>
    <row r="1008" ht="15.75" customHeight="1">
      <c r="A1008" s="1">
        <v>1057.0</v>
      </c>
      <c r="B1008" s="3" t="s">
        <v>1004</v>
      </c>
      <c r="C1008" s="3" t="str">
        <f>IFERROR(__xludf.DUMMYFUNCTION("GOOGLETRANSLATE(B1008,""id"",""en"")"),"['petrified', 'signal', 'sumtra', 'ugly']")</f>
        <v>['petrified', 'signal', 'sumtra', 'ugly']</v>
      </c>
      <c r="D1008" s="3">
        <v>4.0</v>
      </c>
    </row>
    <row r="1009" ht="15.75" customHeight="1">
      <c r="A1009" s="1">
        <v>1058.0</v>
      </c>
      <c r="B1009" s="3" t="s">
        <v>1005</v>
      </c>
      <c r="C1009" s="3" t="str">
        <f>IFERROR(__xludf.DUMMYFUNCTION("GOOGLETRANSLATE(B1009,""id"",""en"")"),"['why', 'entered', 'Say "",' error ',' that's']")</f>
        <v>['why', 'entered', 'Say ",' error ',' that's']</v>
      </c>
      <c r="D1009" s="3">
        <v>3.0</v>
      </c>
    </row>
    <row r="1010" ht="15.75" customHeight="1">
      <c r="A1010" s="1">
        <v>1059.0</v>
      </c>
      <c r="B1010" s="3" t="s">
        <v>1006</v>
      </c>
      <c r="C1010" s="3" t="str">
        <f>IFERROR(__xludf.DUMMYFUNCTION("GOOGLETRANSLATE(B1010,""id"",""en"")"),"['Telkomsel', 'signal', 'strong']")</f>
        <v>['Telkomsel', 'signal', 'strong']</v>
      </c>
      <c r="D1010" s="3">
        <v>5.0</v>
      </c>
    </row>
    <row r="1011" ht="15.75" customHeight="1">
      <c r="A1011" s="1">
        <v>1060.0</v>
      </c>
      <c r="B1011" s="3" t="s">
        <v>1007</v>
      </c>
      <c r="C1011" s="3" t="str">
        <f>IFERROR(__xludf.DUMMYFUNCTION("GOOGLETRANSLATE(B1011,""id"",""en"")"),"['How', 'open', 'already', 'updete', 'enter', 'already', 'tetep', 'kayak', 'gini', 'check', 'package', 'data', ' buy ',' package ',' difficult ',' forgiveness']")</f>
        <v>['How', 'open', 'already', 'updete', 'enter', 'already', 'tetep', 'kayak', 'gini', 'check', 'package', 'data', ' buy ',' package ',' difficult ',' forgiveness']</v>
      </c>
      <c r="D1011" s="3">
        <v>1.0</v>
      </c>
    </row>
    <row r="1012" ht="15.75" customHeight="1">
      <c r="A1012" s="1">
        <v>1061.0</v>
      </c>
      <c r="B1012" s="3" t="s">
        <v>1008</v>
      </c>
      <c r="C1012" s="3" t="str">
        <f>IFERROR(__xludf.DUMMYFUNCTION("GOOGLETRANSLATE(B1012,""id"",""en"")"),"['Please', 'Increase', 'Signal', 'Bags', 'Package', 'Expensive', '']")</f>
        <v>['Please', 'Increase', 'Signal', 'Bags', 'Package', 'Expensive', '']</v>
      </c>
      <c r="D1012" s="3">
        <v>1.0</v>
      </c>
    </row>
    <row r="1013" ht="15.75" customHeight="1">
      <c r="A1013" s="1">
        <v>1062.0</v>
      </c>
      <c r="B1013" s="3" t="s">
        <v>1009</v>
      </c>
      <c r="C1013" s="3" t="str">
        <f>IFERROR(__xludf.DUMMYFUNCTION("GOOGLETRANSLATE(B1013,""id"",""en"")"),"['Ouch', 'min', 'updated', 'version', 'appears',' screen ',' white ',' doang ',' how ',' check ',' pusla ',' quota ',' Please ',' repaired ',' System ',' Move ',' Kelain ',' Heart ']")</f>
        <v>['Ouch', 'min', 'updated', 'version', 'appears',' screen ',' white ',' doang ',' how ',' check ',' pusla ',' quota ',' Please ',' repaired ',' System ',' Move ',' Kelain ',' Heart ']</v>
      </c>
      <c r="D1013" s="3">
        <v>3.0</v>
      </c>
    </row>
    <row r="1014" ht="15.75" customHeight="1">
      <c r="A1014" s="1">
        <v>1063.0</v>
      </c>
      <c r="B1014" s="3" t="s">
        <v>1010</v>
      </c>
      <c r="C1014" s="3" t="str">
        <f>IFERROR(__xludf.DUMMYFUNCTION("GOOGLETRANSLATE(B1014,""id"",""en"")"),"['Telkomsel', 'Packagein', 'Orbit', 'Make', 'Credit', 'Gabisa', 'Make', 'Telkomsel', 'Enter', 'Enter']")</f>
        <v>['Telkomsel', 'Packagein', 'Orbit', 'Make', 'Credit', 'Gabisa', 'Make', 'Telkomsel', 'Enter', 'Enter']</v>
      </c>
      <c r="D1014" s="3">
        <v>1.0</v>
      </c>
    </row>
    <row r="1015" ht="15.75" customHeight="1">
      <c r="A1015" s="1">
        <v>1064.0</v>
      </c>
      <c r="B1015" s="3" t="s">
        <v>1011</v>
      </c>
      <c r="C1015" s="3" t="str">
        <f>IFERROR(__xludf.DUMMYFUNCTION("GOOGLETRANSLATE(B1015,""id"",""en"")"),"['Ribet', 'he's', 'DAK']")</f>
        <v>['Ribet', 'he's', 'DAK']</v>
      </c>
      <c r="D1015" s="3">
        <v>5.0</v>
      </c>
    </row>
    <row r="1016" ht="15.75" customHeight="1">
      <c r="A1016" s="1">
        <v>1065.0</v>
      </c>
      <c r="B1016" s="3" t="s">
        <v>1012</v>
      </c>
      <c r="C1016" s="3" t="str">
        <f>IFERROR(__xludf.DUMMYFUNCTION("GOOGLETRANSLATE(B1016,""id"",""en"")"),"['application', 'slow', 'network', 'slow', 'price', 'exorbitant']")</f>
        <v>['application', 'slow', 'network', 'slow', 'price', 'exorbitant']</v>
      </c>
      <c r="D1016" s="3">
        <v>1.0</v>
      </c>
    </row>
    <row r="1017" ht="15.75" customHeight="1">
      <c r="A1017" s="1">
        <v>1066.0</v>
      </c>
      <c r="B1017" s="3" t="s">
        <v>1013</v>
      </c>
      <c r="C1017" s="3" t="str">
        <f>IFERROR(__xludf.DUMMYFUNCTION("GOOGLETRANSLATE(B1017,""id"",""en"")"),"['promo', 'internet', 'Sakti', 'cheap', 'active', 'quota', 'example', 'GB', 'RB', 'Original', 'Telkomsel', ""]")</f>
        <v>['promo', 'internet', 'Sakti', 'cheap', 'active', 'quota', 'example', 'GB', 'RB', 'Original', 'Telkomsel', "]</v>
      </c>
      <c r="D1017" s="3">
        <v>5.0</v>
      </c>
    </row>
    <row r="1018" ht="15.75" customHeight="1">
      <c r="A1018" s="1">
        <v>1067.0</v>
      </c>
      <c r="B1018" s="3" t="s">
        <v>1014</v>
      </c>
      <c r="C1018" s="3" t="str">
        <f>IFERROR(__xludf.DUMMYFUNCTION("GOOGLETRANSLATE(B1018,""id"",""en"")"),"['Package', 'Internet', 'Free', 'Sunday']")</f>
        <v>['Package', 'Internet', 'Free', 'Sunday']</v>
      </c>
      <c r="D1018" s="3">
        <v>5.0</v>
      </c>
    </row>
    <row r="1019" ht="15.75" customHeight="1">
      <c r="A1019" s="1">
        <v>1068.0</v>
      </c>
      <c r="B1019" s="3" t="s">
        <v>1015</v>
      </c>
      <c r="C1019" s="3" t="str">
        <f>IFERROR(__xludf.DUMMYFUNCTION("GOOGLETRANSLATE(B1019,""id"",""en"")"),"['Application', 'People', 'Package', 'Abis',' Packagein ',' tethering ',' friend ',' No. ',' Asked ',' Monitor ',' Data ',' pulses', ' Auto ',' ilang ',' hilarious', ""]")</f>
        <v>['Application', 'People', 'Package', 'Abis',' Packagein ',' tethering ',' friend ',' No. ',' Asked ',' Monitor ',' Data ',' pulses', ' Auto ',' ilang ',' hilarious', "]</v>
      </c>
      <c r="D1019" s="3">
        <v>1.0</v>
      </c>
    </row>
    <row r="1020" ht="15.75" customHeight="1">
      <c r="A1020" s="1">
        <v>1069.0</v>
      </c>
      <c r="B1020" s="3" t="s">
        <v>1016</v>
      </c>
      <c r="C1020" s="3" t="str">
        <f>IFERROR(__xludf.DUMMYFUNCTION("GOOGLETRANSLATE(B1020,""id"",""en"")"),"['entry', 'the application', 'hard', 'forgiveness', ""]")</f>
        <v>['entry', 'the application', 'hard', 'forgiveness', "]</v>
      </c>
      <c r="D1020" s="3">
        <v>1.0</v>
      </c>
    </row>
    <row r="1021" ht="15.75" customHeight="1">
      <c r="A1021" s="1">
        <v>1070.0</v>
      </c>
      <c r="B1021" s="3" t="s">
        <v>1017</v>
      </c>
      <c r="C1021" s="3" t="str">
        <f>IFERROR(__xludf.DUMMYFUNCTION("GOOGLETRANSLATE(B1021,""id"",""en"")"),"['application']")</f>
        <v>['application']</v>
      </c>
      <c r="D1021" s="3">
        <v>5.0</v>
      </c>
    </row>
    <row r="1022" ht="15.75" customHeight="1">
      <c r="A1022" s="1">
        <v>1071.0</v>
      </c>
      <c r="B1022" s="3" t="s">
        <v>1018</v>
      </c>
      <c r="C1022" s="3" t="str">
        <f>IFERROR(__xludf.DUMMYFUNCTION("GOOGLETRANSLATE(B1022,""id"",""en"")"),"['really', 'confirm', 'package', 'buy', 'package', 'clock', 'afternoon', 'until', 'malem', 'quota', 'entry', 'signal', ' Good ',' Sometimes', 'ugly', 'Kon', '']")</f>
        <v>['really', 'confirm', 'package', 'buy', 'package', 'clock', 'afternoon', 'until', 'malem', 'quota', 'entry', 'signal', ' Good ',' Sometimes', 'ugly', 'Kon', '']</v>
      </c>
      <c r="D1022" s="3">
        <v>1.0</v>
      </c>
    </row>
    <row r="1023" ht="15.75" customHeight="1">
      <c r="A1023" s="1">
        <v>1072.0</v>
      </c>
      <c r="B1023" s="3" t="s">
        <v>1019</v>
      </c>
      <c r="C1023" s="3" t="str">
        <f>IFERROR(__xludf.DUMMYFUNCTION("GOOGLETRANSLATE(B1023,""id"",""en"")"),"['Update', 'Tetep', 'Gabisa', 'Enter', 'APK', 'How', 'Minn']")</f>
        <v>['Update', 'Tetep', 'Gabisa', 'Enter', 'APK', 'How', 'Minn']</v>
      </c>
      <c r="D1023" s="3">
        <v>1.0</v>
      </c>
    </row>
    <row r="1024" ht="15.75" customHeight="1">
      <c r="A1024" s="1">
        <v>1073.0</v>
      </c>
      <c r="B1024" s="3" t="s">
        <v>1020</v>
      </c>
      <c r="C1024" s="3" t="str">
        <f>IFERROR(__xludf.DUMMYFUNCTION("GOOGLETRANSLATE(B1024,""id"",""en"")"),"['Karna', 'deacon']")</f>
        <v>['Karna', 'deacon']</v>
      </c>
      <c r="D1024" s="3">
        <v>5.0</v>
      </c>
    </row>
    <row r="1025" ht="15.75" customHeight="1">
      <c r="A1025" s="1">
        <v>1074.0</v>
      </c>
      <c r="B1025" s="3" t="s">
        <v>1021</v>
      </c>
      <c r="C1025" s="3" t="str">
        <f>IFERROR(__xludf.DUMMYFUNCTION("GOOGLETRANSLATE(B1025,""id"",""en"")"),"['Lma', 'smkin', 'bad', 'signal', 'sympathy', 'apalgi', 'down', 'skali', 'hrga', 'quota', 'expensive', 'quality', ' Increase ',' down ',' kmunggungan ',' as', 'user', 'sympathy', 'search', 'solution', 'trelliquity', 'move', 'car', 'heart', 'as follows' , "&amp;"'Age', 'network', 'internet', 'priority', 'main']")</f>
        <v>['Lma', 'smkin', 'bad', 'signal', 'sympathy', 'apalgi', 'down', 'skali', 'hrga', 'quota', 'expensive', 'quality', ' Increase ',' down ',' kmunggungan ',' as', 'user', 'sympathy', 'search', 'solution', 'trelliquity', 'move', 'car', 'heart', 'as follows' , 'Age', 'network', 'internet', 'priority', 'main']</v>
      </c>
      <c r="D1025" s="3">
        <v>2.0</v>
      </c>
    </row>
    <row r="1026" ht="15.75" customHeight="1">
      <c r="A1026" s="1">
        <v>1077.0</v>
      </c>
      <c r="B1026" s="3" t="s">
        <v>1022</v>
      </c>
      <c r="C1026" s="3" t="str">
        <f>IFERROR(__xludf.DUMMYFUNCTION("GOOGLETRANSLATE(B1026,""id"",""en"")"),"['thank', 'love', 'help']")</f>
        <v>['thank', 'love', 'help']</v>
      </c>
      <c r="D1026" s="3">
        <v>5.0</v>
      </c>
    </row>
    <row r="1027" ht="15.75" customHeight="1">
      <c r="A1027" s="1">
        <v>1078.0</v>
      </c>
      <c r="B1027" s="3" t="s">
        <v>1023</v>
      </c>
      <c r="C1027" s="3" t="str">
        <f>IFERROR(__xludf.DUMMYFUNCTION("GOOGLETRANSLATE(B1027,""id"",""en"")"),"['Fix', 'Network', 'Package', 'Doang', 'Mahalin', 'Ngeluh', 'Closed', 'Comment', 'Provider', 'Stupid']")</f>
        <v>['Fix', 'Network', 'Package', 'Doang', 'Mahalin', 'Ngeluh', 'Closed', 'Comment', 'Provider', 'Stupid']</v>
      </c>
      <c r="D1027" s="3">
        <v>1.0</v>
      </c>
    </row>
    <row r="1028" ht="15.75" customHeight="1">
      <c r="A1028" s="1">
        <v>1079.0</v>
      </c>
      <c r="B1028" s="3" t="s">
        <v>1024</v>
      </c>
      <c r="C1028" s="3" t="str">
        <f>IFERROR(__xludf.DUMMYFUNCTION("GOOGLETRANSLATE(B1028,""id"",""en"")"),"['Star', 'Please', 'Signal', 'Fix', 'Region', 'Depok', 'Sawangan', 'Sand', 'White', 'User', 'Telkomsel', 'Signal', ' ugly ',' complement ',' signal ',' ugly ',' fix ',' please ',' area ',' please ',' admin ',' customer ',' disappointed ']")</f>
        <v>['Star', 'Please', 'Signal', 'Fix', 'Region', 'Depok', 'Sawangan', 'Sand', 'White', 'User', 'Telkomsel', 'Signal', ' ugly ',' complement ',' signal ',' ugly ',' fix ',' please ',' area ',' please ',' admin ',' customer ',' disappointed ']</v>
      </c>
      <c r="D1028" s="3">
        <v>1.0</v>
      </c>
    </row>
    <row r="1029" ht="15.75" customHeight="1">
      <c r="A1029" s="1">
        <v>1081.0</v>
      </c>
      <c r="B1029" s="3" t="s">
        <v>1025</v>
      </c>
      <c r="C1029" s="3" t="str">
        <f>IFERROR(__xludf.DUMMYFUNCTION("GOOGLETRANSLATE(B1029,""id"",""en"")"),"['Login', 'difficult', 'please', 'repaired']")</f>
        <v>['Login', 'difficult', 'please', 'repaired']</v>
      </c>
      <c r="D1029" s="3">
        <v>1.0</v>
      </c>
    </row>
    <row r="1030" ht="15.75" customHeight="1">
      <c r="A1030" s="1">
        <v>1082.0</v>
      </c>
      <c r="B1030" s="3" t="s">
        <v>1026</v>
      </c>
      <c r="C1030" s="3" t="str">
        <f>IFERROR(__xludf.DUMMYFUNCTION("GOOGLETRANSLATE(B1030,""id"",""en"")"),"['Satisfied', 'Easy', '']")</f>
        <v>['Satisfied', 'Easy', '']</v>
      </c>
      <c r="D1030" s="3">
        <v>5.0</v>
      </c>
    </row>
    <row r="1031" ht="15.75" customHeight="1">
      <c r="A1031" s="1">
        <v>1083.0</v>
      </c>
      <c r="B1031" s="3" t="s">
        <v>1027</v>
      </c>
      <c r="C1031" s="3" t="str">
        <f>IFERROR(__xludf.DUMMYFUNCTION("GOOGLETRANSLATE(B1031,""id"",""en"")"),"['position', 'in the city', 'side', 'office', 'office', 'Telkomsel', 'along with', 'tower', 'signal', 'difficult', 'signal', ""]")</f>
        <v>['position', 'in the city', 'side', 'office', 'office', 'Telkomsel', 'along with', 'tower', 'signal', 'difficult', 'signal', "]</v>
      </c>
      <c r="D1031" s="3">
        <v>1.0</v>
      </c>
    </row>
    <row r="1032" ht="15.75" customHeight="1">
      <c r="A1032" s="1">
        <v>1084.0</v>
      </c>
      <c r="B1032" s="3" t="s">
        <v>1028</v>
      </c>
      <c r="C1032" s="3" t="str">
        <f>IFERROR(__xludf.DUMMYFUNCTION("GOOGLETRANSLATE(B1032,""id"",""en"")"),"['', 'Telkomsel', 'buy', 'package', 'emergency', 'knowledge', 'quota', 'main', 'remaining', ""]")</f>
        <v>['', 'Telkomsel', 'buy', 'package', 'emergency', 'knowledge', 'quota', 'main', 'remaining', "]</v>
      </c>
      <c r="D1032" s="3">
        <v>1.0</v>
      </c>
    </row>
    <row r="1033" ht="15.75" customHeight="1">
      <c r="A1033" s="1">
        <v>1085.0</v>
      </c>
      <c r="B1033" s="3" t="s">
        <v>1029</v>
      </c>
      <c r="C1033" s="3" t="str">
        <f>IFERROR(__xludf.DUMMYFUNCTION("GOOGLETRANSLATE(B1033,""id"",""en"")"),"['Thank you', 'Useful', 'really']")</f>
        <v>['Thank you', 'Useful', 'really']</v>
      </c>
      <c r="D1033" s="3">
        <v>5.0</v>
      </c>
    </row>
    <row r="1034" ht="15.75" customHeight="1">
      <c r="A1034" s="1">
        <v>1086.0</v>
      </c>
      <c r="B1034" s="3" t="s">
        <v>1030</v>
      </c>
      <c r="C1034" s="3" t="str">
        <f>IFERROR(__xludf.DUMMYFUNCTION("GOOGLETRANSLATE(B1034,""id"",""en"")"),"['application', 'help', 'check', 'pulse', 'quota', 'application', 'satisfying', '']")</f>
        <v>['application', 'help', 'check', 'pulse', 'quota', 'application', 'satisfying', '']</v>
      </c>
      <c r="D1034" s="3">
        <v>5.0</v>
      </c>
    </row>
    <row r="1035" ht="15.75" customHeight="1">
      <c r="A1035" s="1">
        <v>1087.0</v>
      </c>
      <c r="B1035" s="3" t="s">
        <v>1031</v>
      </c>
      <c r="C1035" s="3" t="str">
        <f>IFERROR(__xludf.DUMMYFUNCTION("GOOGLETRANSLATE(B1035,""id"",""en"")"),"['Telkomsel', 'signal', 'down', 'already', 'already', 'PEKE', 'Data', 'Telkom', 'Allow', 'Message', 'use', 'Non', ' package']")</f>
        <v>['Telkomsel', 'signal', 'down', 'already', 'already', 'PEKE', 'Data', 'Telkom', 'Allow', 'Message', 'use', 'Non', ' package']</v>
      </c>
      <c r="D1035" s="3">
        <v>1.0</v>
      </c>
    </row>
    <row r="1036" ht="15.75" customHeight="1">
      <c r="A1036" s="1">
        <v>1088.0</v>
      </c>
      <c r="B1036" s="3" t="s">
        <v>1032</v>
      </c>
      <c r="C1036" s="3" t="str">
        <f>IFERROR(__xludf.DUMMYFUNCTION("GOOGLETRANSLATE(B1036,""id"",""en"")"),"['Application', 'Login', 'Send', 'Magic', 'Link', 'Login', 'Method', 'How']")</f>
        <v>['Application', 'Login', 'Send', 'Magic', 'Link', 'Login', 'Method', 'How']</v>
      </c>
      <c r="D1036" s="3">
        <v>1.0</v>
      </c>
    </row>
    <row r="1037" ht="15.75" customHeight="1">
      <c r="A1037" s="1">
        <v>1089.0</v>
      </c>
      <c r="B1037" s="3" t="s">
        <v>1033</v>
      </c>
      <c r="C1037" s="3" t="str">
        <f>IFERROR(__xludf.DUMMYFUNCTION("GOOGLETRANSLATE(B1037,""id"",""en"")"),"['', 'card', 'pay', 'buy', 'package', 'data', 'use', 'shopee', 'available', 'pulse', 'method', 'payment']")</f>
        <v>['', 'card', 'pay', 'buy', 'package', 'data', 'use', 'shopee', 'available', 'pulse', 'method', 'payment']</v>
      </c>
      <c r="D1037" s="3">
        <v>4.0</v>
      </c>
    </row>
    <row r="1038" ht="15.75" customHeight="1">
      <c r="A1038" s="1">
        <v>1090.0</v>
      </c>
      <c r="B1038" s="3" t="s">
        <v>1034</v>
      </c>
      <c r="C1038" s="3" t="str">
        <f>IFERROR(__xludf.DUMMYFUNCTION("GOOGLETRANSLATE(B1038,""id"",""en"")"),"['It's easy', 'users', 'Hopefully', 'Bonus', 'Custemer', 'Success', 'Telkomsel', 'Jaya', 'BUMN']")</f>
        <v>['It's easy', 'users', 'Hopefully', 'Bonus', 'Custemer', 'Success', 'Telkomsel', 'Jaya', 'BUMN']</v>
      </c>
      <c r="D1038" s="3">
        <v>5.0</v>
      </c>
    </row>
    <row r="1039" ht="15.75" customHeight="1">
      <c r="A1039" s="1">
        <v>1091.0</v>
      </c>
      <c r="B1039" s="3" t="s">
        <v>1035</v>
      </c>
      <c r="C1039" s="3" t="str">
        <f>IFERROR(__xludf.DUMMYFUNCTION("GOOGLETRANSLATE(B1039,""id"",""en"")"),"['Min', 'Addin', 'Features', 'Cheap', 'Ding', 'Min', 'Rich', 'Rb']")</f>
        <v>['Min', 'Addin', 'Features', 'Cheap', 'Ding', 'Min', 'Rich', 'Rb']</v>
      </c>
      <c r="D1039" s="3">
        <v>5.0</v>
      </c>
    </row>
    <row r="1040" ht="15.75" customHeight="1">
      <c r="A1040" s="1">
        <v>1092.0</v>
      </c>
      <c r="B1040" s="3" t="s">
        <v>1036</v>
      </c>
      <c r="C1040" s="3" t="str">
        <f>IFERROR(__xludf.DUMMYFUNCTION("GOOGLETRANSLATE(B1040,""id"",""en"")"),"['hate', 'Telkomsel', 'Indihome', 'price', 'expensive', 'network', 'slow', 'wifi', 'slow', '']")</f>
        <v>['hate', 'Telkomsel', 'Indihome', 'price', 'expensive', 'network', 'slow', 'wifi', 'slow', '']</v>
      </c>
      <c r="D1040" s="3">
        <v>1.0</v>
      </c>
    </row>
    <row r="1041" ht="15.75" customHeight="1">
      <c r="A1041" s="1">
        <v>1093.0</v>
      </c>
      <c r="B1041" s="3" t="s">
        <v>1037</v>
      </c>
      <c r="C1041" s="3" t="str">
        <f>IFERROR(__xludf.DUMMYFUNCTION("GOOGLETRANSLATE(B1041,""id"",""en"")"),"['Please', 'lbih', 'focused', 'quota', 'main', 'sja']")</f>
        <v>['Please', 'lbih', 'focused', 'quota', 'main', 'sja']</v>
      </c>
      <c r="D1041" s="3">
        <v>5.0</v>
      </c>
    </row>
    <row r="1042" ht="15.75" customHeight="1">
      <c r="A1042" s="1">
        <v>1094.0</v>
      </c>
      <c r="B1042" s="3" t="s">
        <v>1038</v>
      </c>
      <c r="C1042" s="3" t="str">
        <f>IFERROR(__xludf.DUMMYFUNCTION("GOOGLETRANSLATE(B1042,""id"",""en"")"),"['My APK', 'Good', 'The list', 'Ribet', 'Network', 'Good']")</f>
        <v>['My APK', 'Good', 'The list', 'Ribet', 'Network', 'Good']</v>
      </c>
      <c r="D1042" s="3">
        <v>4.0</v>
      </c>
    </row>
    <row r="1043" ht="15.75" customHeight="1">
      <c r="A1043" s="1">
        <v>1095.0</v>
      </c>
      <c r="B1043" s="3" t="s">
        <v>1039</v>
      </c>
      <c r="C1043" s="3" t="str">
        <f>IFERROR(__xludf.DUMMYFUNCTION("GOOGLETRANSLATE(B1043,""id"",""en"")"),"['Kasi', 'star', 'the application', 'slow', 'open', 'signal', 'stable']")</f>
        <v>['Kasi', 'star', 'the application', 'slow', 'open', 'signal', 'stable']</v>
      </c>
      <c r="D1043" s="3">
        <v>1.0</v>
      </c>
    </row>
    <row r="1044" ht="15.75" customHeight="1">
      <c r="A1044" s="1">
        <v>1096.0</v>
      </c>
      <c r="B1044" s="3" t="s">
        <v>1040</v>
      </c>
      <c r="C1044" s="3" t="str">
        <f>IFERROR(__xludf.DUMMYFUNCTION("GOOGLETRANSLATE(B1044,""id"",""en"")"),"['Telkomsel', 'signal', 'please', 'fix']")</f>
        <v>['Telkomsel', 'signal', 'please', 'fix']</v>
      </c>
      <c r="D1044" s="3">
        <v>1.0</v>
      </c>
    </row>
    <row r="1045" ht="15.75" customHeight="1">
      <c r="A1045" s="1">
        <v>1097.0</v>
      </c>
      <c r="B1045" s="3" t="s">
        <v>1041</v>
      </c>
      <c r="C1045" s="3" t="str">
        <f>IFERROR(__xludf.DUMMYFUNCTION("GOOGLETRANSLATE(B1045,""id"",""en"")"),"['Please', 'repaired', 'network', 'Telkomsel', 'difficult', 'access', 'network', 'already', 'slow', 'kek']")</f>
        <v>['Please', 'repaired', 'network', 'Telkomsel', 'difficult', 'access', 'network', 'already', 'slow', 'kek']</v>
      </c>
      <c r="D1045" s="3">
        <v>1.0</v>
      </c>
    </row>
    <row r="1046" ht="15.75" customHeight="1">
      <c r="A1046" s="1">
        <v>1098.0</v>
      </c>
      <c r="B1046" s="3" t="s">
        <v>1042</v>
      </c>
      <c r="C1046" s="3" t="str">
        <f>IFERROR(__xludf.DUMMYFUNCTION("GOOGLETRANSLATE(B1046,""id"",""en"")"),"['Buy', 'Package', 'Internet']")</f>
        <v>['Buy', 'Package', 'Internet']</v>
      </c>
      <c r="D1046" s="3">
        <v>3.0</v>
      </c>
    </row>
    <row r="1047" ht="15.75" customHeight="1">
      <c r="A1047" s="1">
        <v>1099.0</v>
      </c>
      <c r="B1047" s="3" t="s">
        <v>1043</v>
      </c>
      <c r="C1047" s="3" t="str">
        <f>IFERROR(__xludf.DUMMYFUNCTION("GOOGLETRANSLATE(B1047,""id"",""en"")"),"['Basic', 'Telkomsel', 'MOTH', 'Credit', 'Bug', 'Heart', 'Telkomsel', 'sucked', 'pulses']")</f>
        <v>['Basic', 'Telkomsel', 'MOTH', 'Credit', 'Bug', 'Heart', 'Telkomsel', 'sucked', 'pulses']</v>
      </c>
      <c r="D1047" s="3">
        <v>1.0</v>
      </c>
    </row>
    <row r="1048" ht="15.75" customHeight="1">
      <c r="A1048" s="1">
        <v>1100.0</v>
      </c>
      <c r="B1048" s="3" t="s">
        <v>1044</v>
      </c>
      <c r="C1048" s="3" t="str">
        <f>IFERROR(__xludf.DUMMYFUNCTION("GOOGLETRANSLATE(B1048,""id"",""en"")"),"['Network', 'morning', 'down']")</f>
        <v>['Network', 'morning', 'down']</v>
      </c>
      <c r="D1048" s="3">
        <v>1.0</v>
      </c>
    </row>
    <row r="1049" ht="15.75" customHeight="1">
      <c r="A1049" s="1">
        <v>1101.0</v>
      </c>
      <c r="B1049" s="3" t="s">
        <v>1045</v>
      </c>
      <c r="C1049" s="3" t="str">
        <f>IFERROR(__xludf.DUMMYFUNCTION("GOOGLETRANSLATE(B1049,""id"",""en"")"),"['Purchase', 'Kouta', 'Data', 'Internet', 'Disruption', 'Network', 'Failed', 'payaaahhh', ""]")</f>
        <v>['Purchase', 'Kouta', 'Data', 'Internet', 'Disruption', 'Network', 'Failed', 'payaaahhh', "]</v>
      </c>
      <c r="D1049" s="3">
        <v>1.0</v>
      </c>
    </row>
    <row r="1050" ht="15.75" customHeight="1">
      <c r="A1050" s="1">
        <v>1102.0</v>
      </c>
      <c r="B1050" s="3" t="s">
        <v>1046</v>
      </c>
      <c r="C1050" s="3" t="str">
        <f>IFERROR(__xludf.DUMMYFUNCTION("GOOGLETRANSLATE(B1050,""id"",""en"")"),"['signal', 'stable', 'card', 'sultan']")</f>
        <v>['signal', 'stable', 'card', 'sultan']</v>
      </c>
      <c r="D1050" s="3">
        <v>3.0</v>
      </c>
    </row>
    <row r="1051" ht="15.75" customHeight="1">
      <c r="A1051" s="1">
        <v>1103.0</v>
      </c>
      <c r="B1051" s="3" t="s">
        <v>1047</v>
      </c>
      <c r="C1051" s="3" t="str">
        <f>IFERROR(__xludf.DUMMYFUNCTION("GOOGLETRANSLATE(B1051,""id"",""en"")"),"['Network', 'good', 'already', 'signal', 'severe']")</f>
        <v>['Network', 'good', 'already', 'signal', 'severe']</v>
      </c>
      <c r="D1051" s="3">
        <v>1.0</v>
      </c>
    </row>
    <row r="1052" ht="15.75" customHeight="1">
      <c r="A1052" s="1">
        <v>1104.0</v>
      </c>
      <c r="B1052" s="3" t="s">
        <v>1048</v>
      </c>
      <c r="C1052" s="3" t="str">
        <f>IFERROR(__xludf.DUMMYFUNCTION("GOOGLETRANSLATE(B1052,""id"",""en"")"),"['pulse', 'sucked', 'Mulu', 'Telkomsel', 'msnding', 'Disband', 'yes',' go bankrupt ',' pulse ',' suck ',' mulu ',' try ',' add ',' control ',' pulse ',' kayak ',' good ',' Telkomsel ',' useful ']")</f>
        <v>['pulse', 'sucked', 'Mulu', 'Telkomsel', 'msnding', 'Disband', 'yes',' go bankrupt ',' pulse ',' suck ',' mulu ',' try ',' add ',' control ',' pulse ',' kayak ',' good ',' Telkomsel ',' useful ']</v>
      </c>
      <c r="D1052" s="3">
        <v>1.0</v>
      </c>
    </row>
    <row r="1053" ht="15.75" customHeight="1">
      <c r="A1053" s="1">
        <v>1105.0</v>
      </c>
      <c r="B1053" s="3" t="s">
        <v>1049</v>
      </c>
      <c r="C1053" s="3" t="str">
        <f>IFERROR(__xludf.DUMMYFUNCTION("GOOGLETRANSLATE(B1053,""id"",""en"")"),"['makes it easy', 'users', 'Telkom', 'steady']")</f>
        <v>['makes it easy', 'users', 'Telkom', 'steady']</v>
      </c>
      <c r="D1053" s="3">
        <v>5.0</v>
      </c>
    </row>
    <row r="1054" ht="15.75" customHeight="1">
      <c r="A1054" s="1">
        <v>1106.0</v>
      </c>
      <c r="B1054" s="3" t="s">
        <v>1050</v>
      </c>
      <c r="C1054" s="3" t="str">
        <f>IFERROR(__xludf.DUMMYFUNCTION("GOOGLETRANSLATE(B1054,""id"",""en"")"),"['Please', 'LOTIN', 'promo', 'heheheye']")</f>
        <v>['Please', 'LOTIN', 'promo', 'heheheye']</v>
      </c>
      <c r="D1054" s="3">
        <v>4.0</v>
      </c>
    </row>
    <row r="1055" ht="15.75" customHeight="1">
      <c r="A1055" s="1">
        <v>1107.0</v>
      </c>
      <c r="B1055" s="3" t="s">
        <v>1051</v>
      </c>
      <c r="C1055" s="3" t="str">
        <f>IFERROR(__xludf.DUMMYFUNCTION("GOOGLETRANSLATE(B1055,""id"",""en"")"),"['Disappointed', 'Calculation', 'Cutting', 'Credit', '']")</f>
        <v>['Disappointed', 'Calculation', 'Cutting', 'Credit', '']</v>
      </c>
      <c r="D1055" s="3">
        <v>1.0</v>
      </c>
    </row>
    <row r="1056" ht="15.75" customHeight="1">
      <c r="A1056" s="1">
        <v>1108.0</v>
      </c>
      <c r="B1056" s="3" t="s">
        <v>1052</v>
      </c>
      <c r="C1056" s="3" t="str">
        <f>IFERROR(__xludf.DUMMYFUNCTION("GOOGLETRANSLATE(B1056,""id"",""en"")"),"['Please', 'Fix', 'Speed', 'Network', 'Telkomsel', 'Network', 'Diprop', 'Chatan', 'Social', 'Media', 'Speed', 'Network', ' Use ',' Network ',' Mb ',' DTK ',' Network ',' Telkomsel ',' KB ',' DTK ']")</f>
        <v>['Please', 'Fix', 'Speed', 'Network', 'Telkomsel', 'Network', 'Diprop', 'Chatan', 'Social', 'Media', 'Speed', 'Network', ' Use ',' Network ',' Mb ',' DTK ',' Network ',' Telkomsel ',' KB ',' DTK ']</v>
      </c>
      <c r="D1056" s="3">
        <v>1.0</v>
      </c>
    </row>
    <row r="1057" ht="15.75" customHeight="1">
      <c r="A1057" s="1">
        <v>1109.0</v>
      </c>
      <c r="B1057" s="3" t="s">
        <v>1053</v>
      </c>
      <c r="C1057" s="3" t="str">
        <f>IFERROR(__xludf.DUMMYFUNCTION("GOOGLETRANSLATE(B1057,""id"",""en"")"),"['Hopefully', 'Lottery']")</f>
        <v>['Hopefully', 'Lottery']</v>
      </c>
      <c r="D1057" s="3">
        <v>5.0</v>
      </c>
    </row>
    <row r="1058" ht="15.75" customHeight="1">
      <c r="A1058" s="1">
        <v>1110.0</v>
      </c>
      <c r="B1058" s="3" t="s">
        <v>1054</v>
      </c>
      <c r="C1058" s="3" t="str">
        <f>IFERROR(__xludf.DUMMYFUNCTION("GOOGLETRANSLATE(B1058,""id"",""en"")"),"['Canaaa']")</f>
        <v>['Canaaa']</v>
      </c>
      <c r="D1058" s="3">
        <v>3.0</v>
      </c>
    </row>
    <row r="1059" ht="15.75" customHeight="1">
      <c r="A1059" s="1">
        <v>1111.0</v>
      </c>
      <c r="B1059" s="3" t="s">
        <v>1055</v>
      </c>
      <c r="C1059" s="3" t="str">
        <f>IFERROR(__xludf.DUMMYFUNCTION("GOOGLETRANSLATE(B1059,""id"",""en"")"),"['Weve', 'Package', 'Internet', 'a month', 'Thinking', 'Unlimited', 'a month', 'That's']")</f>
        <v>['Weve', 'Package', 'Internet', 'a month', 'Thinking', 'Unlimited', 'a month', 'That's']</v>
      </c>
      <c r="D1059" s="3">
        <v>3.0</v>
      </c>
    </row>
    <row r="1060" ht="15.75" customHeight="1">
      <c r="A1060" s="1">
        <v>1112.0</v>
      </c>
      <c r="B1060" s="3" t="s">
        <v>1056</v>
      </c>
      <c r="C1060" s="3" t="str">
        <f>IFERROR(__xludf.DUMMYFUNCTION("GOOGLETRANSLATE(B1060,""id"",""en"")"),"['yahhh', 'process', 'use']")</f>
        <v>['yahhh', 'process', 'use']</v>
      </c>
      <c r="D1060" s="3">
        <v>2.0</v>
      </c>
    </row>
    <row r="1061" ht="15.75" customHeight="1">
      <c r="A1061" s="1">
        <v>1113.0</v>
      </c>
      <c r="B1061" s="3" t="s">
        <v>1057</v>
      </c>
      <c r="C1061" s="3" t="str">
        <f>IFERROR(__xludf.DUMMYFUNCTION("GOOGLETRANSLATE(B1061,""id"",""en"")"),"['', 'User', 'Telkomsel', 'residents',' Shiran ',' Pakek ',' Data ',' Unlimited ',' Jingannya ',' Nauzubilla ',' Turn ',' Quota ',' Main ',' LNCAR ',' Kyk ',' Jln ',' Toll ',' right ',' Tingl ',' Data ',' Unlimited ',' Network ',' Kayk ',' Snail ',' KB ',"&amp;" 'Doank', 'Jringn', 'Bijimana', 'buy', 'package', 'combo', 'RbU', 'loss',' unlimited ',' kgk ',' can ',' use ',' already ',' LPOR ',' MALAM ',' KGK ',' SOLUTION ',' ']")</f>
        <v>['', 'User', 'Telkomsel', 'residents',' Shiran ',' Pakek ',' Data ',' Unlimited ',' Jingannya ',' Nauzubilla ',' Turn ',' Quota ',' Main ',' LNCAR ',' Kyk ',' Jln ',' Toll ',' right ',' Tingl ',' Data ',' Unlimited ',' Network ',' Kayk ',' Snail ',' KB ', 'Doank', 'Jringn', 'Bijimana', 'buy', 'package', 'combo', 'RbU', 'loss',' unlimited ',' kgk ',' can ',' use ',' already ',' LPOR ',' MALAM ',' KGK ',' SOLUTION ',' ']</v>
      </c>
      <c r="D1061" s="3">
        <v>1.0</v>
      </c>
    </row>
    <row r="1062" ht="15.75" customHeight="1">
      <c r="A1062" s="1">
        <v>1114.0</v>
      </c>
      <c r="B1062" s="3" t="s">
        <v>1058</v>
      </c>
      <c r="C1062" s="3" t="str">
        <f>IFERROR(__xludf.DUMMYFUNCTION("GOOGLETRANSLATE(B1062,""id"",""en"")"),"['Telkomsel', 'Please', 'Fix', 'The Application', 'Buy', 'Data', 'Difficult', 'Error', 'Network', 'Tarip', 'Expensive', 'Service', ' decline ',' please ',' correction ']")</f>
        <v>['Telkomsel', 'Please', 'Fix', 'The Application', 'Buy', 'Data', 'Difficult', 'Error', 'Network', 'Tarip', 'Expensive', 'Service', ' decline ',' please ',' correction ']</v>
      </c>
      <c r="D1062" s="3">
        <v>1.0</v>
      </c>
    </row>
    <row r="1063" ht="15.75" customHeight="1">
      <c r="A1063" s="1">
        <v>1115.0</v>
      </c>
      <c r="B1063" s="3" t="s">
        <v>1059</v>
      </c>
      <c r="C1063" s="3" t="str">
        <f>IFERROR(__xludf.DUMMYFUNCTION("GOOGLETRANSLATE(B1063,""id"",""en"")"),"['Telkomsel', 'Error', 'Mulu', 'Log', 'Please', 'Network', 'Fix']")</f>
        <v>['Telkomsel', 'Error', 'Mulu', 'Log', 'Please', 'Network', 'Fix']</v>
      </c>
      <c r="D1063" s="3">
        <v>1.0</v>
      </c>
    </row>
    <row r="1064" ht="15.75" customHeight="1">
      <c r="A1064" s="1">
        <v>1116.0</v>
      </c>
      <c r="B1064" s="3" t="s">
        <v>1060</v>
      </c>
      <c r="C1064" s="3" t="str">
        <f>IFERROR(__xludf.DUMMYFUNCTION("GOOGLETRANSLATE(B1064,""id"",""en"")"),"['White', 'Screen', 'Open', 'App', 'Severe']")</f>
        <v>['White', 'Screen', 'Open', 'App', 'Severe']</v>
      </c>
      <c r="D1064" s="3">
        <v>1.0</v>
      </c>
    </row>
    <row r="1065" ht="15.75" customHeight="1">
      <c r="A1065" s="1">
        <v>1117.0</v>
      </c>
      <c r="B1065" s="3" t="s">
        <v>1061</v>
      </c>
      <c r="C1065" s="3" t="str">
        <f>IFERROR(__xludf.DUMMYFUNCTION("GOOGLETRANSLATE(B1065,""id"",""en"")"),"['', 'update', 'enter', 'Anjay', 'strange', 'Kabeh', 'Veronika', 'System', 'repair', 'right', 'System', 'already', 'pulses' ',' already ',' run out ',' Cut ',' Turn Off ',' Data ']")</f>
        <v>['', 'update', 'enter', 'Anjay', 'strange', 'Kabeh', 'Veronika', 'System', 'repair', 'right', 'System', 'already', 'pulses' ',' already ',' run out ',' Cut ',' Turn Off ',' Data ']</v>
      </c>
      <c r="D1065" s="3">
        <v>3.0</v>
      </c>
    </row>
    <row r="1066" ht="15.75" customHeight="1">
      <c r="A1066" s="1">
        <v>1118.0</v>
      </c>
      <c r="B1066" s="3" t="s">
        <v>1062</v>
      </c>
      <c r="C1066" s="3" t="str">
        <f>IFERROR(__xludf.DUMMYFUNCTION("GOOGLETRANSLATE(B1066,""id"",""en"")"),"['Telkomsel', 'skrg', 'dead', 'electricity', 'network', 'follow', 'ilang', 'dead', 'electricity', 'briefly', 'network', 'tsel', ' ',' Sampe ',' setting ',' annoying ',' activity ',' push ',' Ranked ',' AFK ',' Sampe ',' credit ',' please ',' back ',' syst"&amp;"em ' , 'network', 'tsel', 'kek', 'rain', 'dead', 'electricity', 'network', 'okay', 'price', 'doang', 'expensive', 'network', ' Quality ',' Im ',' ']")</f>
        <v>['Telkomsel', 'skrg', 'dead', 'electricity', 'network', 'follow', 'ilang', 'dead', 'electricity', 'briefly', 'network', 'tsel', ' ',' Sampe ',' setting ',' annoying ',' activity ',' push ',' Ranked ',' AFK ',' Sampe ',' credit ',' please ',' back ',' system ' , 'network', 'tsel', 'kek', 'rain', 'dead', 'electricity', 'network', 'okay', 'price', 'doang', 'expensive', 'network', ' Quality ',' Im ',' ']</v>
      </c>
      <c r="D1066" s="3">
        <v>1.0</v>
      </c>
    </row>
    <row r="1067" ht="15.75" customHeight="1">
      <c r="A1067" s="1">
        <v>1119.0</v>
      </c>
      <c r="B1067" s="3" t="s">
        <v>1063</v>
      </c>
      <c r="C1067" s="3" t="str">
        <f>IFERROR(__xludf.DUMMYFUNCTION("GOOGLETRANSLATE(B1067,""id"",""en"")"),"['Thank you', 'Telkomsel', 'Package', 'Geratis']")</f>
        <v>['Thank you', 'Telkomsel', 'Package', 'Geratis']</v>
      </c>
      <c r="D1067" s="3">
        <v>5.0</v>
      </c>
    </row>
    <row r="1068" ht="15.75" customHeight="1">
      <c r="A1068" s="1">
        <v>1120.0</v>
      </c>
      <c r="B1068" s="3" t="s">
        <v>1064</v>
      </c>
      <c r="C1068" s="3" t="str">
        <f>IFERROR(__xludf.DUMMYFUNCTION("GOOGLETRANSLATE(B1068,""id"",""en"")"),"['network', 'signal', 'just', 'check', 'credit', 'login', 'APK', 'contents',' pulse ',' counter ',' shopee ',' ntr ',' dead ',' the card ',' wrong ',' Telkomsel ',' tired ',' really ',' replace ',' replace ',' card ', ""]")</f>
        <v>['network', 'signal', 'just', 'check', 'credit', 'login', 'APK', 'contents',' pulse ',' counter ',' shopee ',' ntr ',' dead ',' the card ',' wrong ',' Telkomsel ',' tired ',' really ',' replace ',' replace ',' card ', "]</v>
      </c>
      <c r="D1068" s="3">
        <v>1.0</v>
      </c>
    </row>
    <row r="1069" ht="15.75" customHeight="1">
      <c r="A1069" s="1">
        <v>1121.0</v>
      </c>
      <c r="B1069" s="3" t="s">
        <v>1065</v>
      </c>
      <c r="C1069" s="3" t="str">
        <f>IFERROR(__xludf.DUMMYFUNCTION("GOOGLETRANSLATE(B1069,""id"",""en"")"),"['Come', 'strange', 'solution', 'Most', 'Teparted', 'Tele', 'Lost', 'Provider', 'Private']")</f>
        <v>['Come', 'strange', 'solution', 'Most', 'Teparted', 'Tele', 'Lost', 'Provider', 'Private']</v>
      </c>
      <c r="D1069" s="3">
        <v>2.0</v>
      </c>
    </row>
    <row r="1070" ht="15.75" customHeight="1">
      <c r="A1070" s="1">
        <v>1122.0</v>
      </c>
      <c r="B1070" s="3" t="s">
        <v>1066</v>
      </c>
      <c r="C1070" s="3" t="str">
        <f>IFERROR(__xludf.DUMMYFUNCTION("GOOGLETRANSLATE(B1070,""id"",""en"")"),"['thank you', 'serve', 'network', 'hope', 'success']")</f>
        <v>['thank you', 'serve', 'network', 'hope', 'success']</v>
      </c>
      <c r="D1070" s="3">
        <v>5.0</v>
      </c>
    </row>
    <row r="1071" ht="15.75" customHeight="1">
      <c r="A1071" s="1">
        <v>1125.0</v>
      </c>
      <c r="B1071" s="3" t="s">
        <v>1067</v>
      </c>
      <c r="C1071" s="3" t="str">
        <f>IFERROR(__xludf.DUMMYFUNCTION("GOOGLETRANSLATE(B1071,""id"",""en"")"),"['opened', 'app', 'screen', 'white', 'ttus', 'enter']")</f>
        <v>['opened', 'app', 'screen', 'white', 'ttus', 'enter']</v>
      </c>
      <c r="D1071" s="3">
        <v>5.0</v>
      </c>
    </row>
    <row r="1072" ht="15.75" customHeight="1">
      <c r="A1072" s="1">
        <v>1126.0</v>
      </c>
      <c r="B1072" s="3" t="s">
        <v>1068</v>
      </c>
      <c r="C1072" s="3" t="str">
        <f>IFERROR(__xludf.DUMMYFUNCTION("GOOGLETRANSLATE(B1072,""id"",""en"")"),"['Good', 'Sinyal', 'Paketan', 'Learning', 'Thinking', 'Thinking', 'Buy', 'Quota', 'Tsel', ""]")</f>
        <v>['Good', 'Sinyal', 'Paketan', 'Learning', 'Thinking', 'Thinking', 'Buy', 'Quota', 'Tsel', "]</v>
      </c>
      <c r="D1072" s="3">
        <v>5.0</v>
      </c>
    </row>
    <row r="1073" ht="15.75" customHeight="1">
      <c r="A1073" s="1">
        <v>1127.0</v>
      </c>
      <c r="B1073" s="3" t="s">
        <v>1069</v>
      </c>
      <c r="C1073" s="3" t="str">
        <f>IFERROR(__xludf.DUMMYFUNCTION("GOOGLETRANSLATE(B1073,""id"",""en"")"),"['Telkomsel', 'Ponsel']")</f>
        <v>['Telkomsel', 'Ponsel']</v>
      </c>
      <c r="D1073" s="3">
        <v>5.0</v>
      </c>
    </row>
    <row r="1074" ht="15.75" customHeight="1">
      <c r="A1074" s="1">
        <v>1128.0</v>
      </c>
      <c r="B1074" s="3" t="s">
        <v>1070</v>
      </c>
      <c r="C1074" s="3" t="str">
        <f>IFERROR(__xludf.DUMMYFUNCTION("GOOGLETRANSLATE(B1074,""id"",""en"")"),"['system', 'key', 'pulse']")</f>
        <v>['system', 'key', 'pulse']</v>
      </c>
      <c r="D1074" s="3">
        <v>2.0</v>
      </c>
    </row>
    <row r="1075" ht="15.75" customHeight="1">
      <c r="A1075" s="1">
        <v>1129.0</v>
      </c>
      <c r="B1075" s="3" t="s">
        <v>1071</v>
      </c>
      <c r="C1075" s="3" t="str">
        <f>IFERROR(__xludf.DUMMYFUNCTION("GOOGLETRANSLATE(B1075,""id"",""en"")"),"['Okey', 'petrified']")</f>
        <v>['Okey', 'petrified']</v>
      </c>
      <c r="D1075" s="3">
        <v>5.0</v>
      </c>
    </row>
    <row r="1076" ht="15.75" customHeight="1">
      <c r="A1076" s="1">
        <v>1130.0</v>
      </c>
      <c r="B1076" s="3" t="s">
        <v>1072</v>
      </c>
      <c r="C1076" s="3" t="str">
        <f>IFERROR(__xludf.DUMMYFUNCTION("GOOGLETRANSLATE(B1076,""id"",""en"")"),"['friend', 'network', 'Telkomsel', 'Mending', 'think', 'Telkomsel', 'convenience', 'data', 'internet', 'Often', 'missing', 'signal', ' repeat ',' reset ']")</f>
        <v>['friend', 'network', 'Telkomsel', 'Mending', 'think', 'Telkomsel', 'convenience', 'data', 'internet', 'Often', 'missing', 'signal', ' repeat ',' reset ']</v>
      </c>
      <c r="D1076" s="3">
        <v>1.0</v>
      </c>
    </row>
    <row r="1077" ht="15.75" customHeight="1">
      <c r="A1077" s="1">
        <v>1131.0</v>
      </c>
      <c r="B1077" s="3" t="s">
        <v>1073</v>
      </c>
      <c r="C1077" s="3" t="str">
        <f>IFERROR(__xludf.DUMMYFUNCTION("GOOGLETRANSLATE(B1077,""id"",""en"")"),"['buy', 'pulse', 'buyin', 'quota', 'enter', 'quota', 'emang', 'kartus',' telkomsel ',' think ',' make ',' card ',' ']")</f>
        <v>['buy', 'pulse', 'buyin', 'quota', 'enter', 'quota', 'emang', 'kartus',' telkomsel ',' think ',' make ',' card ',' ']</v>
      </c>
      <c r="D1077" s="3">
        <v>1.0</v>
      </c>
    </row>
    <row r="1078" ht="15.75" customHeight="1">
      <c r="A1078" s="1">
        <v>1132.0</v>
      </c>
      <c r="B1078" s="3" t="s">
        <v>1074</v>
      </c>
      <c r="C1078" s="3" t="str">
        <f>IFERROR(__xludf.DUMMYFUNCTION("GOOGLETRANSLATE(B1078,""id"",""en"")"),"['Please', 'network', 'Telkomsel', 'ugly', 'down', 'down', 'stable', 'user', 'disappointed', 'open', 'email', 'youtube', ' connection ',' internet ',' please ',' fix ']")</f>
        <v>['Please', 'network', 'Telkomsel', 'ugly', 'down', 'down', 'stable', 'user', 'disappointed', 'open', 'email', 'youtube', ' connection ',' internet ',' please ',' fix ']</v>
      </c>
      <c r="D1078" s="3">
        <v>1.0</v>
      </c>
    </row>
    <row r="1079" ht="15.75" customHeight="1">
      <c r="A1079" s="1">
        <v>1133.0</v>
      </c>
      <c r="B1079" s="3" t="s">
        <v>1075</v>
      </c>
      <c r="C1079" s="3" t="str">
        <f>IFERROR(__xludf.DUMMYFUNCTION("GOOGLETRANSLATE(B1079,""id"",""en"")"),"['The offer', 'package', 'price', 'thousand', 'right', 'UDH', 'contents', 'pulse', 'price', 'idiot', 'bner']")</f>
        <v>['The offer', 'package', 'price', 'thousand', 'right', 'UDH', 'contents', 'pulse', 'price', 'idiot', 'bner']</v>
      </c>
      <c r="D1079" s="3">
        <v>1.0</v>
      </c>
    </row>
    <row r="1080" ht="15.75" customHeight="1">
      <c r="A1080" s="1">
        <v>1135.0</v>
      </c>
      <c r="B1080" s="3" t="s">
        <v>1076</v>
      </c>
      <c r="C1080" s="3" t="str">
        <f>IFERROR(__xludf.DUMMYFUNCTION("GOOGLETRANSLATE(B1080,""id"",""en"")"),"['Strong', 'area', 'network']")</f>
        <v>['Strong', 'area', 'network']</v>
      </c>
      <c r="D1080" s="3">
        <v>4.0</v>
      </c>
    </row>
    <row r="1081" ht="15.75" customHeight="1">
      <c r="A1081" s="1">
        <v>1136.0</v>
      </c>
      <c r="B1081" s="3" t="s">
        <v>1077</v>
      </c>
      <c r="C1081" s="3" t="str">
        <f>IFERROR(__xludf.DUMMYFUNCTION("GOOGLETRANSLATE(B1081,""id"",""en"")"),"['Loading', 'Page', 'Educating', 'Credit']")</f>
        <v>['Loading', 'Page', 'Educating', 'Credit']</v>
      </c>
      <c r="D1081" s="3">
        <v>1.0</v>
      </c>
    </row>
    <row r="1082" ht="15.75" customHeight="1">
      <c r="A1082" s="1">
        <v>1137.0</v>
      </c>
      <c r="B1082" s="3" t="s">
        <v>1078</v>
      </c>
      <c r="C1082" s="3" t="str">
        <f>IFERROR(__xludf.DUMMYFUNCTION("GOOGLETRANSLATE(B1082,""id"",""en"")"),"['easy', 'transaction', 'Telkomsel']")</f>
        <v>['easy', 'transaction', 'Telkomsel']</v>
      </c>
      <c r="D1082" s="3">
        <v>3.0</v>
      </c>
    </row>
    <row r="1083" ht="15.75" customHeight="1">
      <c r="A1083" s="1">
        <v>1138.0</v>
      </c>
      <c r="B1083" s="3" t="s">
        <v>1079</v>
      </c>
      <c r="C1083" s="3" t="str">
        <f>IFERROR(__xludf.DUMMYFUNCTION("GOOGLETRANSLATE(B1083,""id"",""en"")"),"['Open', 'Telkomsel', 'strange']")</f>
        <v>['Open', 'Telkomsel', 'strange']</v>
      </c>
      <c r="D1083" s="3">
        <v>1.0</v>
      </c>
    </row>
    <row r="1084" ht="15.75" customHeight="1">
      <c r="A1084" s="1">
        <v>1139.0</v>
      </c>
      <c r="B1084" s="3" t="s">
        <v>1080</v>
      </c>
      <c r="C1084" s="3" t="str">
        <f>IFERROR(__xludf.DUMMYFUNCTION("GOOGLETRANSLATE(B1084,""id"",""en"")"),"['already', 'love', 'star', 'hope', 'package', 'data', 'prove', '']")</f>
        <v>['already', 'love', 'star', 'hope', 'package', 'data', 'prove', '']</v>
      </c>
      <c r="D1084" s="3">
        <v>5.0</v>
      </c>
    </row>
    <row r="1085" ht="15.75" customHeight="1">
      <c r="A1085" s="1">
        <v>1140.0</v>
      </c>
      <c r="B1085" s="3" t="s">
        <v>1081</v>
      </c>
      <c r="C1085" s="3" t="str">
        <f>IFERROR(__xludf.DUMMYFUNCTION("GOOGLETRANSLATE(B1085,""id"",""en"")"),"['hope', 'promo', 'paker', 'data']")</f>
        <v>['hope', 'promo', 'paker', 'data']</v>
      </c>
      <c r="D1085" s="3">
        <v>3.0</v>
      </c>
    </row>
    <row r="1086" ht="15.75" customHeight="1">
      <c r="A1086" s="1">
        <v>1141.0</v>
      </c>
      <c r="B1086" s="3" t="s">
        <v>1082</v>
      </c>
      <c r="C1086" s="3" t="str">
        <f>IFERROR(__xludf.DUMMYFUNCTION("GOOGLETRANSLATE(B1086,""id"",""en"")"),"['Please', 'Fix', 'Akir', 'Experiencing', 'Disorders', 'Lower', 'Price', 'BRSAING', 'Propaidider', ""]")</f>
        <v>['Please', 'Fix', 'Akir', 'Experiencing', 'Disorders', 'Lower', 'Price', 'BRSAING', 'Propaidider', "]</v>
      </c>
      <c r="D1086" s="3">
        <v>5.0</v>
      </c>
    </row>
    <row r="1087" ht="15.75" customHeight="1">
      <c r="A1087" s="1">
        <v>1142.0</v>
      </c>
      <c r="B1087" s="3" t="s">
        <v>1083</v>
      </c>
      <c r="C1087" s="3" t="str">
        <f>IFERROR(__xludf.DUMMYFUNCTION("GOOGLETRANSLATE(B1087,""id"",""en"")"),"['Telkomsel', 'Cool', 'Network', 'Gercep', 'Thank you', 'Hopefully', 'card', 'promo', 'promo', 'interesting', 'cheap', ""]")</f>
        <v>['Telkomsel', 'Cool', 'Network', 'Gercep', 'Thank you', 'Hopefully', 'card', 'promo', 'promo', 'interesting', 'cheap', "]</v>
      </c>
      <c r="D1087" s="3">
        <v>5.0</v>
      </c>
    </row>
    <row r="1088" ht="15.75" customHeight="1">
      <c r="A1088" s="1">
        <v>1143.0</v>
      </c>
      <c r="B1088" s="3" t="s">
        <v>1084</v>
      </c>
      <c r="C1088" s="3" t="str">
        <f>IFERROR(__xludf.DUMMYFUNCTION("GOOGLETRANSLATE(B1088,""id"",""en"")"),"['', 'Telkomsel', 'Please', 'Increase', ""]")</f>
        <v>['', 'Telkomsel', 'Please', 'Increase', "]</v>
      </c>
      <c r="D1088" s="3">
        <v>5.0</v>
      </c>
    </row>
    <row r="1089" ht="15.75" customHeight="1">
      <c r="A1089" s="1">
        <v>1144.0</v>
      </c>
      <c r="B1089" s="3" t="s">
        <v>1085</v>
      </c>
      <c r="C1089" s="3" t="str">
        <f>IFERROR(__xludf.DUMMYFUNCTION("GOOGLETRANSLATE(B1089,""id"",""en"")"),"['payment', 'appun', 'easy', 'fast']")</f>
        <v>['payment', 'appun', 'easy', 'fast']</v>
      </c>
      <c r="D1089" s="3">
        <v>5.0</v>
      </c>
    </row>
    <row r="1090" ht="15.75" customHeight="1">
      <c r="A1090" s="1">
        <v>1145.0</v>
      </c>
      <c r="B1090" s="3" t="s">
        <v>1086</v>
      </c>
      <c r="C1090" s="3" t="str">
        <f>IFERROR(__xludf.DUMMYFUNCTION("GOOGLETRANSLATE(B1090,""id"",""en"")"),"['The network', 'ugly', 'Telkomsel', 'open', 'apps',' error ',' network ',' quota ',' watch ',' really ',' loading ',' use ',' Play ',' Game ',' Lost ',' The Network ',' Jelays', 'Lost', 'Jga', 'The Network', 'How', 'Telkomsel', 'Network', 'ugly', 'really"&amp;"' , 'Disappointed', 'use', 'watch', 'hard', 'forgiveness', ""]")</f>
        <v>['The network', 'ugly', 'Telkomsel', 'open', 'apps',' error ',' network ',' quota ',' watch ',' really ',' loading ',' use ',' Play ',' Game ',' Lost ',' The Network ',' Jelays', 'Lost', 'Jga', 'The Network', 'How', 'Telkomsel', 'Network', 'ugly', 'really' , 'Disappointed', 'use', 'watch', 'hard', 'forgiveness', "]</v>
      </c>
      <c r="D1090" s="3">
        <v>1.0</v>
      </c>
    </row>
    <row r="1091" ht="15.75" customHeight="1">
      <c r="A1091" s="1">
        <v>1146.0</v>
      </c>
      <c r="B1091" s="3" t="s">
        <v>1087</v>
      </c>
      <c r="C1091" s="3" t="str">
        <f>IFERROR(__xludf.DUMMYFUNCTION("GOOGLETRANSLATE(B1091,""id"",""en"")"),"['pulse', 'reduced', 'use', 'package', 'nonpacket', '']")</f>
        <v>['pulse', 'reduced', 'use', 'package', 'nonpacket', '']</v>
      </c>
      <c r="D1091" s="3">
        <v>3.0</v>
      </c>
    </row>
    <row r="1092" ht="15.75" customHeight="1">
      <c r="A1092" s="1">
        <v>1147.0</v>
      </c>
      <c r="B1092" s="3" t="s">
        <v>1088</v>
      </c>
      <c r="C1092" s="3" t="str">
        <f>IFERROR(__xludf.DUMMYFUNCTION("GOOGLETRANSLATE(B1092,""id"",""en"")"),"['SMS', ""]")</f>
        <v>['SMS', "]</v>
      </c>
      <c r="D1092" s="3">
        <v>1.0</v>
      </c>
    </row>
    <row r="1093" ht="15.75" customHeight="1">
      <c r="A1093" s="1">
        <v>1148.0</v>
      </c>
      <c r="B1093" s="3" t="s">
        <v>1089</v>
      </c>
      <c r="C1093" s="3" t="str">
        <f>IFERROR(__xludf.DUMMYFUNCTION("GOOGLETRANSLATE(B1093,""id"",""en"")"),"['steady', 'network']")</f>
        <v>['steady', 'network']</v>
      </c>
      <c r="D1093" s="3">
        <v>5.0</v>
      </c>
    </row>
    <row r="1094" ht="15.75" customHeight="1">
      <c r="A1094" s="1">
        <v>1149.0</v>
      </c>
      <c r="B1094" s="3" t="s">
        <v>1090</v>
      </c>
      <c r="C1094" s="3" t="str">
        <f>IFERROR(__xludf.DUMMYFUNCTION("GOOGLETRANSLATE(B1094,""id"",""en"")"),"['bad', 'chat', 'Veronika', 'Help', 'Erina', 'said', 'data', 'according to', 'data', 'data', 'please', 'repaired', ' Quality ',' cs', '']")</f>
        <v>['bad', 'chat', 'Veronika', 'Help', 'Erina', 'said', 'data', 'according to', 'data', 'data', 'please', 'repaired', ' Quality ',' cs', '']</v>
      </c>
      <c r="D1094" s="3">
        <v>1.0</v>
      </c>
    </row>
    <row r="1095" ht="15.75" customHeight="1">
      <c r="A1095" s="1">
        <v>1150.0</v>
      </c>
      <c r="B1095" s="3" t="s">
        <v>1091</v>
      </c>
      <c r="C1095" s="3" t="str">
        <f>IFERROR(__xludf.DUMMYFUNCTION("GOOGLETRANSLATE(B1095,""id"",""en"")"),"['please', 'Telkomsel', 'fix', 'network', 'use', 'slow', 'slow', 'askes', 'internet']")</f>
        <v>['please', 'Telkomsel', 'fix', 'network', 'use', 'slow', 'slow', 'askes', 'internet']</v>
      </c>
      <c r="D1095" s="3">
        <v>1.0</v>
      </c>
    </row>
    <row r="1096" ht="15.75" customHeight="1">
      <c r="A1096" s="1">
        <v>1151.0</v>
      </c>
      <c r="B1096" s="3" t="s">
        <v>1092</v>
      </c>
      <c r="C1096" s="3" t="str">
        <f>IFERROR(__xludf.DUMMYFUNCTION("GOOGLETRANSLATE(B1096,""id"",""en"")"),"['expensive', 'doang', 'quality', 'threat', 'change', 'signal', 'good', 'regret', 'buy', 'expensive', 'package', 'free']")</f>
        <v>['expensive', 'doang', 'quality', 'threat', 'change', 'signal', 'good', 'regret', 'buy', 'expensive', 'package', 'free']</v>
      </c>
      <c r="D1096" s="3">
        <v>1.0</v>
      </c>
    </row>
    <row r="1097" ht="15.75" customHeight="1">
      <c r="A1097" s="1">
        <v>1152.0</v>
      </c>
      <c r="B1097" s="3" t="s">
        <v>1093</v>
      </c>
      <c r="C1097" s="3" t="str">
        <f>IFERROR(__xludf.DUMMYFUNCTION("GOOGLETRANSLATE(B1097,""id"",""en"")"),"['Please', 'fix', 'APK']")</f>
        <v>['Please', 'fix', 'APK']</v>
      </c>
      <c r="D1097" s="3">
        <v>1.0</v>
      </c>
    </row>
    <row r="1098" ht="15.75" customHeight="1">
      <c r="A1098" s="1">
        <v>1153.0</v>
      </c>
      <c r="B1098" s="3" t="s">
        <v>1094</v>
      </c>
      <c r="C1098" s="3" t="str">
        <f>IFERROR(__xludf.DUMMYFUNCTION("GOOGLETRANSLATE(B1098,""id"",""en"")"),"['Please', 'Please', 'Fix', 'Quality', 'Signal', 'Rustic', 'Application', 'Okay', 'Okay']")</f>
        <v>['Please', 'Please', 'Fix', 'Quality', 'Signal', 'Rustic', 'Application', 'Okay', 'Okay']</v>
      </c>
      <c r="D1098" s="3">
        <v>2.0</v>
      </c>
    </row>
    <row r="1099" ht="15.75" customHeight="1">
      <c r="A1099" s="1">
        <v>1154.0</v>
      </c>
      <c r="B1099" s="3" t="s">
        <v>1095</v>
      </c>
      <c r="C1099" s="3" t="str">
        <f>IFERROR(__xludf.DUMMYFUNCTION("GOOGLETRANSLATE(B1099,""id"",""en"")"),"['JRNGN', 'Internet', 'Severe', 'expensive', 'Please', 'Notice']")</f>
        <v>['JRNGN', 'Internet', 'Severe', 'expensive', 'Please', 'Notice']</v>
      </c>
      <c r="D1099" s="3">
        <v>1.0</v>
      </c>
    </row>
    <row r="1100" ht="15.75" customHeight="1">
      <c r="A1100" s="1">
        <v>1155.0</v>
      </c>
      <c r="B1100" s="3" t="s">
        <v>1096</v>
      </c>
      <c r="C1100" s="3" t="str">
        <f>IFERROR(__xludf.DUMMYFUNCTION("GOOGLETRANSLATE(B1100,""id"",""en"")"),"['suitable']")</f>
        <v>['suitable']</v>
      </c>
      <c r="D1100" s="3">
        <v>5.0</v>
      </c>
    </row>
    <row r="1101" ht="15.75" customHeight="1">
      <c r="A1101" s="1">
        <v>1156.0</v>
      </c>
      <c r="B1101" s="3" t="s">
        <v>1097</v>
      </c>
      <c r="C1101" s="3" t="str">
        <f>IFERROR(__xludf.DUMMYFUNCTION("GOOGLETRANSLATE(B1101,""id"",""en"")"),"['check', 'number', 'pay', 'already', 'make', 'contents',' credit ',' point ',' flea ',' interest ',' work ',' Males', ' Make ',' Telkomsel ',' Read ']")</f>
        <v>['check', 'number', 'pay', 'already', 'make', 'contents',' credit ',' point ',' flea ',' interest ',' work ',' Males', ' Make ',' Telkomsel ',' Read ']</v>
      </c>
      <c r="D1101" s="3">
        <v>1.0</v>
      </c>
    </row>
    <row r="1102" ht="15.75" customHeight="1">
      <c r="A1102" s="1">
        <v>1157.0</v>
      </c>
      <c r="B1102" s="3" t="s">
        <v>1098</v>
      </c>
      <c r="C1102" s="3" t="str">
        <f>IFERROR(__xludf.DUMMYFUNCTION("GOOGLETRANSLATE(B1102,""id"",""en"")"),"['easy', 'brp', 'leftover', 'quota', 'pulse', 'used']")</f>
        <v>['easy', 'brp', 'leftover', 'quota', 'pulse', 'used']</v>
      </c>
      <c r="D1102" s="3">
        <v>5.0</v>
      </c>
    </row>
    <row r="1103" ht="15.75" customHeight="1">
      <c r="A1103" s="1">
        <v>1158.0</v>
      </c>
      <c r="B1103" s="3" t="s">
        <v>1099</v>
      </c>
      <c r="C1103" s="3" t="str">
        <f>IFERROR(__xludf.DUMMYFUNCTION("GOOGLETRANSLATE(B1103,""id"",""en"")"),"['Telkomsel', 'disruption', 'pay', 'expensive', 'connection', 'bad']")</f>
        <v>['Telkomsel', 'disruption', 'pay', 'expensive', 'connection', 'bad']</v>
      </c>
      <c r="D1103" s="3">
        <v>1.0</v>
      </c>
    </row>
    <row r="1104" ht="15.75" customHeight="1">
      <c r="A1104" s="1">
        <v>1159.0</v>
      </c>
      <c r="B1104" s="3" t="s">
        <v>1100</v>
      </c>
      <c r="C1104" s="3" t="str">
        <f>IFERROR(__xludf.DUMMYFUNCTION("GOOGLETRANSLATE(B1104,""id"",""en"")"),"['Telkomsel', 'open', 'already', 'uninstall', 'install', 'tetep', 'list', 'packetan']")</f>
        <v>['Telkomsel', 'open', 'already', 'uninstall', 'install', 'tetep', 'list', 'packetan']</v>
      </c>
      <c r="D1104" s="3">
        <v>2.0</v>
      </c>
    </row>
    <row r="1105" ht="15.75" customHeight="1">
      <c r="A1105" s="1">
        <v>1160.0</v>
      </c>
      <c r="B1105" s="3" t="s">
        <v>629</v>
      </c>
      <c r="C1105" s="3" t="str">
        <f>IFERROR(__xludf.DUMMYFUNCTION("GOOGLETRANSLATE(B1105,""id"",""en"")"),"['useful', '']")</f>
        <v>['useful', '']</v>
      </c>
      <c r="D1105" s="3">
        <v>5.0</v>
      </c>
    </row>
    <row r="1106" ht="15.75" customHeight="1">
      <c r="A1106" s="1">
        <v>1161.0</v>
      </c>
      <c r="B1106" s="3" t="s">
        <v>1101</v>
      </c>
      <c r="C1106" s="3" t="str">
        <f>IFERROR(__xludf.DUMMYFUNCTION("GOOGLETRANSLATE(B1106,""id"",""en"")"),"['Please', 'fix', 'signal', 'behind', 'signal', 'Telkomsel', 'lost', 'really', 'troubling', 'work', 'disturbed', 'Please', ' BENAHIN ',' Thank you ']")</f>
        <v>['Please', 'fix', 'signal', 'behind', 'signal', 'Telkomsel', 'lost', 'really', 'troubling', 'work', 'disturbed', 'Please', ' BENAHIN ',' Thank you ']</v>
      </c>
      <c r="D1106" s="3">
        <v>1.0</v>
      </c>
    </row>
    <row r="1107" ht="15.75" customHeight="1">
      <c r="A1107" s="1">
        <v>1162.0</v>
      </c>
      <c r="B1107" s="3" t="s">
        <v>1102</v>
      </c>
      <c r="C1107" s="3" t="str">
        <f>IFERROR(__xludf.DUMMYFUNCTION("GOOGLETRANSLATE(B1107,""id"",""en"")"),"['Network', 'please', 'powered', 'expensive', 'doang', 'quality', 'good', '']")</f>
        <v>['Network', 'please', 'powered', 'expensive', 'doang', 'quality', 'good', '']</v>
      </c>
      <c r="D1107" s="3">
        <v>2.0</v>
      </c>
    </row>
    <row r="1108" ht="15.75" customHeight="1">
      <c r="A1108" s="1">
        <v>1163.0</v>
      </c>
      <c r="B1108" s="3" t="s">
        <v>1103</v>
      </c>
      <c r="C1108" s="3" t="str">
        <f>IFERROR(__xludf.DUMMYFUNCTION("GOOGLETRANSLATE(B1108,""id"",""en"")"),"['Disappointed', 'Provider', 'SLLU', 'Proud of', 'Because', 'Tissue', 'Leet', 'Use', 'Play', 'Game', 'ping', ' Like ',' Down ',' Gajelas', 'Comfortable', 'Main', 'Game', 'Please', 'Help', 'Week', 'Content', 'Credit', 'Register', 'Package' , 'quota', 'serv"&amp;"ice', 'according to', 'money', 'remove', '']")</f>
        <v>['Disappointed', 'Provider', 'SLLU', 'Proud of', 'Because', 'Tissue', 'Leet', 'Use', 'Play', 'Game', 'ping', ' Like ',' Down ',' Gajelas', 'Comfortable', 'Main', 'Game', 'Please', 'Help', 'Week', 'Content', 'Credit', 'Register', 'Package' , 'quota', 'service', 'according to', 'money', 'remove', '']</v>
      </c>
      <c r="D1108" s="3">
        <v>1.0</v>
      </c>
    </row>
    <row r="1109" ht="15.75" customHeight="1">
      <c r="A1109" s="1">
        <v>1164.0</v>
      </c>
      <c r="B1109" s="3" t="s">
        <v>1104</v>
      </c>
      <c r="C1109" s="3" t="str">
        <f>IFERROR(__xludf.DUMMYFUNCTION("GOOGLETRANSLATE(B1109,""id"",""en"")"),"['difficult', 'buy', 'quota', 'pulse', 'buy', 'vocher', 'telkomsel', 'disruption', 'mulu', 'Telkomsel', 'stop', 'Telkomsel', ' switch']")</f>
        <v>['difficult', 'buy', 'quota', 'pulse', 'buy', 'vocher', 'telkomsel', 'disruption', 'mulu', 'Telkomsel', 'stop', 'Telkomsel', ' switch']</v>
      </c>
      <c r="D1109" s="3">
        <v>1.0</v>
      </c>
    </row>
    <row r="1110" ht="15.75" customHeight="1">
      <c r="A1110" s="1">
        <v>1165.0</v>
      </c>
      <c r="B1110" s="3" t="s">
        <v>1105</v>
      </c>
      <c r="C1110" s="3" t="str">
        <f>IFERROR(__xludf.DUMMYFUNCTION("GOOGLETRANSLATE(B1110,""id"",""en"")"),"['CMN', 'constrained', 'signal']")</f>
        <v>['CMN', 'constrained', 'signal']</v>
      </c>
      <c r="D1110" s="3">
        <v>4.0</v>
      </c>
    </row>
    <row r="1111" ht="15.75" customHeight="1">
      <c r="A1111" s="1">
        <v>1166.0</v>
      </c>
      <c r="B1111" s="3" t="s">
        <v>1106</v>
      </c>
      <c r="C1111" s="3" t="str">
        <f>IFERROR(__xludf.DUMMYFUNCTION("GOOGLETRANSLATE(B1111,""id"",""en"")"),"['Internet', 'idiot', 'slow', 'right']")</f>
        <v>['Internet', 'idiot', 'slow', 'right']</v>
      </c>
      <c r="D1111" s="3">
        <v>1.0</v>
      </c>
    </row>
    <row r="1112" ht="15.75" customHeight="1">
      <c r="A1112" s="1">
        <v>1167.0</v>
      </c>
      <c r="B1112" s="3" t="s">
        <v>1107</v>
      </c>
      <c r="C1112" s="3" t="str">
        <f>IFERROR(__xludf.DUMMYFUNCTION("GOOGLETRANSLATE(B1112,""id"",""en"")"),"['Sya', 'Customer', 'Telkomsel', 'Quality', 'Good', 'Open', 'Telkomsel', 'Network', 'PaaaaAhhh', 'Congratulations',' Live ',' Telkomsel ',' ']")</f>
        <v>['Sya', 'Customer', 'Telkomsel', 'Quality', 'Good', 'Open', 'Telkomsel', 'Network', 'PaaaaAhhh', 'Congratulations',' Live ',' Telkomsel ',' ']</v>
      </c>
      <c r="D1112" s="3">
        <v>1.0</v>
      </c>
    </row>
    <row r="1113" ht="15.75" customHeight="1">
      <c r="A1113" s="1">
        <v>1168.0</v>
      </c>
      <c r="B1113" s="3" t="s">
        <v>1108</v>
      </c>
      <c r="C1113" s="3" t="str">
        <f>IFERROR(__xludf.DUMMYFUNCTION("GOOGLETRANSLATE(B1113,""id"",""en"")"),"['Telkomsel', 'Sampe', 'emang', 'TOP']")</f>
        <v>['Telkomsel', 'Sampe', 'emang', 'TOP']</v>
      </c>
      <c r="D1113" s="3">
        <v>5.0</v>
      </c>
    </row>
    <row r="1114" ht="15.75" customHeight="1">
      <c r="A1114" s="1">
        <v>1169.0</v>
      </c>
      <c r="B1114" s="3" t="s">
        <v>1109</v>
      </c>
      <c r="C1114" s="3" t="str">
        <f>IFERROR(__xludf.DUMMYFUNCTION("GOOGLETRANSLATE(B1114,""id"",""en"")"),"['fast', 'process', 'like', 'really']")</f>
        <v>['fast', 'process', 'like', 'really']</v>
      </c>
      <c r="D1114" s="3">
        <v>5.0</v>
      </c>
    </row>
    <row r="1115" ht="15.75" customHeight="1">
      <c r="A1115" s="1">
        <v>1170.0</v>
      </c>
      <c r="B1115" s="3" t="s">
        <v>1110</v>
      </c>
      <c r="C1115" s="3" t="str">
        <f>IFERROR(__xludf.DUMMYFUNCTION("GOOGLETRANSLATE(B1115,""id"",""en"")"),"['', 'Rich', 'Telkomsel', 'SLLU', 'Bgus', 'TPI', 'Network', 'Telkomsel', 'Error', 'Pekah', 'Disappointing', '']")</f>
        <v>['', 'Rich', 'Telkomsel', 'SLLU', 'Bgus', 'TPI', 'Network', 'Telkomsel', 'Error', 'Pekah', 'Disappointing', '']</v>
      </c>
      <c r="D1115" s="3">
        <v>1.0</v>
      </c>
    </row>
    <row r="1116" ht="15.75" customHeight="1">
      <c r="A1116" s="1">
        <v>1171.0</v>
      </c>
      <c r="B1116" s="3" t="s">
        <v>1111</v>
      </c>
      <c r="C1116" s="3" t="str">
        <f>IFERROR(__xludf.DUMMYFUNCTION("GOOGLETRANSLATE(B1116,""id"",""en"")"),"['Love', 'star', 'dlu', 'cave', 'udh', 'customer', 'loyal', 'knp', 'package', 'GB', 'rb', 'udh', ' buy', '']")</f>
        <v>['Love', 'star', 'dlu', 'cave', 'udh', 'customer', 'loyal', 'knp', 'package', 'GB', 'rb', 'udh', ' buy', '']</v>
      </c>
      <c r="D1116" s="3">
        <v>4.0</v>
      </c>
    </row>
    <row r="1117" ht="15.75" customHeight="1">
      <c r="A1117" s="1">
        <v>1172.0</v>
      </c>
      <c r="B1117" s="3" t="s">
        <v>1112</v>
      </c>
      <c r="C1117" s="3" t="str">
        <f>IFERROR(__xludf.DUMMYFUNCTION("GOOGLETRANSLATE(B1117,""id"",""en"")"),"['easy', 'comfortable']")</f>
        <v>['easy', 'comfortable']</v>
      </c>
      <c r="D1117" s="3">
        <v>5.0</v>
      </c>
    </row>
    <row r="1118" ht="15.75" customHeight="1">
      <c r="A1118" s="1">
        <v>1173.0</v>
      </c>
      <c r="B1118" s="3" t="s">
        <v>1113</v>
      </c>
      <c r="C1118" s="3" t="str">
        <f>IFERROR(__xludf.DUMMYFUNCTION("GOOGLETRANSLATE(B1118,""id"",""en"")"),"['Hope', 'Price', 'Quota', 'Friendly', 'People', 'Aamiin']")</f>
        <v>['Hope', 'Price', 'Quota', 'Friendly', 'People', 'Aamiin']</v>
      </c>
      <c r="D1118" s="3">
        <v>3.0</v>
      </c>
    </row>
    <row r="1119" ht="15.75" customHeight="1">
      <c r="A1119" s="1">
        <v>1174.0</v>
      </c>
      <c r="B1119" s="3" t="s">
        <v>1114</v>
      </c>
      <c r="C1119" s="3" t="str">
        <f>IFERROR(__xludf.DUMMYFUNCTION("GOOGLETRANSLATE(B1119,""id"",""en"")"),"['Bener', 'Bener', 'UDH', 'subscription', 'Diksh', 'discount', ""]")</f>
        <v>['Bener', 'Bener', 'UDH', 'subscription', 'Diksh', 'discount', "]</v>
      </c>
      <c r="D1119" s="3">
        <v>4.0</v>
      </c>
    </row>
    <row r="1120" ht="15.75" customHeight="1">
      <c r="A1120" s="1">
        <v>1176.0</v>
      </c>
      <c r="B1120" s="3" t="s">
        <v>1115</v>
      </c>
      <c r="C1120" s="3" t="str">
        <f>IFERROR(__xludf.DUMMYFUNCTION("GOOGLETRANSLATE(B1120,""id"",""en"")"),"['Network', 'stable', 'pig', 'mmng', 'telkom']")</f>
        <v>['Network', 'stable', 'pig', 'mmng', 'telkom']</v>
      </c>
      <c r="D1120" s="3">
        <v>2.0</v>
      </c>
    </row>
    <row r="1121" ht="15.75" customHeight="1">
      <c r="A1121" s="1">
        <v>1177.0</v>
      </c>
      <c r="B1121" s="3" t="s">
        <v>1116</v>
      </c>
      <c r="C1121" s="3" t="str">
        <f>IFERROR(__xludf.DUMMYFUNCTION("GOOGLETRANSLATE(B1121,""id"",""en"")"),"['Telkomsel', 'Slumping', 'Quality', 'Mending', 'Move', 'Sebah', ""]")</f>
        <v>['Telkomsel', 'Slumping', 'Quality', 'Mending', 'Move', 'Sebah', "]</v>
      </c>
      <c r="D1121" s="3">
        <v>1.0</v>
      </c>
    </row>
    <row r="1122" ht="15.75" customHeight="1">
      <c r="A1122" s="1">
        <v>1178.0</v>
      </c>
      <c r="B1122" s="3" t="s">
        <v>1117</v>
      </c>
      <c r="C1122" s="3" t="str">
        <f>IFERROR(__xludf.DUMMYFUNCTION("GOOGLETRANSLATE(B1122,""id"",""en"")"),"['Service', 'Good', 'Toplah', 'Anyway', '']")</f>
        <v>['Service', 'Good', 'Toplah', 'Anyway', '']</v>
      </c>
      <c r="D1122" s="3">
        <v>5.0</v>
      </c>
    </row>
    <row r="1123" ht="15.75" customHeight="1">
      <c r="A1123" s="1">
        <v>1179.0</v>
      </c>
      <c r="B1123" s="3" t="s">
        <v>1118</v>
      </c>
      <c r="C1123" s="3" t="str">
        <f>IFERROR(__xludf.DUMMYFUNCTION("GOOGLETRANSLATE(B1123,""id"",""en"")"),"['cave', 'ngeta', 'Telkomsel', 'ugly', 'network', 'cave', 'run out', 'think', 'already', 'price', 'expensive', 'signal', ' SEZ ',' BANGJE ',' Please ',' Fix ',' Make ',' Telkomsel ',' Telkomsel ',' Unlimited ',' Look ',' card ',' already ',' Hard ',' plea"&amp;"se ' , '']")</f>
        <v>['cave', 'ngeta', 'Telkomsel', 'ugly', 'network', 'cave', 'run out', 'think', 'already', 'price', 'expensive', 'signal', ' SEZ ',' BANGJE ',' Please ',' Fix ',' Make ',' Telkomsel ',' Telkomsel ',' Unlimited ',' Look ',' card ',' already ',' Hard ',' please ' , '']</v>
      </c>
      <c r="D1123" s="3">
        <v>1.0</v>
      </c>
    </row>
    <row r="1124" ht="15.75" customHeight="1">
      <c r="A1124" s="1">
        <v>1180.0</v>
      </c>
      <c r="B1124" s="3" t="s">
        <v>1119</v>
      </c>
      <c r="C1124" s="3" t="str">
        <f>IFERROR(__xludf.DUMMYFUNCTION("GOOGLETRANSLATE(B1124,""id"",""en"")"),"['use', 'direct', 'comfortable', 'blm', 'complaints', 'thank', 'love']")</f>
        <v>['use', 'direct', 'comfortable', 'blm', 'complaints', 'thank', 'love']</v>
      </c>
      <c r="D1124" s="3">
        <v>5.0</v>
      </c>
    </row>
    <row r="1125" ht="15.75" customHeight="1">
      <c r="A1125" s="1">
        <v>1181.0</v>
      </c>
      <c r="B1125" s="3" t="s">
        <v>1120</v>
      </c>
      <c r="C1125" s="3" t="str">
        <f>IFERROR(__xludf.DUMMYFUNCTION("GOOGLETRANSLATE(B1125,""id"",""en"")"),"['Application', 'really', 'crash', 'slow', 'aka', 'ngeselin']")</f>
        <v>['Application', 'really', 'crash', 'slow', 'aka', 'ngeselin']</v>
      </c>
      <c r="D1125" s="3">
        <v>3.0</v>
      </c>
    </row>
    <row r="1126" ht="15.75" customHeight="1">
      <c r="A1126" s="1">
        <v>1182.0</v>
      </c>
      <c r="B1126" s="3" t="s">
        <v>1121</v>
      </c>
      <c r="C1126" s="3" t="str">
        <f>IFERROR(__xludf.DUMMYFUNCTION("GOOGLETRANSLATE(B1126,""id"",""en"")"),"['application', 'fill in', 'quota', 'failed', 'pulses', 'pulse', 'sufficient']")</f>
        <v>['application', 'fill in', 'quota', 'failed', 'pulses', 'pulse', 'sufficient']</v>
      </c>
      <c r="D1126" s="3">
        <v>1.0</v>
      </c>
    </row>
    <row r="1127" ht="15.75" customHeight="1">
      <c r="A1127" s="1">
        <v>1183.0</v>
      </c>
      <c r="B1127" s="3" t="s">
        <v>1122</v>
      </c>
      <c r="C1127" s="3" t="str">
        <f>IFERROR(__xludf.DUMMYFUNCTION("GOOGLETRANSLATE(B1127,""id"",""en"")"),"['Application', 'open', 'Uninstall', 'Install', 'Times', '']")</f>
        <v>['Application', 'open', 'Uninstall', 'Install', 'Times', '']</v>
      </c>
      <c r="D1127" s="3">
        <v>1.0</v>
      </c>
    </row>
    <row r="1128" ht="15.75" customHeight="1">
      <c r="A1128" s="1">
        <v>1185.0</v>
      </c>
      <c r="B1128" s="3" t="s">
        <v>1123</v>
      </c>
      <c r="C1128" s="3" t="str">
        <f>IFERROR(__xludf.DUMMYFUNCTION("GOOGLETRANSLATE(B1128,""id"",""en"")"),"['Service', 'satisfying']")</f>
        <v>['Service', 'satisfying']</v>
      </c>
      <c r="D1128" s="3">
        <v>5.0</v>
      </c>
    </row>
    <row r="1129" ht="15.75" customHeight="1">
      <c r="A1129" s="1">
        <v>1186.0</v>
      </c>
      <c r="B1129" s="3" t="s">
        <v>1124</v>
      </c>
      <c r="C1129" s="3" t="str">
        <f>IFERROR(__xludf.DUMMYFUNCTION("GOOGLETRANSLATE(B1129,""id"",""en"")"),"['Practical', 'interesting', '']")</f>
        <v>['Practical', 'interesting', '']</v>
      </c>
      <c r="D1129" s="3">
        <v>5.0</v>
      </c>
    </row>
    <row r="1130" ht="15.75" customHeight="1">
      <c r="A1130" s="1">
        <v>1187.0</v>
      </c>
      <c r="B1130" s="3" t="s">
        <v>1125</v>
      </c>
      <c r="C1130" s="3" t="str">
        <f>IFERROR(__xludf.DUMMYFUNCTION("GOOGLETRANSLATE(B1130,""id"",""en"")"),"['Service', 'response', 'Slalu', 'dodge', '']")</f>
        <v>['Service', 'response', 'Slalu', 'dodge', '']</v>
      </c>
      <c r="D1130" s="3">
        <v>1.0</v>
      </c>
    </row>
    <row r="1131" ht="15.75" customHeight="1">
      <c r="A1131" s="1">
        <v>1188.0</v>
      </c>
      <c r="B1131" s="3" t="s">
        <v>1126</v>
      </c>
      <c r="C1131" s="3" t="str">
        <f>IFERROR(__xludf.DUMMYFUNCTION("GOOGLETRANSLATE(B1131,""id"",""en"")"),"['Please', 'Telkomsel', 'Win', 'Gift', 'Exchange', 'Points']")</f>
        <v>['Please', 'Telkomsel', 'Win', 'Gift', 'Exchange', 'Points']</v>
      </c>
      <c r="D1131" s="3">
        <v>5.0</v>
      </c>
    </row>
    <row r="1132" ht="15.75" customHeight="1">
      <c r="A1132" s="1">
        <v>1189.0</v>
      </c>
      <c r="B1132" s="3" t="s">
        <v>1127</v>
      </c>
      <c r="C1132" s="3" t="str">
        <f>IFERROR(__xludf.DUMMYFUNCTION("GOOGLETRANSLATE(B1132,""id"",""en"")"),"['Disappointed', 'Network', 'Telkomsel', 'Sangad', 'LEOL', 'LOLA', 'As a result', 'loss',' chip ',' Higs', 'Domino', 'Chip', ' Disappointed ',' Telkomsel ',' ']")</f>
        <v>['Disappointed', 'Network', 'Telkomsel', 'Sangad', 'LEOL', 'LOLA', 'As a result', 'loss',' chip ',' Higs', 'Domino', 'Chip', ' Disappointed ',' Telkomsel ',' ']</v>
      </c>
      <c r="D1132" s="3">
        <v>1.0</v>
      </c>
    </row>
    <row r="1133" ht="15.75" customHeight="1">
      <c r="A1133" s="1">
        <v>1191.0</v>
      </c>
      <c r="B1133" s="3" t="s">
        <v>1128</v>
      </c>
      <c r="C1133" s="3" t="str">
        <f>IFERROR(__xludf.DUMMYFUNCTION("GOOGLETRANSLATE(B1133,""id"",""en"")"),"['The network', 'Ngejin', 'stable', 'emotion', 'right', 'play', 'game', 'if', 'love', 'star', ""]")</f>
        <v>['The network', 'Ngejin', 'stable', 'emotion', 'right', 'play', 'game', 'if', 'love', 'star', "]</v>
      </c>
      <c r="D1133" s="3">
        <v>1.0</v>
      </c>
    </row>
    <row r="1134" ht="15.75" customHeight="1">
      <c r="A1134" s="1">
        <v>1192.0</v>
      </c>
      <c r="B1134" s="3" t="s">
        <v>1129</v>
      </c>
      <c r="C1134" s="3" t="str">
        <f>IFERROR(__xludf.DUMMYFUNCTION("GOOGLETRANSLATE(B1134,""id"",""en"")"),"['Good', 'mmpermuda']")</f>
        <v>['Good', 'mmpermuda']</v>
      </c>
      <c r="D1134" s="3">
        <v>5.0</v>
      </c>
    </row>
    <row r="1135" ht="15.75" customHeight="1">
      <c r="A1135" s="1">
        <v>1193.0</v>
      </c>
      <c r="B1135" s="3" t="s">
        <v>1130</v>
      </c>
      <c r="C1135" s="3" t="str">
        <f>IFERROR(__xludf.DUMMYFUNCTION("GOOGLETRANSLATE(B1135,""id"",""en"")"),"['Signal', 'Telkomsel', 'SERES', 'already', 'Package', 'Mhal', 'Network', 'Kayak', 'Pay', 'Boss', 'Please', 'Fix']")</f>
        <v>['Signal', 'Telkomsel', 'SERES', 'already', 'Package', 'Mhal', 'Network', 'Kayak', 'Pay', 'Boss', 'Please', 'Fix']</v>
      </c>
      <c r="D1135" s="3">
        <v>1.0</v>
      </c>
    </row>
    <row r="1136" ht="15.75" customHeight="1">
      <c r="A1136" s="1">
        <v>1194.0</v>
      </c>
      <c r="B1136" s="3" t="s">
        <v>1131</v>
      </c>
      <c r="C1136" s="3" t="str">
        <f>IFERROR(__xludf.DUMMYFUNCTION("GOOGLETRANSLATE(B1136,""id"",""en"")"),"['ugly', 'internet', 'Kmaren', 'ISI', 'Mahalan', '']")</f>
        <v>['ugly', 'internet', 'Kmaren', 'ISI', 'Mahalan', '']</v>
      </c>
      <c r="D1136" s="3">
        <v>1.0</v>
      </c>
    </row>
    <row r="1137" ht="15.75" customHeight="1">
      <c r="A1137" s="1">
        <v>1195.0</v>
      </c>
      <c r="B1137" s="3" t="s">
        <v>1132</v>
      </c>
      <c r="C1137" s="3" t="str">
        <f>IFERROR(__xludf.DUMMYFUNCTION("GOOGLETRANSLATE(B1137,""id"",""en"")"),"['Package', 'expensive', 'PDAH', 'Number', 'UDH']")</f>
        <v>['Package', 'expensive', 'PDAH', 'Number', 'UDH']</v>
      </c>
      <c r="D1137" s="3">
        <v>3.0</v>
      </c>
    </row>
    <row r="1138" ht="15.75" customHeight="1">
      <c r="A1138" s="1">
        <v>1196.0</v>
      </c>
      <c r="B1138" s="3" t="s">
        <v>1133</v>
      </c>
      <c r="C1138" s="3" t="str">
        <f>IFERROR(__xludf.DUMMYFUNCTION("GOOGLETRANSLATE(B1138,""id"",""en"")"),"['Hang', 'opened', 'update', ""]")</f>
        <v>['Hang', 'opened', 'update', "]</v>
      </c>
      <c r="D1138" s="3">
        <v>1.0</v>
      </c>
    </row>
    <row r="1139" ht="15.75" customHeight="1">
      <c r="A1139" s="1">
        <v>1197.0</v>
      </c>
      <c r="B1139" s="3" t="s">
        <v>1134</v>
      </c>
      <c r="C1139" s="3" t="str">
        <f>IFERROR(__xludf.DUMMYFUNCTION("GOOGLETRANSLATE(B1139,""id"",""en"")"),"['', 'Enhanced']")</f>
        <v>['', 'Enhanced']</v>
      </c>
      <c r="D1139" s="3">
        <v>3.0</v>
      </c>
    </row>
    <row r="1140" ht="15.75" customHeight="1">
      <c r="A1140" s="1">
        <v>1198.0</v>
      </c>
      <c r="B1140" s="3" t="s">
        <v>1135</v>
      </c>
      <c r="C1140" s="3" t="str">
        <f>IFERROR(__xludf.DUMMYFUNCTION("GOOGLETRANSLATE(B1140,""id"",""en"")"),"['bgsss', 'because', 'can', 'promo', 'hope', 'promo', 'trsssss', '']")</f>
        <v>['bgsss', 'because', 'can', 'promo', 'hope', 'promo', 'trsssss', '']</v>
      </c>
      <c r="D1140" s="3">
        <v>5.0</v>
      </c>
    </row>
    <row r="1141" ht="15.75" customHeight="1">
      <c r="A1141" s="1">
        <v>1199.0</v>
      </c>
      <c r="B1141" s="3" t="s">
        <v>1136</v>
      </c>
      <c r="C1141" s="3" t="str">
        <f>IFERROR(__xludf.DUMMYFUNCTION("GOOGLETRANSLATE(B1141,""id"",""en"")"),"['Telkom', 'skrng', 'bad', 'bnget', 'sibynya', 'pdhal', 'signal', 'stable', 'muter', 'doank']")</f>
        <v>['Telkom', 'skrng', 'bad', 'bnget', 'sibynya', 'pdhal', 'signal', 'stable', 'muter', 'doank']</v>
      </c>
      <c r="D1141" s="3">
        <v>2.0</v>
      </c>
    </row>
    <row r="1142" ht="15.75" customHeight="1">
      <c r="A1142" s="1">
        <v>1200.0</v>
      </c>
      <c r="B1142" s="3" t="s">
        <v>1137</v>
      </c>
      <c r="C1142" s="3" t="str">
        <f>IFERROR(__xludf.DUMMYFUNCTION("GOOGLETRANSLATE(B1142,""id"",""en"")"),"['Test', 'Try', 'Easy', 'Hopefully', 'Good']")</f>
        <v>['Test', 'Try', 'Easy', 'Hopefully', 'Good']</v>
      </c>
      <c r="D1142" s="3">
        <v>4.0</v>
      </c>
    </row>
    <row r="1143" ht="15.75" customHeight="1">
      <c r="A1143" s="1">
        <v>1201.0</v>
      </c>
      <c r="B1143" s="3" t="s">
        <v>1138</v>
      </c>
      <c r="C1143" s="3" t="str">
        <f>IFERROR(__xludf.DUMMYFUNCTION("GOOGLETRANSLATE(B1143,""id"",""en"")"),"['package', 'month', 'kal', 'ggatau', 'affordable']")</f>
        <v>['package', 'month', 'kal', 'ggatau', 'affordable']</v>
      </c>
      <c r="D1143" s="3">
        <v>2.0</v>
      </c>
    </row>
    <row r="1144" ht="15.75" customHeight="1">
      <c r="A1144" s="1">
        <v>1202.0</v>
      </c>
      <c r="B1144" s="3" t="s">
        <v>1139</v>
      </c>
      <c r="C1144" s="3" t="str">
        <f>IFERROR(__xludf.DUMMYFUNCTION("GOOGLETRANSLATE(B1144,""id"",""en"")"),"['Data', 'Dinalin', 'Tetep', 'Credit', 'Sumpot']")</f>
        <v>['Data', 'Dinalin', 'Tetep', 'Credit', 'Sumpot']</v>
      </c>
      <c r="D1144" s="3">
        <v>1.0</v>
      </c>
    </row>
    <row r="1145" ht="15.75" customHeight="1">
      <c r="A1145" s="1">
        <v>1203.0</v>
      </c>
      <c r="B1145" s="3" t="s">
        <v>1140</v>
      </c>
      <c r="C1145" s="3" t="str">
        <f>IFERROR(__xludf.DUMMYFUNCTION("GOOGLETRANSLATE(B1145,""id"",""en"")"),"['Current', 'fast']")</f>
        <v>['Current', 'fast']</v>
      </c>
      <c r="D1145" s="3">
        <v>5.0</v>
      </c>
    </row>
    <row r="1146" ht="15.75" customHeight="1">
      <c r="A1146" s="1">
        <v>1204.0</v>
      </c>
      <c r="B1146" s="3" t="s">
        <v>1141</v>
      </c>
      <c r="C1146" s="3" t="str">
        <f>IFERROR(__xludf.DUMMYFUNCTION("GOOGLETRANSLATE(B1146,""id"",""en"")"),"['quota', 'call', 'reduced', 'active', 'active', 'already', 'run out', 'used', 'please', 'repaired', 'boss', ""]")</f>
        <v>['quota', 'call', 'reduced', 'active', 'active', 'already', 'run out', 'used', 'please', 'repaired', 'boss', "]</v>
      </c>
      <c r="D1146" s="3">
        <v>3.0</v>
      </c>
    </row>
    <row r="1147" ht="15.75" customHeight="1">
      <c r="A1147" s="1">
        <v>1205.0</v>
      </c>
      <c r="B1147" s="3" t="s">
        <v>249</v>
      </c>
      <c r="C1147" s="3" t="str">
        <f>IFERROR(__xludf.DUMMYFUNCTION("GOOGLETRANSLATE(B1147,""id"",""en"")"),"['open']")</f>
        <v>['open']</v>
      </c>
      <c r="D1147" s="3">
        <v>1.0</v>
      </c>
    </row>
    <row r="1148" ht="15.75" customHeight="1">
      <c r="A1148" s="1">
        <v>1206.0</v>
      </c>
      <c r="B1148" s="3" t="s">
        <v>1142</v>
      </c>
      <c r="C1148" s="3" t="str">
        <f>IFERROR(__xludf.DUMMYFUNCTION("GOOGLETRANSLATE(B1148,""id"",""en"")"),"['Good', 'cheap', '']")</f>
        <v>['Good', 'cheap', '']</v>
      </c>
      <c r="D1148" s="3">
        <v>5.0</v>
      </c>
    </row>
    <row r="1149" ht="15.75" customHeight="1">
      <c r="A1149" s="1">
        <v>1207.0</v>
      </c>
      <c r="B1149" s="3" t="s">
        <v>1143</v>
      </c>
      <c r="C1149" s="3" t="str">
        <f>IFERROR(__xludf.DUMMYFUNCTION("GOOGLETRANSLATE(B1149,""id"",""en"")"),"['taking', 'pulse', 'really', 'quota', 'pulse', 'how', 'buy', 'package', 'system', 'busy', 'then', 'pulse', ' drain', '']")</f>
        <v>['taking', 'pulse', 'really', 'quota', 'pulse', 'how', 'buy', 'package', 'system', 'busy', 'then', 'pulse', ' drain', '']</v>
      </c>
      <c r="D1149" s="3">
        <v>2.0</v>
      </c>
    </row>
    <row r="1150" ht="15.75" customHeight="1">
      <c r="A1150" s="1">
        <v>1209.0</v>
      </c>
      <c r="B1150" s="3" t="s">
        <v>1144</v>
      </c>
      <c r="C1150" s="3" t="str">
        <f>IFERROR(__xludf.DUMMYFUNCTION("GOOGLETRANSLATE(B1150,""id"",""en"")"),"['expensive', 'lalod', 'network', 'morowali']")</f>
        <v>['expensive', 'lalod', 'network', 'morowali']</v>
      </c>
      <c r="D1150" s="3">
        <v>1.0</v>
      </c>
    </row>
    <row r="1151" ht="15.75" customHeight="1">
      <c r="A1151" s="1">
        <v>1210.0</v>
      </c>
      <c r="B1151" s="3" t="s">
        <v>1145</v>
      </c>
      <c r="C1151" s="3" t="str">
        <f>IFERROR(__xludf.DUMMYFUNCTION("GOOGLETRANSLATE(B1151,""id"",""en"")"),"['Not bad', 'already', 'Tetep', 'dead', 'lights', 'signal', 'follow', 'dead', ""]")</f>
        <v>['Not bad', 'already', 'Tetep', 'dead', 'lights', 'signal', 'follow', 'dead', "]</v>
      </c>
      <c r="D1151" s="3">
        <v>5.0</v>
      </c>
    </row>
    <row r="1152" ht="15.75" customHeight="1">
      <c r="A1152" s="1">
        <v>1212.0</v>
      </c>
      <c r="B1152" s="3" t="s">
        <v>1146</v>
      </c>
      <c r="C1152" s="3" t="str">
        <f>IFERROR(__xludf.DUMMYFUNCTION("GOOGLETRANSLATE(B1152,""id"",""en"")"),"['Satisfied', 'Kasi', 'Promo', 'SIM', 'Card', '']")</f>
        <v>['Satisfied', 'Kasi', 'Promo', 'SIM', 'Card', '']</v>
      </c>
      <c r="D1152" s="3">
        <v>5.0</v>
      </c>
    </row>
    <row r="1153" ht="15.75" customHeight="1">
      <c r="A1153" s="1">
        <v>1213.0</v>
      </c>
      <c r="B1153" s="3" t="s">
        <v>1147</v>
      </c>
      <c r="C1153" s="3" t="str">
        <f>IFERROR(__xludf.DUMMYFUNCTION("GOOGLETRANSLATE(B1153,""id"",""en"")"),"['TOP', 'Pokonya', 'Telkomsel']")</f>
        <v>['TOP', 'Pokonya', 'Telkomsel']</v>
      </c>
      <c r="D1153" s="3">
        <v>5.0</v>
      </c>
    </row>
    <row r="1154" ht="15.75" customHeight="1">
      <c r="A1154" s="1">
        <v>1214.0</v>
      </c>
      <c r="B1154" s="3" t="s">
        <v>1148</v>
      </c>
      <c r="C1154" s="3" t="str">
        <f>IFERROR(__xludf.DUMMYFUNCTION("GOOGLETRANSLATE(B1154,""id"",""en"")"),"['Increases', 'Promo', 'Package', 'Cheapest', 'The', 'Best', 'TSL']")</f>
        <v>['Increases', 'Promo', 'Package', 'Cheapest', 'The', 'Best', 'TSL']</v>
      </c>
      <c r="D1154" s="3">
        <v>4.0</v>
      </c>
    </row>
    <row r="1155" ht="15.75" customHeight="1">
      <c r="A1155" s="1">
        <v>1215.0</v>
      </c>
      <c r="B1155" s="3" t="s">
        <v>1149</v>
      </c>
      <c r="C1155" s="3" t="str">
        <f>IFERROR(__xludf.DUMMYFUNCTION("GOOGLETRANSLATE(B1155,""id"",""en"")"),"['quota', 'abis',' pulse ',' buy ',' package ',' price ',' thousand ',' notification ',' pulse ',' sufficient ',' fail ',' payment ',' Forced ',' buy ',' pulses ',' thousand ',' buy ',' package ',' sincere ',' because 'system', 'eat', 'money', 'org', 'sin"&amp;"cere' , 'jerk', 'Mending', 'The network', 'here', 'slow']")</f>
        <v>['quota', 'abis',' pulse ',' buy ',' package ',' price ',' thousand ',' notification ',' pulse ',' sufficient ',' fail ',' payment ',' Forced ',' buy ',' pulses ',' thousand ',' buy ',' package ',' sincere ',' because 'system', 'eat', 'money', 'org', 'sincere' , 'jerk', 'Mending', 'The network', 'here', 'slow']</v>
      </c>
      <c r="D1155" s="3">
        <v>1.0</v>
      </c>
    </row>
    <row r="1156" ht="15.75" customHeight="1">
      <c r="A1156" s="1">
        <v>1216.0</v>
      </c>
      <c r="B1156" s="3" t="s">
        <v>1150</v>
      </c>
      <c r="C1156" s="3" t="str">
        <f>IFERROR(__xludf.DUMMYFUNCTION("GOOGLETRANSLATE(B1156,""id"",""en"")"),"['already', 'fix', 'move', 'operator', 'andelin', 'network', '']")</f>
        <v>['already', 'fix', 'move', 'operator', 'andelin', 'network', '']</v>
      </c>
      <c r="D1156" s="3">
        <v>1.0</v>
      </c>
    </row>
    <row r="1157" ht="15.75" customHeight="1">
      <c r="A1157" s="1">
        <v>1217.0</v>
      </c>
      <c r="B1157" s="3" t="s">
        <v>1151</v>
      </c>
      <c r="C1157" s="3" t="str">
        <f>IFERROR(__xludf.DUMMYFUNCTION("GOOGLETRANSLATE(B1157,""id"",""en"")"),"['Package', 'data', 'credit', 'truncated', 'run out', 'counted', 'events',' natural ',' user ',' experience ',' destroyed ',' Telkomsel ',' BUMN ',' ']")</f>
        <v>['Package', 'data', 'credit', 'truncated', 'run out', 'counted', 'events',' natural ',' user ',' experience ',' destroyed ',' Telkomsel ',' BUMN ',' ']</v>
      </c>
      <c r="D1157" s="3">
        <v>1.0</v>
      </c>
    </row>
    <row r="1158" ht="15.75" customHeight="1">
      <c r="A1158" s="1">
        <v>1218.0</v>
      </c>
      <c r="B1158" s="3" t="s">
        <v>1152</v>
      </c>
      <c r="C1158" s="3" t="str">
        <f>IFERROR(__xludf.DUMMYFUNCTION("GOOGLETRANSLATE(B1158,""id"",""en"")"),"['Telkomsel', 'pig', 'cave', 'quota', 'pulse', 'cave', 'suck', 'dibingg', 'tjing', 'pg']")</f>
        <v>['Telkomsel', 'pig', 'cave', 'quota', 'pulse', 'cave', 'suck', 'dibingg', 'tjing', 'pg']</v>
      </c>
      <c r="D1158" s="3">
        <v>1.0</v>
      </c>
    </row>
    <row r="1159" ht="15.75" customHeight="1">
      <c r="A1159" s="1">
        <v>1219.0</v>
      </c>
      <c r="B1159" s="3" t="s">
        <v>1153</v>
      </c>
      <c r="C1159" s="3" t="str">
        <f>IFERROR(__xludf.DUMMYFUNCTION("GOOGLETRANSLATE(B1159,""id"",""en"")"),"['knapa', 'apk', 'appears', 'screen', 'white', 'delete', 'download', 'kmbali', 'hsil', 'please', 'help']")</f>
        <v>['knapa', 'apk', 'appears', 'screen', 'white', 'delete', 'download', 'kmbali', 'hsil', 'please', 'help']</v>
      </c>
      <c r="D1159" s="3">
        <v>1.0</v>
      </c>
    </row>
    <row r="1160" ht="15.75" customHeight="1">
      <c r="A1160" s="1">
        <v>1220.0</v>
      </c>
      <c r="B1160" s="3" t="s">
        <v>1154</v>
      </c>
      <c r="C1160" s="3" t="str">
        <f>IFERROR(__xludf.DUMMYFUNCTION("GOOGLETRANSLATE(B1160,""id"",""en"")"),"['petrified', 'easy', 'buy', 'package', 'ssuai']")</f>
        <v>['petrified', 'easy', 'buy', 'package', 'ssuai']</v>
      </c>
      <c r="D1160" s="3">
        <v>5.0</v>
      </c>
    </row>
    <row r="1161" ht="15.75" customHeight="1">
      <c r="A1161" s="1">
        <v>1221.0</v>
      </c>
      <c r="B1161" s="3" t="s">
        <v>1155</v>
      </c>
      <c r="C1161" s="3" t="str">
        <f>IFERROR(__xludf.DUMMYFUNCTION("GOOGLETRANSLATE(B1161,""id"",""en"")"),"['Telkom', 'pig', 'login', 'complicated', 'SMS', 'Veriviya', 'Dateng', 'Klok', 'click', 'already', 'expiration', 'link', ' Weve ',' pig ',' Mending ',' Telkomsel ',' deh ',' pke ']")</f>
        <v>['Telkom', 'pig', 'login', 'complicated', 'SMS', 'Veriviya', 'Dateng', 'Klok', 'click', 'already', 'expiration', 'link', ' Weve ',' pig ',' Mending ',' Telkomsel ',' deh ',' pke ']</v>
      </c>
      <c r="D1161" s="3">
        <v>1.0</v>
      </c>
    </row>
    <row r="1162" ht="15.75" customHeight="1">
      <c r="A1162" s="1">
        <v>1222.0</v>
      </c>
      <c r="B1162" s="3" t="s">
        <v>1156</v>
      </c>
      <c r="C1162" s="3" t="str">
        <f>IFERROR(__xludf.DUMMYFUNCTION("GOOGLETRANSLATE(B1162,""id"",""en"")"),"['Kenceng', 'slow']")</f>
        <v>['Kenceng', 'slow']</v>
      </c>
      <c r="D1162" s="3">
        <v>5.0</v>
      </c>
    </row>
    <row r="1163" ht="15.75" customHeight="1">
      <c r="A1163" s="1">
        <v>1223.0</v>
      </c>
      <c r="B1163" s="3" t="s">
        <v>1157</v>
      </c>
      <c r="C1163" s="3" t="str">
        <f>IFERROR(__xludf.DUMMYFUNCTION("GOOGLETRANSLATE(B1163,""id"",""en"")"),"['', 'Telkomsel', 'mantaff', ""]")</f>
        <v>['', 'Telkomsel', 'mantaff', "]</v>
      </c>
      <c r="D1163" s="3">
        <v>5.0</v>
      </c>
    </row>
    <row r="1164" ht="15.75" customHeight="1">
      <c r="A1164" s="1">
        <v>1224.0</v>
      </c>
      <c r="B1164" s="3" t="s">
        <v>1158</v>
      </c>
      <c r="C1164" s="3" t="str">
        <f>IFERROR(__xludf.DUMMYFUNCTION("GOOGLETRANSLATE(B1164,""id"",""en"")"),"['Cool', 'help', 'easy']")</f>
        <v>['Cool', 'help', 'easy']</v>
      </c>
      <c r="D1164" s="3">
        <v>5.0</v>
      </c>
    </row>
    <row r="1165" ht="15.75" customHeight="1">
      <c r="A1165" s="1">
        <v>1225.0</v>
      </c>
      <c r="B1165" s="3" t="s">
        <v>1159</v>
      </c>
      <c r="C1165" s="3" t="str">
        <f>IFERROR(__xludf.DUMMYFUNCTION("GOOGLETRANSLATE(B1165,""id"",""en"")"),"['like', 'take it', 'pulse', 'person', 'laaah', 'cook', 'number', 'diamipipin', 'package', 'internet', 'settings',' internet ',' SIM ',' Connect ',' Internet ',' Notip ',' SMS ',' Internet ',' Kepake ',' KB ',' Costs', 'Immerse', 'Notip', 'Middle', 'brapa"&amp;"' , 'Credit', 'symptom', 'try', 'in', 'number', 'Telkomsel', 'seed', 'cmn', 'contents',' package ',' internet ',' just ',' SIM ',' number ',' SIM ',' KeNonek ',' Internet ',' Kepake ',' KB ',' HRS ',' buy ',' Package ',' SIM ', ""]")</f>
        <v>['like', 'take it', 'pulse', 'person', 'laaah', 'cook', 'number', 'diamipipin', 'package', 'internet', 'settings',' internet ',' SIM ',' Connect ',' Internet ',' Notip ',' SMS ',' Internet ',' Kepake ',' KB ',' Costs', 'Immerse', 'Notip', 'Middle', 'brapa' , 'Credit', 'symptom', 'try', 'in', 'number', 'Telkomsel', 'seed', 'cmn', 'contents',' package ',' internet ',' just ',' SIM ',' number ',' SIM ',' KeNonek ',' Internet ',' Kepake ',' KB ',' HRS ',' buy ',' Package ',' SIM ', "]</v>
      </c>
      <c r="D1165" s="3">
        <v>1.0</v>
      </c>
    </row>
    <row r="1166" ht="15.75" customHeight="1">
      <c r="A1166" s="1">
        <v>1226.0</v>
      </c>
      <c r="B1166" s="3" t="s">
        <v>1160</v>
      </c>
      <c r="C1166" s="3" t="str">
        <f>IFERROR(__xludf.DUMMYFUNCTION("GOOGLETRANSLATE(B1166,""id"",""en"")"),"['Steady', 'Maintain', 'Quality', 'Network']")</f>
        <v>['Steady', 'Maintain', 'Quality', 'Network']</v>
      </c>
      <c r="D1166" s="3">
        <v>5.0</v>
      </c>
    </row>
    <row r="1167" ht="15.75" customHeight="1">
      <c r="A1167" s="1">
        <v>1227.0</v>
      </c>
      <c r="B1167" s="3" t="s">
        <v>1161</v>
      </c>
      <c r="C1167" s="3" t="str">
        <f>IFERROR(__xludf.DUMMYFUNCTION("GOOGLETRANSLATE(B1167,""id"",""en"")"),"['easy', 'color', 'bright']")</f>
        <v>['easy', 'color', 'bright']</v>
      </c>
      <c r="D1167" s="3">
        <v>5.0</v>
      </c>
    </row>
    <row r="1168" ht="15.75" customHeight="1">
      <c r="A1168" s="1">
        <v>1228.0</v>
      </c>
      <c r="B1168" s="3" t="s">
        <v>1162</v>
      </c>
      <c r="C1168" s="3" t="str">
        <f>IFERROR(__xludf.DUMMYFUNCTION("GOOGLETRANSLATE(B1168,""id"",""en"")"),"['Upgrade', 'Application', 'White', 'Screen']")</f>
        <v>['Upgrade', 'Application', 'White', 'Screen']</v>
      </c>
      <c r="D1168" s="3">
        <v>2.0</v>
      </c>
    </row>
    <row r="1169" ht="15.75" customHeight="1">
      <c r="A1169" s="1">
        <v>1230.0</v>
      </c>
      <c r="B1169" s="3" t="s">
        <v>1163</v>
      </c>
      <c r="C1169" s="3" t="str">
        <f>IFERROR(__xludf.DUMMYFUNCTION("GOOGLETRANSLATE(B1169,""id"",""en"")"),"['APK', '']")</f>
        <v>['APK', '']</v>
      </c>
      <c r="D1169" s="3">
        <v>4.0</v>
      </c>
    </row>
    <row r="1170" ht="15.75" customHeight="1">
      <c r="A1170" s="1">
        <v>1231.0</v>
      </c>
      <c r="B1170" s="3" t="s">
        <v>1164</v>
      </c>
      <c r="C1170" s="3" t="str">
        <f>IFERROR(__xludf.DUMMYFUNCTION("GOOGLETRANSLATE(B1170,""id"",""en"")"),"['Steady', 'response', 'fast']")</f>
        <v>['Steady', 'response', 'fast']</v>
      </c>
      <c r="D1170" s="3">
        <v>5.0</v>
      </c>
    </row>
    <row r="1171" ht="15.75" customHeight="1">
      <c r="A1171" s="1">
        <v>1232.0</v>
      </c>
      <c r="B1171" s="3" t="s">
        <v>1165</v>
      </c>
      <c r="C1171" s="3" t="str">
        <f>IFERROR(__xludf.DUMMYFUNCTION("GOOGLETRANSLATE(B1171,""id"",""en"")"),"['Application', 'steady']")</f>
        <v>['Application', 'steady']</v>
      </c>
      <c r="D1171" s="3">
        <v>5.0</v>
      </c>
    </row>
    <row r="1172" ht="15.75" customHeight="1">
      <c r="A1172" s="1">
        <v>1233.0</v>
      </c>
      <c r="B1172" s="3" t="s">
        <v>1166</v>
      </c>
      <c r="C1172" s="3" t="str">
        <f>IFERROR(__xludf.DUMMYFUNCTION("GOOGLETRANSLATE(B1172,""id"",""en"")"),"['Love', 'gift', 'pulse', 'Samsung', 'Add', ""]")</f>
        <v>['Love', 'gift', 'pulse', 'Samsung', 'Add', "]</v>
      </c>
      <c r="D1172" s="3">
        <v>3.0</v>
      </c>
    </row>
    <row r="1173" ht="15.75" customHeight="1">
      <c r="A1173" s="1">
        <v>1234.0</v>
      </c>
      <c r="B1173" s="3" t="s">
        <v>1167</v>
      </c>
      <c r="C1173" s="3" t="str">
        <f>IFERROR(__xludf.DUMMYFUNCTION("GOOGLETRANSLATE(B1173,""id"",""en"")"),"['application', 'good', 'makes it easy', 'user', 'information', 'serpas', 'clarity', 'language', 'easy', 'understand', '']")</f>
        <v>['application', 'good', 'makes it easy', 'user', 'information', 'serpas', 'clarity', 'language', 'easy', 'understand', '']</v>
      </c>
      <c r="D1173" s="3">
        <v>5.0</v>
      </c>
    </row>
    <row r="1174" ht="15.75" customHeight="1">
      <c r="A1174" s="1">
        <v>1235.0</v>
      </c>
      <c r="B1174" s="3" t="s">
        <v>1168</v>
      </c>
      <c r="C1174" s="3" t="str">
        <f>IFERROR(__xludf.DUMMYFUNCTION("GOOGLETRANSLATE(B1174,""id"",""en"")"),"['Lally', 'promo', 'min', 'already', 'Telkomsel']")</f>
        <v>['Lally', 'promo', 'min', 'already', 'Telkomsel']</v>
      </c>
      <c r="D1174" s="3">
        <v>5.0</v>
      </c>
    </row>
    <row r="1175" ht="15.75" customHeight="1">
      <c r="A1175" s="1">
        <v>1236.0</v>
      </c>
      <c r="B1175" s="3" t="s">
        <v>1169</v>
      </c>
      <c r="C1175" s="3" t="str">
        <f>IFERROR(__xludf.DUMMYFUNCTION("GOOGLETRANSLATE(B1175,""id"",""en"")"),"['Not bad', 'use']")</f>
        <v>['Not bad', 'use']</v>
      </c>
      <c r="D1175" s="3">
        <v>5.0</v>
      </c>
    </row>
    <row r="1176" ht="15.75" customHeight="1">
      <c r="A1176" s="1">
        <v>1237.0</v>
      </c>
      <c r="B1176" s="3" t="s">
        <v>1170</v>
      </c>
      <c r="C1176" s="3" t="str">
        <f>IFERROR(__xludf.DUMMYFUNCTION("GOOGLETRANSLATE(B1176,""id"",""en"")"),"['The network', 'Lemot', 'Bogor', 'The application', 'opened', '']")</f>
        <v>['The network', 'Lemot', 'Bogor', 'The application', 'opened', '']</v>
      </c>
      <c r="D1176" s="3">
        <v>2.0</v>
      </c>
    </row>
    <row r="1177" ht="15.75" customHeight="1">
      <c r="A1177" s="1">
        <v>1238.0</v>
      </c>
      <c r="B1177" s="3" t="s">
        <v>1171</v>
      </c>
      <c r="C1177" s="3" t="str">
        <f>IFERROR(__xludf.DUMMYFUNCTION("GOOGLETRANSLATE(B1177,""id"",""en"")"),"['buy', 'pulse', 'quota', 'easy']")</f>
        <v>['buy', 'pulse', 'quota', 'easy']</v>
      </c>
      <c r="D1177" s="3">
        <v>5.0</v>
      </c>
    </row>
    <row r="1178" ht="15.75" customHeight="1">
      <c r="A1178" s="1">
        <v>1239.0</v>
      </c>
      <c r="B1178" s="3" t="s">
        <v>1172</v>
      </c>
      <c r="C1178" s="3" t="str">
        <f>IFERROR(__xludf.DUMMYFUNCTION("GOOGLETRANSLATE(B1178,""id"",""en"")"),"['Telkomsel', 'gini', 'package', 'data', 'pulse', 'used', 'like', 'that's', 'pulses', 'run out']")</f>
        <v>['Telkomsel', 'gini', 'package', 'data', 'pulse', 'used', 'like', 'that's', 'pulses', 'run out']</v>
      </c>
      <c r="D1178" s="3">
        <v>3.0</v>
      </c>
    </row>
    <row r="1179" ht="15.75" customHeight="1">
      <c r="A1179" s="1">
        <v>1240.0</v>
      </c>
      <c r="B1179" s="3" t="s">
        <v>1173</v>
      </c>
      <c r="C1179" s="3" t="str">
        <f>IFERROR(__xludf.DUMMYFUNCTION("GOOGLETRANSLATE(B1179,""id"",""en"")"),"['Opened', 'The application', '']")</f>
        <v>['Opened', 'The application', '']</v>
      </c>
      <c r="D1179" s="3">
        <v>1.0</v>
      </c>
    </row>
    <row r="1180" ht="15.75" customHeight="1">
      <c r="A1180" s="1">
        <v>1241.0</v>
      </c>
      <c r="B1180" s="3" t="s">
        <v>1174</v>
      </c>
      <c r="C1180" s="3" t="str">
        <f>IFERROR(__xludf.DUMMYFUNCTION("GOOGLETRANSLATE(B1180,""id"",""en"")"),"['Provider', 'cheats', 'buy', 'active', 'increases', 'active', 'pulse', 'cut', 'class', 'BUMN', 'work', 'embarrassing']")</f>
        <v>['Provider', 'cheats', 'buy', 'active', 'increases', 'active', 'pulse', 'cut', 'class', 'BUMN', 'work', 'embarrassing']</v>
      </c>
      <c r="D1180" s="3">
        <v>1.0</v>
      </c>
    </row>
    <row r="1181" ht="15.75" customHeight="1">
      <c r="A1181" s="1">
        <v>1242.0</v>
      </c>
      <c r="B1181" s="3" t="s">
        <v>1175</v>
      </c>
      <c r="C1181" s="3" t="str">
        <f>IFERROR(__xludf.DUMMYFUNCTION("GOOGLETRANSLATE(B1181,""id"",""en"")"),"['Sngat', 'satisfying']")</f>
        <v>['Sngat', 'satisfying']</v>
      </c>
      <c r="D1181" s="3">
        <v>5.0</v>
      </c>
    </row>
    <row r="1182" ht="15.75" customHeight="1">
      <c r="A1182" s="1">
        <v>1243.0</v>
      </c>
      <c r="B1182" s="3" t="s">
        <v>1176</v>
      </c>
      <c r="C1182" s="3" t="str">
        <f>IFERROR(__xludf.DUMMYFUNCTION("GOOGLETRANSLATE(B1182,""id"",""en"")"),"['Operator', 'sell', 'pulses', 'forced', 'take', 'credit', 'knowledge', 'Costumer', 'system', 'network']")</f>
        <v>['Operator', 'sell', 'pulses', 'forced', 'take', 'credit', 'knowledge', 'Costumer', 'system', 'network']</v>
      </c>
      <c r="D1182" s="3">
        <v>1.0</v>
      </c>
    </row>
    <row r="1183" ht="15.75" customHeight="1">
      <c r="A1183" s="1">
        <v>1244.0</v>
      </c>
      <c r="B1183" s="3" t="s">
        <v>1177</v>
      </c>
      <c r="C1183" s="3" t="str">
        <f>IFERROR(__xludf.DUMMYFUNCTION("GOOGLETRANSLATE(B1183,""id"",""en"")"),"['Change', 'pdhl', 'knp', 'skrng', 'application', 'installed', 'knp', 'open', '']")</f>
        <v>['Change', 'pdhl', 'knp', 'skrng', 'application', 'installed', 'knp', 'open', '']</v>
      </c>
      <c r="D1183" s="3">
        <v>5.0</v>
      </c>
    </row>
    <row r="1184" ht="15.75" customHeight="1">
      <c r="A1184" s="1">
        <v>1246.0</v>
      </c>
      <c r="B1184" s="3" t="s">
        <v>1178</v>
      </c>
      <c r="C1184" s="3" t="str">
        <f>IFERROR(__xludf.DUMMYFUNCTION("GOOGLETRANSLATE(B1184,""id"",""en"")"),"['Stay', 'Jaya', 'Telkomsel', 'Anyway', 'Debes', ""]")</f>
        <v>['Stay', 'Jaya', 'Telkomsel', 'Anyway', 'Debes', "]</v>
      </c>
      <c r="D1184" s="3">
        <v>5.0</v>
      </c>
    </row>
    <row r="1185" ht="15.75" customHeight="1">
      <c r="A1185" s="1">
        <v>1247.0</v>
      </c>
      <c r="B1185" s="3" t="s">
        <v>1179</v>
      </c>
      <c r="C1185" s="3" t="str">
        <f>IFERROR(__xludf.DUMMYFUNCTION("GOOGLETRANSLATE(B1185,""id"",""en"")"),"['Install', 'Android', '']")</f>
        <v>['Install', 'Android', '']</v>
      </c>
      <c r="D1185" s="3">
        <v>3.0</v>
      </c>
    </row>
    <row r="1186" ht="15.75" customHeight="1">
      <c r="A1186" s="1">
        <v>1248.0</v>
      </c>
      <c r="B1186" s="3" t="s">
        <v>1180</v>
      </c>
      <c r="C1186" s="3" t="str">
        <f>IFERROR(__xludf.DUMMYFUNCTION("GOOGLETRANSLATE(B1186,""id"",""en"")"),"['tuuuuuhhhhhh']")</f>
        <v>['tuuuuuhhhhhh']</v>
      </c>
      <c r="D1186" s="3">
        <v>2.0</v>
      </c>
    </row>
    <row r="1187" ht="15.75" customHeight="1">
      <c r="A1187" s="1">
        <v>1250.0</v>
      </c>
      <c r="B1187" s="3" t="s">
        <v>1181</v>
      </c>
      <c r="C1187" s="3" t="str">
        <f>IFERROR(__xludf.DUMMYFUNCTION("GOOGLETRANSLATE(B1187,""id"",""en"")"),"['', 'buy', 'Package', 'Combo', 'Sakti', 'Doly "",' Date ',' November ',' Date ',' December ',' payday ',' Package ',' sda ']")</f>
        <v>['', 'buy', 'Package', 'Combo', 'Sakti', 'Doly ",' Date ',' November ',' Date ',' December ',' payday ',' Package ',' sda ']</v>
      </c>
      <c r="D1187" s="3">
        <v>1.0</v>
      </c>
    </row>
    <row r="1188" ht="15.75" customHeight="1">
      <c r="A1188" s="1">
        <v>1251.0</v>
      </c>
      <c r="B1188" s="3" t="s">
        <v>1182</v>
      </c>
      <c r="C1188" s="3" t="str">
        <f>IFERROR(__xludf.DUMMYFUNCTION("GOOGLETRANSLATE(B1188,""id"",""en"")"),"['Good', 'winning', 'Lottery', '']")</f>
        <v>['Good', 'winning', 'Lottery', '']</v>
      </c>
      <c r="D1188" s="3">
        <v>4.0</v>
      </c>
    </row>
    <row r="1189" ht="15.75" customHeight="1">
      <c r="A1189" s="1">
        <v>1254.0</v>
      </c>
      <c r="B1189" s="3" t="s">
        <v>1183</v>
      </c>
      <c r="C1189" s="3" t="str">
        <f>IFERROR(__xludf.DUMMYFUNCTION("GOOGLETRANSLATE(B1189,""id"",""en"")"),"['pro']")</f>
        <v>['pro']</v>
      </c>
      <c r="D1189" s="3">
        <v>5.0</v>
      </c>
    </row>
    <row r="1190" ht="15.75" customHeight="1">
      <c r="A1190" s="1">
        <v>1256.0</v>
      </c>
      <c r="B1190" s="3" t="s">
        <v>968</v>
      </c>
      <c r="C1190" s="3" t="str">
        <f>IFERROR(__xludf.DUMMYFUNCTION("GOOGLETRANSLATE(B1190,""id"",""en"")"),"['application', '']")</f>
        <v>['application', '']</v>
      </c>
      <c r="D1190" s="3">
        <v>1.0</v>
      </c>
    </row>
    <row r="1191" ht="15.75" customHeight="1">
      <c r="A1191" s="1">
        <v>1257.0</v>
      </c>
      <c r="B1191" s="3" t="s">
        <v>1184</v>
      </c>
      <c r="C1191" s="3" t="str">
        <f>IFERROR(__xludf.DUMMYFUNCTION("GOOGLETRANSLATE(B1191,""id"",""en"")"),"['Promo', 'Combo', 'Sakti', 'GB', 'HBS', 'Fill', 'Credit', 'Lost', 'Mancin', 'Fill', 'Credit', 'Doank', ' How ',' hahahha ']")</f>
        <v>['Promo', 'Combo', 'Sakti', 'GB', 'HBS', 'Fill', 'Credit', 'Lost', 'Mancin', 'Fill', 'Credit', 'Doank', ' How ',' hahahha ']</v>
      </c>
      <c r="D1191" s="3">
        <v>1.0</v>
      </c>
    </row>
    <row r="1192" ht="15.75" customHeight="1">
      <c r="A1192" s="1">
        <v>1258.0</v>
      </c>
      <c r="B1192" s="3" t="s">
        <v>1185</v>
      </c>
      <c r="C1192" s="3" t="str">
        <f>IFERROR(__xludf.DUMMYFUNCTION("GOOGLETRANSLATE(B1192,""id"",""en"")"),"['Good', 'buy', 'package', 'data', 'road', 'see', 'sights', 'see', 'car', 'kijang']")</f>
        <v>['Good', 'buy', 'package', 'data', 'road', 'see', 'sights', 'see', 'car', 'kijang']</v>
      </c>
      <c r="D1192" s="3">
        <v>5.0</v>
      </c>
    </row>
    <row r="1193" ht="15.75" customHeight="1">
      <c r="A1193" s="1">
        <v>1259.0</v>
      </c>
      <c r="B1193" s="3" t="s">
        <v>1186</v>
      </c>
      <c r="C1193" s="3" t="str">
        <f>IFERROR(__xludf.DUMMYFUNCTION("GOOGLETRANSLATE(B1193,""id"",""en"")"),"['Please', 'fix', 'signal', 'user', 'Telkomsel', 'loyal', 'really', 'signal', 'ugly', 'kuoata', 'love', 'star', ' signal ',' ugly ',' love ',' star ']")</f>
        <v>['Please', 'fix', 'signal', 'user', 'Telkomsel', 'loyal', 'really', 'signal', 'ugly', 'kuoata', 'love', 'star', ' signal ',' ugly ',' love ',' star ']</v>
      </c>
      <c r="D1193" s="3">
        <v>2.0</v>
      </c>
    </row>
    <row r="1194" ht="15.75" customHeight="1">
      <c r="A1194" s="1">
        <v>1260.0</v>
      </c>
      <c r="B1194" s="3" t="s">
        <v>1187</v>
      </c>
      <c r="C1194" s="3" t="str">
        <f>IFERROR(__xludf.DUMMYFUNCTION("GOOGLETRANSLATE(B1194,""id"",""en"")"),"['min', 'update', 'right', 'update', 'network', 'kog', 'ilang', 'fix', 'loyal', 'user', 'telkomsel', 'thank', ' love']")</f>
        <v>['min', 'update', 'right', 'update', 'network', 'kog', 'ilang', 'fix', 'loyal', 'user', 'telkomsel', 'thank', ' love']</v>
      </c>
      <c r="D1194" s="3">
        <v>1.0</v>
      </c>
    </row>
    <row r="1195" ht="15.75" customHeight="1">
      <c r="A1195" s="1">
        <v>1261.0</v>
      </c>
      <c r="B1195" s="3" t="s">
        <v>1188</v>
      </c>
      <c r="C1195" s="3" t="str">
        <f>IFERROR(__xludf.DUMMYFUNCTION("GOOGLETRANSLATE(B1195,""id"",""en"")"),"['Promo', 'evenly', '']")</f>
        <v>['Promo', 'evenly', '']</v>
      </c>
      <c r="D1195" s="3">
        <v>2.0</v>
      </c>
    </row>
    <row r="1196" ht="15.75" customHeight="1">
      <c r="A1196" s="1">
        <v>1262.0</v>
      </c>
      <c r="B1196" s="3" t="s">
        <v>1189</v>
      </c>
      <c r="C1196" s="3" t="str">
        <f>IFERROR(__xludf.DUMMYFUNCTION("GOOGLETRANSLATE(B1196,""id"",""en"")"),"['Paketan', 'expensive', 'network', 'signal', 'sympathy', 'amid the', 'city', 'on the edge', 'city', 'difficult', 'ugly', 'thank', ' love']")</f>
        <v>['Paketan', 'expensive', 'network', 'signal', 'sympathy', 'amid the', 'city', 'on the edge', 'city', 'difficult', 'ugly', 'thank', ' love']</v>
      </c>
      <c r="D1196" s="3">
        <v>4.0</v>
      </c>
    </row>
    <row r="1197" ht="15.75" customHeight="1">
      <c r="A1197" s="1">
        <v>1263.0</v>
      </c>
      <c r="B1197" s="3" t="s">
        <v>1190</v>
      </c>
      <c r="C1197" s="3" t="str">
        <f>IFERROR(__xludf.DUMMYFUNCTION("GOOGLETRANSLATE(B1197,""id"",""en"")"),"['Purchase', 'package', 'price']")</f>
        <v>['Purchase', 'package', 'price']</v>
      </c>
      <c r="D1197" s="3">
        <v>1.0</v>
      </c>
    </row>
    <row r="1198" ht="15.75" customHeight="1">
      <c r="A1198" s="1">
        <v>1264.0</v>
      </c>
      <c r="B1198" s="3" t="s">
        <v>1191</v>
      </c>
      <c r="C1198" s="3" t="str">
        <f>IFERROR(__xludf.DUMMYFUNCTION("GOOGLETRANSLATE(B1198,""id"",""en"")"),"['little', 'little', 'system', 'problematic', 'little', 'little', 'error', 'intention', 'application', 'tri', 'superior', 'aspect', ' Telkomsel ',' Win ',' Reach ',' Doang ']")</f>
        <v>['little', 'little', 'system', 'problematic', 'little', 'little', 'error', 'intention', 'application', 'tri', 'superior', 'aspect', ' Telkomsel ',' Win ',' Reach ',' Doang ']</v>
      </c>
      <c r="D1198" s="3">
        <v>1.0</v>
      </c>
    </row>
    <row r="1199" ht="15.75" customHeight="1">
      <c r="A1199" s="1">
        <v>1265.0</v>
      </c>
      <c r="B1199" s="3" t="s">
        <v>1192</v>
      </c>
      <c r="C1199" s="3" t="str">
        <f>IFERROR(__xludf.DUMMYFUNCTION("GOOGLETRANSLATE(B1199,""id"",""en"")"),"['easy', 'help', 'process', 'service', 'thank', 'kasi', ""]")</f>
        <v>['easy', 'help', 'process', 'service', 'thank', 'kasi', "]</v>
      </c>
      <c r="D1199" s="3">
        <v>5.0</v>
      </c>
    </row>
    <row r="1200" ht="15.75" customHeight="1">
      <c r="A1200" s="1">
        <v>1266.0</v>
      </c>
      <c r="B1200" s="3" t="s">
        <v>1193</v>
      </c>
      <c r="C1200" s="3" t="str">
        <f>IFERROR(__xludf.DUMMYFUNCTION("GOOGLETRANSLATE(B1200,""id"",""en"")"),"['Steady', 'Telkomsel']")</f>
        <v>['Steady', 'Telkomsel']</v>
      </c>
      <c r="D1200" s="3">
        <v>5.0</v>
      </c>
    </row>
    <row r="1201" ht="15.75" customHeight="1">
      <c r="A1201" s="1">
        <v>1267.0</v>
      </c>
      <c r="B1201" s="3" t="s">
        <v>1194</v>
      </c>
      <c r="C1201" s="3" t="str">
        <f>IFERROR(__xludf.DUMMYFUNCTION("GOOGLETRANSLATE(B1201,""id"",""en"")"),"['Package', 'Rb', 'a week', 'koq']")</f>
        <v>['Package', 'Rb', 'a week', 'koq']</v>
      </c>
      <c r="D1201" s="3">
        <v>5.0</v>
      </c>
    </row>
    <row r="1202" ht="15.75" customHeight="1">
      <c r="A1202" s="1">
        <v>1268.0</v>
      </c>
      <c r="B1202" s="3" t="s">
        <v>1195</v>
      </c>
      <c r="C1202" s="3" t="str">
        <f>IFERROR(__xludf.DUMMYFUNCTION("GOOGLETRANSLATE(B1202,""id"",""en"")"),"['gabisa', 'buy', 'package', 'APK', 'min', 'network']")</f>
        <v>['gabisa', 'buy', 'package', 'APK', 'min', 'network']</v>
      </c>
      <c r="D1202" s="3">
        <v>1.0</v>
      </c>
    </row>
    <row r="1203" ht="15.75" customHeight="1">
      <c r="A1203" s="1">
        <v>1269.0</v>
      </c>
      <c r="B1203" s="3" t="s">
        <v>1196</v>
      </c>
      <c r="C1203" s="3" t="str">
        <f>IFERROR(__xludf.DUMMYFUNCTION("GOOGLETRANSLATE(B1203,""id"",""en"")"),"['expensive', 'Doank', 'Network', 'Internet', 'Andelin', 'Telkomsel', 'Severe', 'Main', 'Game', 'Online', 'Destroyed', 'already', ' emotion']")</f>
        <v>['expensive', 'Doank', 'Network', 'Internet', 'Andelin', 'Telkomsel', 'Severe', 'Main', 'Game', 'Online', 'Destroyed', 'already', ' emotion']</v>
      </c>
      <c r="D1203" s="3">
        <v>1.0</v>
      </c>
    </row>
    <row r="1204" ht="15.75" customHeight="1">
      <c r="A1204" s="1">
        <v>1270.0</v>
      </c>
      <c r="B1204" s="3" t="s">
        <v>1197</v>
      </c>
      <c r="C1204" s="3" t="str">
        <f>IFERROR(__xludf.DUMMYFUNCTION("GOOGLETRANSLATE(B1204,""id"",""en"")"),"['Telkom', 'Please', 'Restore', 'Credit', 'Fill', 'Re-reset', 'Cut', 'Reason', 'Return', 'Credit', 'Ubta', 'Credit']")</f>
        <v>['Telkom', 'Please', 'Restore', 'Credit', 'Fill', 'Re-reset', 'Cut', 'Reason', 'Return', 'Credit', 'Ubta', 'Credit']</v>
      </c>
      <c r="D1204" s="3">
        <v>1.0</v>
      </c>
    </row>
    <row r="1205" ht="15.75" customHeight="1">
      <c r="A1205" s="1">
        <v>1271.0</v>
      </c>
      <c r="B1205" s="3" t="s">
        <v>1198</v>
      </c>
      <c r="C1205" s="3" t="str">
        <f>IFERROR(__xludf.DUMMYFUNCTION("GOOGLETRANSLATE(B1205,""id"",""en"")"),"['satisfying', 'height']")</f>
        <v>['satisfying', 'height']</v>
      </c>
      <c r="D1205" s="3">
        <v>5.0</v>
      </c>
    </row>
    <row r="1206" ht="15.75" customHeight="1">
      <c r="A1206" s="1">
        <v>1272.0</v>
      </c>
      <c r="B1206" s="3" t="s">
        <v>1199</v>
      </c>
      <c r="C1206" s="3" t="str">
        <f>IFERROR(__xludf.DUMMYFUNCTION("GOOGLETRANSLATE(B1206,""id"",""en"")"),"['The card', 'good', 'really']")</f>
        <v>['The card', 'good', 'really']</v>
      </c>
      <c r="D1206" s="3">
        <v>1.0</v>
      </c>
    </row>
    <row r="1207" ht="15.75" customHeight="1">
      <c r="A1207" s="1">
        <v>1273.0</v>
      </c>
      <c r="B1207" s="3" t="s">
        <v>1200</v>
      </c>
      <c r="C1207" s="3" t="str">
        <f>IFERROR(__xludf.DUMMYFUNCTION("GOOGLETRANSLATE(B1207,""id"",""en"")"),"['info', 'admin', 'tired', 'check', 'right', 'take', 'gift', 'point', 'tricks', 'person', ""]")</f>
        <v>['info', 'admin', 'tired', 'check', 'right', 'take', 'gift', 'point', 'tricks', 'person', "]</v>
      </c>
      <c r="D1207" s="3">
        <v>1.0</v>
      </c>
    </row>
    <row r="1208" ht="15.75" customHeight="1">
      <c r="A1208" s="1">
        <v>1274.0</v>
      </c>
      <c r="B1208" s="3" t="s">
        <v>1201</v>
      </c>
      <c r="C1208" s="3" t="str">
        <f>IFERROR(__xludf.DUMMYFUNCTION("GOOGLETRANSLATE(B1208,""id"",""en"")"),"['God willing', 'Rejeki', 'Telkomsel']")</f>
        <v>['God willing', 'Rejeki', 'Telkomsel']</v>
      </c>
      <c r="D1208" s="3">
        <v>5.0</v>
      </c>
    </row>
    <row r="1209" ht="15.75" customHeight="1">
      <c r="A1209" s="1">
        <v>1275.0</v>
      </c>
      <c r="B1209" s="3" t="s">
        <v>1202</v>
      </c>
      <c r="C1209" s="3" t="str">
        <f>IFERROR(__xludf.DUMMYFUNCTION("GOOGLETRANSLATE(B1209,""id"",""en"")"),"['network', 'please', 'repaired', 'dlu', 'deh', 'update', 'update', 'dlu', 'tsel', 'wlpp even', 'rain', 'smpi', ' network ',' disappear ',' skrg ',' rain ',' network ',' missing ',' missing ',' ']")</f>
        <v>['network', 'please', 'repaired', 'dlu', 'deh', 'update', 'update', 'dlu', 'tsel', 'wlpp even', 'rain', 'smpi', ' network ',' disappear ',' skrg ',' rain ',' network ',' missing ',' missing ',' ']</v>
      </c>
      <c r="D1209" s="3">
        <v>1.0</v>
      </c>
    </row>
    <row r="1210" ht="15.75" customHeight="1">
      <c r="A1210" s="1">
        <v>1276.0</v>
      </c>
      <c r="B1210" s="3" t="s">
        <v>1203</v>
      </c>
      <c r="C1210" s="3" t="str">
        <f>IFERROR(__xludf.DUMMYFUNCTION("GOOGLETRANSLATE(B1210,""id"",""en"")"),"['Expection', 'Package', 'Network', 'Likea']")</f>
        <v>['Expection', 'Package', 'Network', 'Likea']</v>
      </c>
      <c r="D1210" s="3">
        <v>5.0</v>
      </c>
    </row>
    <row r="1211" ht="15.75" customHeight="1">
      <c r="A1211" s="1">
        <v>1278.0</v>
      </c>
      <c r="B1211" s="3" t="s">
        <v>1204</v>
      </c>
      <c r="C1211" s="3" t="str">
        <f>IFERROR(__xludf.DUMMYFUNCTION("GOOGLETRANSLATE(B1211,""id"",""en"")"),"['quota', 'Mehong', ""]")</f>
        <v>['quota', 'Mehong', "]</v>
      </c>
      <c r="D1211" s="3">
        <v>5.0</v>
      </c>
    </row>
    <row r="1212" ht="15.75" customHeight="1">
      <c r="A1212" s="1">
        <v>1279.0</v>
      </c>
      <c r="B1212" s="3" t="s">
        <v>1205</v>
      </c>
      <c r="C1212" s="3" t="str">
        <f>IFERROR(__xludf.DUMMYFUNCTION("GOOGLETRANSLATE(B1212,""id"",""en"")"),"['Envention', 'Telkomsel', 'Open', 'Knp', 'Package', 'Internet', 'Rb', 'GB', 'skrng']")</f>
        <v>['Envention', 'Telkomsel', 'Open', 'Knp', 'Package', 'Internet', 'Rb', 'GB', 'skrng']</v>
      </c>
      <c r="D1212" s="3">
        <v>1.0</v>
      </c>
    </row>
    <row r="1213" ht="15.75" customHeight="1">
      <c r="A1213" s="1">
        <v>1280.0</v>
      </c>
      <c r="B1213" s="3" t="s">
        <v>1206</v>
      </c>
      <c r="C1213" s="3" t="str">
        <f>IFERROR(__xludf.DUMMYFUNCTION("GOOGLETRANSLATE(B1213,""id"",""en"")"),"['satisfying', 'likes', 'Telkomsel', 'package', 'cheap', 'affordable', 'basically', 'The', 'Best', ""]")</f>
        <v>['satisfying', 'likes', 'Telkomsel', 'package', 'cheap', 'affordable', 'basically', 'The', 'Best', "]</v>
      </c>
      <c r="D1213" s="3">
        <v>5.0</v>
      </c>
    </row>
    <row r="1214" ht="15.75" customHeight="1">
      <c r="A1214" s="1">
        <v>1281.0</v>
      </c>
      <c r="B1214" s="3" t="s">
        <v>1207</v>
      </c>
      <c r="C1214" s="3" t="str">
        <f>IFERROR(__xludf.DUMMYFUNCTION("GOOGLETRANSLATE(B1214,""id"",""en"")"),"['makes it easier', 'transaction']")</f>
        <v>['makes it easier', 'transaction']</v>
      </c>
      <c r="D1214" s="3">
        <v>5.0</v>
      </c>
    </row>
    <row r="1215" ht="15.75" customHeight="1">
      <c r="A1215" s="1">
        <v>1282.0</v>
      </c>
      <c r="B1215" s="3" t="s">
        <v>1208</v>
      </c>
      <c r="C1215" s="3" t="str">
        <f>IFERROR(__xludf.DUMMYFUNCTION("GOOGLETRANSLATE(B1215,""id"",""en"")"),"['Telkomsel', 'mantao']")</f>
        <v>['Telkomsel', 'mantao']</v>
      </c>
      <c r="D1215" s="3">
        <v>5.0</v>
      </c>
    </row>
    <row r="1216" ht="15.75" customHeight="1">
      <c r="A1216" s="1">
        <v>1283.0</v>
      </c>
      <c r="B1216" s="3" t="s">
        <v>1209</v>
      </c>
      <c r="C1216" s="3" t="str">
        <f>IFERROR(__xludf.DUMMYFUNCTION("GOOGLETRANSLATE(B1216,""id"",""en"")"),"['Thank you', 'Telkomsel', 'happy', 'application', 'easy', 'transaction', 'MyTelkomsel']")</f>
        <v>['Thank you', 'Telkomsel', 'happy', 'application', 'easy', 'transaction', 'MyTelkomsel']</v>
      </c>
      <c r="D1216" s="3">
        <v>5.0</v>
      </c>
    </row>
    <row r="1217" ht="15.75" customHeight="1">
      <c r="A1217" s="1">
        <v>1284.0</v>
      </c>
      <c r="B1217" s="3" t="s">
        <v>1210</v>
      </c>
      <c r="C1217" s="3" t="str">
        <f>IFERROR(__xludf.DUMMYFUNCTION("GOOGLETRANSLATE(B1217,""id"",""en"")"),"['hilarious', 'list', 'lgi', 'then']")</f>
        <v>['hilarious', 'list', 'lgi', 'then']</v>
      </c>
      <c r="D1217" s="3">
        <v>1.0</v>
      </c>
    </row>
    <row r="1218" ht="15.75" customHeight="1">
      <c r="A1218" s="1">
        <v>1285.0</v>
      </c>
      <c r="B1218" s="3" t="s">
        <v>1211</v>
      </c>
      <c r="C1218" s="3" t="str">
        <f>IFERROR(__xludf.DUMMYFUNCTION("GOOGLETRANSLATE(B1218,""id"",""en"")"),"['Complete', 'promo', 'interesting']")</f>
        <v>['Complete', 'promo', 'interesting']</v>
      </c>
      <c r="D1218" s="3">
        <v>5.0</v>
      </c>
    </row>
    <row r="1219" ht="15.75" customHeight="1">
      <c r="A1219" s="1">
        <v>1286.0</v>
      </c>
      <c r="B1219" s="3" t="s">
        <v>1212</v>
      </c>
      <c r="C1219" s="3" t="str">
        <f>IFERROR(__xludf.DUMMYFUNCTION("GOOGLETRANSLATE(B1219,""id"",""en"")"),"['Help', 'information', 'pulse', 'package', 'data', 'promo']")</f>
        <v>['Help', 'information', 'pulse', 'package', 'data', 'promo']</v>
      </c>
      <c r="D1219" s="3">
        <v>5.0</v>
      </c>
    </row>
    <row r="1220" ht="15.75" customHeight="1">
      <c r="A1220" s="1">
        <v>1287.0</v>
      </c>
      <c r="B1220" s="3" t="s">
        <v>1213</v>
      </c>
      <c r="C1220" s="3" t="str">
        <f>IFERROR(__xludf.DUMMYFUNCTION("GOOGLETRANSLATE(B1220,""id"",""en"")"),"['thank', 'love', 'Telkomsel', 'help']")</f>
        <v>['thank', 'love', 'Telkomsel', 'help']</v>
      </c>
      <c r="D1220" s="3">
        <v>5.0</v>
      </c>
    </row>
    <row r="1221" ht="15.75" customHeight="1">
      <c r="A1221" s="1">
        <v>1288.0</v>
      </c>
      <c r="B1221" s="3" t="s">
        <v>1214</v>
      </c>
      <c r="C1221" s="3" t="str">
        <f>IFERROR(__xludf.DUMMYFUNCTION("GOOGLETRANSLATE(B1221,""id"",""en"")"),"['steady', 'transaction', '']")</f>
        <v>['steady', 'transaction', '']</v>
      </c>
      <c r="D1221" s="3">
        <v>5.0</v>
      </c>
    </row>
    <row r="1222" ht="15.75" customHeight="1">
      <c r="A1222" s="1">
        <v>1289.0</v>
      </c>
      <c r="B1222" s="3" t="s">
        <v>1215</v>
      </c>
      <c r="C1222" s="3" t="str">
        <f>IFERROR(__xludf.DUMMYFUNCTION("GOOGLETRANSLATE(B1222,""id"",""en"")"),"['Price', 'Package', 'Data', 'Different', 'Telkom', 'Expensive', 'Package', '']")</f>
        <v>['Price', 'Package', 'Data', 'Different', 'Telkom', 'Expensive', 'Package', '']</v>
      </c>
      <c r="D1222" s="3">
        <v>2.0</v>
      </c>
    </row>
    <row r="1223" ht="15.75" customHeight="1">
      <c r="A1223" s="1">
        <v>1290.0</v>
      </c>
      <c r="B1223" s="3" t="s">
        <v>1216</v>
      </c>
      <c r="C1223" s="3" t="str">
        <f>IFERROR(__xludf.DUMMYFUNCTION("GOOGLETRANSLATE(B1223,""id"",""en"")"),"['ngak', 'package', 'cheap']")</f>
        <v>['ngak', 'package', 'cheap']</v>
      </c>
      <c r="D1223" s="3">
        <v>4.0</v>
      </c>
    </row>
    <row r="1224" ht="15.75" customHeight="1">
      <c r="A1224" s="1">
        <v>1291.0</v>
      </c>
      <c r="B1224" s="3" t="s">
        <v>1217</v>
      </c>
      <c r="C1224" s="3" t="str">
        <f>IFERROR(__xludf.DUMMYFUNCTION("GOOGLETRANSLATE(B1224,""id"",""en"")"),"['satisfying', 'wasteful', 'pulse', 'open', 'wifi', 'see', 'rates',' internet ',' already ',' kna ',' pulse ',' trus', ' ']")</f>
        <v>['satisfying', 'wasteful', 'pulse', 'open', 'wifi', 'see', 'rates',' internet ',' already ',' kna ',' pulse ',' trus', ' ']</v>
      </c>
      <c r="D1224" s="3">
        <v>1.0</v>
      </c>
    </row>
    <row r="1225" ht="15.75" customHeight="1">
      <c r="A1225" s="1">
        <v>1292.0</v>
      </c>
      <c r="B1225" s="3" t="s">
        <v>1218</v>
      </c>
      <c r="C1225" s="3" t="str">
        <f>IFERROR(__xludf.DUMMYFUNCTION("GOOGLETRANSLATE(B1225,""id"",""en"")"),"['network', 'change', 'bad', 'slow', 'please', 'fix', 'network', 'as soon as possible', 'use', 'play', 'game', 'bad', ' network ',' signal ',' red ',' truss', 'please', 'fix', 'complement', '']")</f>
        <v>['network', 'change', 'bad', 'slow', 'please', 'fix', 'network', 'as soon as possible', 'use', 'play', 'game', 'bad', ' network ',' signal ',' red ',' truss', 'please', 'fix', 'complement', '']</v>
      </c>
      <c r="D1225" s="3">
        <v>2.0</v>
      </c>
    </row>
    <row r="1226" ht="15.75" customHeight="1">
      <c r="A1226" s="1">
        <v>1293.0</v>
      </c>
      <c r="B1226" s="3" t="s">
        <v>1219</v>
      </c>
      <c r="C1226" s="3" t="str">
        <f>IFERROR(__xludf.DUMMYFUNCTION("GOOGLETRANSLATE(B1226,""id"",""en"")"),"['topnotch']")</f>
        <v>['topnotch']</v>
      </c>
      <c r="D1226" s="3">
        <v>5.0</v>
      </c>
    </row>
    <row r="1227" ht="15.75" customHeight="1">
      <c r="A1227" s="1">
        <v>1294.0</v>
      </c>
      <c r="B1227" s="3" t="s">
        <v>1220</v>
      </c>
      <c r="C1227" s="3" t="str">
        <f>IFERROR(__xludf.DUMMYFUNCTION("GOOGLETRANSLATE(B1227,""id"",""en"")"),"['update', 'application', 'no', 'when', 'yaa']")</f>
        <v>['update', 'application', 'no', 'when', 'yaa']</v>
      </c>
      <c r="D1227" s="3">
        <v>5.0</v>
      </c>
    </row>
    <row r="1228" ht="15.75" customHeight="1">
      <c r="A1228" s="1">
        <v>1295.0</v>
      </c>
      <c r="B1228" s="3" t="s">
        <v>1221</v>
      </c>
      <c r="C1228" s="3" t="str">
        <f>IFERROR(__xludf.DUMMYFUNCTION("GOOGLETRANSLATE(B1228,""id"",""en"")"),"['signal', 'bad']")</f>
        <v>['signal', 'bad']</v>
      </c>
      <c r="D1228" s="3">
        <v>1.0</v>
      </c>
    </row>
    <row r="1229" ht="15.75" customHeight="1">
      <c r="A1229" s="1">
        <v>1296.0</v>
      </c>
      <c r="B1229" s="3" t="s">
        <v>1222</v>
      </c>
      <c r="C1229" s="3" t="str">
        <f>IFERROR(__xludf.DUMMYFUNCTION("GOOGLETRANSLATE(B1229,""id"",""en"")"),"['Package', 'Internet', 'expensive', '']")</f>
        <v>['Package', 'Internet', 'expensive', '']</v>
      </c>
      <c r="D1229" s="3">
        <v>3.0</v>
      </c>
    </row>
    <row r="1230" ht="15.75" customHeight="1">
      <c r="A1230" s="1">
        <v>1297.0</v>
      </c>
      <c r="B1230" s="3" t="s">
        <v>1223</v>
      </c>
      <c r="C1230" s="3" t="str">
        <f>IFERROR(__xludf.DUMMYFUNCTION("GOOGLETRANSLATE(B1230,""id"",""en"")"),"['Unfortunately', 'card', 'Hello', 'moved', 'number']")</f>
        <v>['Unfortunately', 'card', 'Hello', 'moved', 'number']</v>
      </c>
      <c r="D1230" s="3">
        <v>3.0</v>
      </c>
    </row>
    <row r="1231" ht="15.75" customHeight="1">
      <c r="A1231" s="1">
        <v>1298.0</v>
      </c>
      <c r="B1231" s="3" t="s">
        <v>1224</v>
      </c>
      <c r="C1231" s="3" t="str">
        <f>IFERROR(__xludf.DUMMYFUNCTION("GOOGLETRANSLATE(B1231,""id"",""en"")"),"['Thanks', 'MyTelkomsel', 'Shop', 'Shopee', 'MyTelkomsel', 'Fill', 'Credit', 'Package', 'Data', 'Thanks']")</f>
        <v>['Thanks', 'MyTelkomsel', 'Shop', 'Shopee', 'MyTelkomsel', 'Fill', 'Credit', 'Package', 'Data', 'Thanks']</v>
      </c>
      <c r="D1231" s="3">
        <v>5.0</v>
      </c>
    </row>
    <row r="1232" ht="15.75" customHeight="1">
      <c r="A1232" s="1">
        <v>1299.0</v>
      </c>
      <c r="B1232" s="3" t="s">
        <v>1225</v>
      </c>
      <c r="C1232" s="3" t="str">
        <f>IFERROR(__xludf.DUMMYFUNCTION("GOOGLETRANSLATE(B1232,""id"",""en"")"),"['Woe', 'APL', 'Kepay', 'I', 'buy', 'pulse', ""]")</f>
        <v>['Woe', 'APL', 'Kepay', 'I', 'buy', 'pulse', "]</v>
      </c>
      <c r="D1232" s="3">
        <v>1.0</v>
      </c>
    </row>
    <row r="1233" ht="15.75" customHeight="1">
      <c r="A1233" s="1">
        <v>1300.0</v>
      </c>
      <c r="B1233" s="3" t="s">
        <v>1226</v>
      </c>
      <c r="C1233" s="3" t="str">
        <f>IFERROR(__xludf.DUMMYFUNCTION("GOOGLETRANSLATE(B1233,""id"",""en"")"),"['Bagus', 'like', 'applicationx', '']")</f>
        <v>['Bagus', 'like', 'applicationx', '']</v>
      </c>
      <c r="D1233" s="3">
        <v>5.0</v>
      </c>
    </row>
    <row r="1234" ht="15.75" customHeight="1">
      <c r="A1234" s="1">
        <v>1301.0</v>
      </c>
      <c r="B1234" s="3" t="s">
        <v>1227</v>
      </c>
      <c r="C1234" s="3" t="str">
        <f>IFERROR(__xludf.DUMMYFUNCTION("GOOGLETRANSLATE(B1234,""id"",""en"")"),"['promo', 'help']")</f>
        <v>['promo', 'help']</v>
      </c>
      <c r="D1234" s="3">
        <v>5.0</v>
      </c>
    </row>
    <row r="1235" ht="15.75" customHeight="1">
      <c r="A1235" s="1">
        <v>1302.0</v>
      </c>
      <c r="B1235" s="3" t="s">
        <v>1228</v>
      </c>
      <c r="C1235" s="3" t="str">
        <f>IFERROR(__xludf.DUMMYFUNCTION("GOOGLETRANSLATE(B1235,""id"",""en"")"),"['package', 'expensive', 'changed', 'package', 'complete', 'internet', 'telephone', 'expensive']")</f>
        <v>['package', 'expensive', 'changed', 'package', 'complete', 'internet', 'telephone', 'expensive']</v>
      </c>
      <c r="D1235" s="3">
        <v>1.0</v>
      </c>
    </row>
    <row r="1236" ht="15.75" customHeight="1">
      <c r="A1236" s="1">
        <v>1303.0</v>
      </c>
      <c r="B1236" s="3" t="s">
        <v>1229</v>
      </c>
      <c r="C1236" s="3" t="str">
        <f>IFERROR(__xludf.DUMMYFUNCTION("GOOGLETRANSLATE(B1236,""id"",""en"")"),"['Package', 'combo', 'Sakti', 'number', 'already', 'no', 'severe']")</f>
        <v>['Package', 'combo', 'Sakti', 'number', 'already', 'no', 'severe']</v>
      </c>
      <c r="D1236" s="3">
        <v>1.0</v>
      </c>
    </row>
    <row r="1237" ht="15.75" customHeight="1">
      <c r="A1237" s="1">
        <v>1304.0</v>
      </c>
      <c r="B1237" s="3" t="s">
        <v>1230</v>
      </c>
      <c r="C1237" s="3" t="str">
        <f>IFERROR(__xludf.DUMMYFUNCTION("GOOGLETRANSLATE(B1237,""id"",""en"")"),"['', 'Disappointed', 'Telkomsel', 'borrow', 'pulse', 'then', 'contents',' pulse ',' emang ',' pulse ',' amb ',' right ',' fill ',' lag ',' NGK ',' Reduce ',' Reduce ',' How ',' Sin ']")</f>
        <v>['', 'Disappointed', 'Telkomsel', 'borrow', 'pulse', 'then', 'contents',' pulse ',' emang ',' pulse ',' amb ',' right ',' fill ',' lag ',' NGK ',' Reduce ',' Reduce ',' How ',' Sin ']</v>
      </c>
      <c r="D1237" s="3">
        <v>4.0</v>
      </c>
    </row>
    <row r="1238" ht="15.75" customHeight="1">
      <c r="A1238" s="1">
        <v>1305.0</v>
      </c>
      <c r="B1238" s="3" t="s">
        <v>1231</v>
      </c>
      <c r="C1238" s="3" t="str">
        <f>IFERROR(__xludf.DUMMYFUNCTION("GOOGLETRANSLATE(B1238,""id"",""en"")"),"['satisfying', 'Please', 'Package', 'Monthly', 'Cheap', 'Unlimited', 'Unlimited', 'Sexycall', 'Leading', 'Summary', 'Customer', 'Success',' Telkomsel ',' Thank you ']")</f>
        <v>['satisfying', 'Please', 'Package', 'Monthly', 'Cheap', 'Unlimited', 'Unlimited', 'Sexycall', 'Leading', 'Summary', 'Customer', 'Success',' Telkomsel ',' Thank you ']</v>
      </c>
      <c r="D1238" s="3">
        <v>5.0</v>
      </c>
    </row>
    <row r="1239" ht="15.75" customHeight="1">
      <c r="A1239" s="1">
        <v>1306.0</v>
      </c>
      <c r="B1239" s="3" t="s">
        <v>1232</v>
      </c>
      <c r="C1239" s="3" t="str">
        <f>IFERROR(__xludf.DUMMYFUNCTION("GOOGLETRANSLATE(B1239,""id"",""en"")"),"['My heart', 'happy', ""]")</f>
        <v>['My heart', 'happy', "]</v>
      </c>
      <c r="D1239" s="3">
        <v>5.0</v>
      </c>
    </row>
    <row r="1240" ht="15.75" customHeight="1">
      <c r="A1240" s="1">
        <v>1307.0</v>
      </c>
      <c r="B1240" s="3" t="s">
        <v>1233</v>
      </c>
      <c r="C1240" s="3" t="str">
        <f>IFERROR(__xludf.DUMMYFUNCTION("GOOGLETRANSLATE(B1240,""id"",""en"")"),"['buy', 'quota', 'internet', 'easy', 'fast', 'hrs', 'home', 'top', 'mytelkomsel', 'mytelkomsel', '']")</f>
        <v>['buy', 'quota', 'internet', 'easy', 'fast', 'hrs', 'home', 'top', 'mytelkomsel', 'mytelkomsel', '']</v>
      </c>
      <c r="D1240" s="3">
        <v>4.0</v>
      </c>
    </row>
    <row r="1241" ht="15.75" customHeight="1">
      <c r="A1241" s="1">
        <v>1308.0</v>
      </c>
      <c r="B1241" s="3" t="s">
        <v>1234</v>
      </c>
      <c r="C1241" s="3" t="str">
        <f>IFERROR(__xludf.DUMMYFUNCTION("GOOGLETRANSLATE(B1241,""id"",""en"")"),"['Sorry', 'yaa', 'KNPA', 'every contents',' package ',' internet ',' option ',' package ',' internet ',' just ',' internet ',' night ',' giga ',' max ',' music ',' strange ',' upgrade ',' apk ',' sad ',' disappointed ',' duh ',' gymnaa ',' zoom ',' conten"&amp;"ts' , 'package', '']")</f>
        <v>['Sorry', 'yaa', 'KNPA', 'every contents',' package ',' internet ',' option ',' package ',' internet ',' just ',' internet ',' night ',' giga ',' max ',' music ',' strange ',' upgrade ',' apk ',' sad ',' disappointed ',' duh ',' gymnaa ',' zoom ',' contents' , 'package', '']</v>
      </c>
      <c r="D1241" s="3">
        <v>1.0</v>
      </c>
    </row>
    <row r="1242" ht="15.75" customHeight="1">
      <c r="A1242" s="1">
        <v>1309.0</v>
      </c>
      <c r="B1242" s="3" t="s">
        <v>1235</v>
      </c>
      <c r="C1242" s="3" t="str">
        <f>IFERROR(__xludf.DUMMYFUNCTION("GOOGLETRANSLATE(B1242,""id"",""en"")"),"['Good', 'Bangat', 'skali', 'skali', 'love', 'kouta', 'free']")</f>
        <v>['Good', 'Bangat', 'skali', 'skali', 'love', 'kouta', 'free']</v>
      </c>
      <c r="D1242" s="3">
        <v>5.0</v>
      </c>
    </row>
    <row r="1243" ht="15.75" customHeight="1">
      <c r="A1243" s="1">
        <v>1310.0</v>
      </c>
      <c r="B1243" s="3" t="s">
        <v>1236</v>
      </c>
      <c r="C1243" s="3" t="str">
        <f>IFERROR(__xludf.DUMMYFUNCTION("GOOGLETRANSLATE(B1243,""id"",""en"")"),"['It's easy', 'buy', 'check', 'pulse', 'etc.', 'help', '']")</f>
        <v>['It's easy', 'buy', 'check', 'pulse', 'etc.', 'help', '']</v>
      </c>
      <c r="D1243" s="3">
        <v>5.0</v>
      </c>
    </row>
    <row r="1244" ht="15.75" customHeight="1">
      <c r="A1244" s="1">
        <v>1312.0</v>
      </c>
      <c r="B1244" s="3" t="s">
        <v>1237</v>
      </c>
      <c r="C1244" s="3" t="str">
        <f>IFERROR(__xludf.DUMMYFUNCTION("GOOGLETRANSLATE(B1244,""id"",""en"")"),"['KNV', 'Application', 'Telkomsel', 'Difficult', 'Open', 'Disruption', 'ATW', 'GMNA']")</f>
        <v>['KNV', 'Application', 'Telkomsel', 'Difficult', 'Open', 'Disruption', 'ATW', 'GMNA']</v>
      </c>
      <c r="D1244" s="3">
        <v>4.0</v>
      </c>
    </row>
    <row r="1245" ht="15.75" customHeight="1">
      <c r="A1245" s="1">
        <v>1313.0</v>
      </c>
      <c r="B1245" s="3" t="s">
        <v>1238</v>
      </c>
      <c r="C1245" s="3" t="str">
        <f>IFERROR(__xludf.DUMMYFUNCTION("GOOGLETRANSLATE(B1245,""id"",""en"")"),"['Helping', 'satisfying', ""]")</f>
        <v>['Helping', 'satisfying', "]</v>
      </c>
      <c r="D1245" s="3">
        <v>5.0</v>
      </c>
    </row>
    <row r="1246" ht="15.75" customHeight="1">
      <c r="A1246" s="1">
        <v>1314.0</v>
      </c>
      <c r="B1246" s="3" t="s">
        <v>1239</v>
      </c>
      <c r="C1246" s="3" t="str">
        <f>IFERROR(__xludf.DUMMYFUNCTION("GOOGLETRANSLATE(B1246,""id"",""en"")"),"['Applikasih', 'please', 'diginian', 'yrs', 'user', 'application', '']")</f>
        <v>['Applikasih', 'please', 'diginian', 'yrs', 'user', 'application', '']</v>
      </c>
      <c r="D1246" s="3">
        <v>4.0</v>
      </c>
    </row>
    <row r="1247" ht="15.75" customHeight="1">
      <c r="A1247" s="1">
        <v>1315.0</v>
      </c>
      <c r="B1247" s="3" t="s">
        <v>1240</v>
      </c>
      <c r="C1247" s="3" t="str">
        <f>IFERROR(__xludf.DUMMYFUNCTION("GOOGLETRANSLATE(B1247,""id"",""en"")"),"['Telkomsel', 'frequency', 'sucked', 'pulse', 'pulse', 'missing', 'troubling']")</f>
        <v>['Telkomsel', 'frequency', 'sucked', 'pulse', 'pulse', 'missing', 'troubling']</v>
      </c>
      <c r="D1247" s="3">
        <v>1.0</v>
      </c>
    </row>
    <row r="1248" ht="15.75" customHeight="1">
      <c r="A1248" s="1">
        <v>1316.0</v>
      </c>
      <c r="B1248" s="3" t="s">
        <v>996</v>
      </c>
      <c r="C1248" s="3" t="str">
        <f>IFERROR(__xludf.DUMMYFUNCTION("GOOGLETRANSLATE(B1248,""id"",""en"")"),"['Application', 'Good', '']")</f>
        <v>['Application', 'Good', '']</v>
      </c>
      <c r="D1248" s="3">
        <v>5.0</v>
      </c>
    </row>
    <row r="1249" ht="15.75" customHeight="1">
      <c r="A1249" s="1">
        <v>1317.0</v>
      </c>
      <c r="B1249" s="3" t="s">
        <v>1241</v>
      </c>
      <c r="C1249" s="3" t="str">
        <f>IFERROR(__xludf.DUMMYFUNCTION("GOOGLETRANSLATE(B1249,""id"",""en"")"),"['Love', 'Bintang', 'Sorry', 'Sinyal', 'Like', 'ugly', 'Region', 'CPI', 'Soreang']")</f>
        <v>['Love', 'Bintang', 'Sorry', 'Sinyal', 'Like', 'ugly', 'Region', 'CPI', 'Soreang']</v>
      </c>
      <c r="D1249" s="3">
        <v>3.0</v>
      </c>
    </row>
    <row r="1250" ht="15.75" customHeight="1">
      <c r="A1250" s="1">
        <v>1318.0</v>
      </c>
      <c r="B1250" s="3" t="s">
        <v>1242</v>
      </c>
      <c r="C1250" s="3" t="str">
        <f>IFERROR(__xludf.DUMMYFUNCTION("GOOGLETRANSLATE(B1250,""id"",""en"")"),"['Please', 'quota', 'zero', 'sucked', 'pulse']")</f>
        <v>['Please', 'quota', 'zero', 'sucked', 'pulse']</v>
      </c>
      <c r="D1250" s="3">
        <v>1.0</v>
      </c>
    </row>
    <row r="1251" ht="15.75" customHeight="1">
      <c r="A1251" s="1">
        <v>1319.0</v>
      </c>
      <c r="B1251" s="3" t="s">
        <v>1243</v>
      </c>
      <c r="C1251" s="3" t="str">
        <f>IFERROR(__xludf.DUMMYFUNCTION("GOOGLETRANSLATE(B1251,""id"",""en"")"),"['', 'flow', 'electricity', 'dead', 'signal', 'Telkomsel', '']")</f>
        <v>['', 'flow', 'electricity', 'dead', 'signal', 'Telkomsel', '']</v>
      </c>
      <c r="D1251" s="3">
        <v>1.0</v>
      </c>
    </row>
    <row r="1252" ht="15.75" customHeight="1">
      <c r="A1252" s="1">
        <v>1320.0</v>
      </c>
      <c r="B1252" s="3" t="s">
        <v>1244</v>
      </c>
      <c r="C1252" s="3" t="str">
        <f>IFERROR(__xludf.DUMMYFUNCTION("GOOGLETRANSLATE(B1252,""id"",""en"")"),"['Sorry', 'Telkomsel', 'finished', 'kpn', 'bln', 'signal', 'missing', 'koq', 'severe', '']")</f>
        <v>['Sorry', 'Telkomsel', 'finished', 'kpn', 'bln', 'signal', 'missing', 'koq', 'severe', '']</v>
      </c>
      <c r="D1252" s="3">
        <v>1.0</v>
      </c>
    </row>
    <row r="1253" ht="15.75" customHeight="1">
      <c r="A1253" s="1">
        <v>1321.0</v>
      </c>
      <c r="B1253" s="3" t="s">
        <v>1245</v>
      </c>
      <c r="C1253" s="3" t="str">
        <f>IFERROR(__xludf.DUMMYFUNCTION("GOOGLETRANSLATE(B1253,""id"",""en"")"),"['', 'Telkomsel', 'help']")</f>
        <v>['', 'Telkomsel', 'help']</v>
      </c>
      <c r="D1253" s="3">
        <v>5.0</v>
      </c>
    </row>
    <row r="1254" ht="15.75" customHeight="1">
      <c r="A1254" s="1">
        <v>1322.0</v>
      </c>
      <c r="B1254" s="3" t="s">
        <v>1246</v>
      </c>
      <c r="C1254" s="3" t="str">
        <f>IFERROR(__xludf.DUMMYFUNCTION("GOOGLETRANSLATE(B1254,""id"",""en"")"),"['spirit', 'check', 'Telkomsel', 'hope', 'brilio']")</f>
        <v>['spirit', 'check', 'Telkomsel', 'hope', 'brilio']</v>
      </c>
      <c r="D1254" s="3">
        <v>5.0</v>
      </c>
    </row>
    <row r="1255" ht="15.75" customHeight="1">
      <c r="A1255" s="1">
        <v>1323.0</v>
      </c>
      <c r="B1255" s="3" t="s">
        <v>1247</v>
      </c>
      <c r="C1255" s="3" t="str">
        <f>IFERROR(__xludf.DUMMYFUNCTION("GOOGLETRANSLATE(B1255,""id"",""en"")"),"['', 'Telkomsel', 'users', 'Telkomsel', 'difficult', 'updated', 'diversified', '']")</f>
        <v>['', 'Telkomsel', 'users', 'Telkomsel', 'difficult', 'updated', 'diversified', '']</v>
      </c>
      <c r="D1255" s="3">
        <v>5.0</v>
      </c>
    </row>
    <row r="1256" ht="15.75" customHeight="1">
      <c r="A1256" s="1">
        <v>1324.0</v>
      </c>
      <c r="B1256" s="3" t="s">
        <v>1248</v>
      </c>
      <c r="C1256" s="3" t="str">
        <f>IFERROR(__xludf.DUMMYFUNCTION("GOOGLETRANSLATE(B1256,""id"",""en"")"),"['Sympathy', 'Low', 'Signal']")</f>
        <v>['Sympathy', 'Low', 'Signal']</v>
      </c>
      <c r="D1256" s="3">
        <v>5.0</v>
      </c>
    </row>
    <row r="1257" ht="15.75" customHeight="1">
      <c r="A1257" s="1">
        <v>1325.0</v>
      </c>
      <c r="B1257" s="3" t="s">
        <v>1249</v>
      </c>
      <c r="C1257" s="3" t="str">
        <f>IFERROR(__xludf.DUMMYFUNCTION("GOOGLETRANSLATE(B1257,""id"",""en"")"),"['love', 'star', 'because' easy ',' use ',' while ',' hope ',' network ',' Telkomsel ',' righteah ',' smooth ',' because ',' Many ',' Pngguna ',' Tsel ',' Plosok ',' Different ',' Dangan ',' Network ',' Trim ',' Tsel ',' Terjaya ',' Slalu ', ""]")</f>
        <v>['love', 'star', 'because' easy ',' use ',' while ',' hope ',' network ',' Telkomsel ',' righteah ',' smooth ',' because ',' Many ',' Pngguna ',' Tsel ',' Plosok ',' Different ',' Dangan ',' Network ',' Trim ',' Tsel ',' Terjaya ',' Slalu ', "]</v>
      </c>
      <c r="D1257" s="3">
        <v>5.0</v>
      </c>
    </row>
    <row r="1258" ht="15.75" customHeight="1">
      <c r="A1258" s="1">
        <v>1326.0</v>
      </c>
      <c r="B1258" s="3" t="s">
        <v>1250</v>
      </c>
      <c r="C1258" s="3" t="str">
        <f>IFERROR(__xludf.DUMMYFUNCTION("GOOGLETRANSLATE(B1258,""id"",""en"")"),"['Network', 'Kek', 'Taikkkk', ""]")</f>
        <v>['Network', 'Kek', 'Taikkkk', "]</v>
      </c>
      <c r="D1258" s="3">
        <v>1.0</v>
      </c>
    </row>
    <row r="1259" ht="15.75" customHeight="1">
      <c r="A1259" s="1">
        <v>1327.0</v>
      </c>
      <c r="B1259" s="3" t="s">
        <v>1251</v>
      </c>
      <c r="C1259" s="3" t="str">
        <f>IFERROR(__xludf.DUMMYFUNCTION("GOOGLETRANSLATE(B1259,""id"",""en"")"),"['Promo', 'yach']")</f>
        <v>['Promo', 'yach']</v>
      </c>
      <c r="D1259" s="3">
        <v>5.0</v>
      </c>
    </row>
    <row r="1260" ht="15.75" customHeight="1">
      <c r="A1260" s="1">
        <v>1328.0</v>
      </c>
      <c r="B1260" s="3" t="s">
        <v>1252</v>
      </c>
      <c r="C1260" s="3" t="str">
        <f>IFERROR(__xludf.DUMMYFUNCTION("GOOGLETRANSLATE(B1260,""id"",""en"")"),"['Good', 'darling', 'lottery']")</f>
        <v>['Good', 'darling', 'lottery']</v>
      </c>
      <c r="D1260" s="3">
        <v>2.0</v>
      </c>
    </row>
    <row r="1261" ht="15.75" customHeight="1">
      <c r="A1261" s="1">
        <v>1330.0</v>
      </c>
      <c r="B1261" s="3" t="s">
        <v>1253</v>
      </c>
      <c r="C1261" s="3" t="str">
        <f>IFERROR(__xludf.DUMMYFUNCTION("GOOGLETRANSLATE(B1261,""id"",""en"")"),"['Price', 'quota', 'enter', 'sense', ""]")</f>
        <v>['Price', 'quota', 'enter', 'sense', "]</v>
      </c>
      <c r="D1261" s="3">
        <v>1.0</v>
      </c>
    </row>
    <row r="1262" ht="15.75" customHeight="1">
      <c r="A1262" s="1">
        <v>1331.0</v>
      </c>
      <c r="B1262" s="3" t="s">
        <v>1254</v>
      </c>
      <c r="C1262" s="3" t="str">
        <f>IFERROR(__xludf.DUMMYFUNCTION("GOOGLETRANSLATE(B1262,""id"",""en"")"),"['poor', 'quota', 'multimedia', 'slow', 'customer', 'Mersa', 'disappointed', '']")</f>
        <v>['poor', 'quota', 'multimedia', 'slow', 'customer', 'Mersa', 'disappointed', '']</v>
      </c>
      <c r="D1262" s="3">
        <v>1.0</v>
      </c>
    </row>
    <row r="1263" ht="15.75" customHeight="1">
      <c r="A1263" s="1">
        <v>1332.0</v>
      </c>
      <c r="B1263" s="3" t="s">
        <v>1255</v>
      </c>
      <c r="C1263" s="3" t="str">
        <f>IFERROR(__xludf.DUMMYFUNCTION("GOOGLETRANSLATE(B1263,""id"",""en"")"),"['Thank you', 'Telkomsel', 'Save', 'usage', 'data', 'easy', 'cheap']")</f>
        <v>['Thank you', 'Telkomsel', 'Save', 'usage', 'data', 'easy', 'cheap']</v>
      </c>
      <c r="D1263" s="3">
        <v>5.0</v>
      </c>
    </row>
    <row r="1264" ht="15.75" customHeight="1">
      <c r="A1264" s="1">
        <v>1333.0</v>
      </c>
      <c r="B1264" s="3" t="s">
        <v>1256</v>
      </c>
      <c r="C1264" s="3" t="str">
        <f>IFERROR(__xludf.DUMMYFUNCTION("GOOGLETRANSLATE(B1264,""id"",""en"")"),"['fasting', 'MyTelkomsel', 'makes it easier', 'Sya', ""]")</f>
        <v>['fasting', 'MyTelkomsel', 'makes it easier', 'Sya', "]</v>
      </c>
      <c r="D1264" s="3">
        <v>5.0</v>
      </c>
    </row>
    <row r="1265" ht="15.75" customHeight="1">
      <c r="A1265" s="1">
        <v>1334.0</v>
      </c>
      <c r="B1265" s="3" t="s">
        <v>1257</v>
      </c>
      <c r="C1265" s="3" t="str">
        <f>IFERROR(__xludf.DUMMYFUNCTION("GOOGLETRANSLATE(B1265,""id"",""en"")"),"['Great', 'package', 'night', 'diseased', 'Tomorrow', 'Rijassin']")</f>
        <v>['Great', 'package', 'night', 'diseased', 'Tomorrow', 'Rijassin']</v>
      </c>
      <c r="D1265" s="3">
        <v>1.0</v>
      </c>
    </row>
    <row r="1266" ht="15.75" customHeight="1">
      <c r="A1266" s="1">
        <v>1336.0</v>
      </c>
      <c r="B1266" s="3" t="s">
        <v>1258</v>
      </c>
      <c r="C1266" s="3" t="str">
        <f>IFERROR(__xludf.DUMMYFUNCTION("GOOGLETRANSLATE(B1266,""id"",""en"")"),"['Good', 'app', 'like', 'sometimes', 'package', 'missing', 'update']")</f>
        <v>['Good', 'app', 'like', 'sometimes', 'package', 'missing', 'update']</v>
      </c>
      <c r="D1266" s="3">
        <v>5.0</v>
      </c>
    </row>
    <row r="1267" ht="15.75" customHeight="1">
      <c r="A1267" s="1">
        <v>1337.0</v>
      </c>
      <c r="B1267" s="3" t="s">
        <v>1259</v>
      </c>
      <c r="C1267" s="3" t="str">
        <f>IFERROR(__xludf.DUMMYFUNCTION("GOOGLETRANSLATE(B1267,""id"",""en"")"),"['use', 'smartphone', 'xiaomi', 'redmi', 'prime', 'skrg', 'upgrade', 'use', 'xiaomi', 'redmi', 'ram', 'Rom', ' GB ',' GB ',' May ',' second ',' Application ',' Walking ',' Light ',' Seamless', 'Constraints',' Daily ',' Check ',' Karna ',' Use ' , 'card', "&amp;"'Tsel', 'switch', 'card', 'loading', 'initiative', 'closed', 'application', 'open', 'direct', 'joss',' managed ',' Current ',' MMG ',' APP ',' Suitable ',' recommended ',' smartphone ',' Powerful ',' cans', 'can', ""]")</f>
        <v>['use', 'smartphone', 'xiaomi', 'redmi', 'prime', 'skrg', 'upgrade', 'use', 'xiaomi', 'redmi', 'ram', 'Rom', ' GB ',' GB ',' May ',' second ',' Application ',' Walking ',' Light ',' Seamless', 'Constraints',' Daily ',' Check ',' Karna ',' Use ' , 'card', 'Tsel', 'switch', 'card', 'loading', 'initiative', 'closed', 'application', 'open', 'direct', 'joss',' managed ',' Current ',' MMG ',' APP ',' Suitable ',' recommended ',' smartphone ',' Powerful ',' cans', 'can', "]</v>
      </c>
      <c r="D1267" s="3">
        <v>5.0</v>
      </c>
    </row>
    <row r="1268" ht="15.75" customHeight="1">
      <c r="A1268" s="1">
        <v>1338.0</v>
      </c>
      <c r="B1268" s="3" t="s">
        <v>1260</v>
      </c>
      <c r="C1268" s="3" t="str">
        <f>IFERROR(__xludf.DUMMYFUNCTION("GOOGLETRANSLATE(B1268,""id"",""en"")"),"['expensive', 'expensive', 'price']")</f>
        <v>['expensive', 'expensive', 'price']</v>
      </c>
      <c r="D1268" s="3">
        <v>5.0</v>
      </c>
    </row>
    <row r="1269" ht="15.75" customHeight="1">
      <c r="A1269" s="1">
        <v>1339.0</v>
      </c>
      <c r="B1269" s="3" t="s">
        <v>1261</v>
      </c>
      <c r="C1269" s="3" t="str">
        <f>IFERROR(__xludf.DUMMYFUNCTION("GOOGLETRANSLATE(B1269,""id"",""en"")"),"['Sya', 'helped']")</f>
        <v>['Sya', 'helped']</v>
      </c>
      <c r="D1269" s="3">
        <v>5.0</v>
      </c>
    </row>
    <row r="1270" ht="15.75" customHeight="1">
      <c r="A1270" s="1">
        <v>1340.0</v>
      </c>
      <c r="B1270" s="3" t="s">
        <v>1262</v>
      </c>
      <c r="C1270" s="3" t="str">
        <f>IFERROR(__xludf.DUMMYFUNCTION("GOOGLETRANSLATE(B1270,""id"",""en"")"),"['Service', 'satisfying']")</f>
        <v>['Service', 'satisfying']</v>
      </c>
      <c r="D1270" s="3">
        <v>4.0</v>
      </c>
    </row>
    <row r="1271" ht="15.75" customHeight="1">
      <c r="A1271" s="1">
        <v>1341.0</v>
      </c>
      <c r="B1271" s="3" t="s">
        <v>1263</v>
      </c>
      <c r="C1271" s="3" t="str">
        <f>IFERROR(__xludf.DUMMYFUNCTION("GOOGLETRANSLATE(B1271,""id"",""en"")"),"['Card', 'Solley', 'Sousal', 'ugly', 'really', 'Change', 'Indosat', 'Since', 'Tower', 'Telkomsel', 'home', 'card', ' Indosat ',' ugly ',' signal ',' as soon as', 'buy', 'quota', 'Telkomsel', 'expensive', 'really', 'fast', 'abis',' indosat ',' buy ' , 'Tel"&amp;"komsel', 'buy', 'nyanpe', 'a week', 'abis',' expensive ',' really ',' meras', 'collapse', 'price', 'package', 'base', ' Telkomsel ',' poor ',' expensive ',' doang ']")</f>
        <v>['Card', 'Solley', 'Sousal', 'ugly', 'really', 'Change', 'Indosat', 'Since', 'Tower', 'Telkomsel', 'home', 'card', ' Indosat ',' ugly ',' signal ',' as soon as', 'buy', 'quota', 'Telkomsel', 'expensive', 'really', 'fast', 'abis',' indosat ',' buy ' , 'Telkomsel', 'buy', 'nyanpe', 'a week', 'abis',' expensive ',' really ',' meras', 'collapse', 'price', 'package', 'base', ' Telkomsel ',' poor ',' expensive ',' doang ']</v>
      </c>
      <c r="D1271" s="3">
        <v>1.0</v>
      </c>
    </row>
    <row r="1272" ht="15.75" customHeight="1">
      <c r="A1272" s="1">
        <v>1342.0</v>
      </c>
      <c r="B1272" s="3" t="s">
        <v>1264</v>
      </c>
      <c r="C1272" s="3" t="str">
        <f>IFERROR(__xludf.DUMMYFUNCTION("GOOGLETRANSLATE(B1272,""id"",""en"")"),"['Slow', 'really', 'open', 'the application', 'love', 'star', 'already', 'fast', 'love', ""]")</f>
        <v>['Slow', 'really', 'open', 'the application', 'love', 'star', 'already', 'fast', 'love', "]</v>
      </c>
      <c r="D1272" s="3">
        <v>3.0</v>
      </c>
    </row>
    <row r="1273" ht="15.75" customHeight="1">
      <c r="A1273" s="1">
        <v>1343.0</v>
      </c>
      <c r="B1273" s="3" t="s">
        <v>1265</v>
      </c>
      <c r="C1273" s="3" t="str">
        <f>IFERROR(__xludf.DUMMYFUNCTION("GOOGLETRANSLATE(B1273,""id"",""en"")"),"['', 'Lotten', 'discon', '']")</f>
        <v>['', 'Lotten', 'discon', '']</v>
      </c>
      <c r="D1273" s="3">
        <v>5.0</v>
      </c>
    </row>
    <row r="1274" ht="15.75" customHeight="1">
      <c r="A1274" s="1">
        <v>1344.0</v>
      </c>
      <c r="B1274" s="3" t="s">
        <v>1266</v>
      </c>
      <c r="C1274" s="3" t="str">
        <f>IFERROR(__xludf.DUMMYFUNCTION("GOOGLETRANSLATE(B1274,""id"",""en"")"),"['Increase', 'promosiny']")</f>
        <v>['Increase', 'promosiny']</v>
      </c>
      <c r="D1274" s="3">
        <v>5.0</v>
      </c>
    </row>
    <row r="1275" ht="15.75" customHeight="1">
      <c r="A1275" s="1">
        <v>1345.0</v>
      </c>
      <c r="B1275" s="3" t="s">
        <v>1267</v>
      </c>
      <c r="C1275" s="3" t="str">
        <f>IFERROR(__xludf.DUMMYFUNCTION("GOOGLETRANSLATE(B1275,""id"",""en"")"),"['Nomer', 'Telkomsel', 'offered', 'Hello', 'postpaid', 'Take', 'The reason', 'prepaid', 'package', 'run out', 'Credit', 'auto', ' Zero ',' Sumpot ',' Internet ',' on ',' Provider ',' Pinter ',' Package ',' Out ',' Internet ',' Dead ',' Credit ',' Taken ',"&amp;"' Postpaid ' , 'Pay', 'Make', 'Internet', 'Life', 'Dipake', 'Except', 'Jadiin', 'cellphone', 'iron', 'yaudah', 'enjoyed', 'Nyari', ' expensive ',' Select ',' Telkomsel ',' Select ',' Quality ',' Cheap ',' ']")</f>
        <v>['Nomer', 'Telkomsel', 'offered', 'Hello', 'postpaid', 'Take', 'The reason', 'prepaid', 'package', 'run out', 'Credit', 'auto', ' Zero ',' Sumpot ',' Internet ',' on ',' Provider ',' Pinter ',' Package ',' Out ',' Internet ',' Dead ',' Credit ',' Taken ',' Postpaid ' , 'Pay', 'Make', 'Internet', 'Life', 'Dipake', 'Except', 'Jadiin', 'cellphone', 'iron', 'yaudah', 'enjoyed', 'Nyari', ' expensive ',' Select ',' Telkomsel ',' Select ',' Quality ',' Cheap ',' ']</v>
      </c>
      <c r="D1275" s="3">
        <v>1.0</v>
      </c>
    </row>
    <row r="1276" ht="15.75" customHeight="1">
      <c r="A1276" s="1">
        <v>1346.0</v>
      </c>
      <c r="B1276" s="3" t="s">
        <v>1268</v>
      </c>
      <c r="C1276" s="3" t="str">
        <f>IFERROR(__xludf.DUMMYFUNCTION("GOOGLETRANSLATE(B1276,""id"",""en"")"),"['Sip', 'steady', 'guys']")</f>
        <v>['Sip', 'steady', 'guys']</v>
      </c>
      <c r="D1276" s="3">
        <v>5.0</v>
      </c>
    </row>
    <row r="1277" ht="15.75" customHeight="1">
      <c r="A1277" s="1">
        <v>1347.0</v>
      </c>
      <c r="B1277" s="3" t="s">
        <v>1269</v>
      </c>
      <c r="C1277" s="3" t="str">
        <f>IFERROR(__xludf.DUMMYFUNCTION("GOOGLETRANSLATE(B1277,""id"",""en"")"),"['Application', 'HARD', 'SKLI', 'Open', 'Come Come', 'Application', 'Severe', 'Telkomsel']")</f>
        <v>['Application', 'HARD', 'SKLI', 'Open', 'Come Come', 'Application', 'Severe', 'Telkomsel']</v>
      </c>
      <c r="D1277" s="3">
        <v>2.0</v>
      </c>
    </row>
    <row r="1278" ht="15.75" customHeight="1">
      <c r="A1278" s="1">
        <v>1348.0</v>
      </c>
      <c r="B1278" s="3" t="s">
        <v>1270</v>
      </c>
      <c r="C1278" s="3" t="str">
        <f>IFERROR(__xludf.DUMMYFUNCTION("GOOGLETRANSLATE(B1278,""id"",""en"")"),"['signal', 'good', 'compare', 'price', 'expensive', 'quality']")</f>
        <v>['signal', 'good', 'compare', 'price', 'expensive', 'quality']</v>
      </c>
      <c r="D1278" s="3">
        <v>5.0</v>
      </c>
    </row>
    <row r="1279" ht="15.75" customHeight="1">
      <c r="A1279" s="1">
        <v>1350.0</v>
      </c>
      <c r="B1279" s="3" t="s">
        <v>1271</v>
      </c>
      <c r="C1279" s="3" t="str">
        <f>IFERROR(__xludf.DUMMYFUNCTION("GOOGLETRANSLATE(B1279,""id"",""en"")"),"['thank', 'love', 'Telkomsel']")</f>
        <v>['thank', 'love', 'Telkomsel']</v>
      </c>
      <c r="D1279" s="3">
        <v>4.0</v>
      </c>
    </row>
    <row r="1280" ht="15.75" customHeight="1">
      <c r="A1280" s="1">
        <v>1351.0</v>
      </c>
      <c r="B1280" s="3" t="s">
        <v>1272</v>
      </c>
      <c r="C1280" s="3" t="str">
        <f>IFERROR(__xludf.DUMMYFUNCTION("GOOGLETRANSLATE(B1280,""id"",""en"")"),"['cheap expensive', '']")</f>
        <v>['cheap expensive', '']</v>
      </c>
      <c r="D1280" s="3">
        <v>2.0</v>
      </c>
    </row>
    <row r="1281" ht="15.75" customHeight="1">
      <c r="A1281" s="1">
        <v>1352.0</v>
      </c>
      <c r="B1281" s="3" t="s">
        <v>1273</v>
      </c>
      <c r="C1281" s="3" t="str">
        <f>IFERROR(__xludf.DUMMYFUNCTION("GOOGLETRANSLATE(B1281,""id"",""en"")"),"['Star', 'Talk']")</f>
        <v>['Star', 'Talk']</v>
      </c>
      <c r="D1281" s="3">
        <v>4.0</v>
      </c>
    </row>
    <row r="1282" ht="15.75" customHeight="1">
      <c r="A1282" s="1">
        <v>1353.0</v>
      </c>
      <c r="B1282" s="3" t="s">
        <v>1274</v>
      </c>
      <c r="C1282" s="3" t="str">
        <f>IFERROR(__xludf.DUMMYFUNCTION("GOOGLETRANSLATE(B1282,""id"",""en"")"),"['Help', 'hope', 'developed', 'best', 'customer', 'stingy', '']")</f>
        <v>['Help', 'hope', 'developed', 'best', 'customer', 'stingy', '']</v>
      </c>
      <c r="D1282" s="3">
        <v>5.0</v>
      </c>
    </row>
    <row r="1283" ht="15.75" customHeight="1">
      <c r="A1283" s="1">
        <v>1354.0</v>
      </c>
      <c r="B1283" s="3" t="s">
        <v>1275</v>
      </c>
      <c r="C1283" s="3" t="str">
        <f>IFERROR(__xludf.DUMMYFUNCTION("GOOGLETRANSLATE(B1283,""id"",""en"")"),"['package', 'expensive', 'please', 'return', 'combo', 'unlimited', 'need', 'package', 'internet', 'price', 'expensive', '']")</f>
        <v>['package', 'expensive', 'please', 'return', 'combo', 'unlimited', 'need', 'package', 'internet', 'price', 'expensive', '']</v>
      </c>
      <c r="D1283" s="3">
        <v>1.0</v>
      </c>
    </row>
    <row r="1284" ht="15.75" customHeight="1">
      <c r="A1284" s="1">
        <v>1355.0</v>
      </c>
      <c r="B1284" s="3" t="s">
        <v>1276</v>
      </c>
      <c r="C1284" s="3" t="str">
        <f>IFERROR(__xludf.DUMMYFUNCTION("GOOGLETRANSLATE(B1284,""id"",""en"")"),"['', 'Support', 'Android', 'Install']")</f>
        <v>['', 'Support', 'Android', 'Install']</v>
      </c>
      <c r="D1284" s="3">
        <v>1.0</v>
      </c>
    </row>
    <row r="1285" ht="15.75" customHeight="1">
      <c r="A1285" s="1">
        <v>1356.0</v>
      </c>
      <c r="B1285" s="3" t="s">
        <v>1277</v>
      </c>
      <c r="C1285" s="3" t="str">
        <f>IFERROR(__xludf.DUMMYFUNCTION("GOOGLETRANSLATE(B1285,""id"",""en"")"),"['Alhamdulillah', 'emang', 'Telkomsel', 'cheap', 'package', 'data']")</f>
        <v>['Alhamdulillah', 'emang', 'Telkomsel', 'cheap', 'package', 'data']</v>
      </c>
      <c r="D1285" s="3">
        <v>5.0</v>
      </c>
    </row>
    <row r="1286" ht="15.75" customHeight="1">
      <c r="A1286" s="1">
        <v>1357.0</v>
      </c>
      <c r="B1286" s="3" t="s">
        <v>1278</v>
      </c>
      <c r="C1286" s="3" t="str">
        <f>IFERROR(__xludf.DUMMYFUNCTION("GOOGLETRANSLATE(B1286,""id"",""en"")"),"['It's easy', 'in', 'use', '']")</f>
        <v>['It's easy', 'in', 'use', '']</v>
      </c>
      <c r="D1286" s="3">
        <v>5.0</v>
      </c>
    </row>
    <row r="1287" ht="15.75" customHeight="1">
      <c r="A1287" s="1">
        <v>1359.0</v>
      </c>
      <c r="B1287" s="3" t="s">
        <v>1279</v>
      </c>
      <c r="C1287" s="3" t="str">
        <f>IFERROR(__xludf.DUMMYFUNCTION("GOOGLETRANSLATE(B1287,""id"",""en"")"),"['Gift', 'user']")</f>
        <v>['Gift', 'user']</v>
      </c>
      <c r="D1287" s="3">
        <v>5.0</v>
      </c>
    </row>
    <row r="1288" ht="15.75" customHeight="1">
      <c r="A1288" s="1">
        <v>1360.0</v>
      </c>
      <c r="B1288" s="3" t="s">
        <v>1280</v>
      </c>
      <c r="C1288" s="3" t="str">
        <f>IFERROR(__xludf.DUMMYFUNCTION("GOOGLETRANSLATE(B1288,""id"",""en"")"),"['Loging']")</f>
        <v>['Loging']</v>
      </c>
      <c r="D1288" s="3">
        <v>2.0</v>
      </c>
    </row>
    <row r="1289" ht="15.75" customHeight="1">
      <c r="A1289" s="1">
        <v>1361.0</v>
      </c>
      <c r="B1289" s="3" t="s">
        <v>800</v>
      </c>
      <c r="C1289" s="3" t="str">
        <f>IFERROR(__xludf.DUMMYFUNCTION("GOOGLETRANSLATE(B1289,""id"",""en"")"),"['Promo']")</f>
        <v>['Promo']</v>
      </c>
      <c r="D1289" s="3">
        <v>5.0</v>
      </c>
    </row>
    <row r="1290" ht="15.75" customHeight="1">
      <c r="A1290" s="1">
        <v>1362.0</v>
      </c>
      <c r="B1290" s="3" t="s">
        <v>1281</v>
      </c>
      <c r="C1290" s="3" t="str">
        <f>IFERROR(__xludf.DUMMYFUNCTION("GOOGLETRANSLATE(B1290,""id"",""en"")"),"['helped', 'easy', 'affordable']")</f>
        <v>['helped', 'easy', 'affordable']</v>
      </c>
      <c r="D1290" s="3">
        <v>5.0</v>
      </c>
    </row>
    <row r="1291" ht="15.75" customHeight="1">
      <c r="A1291" s="1">
        <v>1363.0</v>
      </c>
      <c r="B1291" s="3" t="s">
        <v>1282</v>
      </c>
      <c r="C1291" s="3" t="str">
        <f>IFERROR(__xludf.DUMMYFUNCTION("GOOGLETRANSLATE(B1291,""id"",""en"")"),"['The application', 'good', 'bangett', 'mandatory', 'downlod']")</f>
        <v>['The application', 'good', 'bangett', 'mandatory', 'downlod']</v>
      </c>
      <c r="D1291" s="3">
        <v>5.0</v>
      </c>
    </row>
    <row r="1292" ht="15.75" customHeight="1">
      <c r="A1292" s="1">
        <v>1364.0</v>
      </c>
      <c r="B1292" s="3" t="s">
        <v>1283</v>
      </c>
      <c r="C1292" s="3" t="str">
        <f>IFERROR(__xludf.DUMMYFUNCTION("GOOGLETRANSLATE(B1292,""id"",""en"")"),"['Function', 'really']")</f>
        <v>['Function', 'really']</v>
      </c>
      <c r="D1292" s="3">
        <v>4.0</v>
      </c>
    </row>
    <row r="1293" ht="15.75" customHeight="1">
      <c r="A1293" s="1">
        <v>1365.0</v>
      </c>
      <c r="B1293" s="3" t="s">
        <v>1284</v>
      </c>
      <c r="C1293" s="3" t="str">
        <f>IFERROR(__xludf.DUMMYFUNCTION("GOOGLETRANSLATE(B1293,""id"",""en"")"),"['Telkomsel', 'steady']")</f>
        <v>['Telkomsel', 'steady']</v>
      </c>
      <c r="D1293" s="3">
        <v>5.0</v>
      </c>
    </row>
    <row r="1294" ht="15.75" customHeight="1">
      <c r="A1294" s="1">
        <v>1366.0</v>
      </c>
      <c r="B1294" s="3" t="s">
        <v>1285</v>
      </c>
      <c r="C1294" s="3" t="str">
        <f>IFERROR(__xludf.DUMMYFUNCTION("GOOGLETRANSLATE(B1294,""id"",""en"")"),"['good luck']")</f>
        <v>['good luck']</v>
      </c>
      <c r="D1294" s="3">
        <v>5.0</v>
      </c>
    </row>
    <row r="1295" ht="15.75" customHeight="1">
      <c r="A1295" s="1">
        <v>1367.0</v>
      </c>
      <c r="B1295" s="3" t="s">
        <v>1286</v>
      </c>
      <c r="C1295" s="3" t="str">
        <f>IFERROR(__xludf.DUMMYFUNCTION("GOOGLETRANSLATE(B1295,""id"",""en"")"),"['Hopefully', 'aflication', 'help']")</f>
        <v>['Hopefully', 'aflication', 'help']</v>
      </c>
      <c r="D1295" s="3">
        <v>5.0</v>
      </c>
    </row>
    <row r="1296" ht="15.75" customHeight="1">
      <c r="A1296" s="1">
        <v>1368.0</v>
      </c>
      <c r="B1296" s="3" t="s">
        <v>1287</v>
      </c>
      <c r="C1296" s="3" t="str">
        <f>IFERROR(__xludf.DUMMYFUNCTION("GOOGLETRANSLATE(B1296,""id"",""en"")"),"['slow', 'signal', '']")</f>
        <v>['slow', 'signal', '']</v>
      </c>
      <c r="D1296" s="3">
        <v>3.0</v>
      </c>
    </row>
    <row r="1297" ht="15.75" customHeight="1">
      <c r="A1297" s="1">
        <v>1369.0</v>
      </c>
      <c r="B1297" s="3" t="s">
        <v>1288</v>
      </c>
      <c r="C1297" s="3" t="str">
        <f>IFERROR(__xludf.DUMMYFUNCTION("GOOGLETRANSLATE(B1297,""id"",""en"")"),"['Service', 'Easy', 'Sya', 'Winner', 'Dri', 'Lottery', 'Gift', 'Telkomsel', 'Thank you', 'Telkomsel', 'Best']")</f>
        <v>['Service', 'Easy', 'Sya', 'Winner', 'Dri', 'Lottery', 'Gift', 'Telkomsel', 'Thank you', 'Telkomsel', 'Best']</v>
      </c>
      <c r="D1297" s="3">
        <v>5.0</v>
      </c>
    </row>
    <row r="1298" ht="15.75" customHeight="1">
      <c r="A1298" s="1">
        <v>1370.0</v>
      </c>
      <c r="B1298" s="3" t="s">
        <v>1289</v>
      </c>
      <c r="C1298" s="3" t="str">
        <f>IFERROR(__xludf.DUMMYFUNCTION("GOOGLETRANSLATE(B1298,""id"",""en"")"),"['makes it easy', 'info']")</f>
        <v>['makes it easy', 'info']</v>
      </c>
      <c r="D1298" s="3">
        <v>5.0</v>
      </c>
    </row>
    <row r="1299" ht="15.75" customHeight="1">
      <c r="A1299" s="1">
        <v>1371.0</v>
      </c>
      <c r="B1299" s="3" t="s">
        <v>1290</v>
      </c>
      <c r="C1299" s="3" t="str">
        <f>IFERROR(__xludf.DUMMYFUNCTION("GOOGLETRANSLATE(B1299,""id"",""en"")"),"['Please', 'Telkom', 'Alesan', 'APK', 'Open', 'Activein', 'Package', 'Times',' Sekrang ',' Update ',' Severe ',' Impeating ',' Nambah ',' Hadeeh ',' already ',' Gajelas', 'Telkom', ""]")</f>
        <v>['Please', 'Telkom', 'Alesan', 'APK', 'Open', 'Activein', 'Package', 'Times',' Sekrang ',' Update ',' Severe ',' Impeating ',' Nambah ',' Hadeeh ',' already ',' Gajelas', 'Telkom', "]</v>
      </c>
      <c r="D1299" s="3">
        <v>1.0</v>
      </c>
    </row>
    <row r="1300" ht="15.75" customHeight="1">
      <c r="A1300" s="1">
        <v>1372.0</v>
      </c>
      <c r="B1300" s="3" t="s">
        <v>1291</v>
      </c>
      <c r="C1300" s="3" t="str">
        <f>IFERROR(__xludf.DUMMYFUNCTION("GOOGLETRANSLATE(B1300,""id"",""en"")"),"['Win', 'Lottery', 'Win', 'Unit', 'Motor', 'Love', 'Banga']")</f>
        <v>['Win', 'Lottery', 'Win', 'Unit', 'Motor', 'Love', 'Banga']</v>
      </c>
      <c r="D1300" s="3">
        <v>3.0</v>
      </c>
    </row>
    <row r="1301" ht="15.75" customHeight="1">
      <c r="A1301" s="1">
        <v>1373.0</v>
      </c>
      <c r="B1301" s="3" t="s">
        <v>1292</v>
      </c>
      <c r="C1301" s="3" t="str">
        <f>IFERROR(__xludf.DUMMYFUNCTION("GOOGLETRANSLATE(B1301,""id"",""en"")"),"['Good', 'cheap', 'price', 'in the cheapkn', '']")</f>
        <v>['Good', 'cheap', 'price', 'in the cheapkn', '']</v>
      </c>
      <c r="D1301" s="3">
        <v>5.0</v>
      </c>
    </row>
    <row r="1302" ht="15.75" customHeight="1">
      <c r="A1302" s="1">
        <v>1374.0</v>
      </c>
      <c r="B1302" s="3" t="s">
        <v>1293</v>
      </c>
      <c r="C1302" s="3" t="str">
        <f>IFERROR(__xludf.DUMMYFUNCTION("GOOGLETRANSLATE(B1302,""id"",""en"")"),"['helpful']")</f>
        <v>['helpful']</v>
      </c>
      <c r="D1302" s="3">
        <v>5.0</v>
      </c>
    </row>
    <row r="1303" ht="15.75" customHeight="1">
      <c r="A1303" s="1">
        <v>1375.0</v>
      </c>
      <c r="B1303" s="3" t="s">
        <v>1294</v>
      </c>
      <c r="C1303" s="3" t="str">
        <f>IFERROR(__xludf.DUMMYFUNCTION("GOOGLETRANSLATE(B1303,""id"",""en"")"),"['Signal', 'Severe']")</f>
        <v>['Signal', 'Severe']</v>
      </c>
      <c r="D1303" s="3">
        <v>1.0</v>
      </c>
    </row>
    <row r="1304" ht="15.75" customHeight="1">
      <c r="A1304" s="1">
        <v>1376.0</v>
      </c>
      <c r="B1304" s="3" t="s">
        <v>1295</v>
      </c>
      <c r="C1304" s="3" t="str">
        <f>IFERROR(__xludf.DUMMYFUNCTION("GOOGLETRANSLATE(B1304,""id"",""en"")"),"['Alhamdulillah', 'APK', 'Help']")</f>
        <v>['Alhamdulillah', 'APK', 'Help']</v>
      </c>
      <c r="D1304" s="3">
        <v>5.0</v>
      </c>
    </row>
    <row r="1305" ht="15.75" customHeight="1">
      <c r="A1305" s="1">
        <v>1377.0</v>
      </c>
      <c r="B1305" s="3" t="s">
        <v>1296</v>
      </c>
      <c r="C1305" s="3" t="str">
        <f>IFERROR(__xludf.DUMMYFUNCTION("GOOGLETRANSLATE(B1305,""id"",""en"")"),"['Cave', 'Collapin', 'Bintang', 'Bintang', 'buy', 'package', 'malem', 'a month', 'version', 'gabisa', 'udh', 'so', ' associate ',' email ',' difficult ',' forgiveness', 'pulp', 'really', 'expensive', 'doang', 'cave', 'down', 'star', 'udh', 'receiving' , '"&amp;"SMS', 'Package', 'SUCCESS', 'BUY', 'PAY', 'TBTB', 'LIAT', 'APK', 'TSEL', 'BLM', 'Enter', 'Paketan', ' pulse ',' Sumpot ',' as a result ',' cave ',' buy ',' pulse ',' base ',' garbage ',' card ',' expensive ',' signal ',' garbage ',' card ' , 'expensive', "&amp;"'signal', 'village', 'card', 'expensive', 'signal', 'poor']")</f>
        <v>['Cave', 'Collapin', 'Bintang', 'Bintang', 'buy', 'package', 'malem', 'a month', 'version', 'gabisa', 'udh', 'so', ' associate ',' email ',' difficult ',' forgiveness', 'pulp', 'really', 'expensive', 'doang', 'cave', 'down', 'star', 'udh', 'receiving' , 'SMS', 'Package', 'SUCCESS', 'BUY', 'PAY', 'TBTB', 'LIAT', 'APK', 'TSEL', 'BLM', 'Enter', 'Paketan', ' pulse ',' Sumpot ',' as a result ',' cave ',' buy ',' pulse ',' base ',' garbage ',' card ',' expensive ',' signal ',' garbage ',' card ' , 'expensive', 'signal', 'village', 'card', 'expensive', 'signal', 'poor']</v>
      </c>
      <c r="D1305" s="3">
        <v>1.0</v>
      </c>
    </row>
    <row r="1306" ht="15.75" customHeight="1">
      <c r="A1306" s="1">
        <v>1378.0</v>
      </c>
      <c r="B1306" s="3" t="s">
        <v>1297</v>
      </c>
      <c r="C1306" s="3" t="str">
        <f>IFERROR(__xludf.DUMMYFUNCTION("GOOGLETRANSLATE(B1306,""id"",""en"")"),"['Knp', 'Telkomsel', 'update', 'customer', 'then', 'package', 'data', 'price', 'package', 'emergency', 'knp', 'deleted', ' PDHL ',' BNGET ',' PAS ',' TGL ',' Old ',' PAS ',' Package ',' Data ',' Abis', 'Sudden', 'Plislah', 'News' , 'Ato', 'Turnover', 'Kek"&amp;"', 'UDH', 'User', 'Times', 'Disappointed']")</f>
        <v>['Knp', 'Telkomsel', 'update', 'customer', 'then', 'package', 'data', 'price', 'package', 'emergency', 'knp', 'deleted', ' PDHL ',' BNGET ',' PAS ',' TGL ',' Old ',' PAS ',' Package ',' Data ',' Abis', 'Sudden', 'Plislah', 'News' , 'Ato', 'Turnover', 'Kek', 'UDH', 'User', 'Times', 'Disappointed']</v>
      </c>
      <c r="D1306" s="3">
        <v>1.0</v>
      </c>
    </row>
    <row r="1307" ht="15.75" customHeight="1">
      <c r="A1307" s="1">
        <v>1379.0</v>
      </c>
      <c r="B1307" s="3" t="s">
        <v>1165</v>
      </c>
      <c r="C1307" s="3" t="str">
        <f>IFERROR(__xludf.DUMMYFUNCTION("GOOGLETRANSLATE(B1307,""id"",""en"")"),"['Application', 'steady']")</f>
        <v>['Application', 'steady']</v>
      </c>
      <c r="D1307" s="3">
        <v>4.0</v>
      </c>
    </row>
    <row r="1308" ht="15.75" customHeight="1">
      <c r="A1308" s="1">
        <v>1380.0</v>
      </c>
      <c r="B1308" s="3" t="s">
        <v>1298</v>
      </c>
      <c r="C1308" s="3" t="str">
        <f>IFERROR(__xludf.DUMMYFUNCTION("GOOGLETRANSLATE(B1308,""id"",""en"")"),"['Link', 'Login', 'Error', 'Teros', 'Males', 'Deh', '']")</f>
        <v>['Link', 'Login', 'Error', 'Teros', 'Males', 'Deh', '']</v>
      </c>
      <c r="D1308" s="3">
        <v>3.0</v>
      </c>
    </row>
    <row r="1309" ht="15.75" customHeight="1">
      <c r="A1309" s="1">
        <v>1381.0</v>
      </c>
      <c r="B1309" s="3" t="s">
        <v>1299</v>
      </c>
      <c r="C1309" s="3" t="str">
        <f>IFERROR(__xludf.DUMMYFUNCTION("GOOGLETRANSLATE(B1309,""id"",""en"")"),"['update', 'bjir']")</f>
        <v>['update', 'bjir']</v>
      </c>
      <c r="D1309" s="3">
        <v>1.0</v>
      </c>
    </row>
    <row r="1310" ht="15.75" customHeight="1">
      <c r="A1310" s="1">
        <v>1382.0</v>
      </c>
      <c r="B1310" s="3" t="s">
        <v>1300</v>
      </c>
      <c r="C1310" s="3" t="str">
        <f>IFERROR(__xludf.DUMMYFUNCTION("GOOGLETRANSLATE(B1310,""id"",""en"")"),"['NDK', 'BSA', 'Bukak', 'Application', 'Please', 'Fix', 'Sya', 'user', 'loyal', 'Telkomsel']")</f>
        <v>['NDK', 'BSA', 'Bukak', 'Application', 'Please', 'Fix', 'Sya', 'user', 'loyal', 'Telkomsel']</v>
      </c>
      <c r="D1310" s="3">
        <v>1.0</v>
      </c>
    </row>
    <row r="1311" ht="15.75" customHeight="1">
      <c r="A1311" s="1">
        <v>1383.0</v>
      </c>
      <c r="B1311" s="3" t="s">
        <v>1301</v>
      </c>
      <c r="C1311" s="3" t="str">
        <f>IFERROR(__xludf.DUMMYFUNCTION("GOOGLETRANSLATE(B1311,""id"",""en"")"),"['covers', 'application', 'easy', 'use it']")</f>
        <v>['covers', 'application', 'easy', 'use it']</v>
      </c>
      <c r="D1311" s="3">
        <v>5.0</v>
      </c>
    </row>
    <row r="1312" ht="15.75" customHeight="1">
      <c r="A1312" s="1">
        <v>1384.0</v>
      </c>
      <c r="B1312" s="3" t="s">
        <v>1302</v>
      </c>
      <c r="C1312" s="3" t="str">
        <f>IFERROR(__xludf.DUMMYFUNCTION("GOOGLETRANSLATE(B1312,""id"",""en"")"),"['Severe', 'threat', 'error']")</f>
        <v>['Severe', 'threat', 'error']</v>
      </c>
      <c r="D1312" s="3">
        <v>1.0</v>
      </c>
    </row>
    <row r="1313" ht="15.75" customHeight="1">
      <c r="A1313" s="1">
        <v>1385.0</v>
      </c>
      <c r="B1313" s="3" t="s">
        <v>1303</v>
      </c>
      <c r="C1313" s="3" t="str">
        <f>IFERROR(__xludf.DUMMYFUNCTION("GOOGLETRANSLATE(B1313,""id"",""en"")"),"['', 'Telkomsel', 'disappoint me', 'advanced', 'progress', 'engineering', 'modern']")</f>
        <v>['', 'Telkomsel', 'disappoint me', 'advanced', 'progress', 'engineering', 'modern']</v>
      </c>
      <c r="D1313" s="3">
        <v>5.0</v>
      </c>
    </row>
    <row r="1314" ht="15.75" customHeight="1">
      <c r="A1314" s="1">
        <v>1386.0</v>
      </c>
      <c r="B1314" s="3" t="s">
        <v>1304</v>
      </c>
      <c r="C1314" s="3" t="str">
        <f>IFERROR(__xludf.DUMMYFUNCTION("GOOGLETRANSLATE(B1314,""id"",""en"")"),"['buy', 'package', 'system', 'disorder', 'mulu', 'network', 'hilarious', 'dead']")</f>
        <v>['buy', 'package', 'system', 'disorder', 'mulu', 'network', 'hilarious', 'dead']</v>
      </c>
      <c r="D1314" s="3">
        <v>1.0</v>
      </c>
    </row>
    <row r="1315" ht="15.75" customHeight="1">
      <c r="A1315" s="1">
        <v>1387.0</v>
      </c>
      <c r="B1315" s="3" t="s">
        <v>1305</v>
      </c>
      <c r="C1315" s="3" t="str">
        <f>IFERROR(__xludf.DUMMYFUNCTION("GOOGLETRANSLATE(B1315,""id"",""en"")"),"['', 'shocked', 'contents',' pulse ',' rb ',' plus', 'leftover', 'pulse', 'tottal', 'pulse', 'cheated', 'application', 'Telkomsel ',' buy ',' package ',' for ',' pulses', 'sufficient', 'remind', 'heart', 'heart', 'honest', 'destroyed', ""]")</f>
        <v>['', 'shocked', 'contents',' pulse ',' rb ',' plus', 'leftover', 'pulse', 'tottal', 'pulse', 'cheated', 'application', 'Telkomsel ',' buy ',' package ',' for ',' pulses', 'sufficient', 'remind', 'heart', 'heart', 'honest', 'destroyed', "]</v>
      </c>
      <c r="D1315" s="3">
        <v>1.0</v>
      </c>
    </row>
    <row r="1316" ht="15.75" customHeight="1">
      <c r="A1316" s="1">
        <v>1388.0</v>
      </c>
      <c r="B1316" s="3" t="s">
        <v>1306</v>
      </c>
      <c r="C1316" s="3" t="str">
        <f>IFERROR(__xludf.DUMMYFUNCTION("GOOGLETRANSLATE(B1316,""id"",""en"")"),"['easy', 'access', 'data', 'card', 'Telkomsel', '']")</f>
        <v>['easy', 'access', 'data', 'card', 'Telkomsel', '']</v>
      </c>
      <c r="D1316" s="3">
        <v>5.0</v>
      </c>
    </row>
    <row r="1317" ht="15.75" customHeight="1">
      <c r="A1317" s="1">
        <v>1389.0</v>
      </c>
      <c r="B1317" s="3" t="s">
        <v>1307</v>
      </c>
      <c r="C1317" s="3" t="str">
        <f>IFERROR(__xludf.DUMMYFUNCTION("GOOGLETRANSLATE(B1317,""id"",""en"")"),"['Lemot', 'Network', '']")</f>
        <v>['Lemot', 'Network', '']</v>
      </c>
      <c r="D1317" s="3">
        <v>1.0</v>
      </c>
    </row>
    <row r="1318" ht="15.75" customHeight="1">
      <c r="A1318" s="1">
        <v>1390.0</v>
      </c>
      <c r="B1318" s="3" t="s">
        <v>1308</v>
      </c>
      <c r="C1318" s="3" t="str">
        <f>IFERROR(__xludf.DUMMYFUNCTION("GOOGLETRANSLATE(B1318,""id"",""en"")"),"['Application', 'Help']")</f>
        <v>['Application', 'Help']</v>
      </c>
      <c r="D1318" s="3">
        <v>4.0</v>
      </c>
    </row>
    <row r="1319" ht="15.75" customHeight="1">
      <c r="A1319" s="1">
        <v>1391.0</v>
      </c>
      <c r="B1319" s="3" t="s">
        <v>1309</v>
      </c>
      <c r="C1319" s="3" t="str">
        <f>IFERROR(__xludf.DUMMYFUNCTION("GOOGLETRANSLATE(B1319,""id"",""en"")"),"['Nurse', 'sayah', 'bus', 'enter', 'buy', 'package', '']")</f>
        <v>['Nurse', 'sayah', 'bus', 'enter', 'buy', 'package', '']</v>
      </c>
      <c r="D1319" s="3">
        <v>5.0</v>
      </c>
    </row>
    <row r="1320" ht="15.75" customHeight="1">
      <c r="A1320" s="1">
        <v>1393.0</v>
      </c>
      <c r="B1320" s="3" t="s">
        <v>1310</v>
      </c>
      <c r="C1320" s="3" t="str">
        <f>IFERROR(__xludf.DUMMYFUNCTION("GOOGLETRANSLATE(B1320,""id"",""en"")"),"['sorry', 'boss',' signal ',' sympathy ',' where ',' woi ',' area ',' sleman ',' gag ',' signal ',' simoeti ',' gag ',' Quality ',' sympathy ',' already ',' customer ',' here ',' rotten ',' sympathy ']")</f>
        <v>['sorry', 'boss',' signal ',' sympathy ',' where ',' woi ',' area ',' sleman ',' gag ',' signal ',' simoeti ',' gag ',' Quality ',' sympathy ',' already ',' customer ',' here ',' rotten ',' sympathy ']</v>
      </c>
      <c r="D1320" s="3">
        <v>1.0</v>
      </c>
    </row>
    <row r="1321" ht="15.75" customHeight="1">
      <c r="A1321" s="1">
        <v>1394.0</v>
      </c>
      <c r="B1321" s="3" t="s">
        <v>1311</v>
      </c>
      <c r="C1321" s="3" t="str">
        <f>IFERROR(__xludf.DUMMYFUNCTION("GOOGLETRANSLATE(B1321,""id"",""en"")"),"['Package', 'Combo', 'Sakti', 'expensive']")</f>
        <v>['Package', 'Combo', 'Sakti', 'expensive']</v>
      </c>
      <c r="D1321" s="3">
        <v>1.0</v>
      </c>
    </row>
    <row r="1322" ht="15.75" customHeight="1">
      <c r="A1322" s="1">
        <v>1397.0</v>
      </c>
      <c r="B1322" s="3" t="s">
        <v>1312</v>
      </c>
      <c r="C1322" s="3" t="str">
        <f>IFERROR(__xludf.DUMMYFUNCTION("GOOGLETRANSLATE(B1322,""id"",""en"")"),"['expensive', 'really', 'gokil']")</f>
        <v>['expensive', 'really', 'gokil']</v>
      </c>
      <c r="D1322" s="3">
        <v>5.0</v>
      </c>
    </row>
    <row r="1323" ht="15.75" customHeight="1">
      <c r="A1323" s="1">
        <v>1398.0</v>
      </c>
      <c r="B1323" s="3" t="s">
        <v>1313</v>
      </c>
      <c r="C1323" s="3" t="str">
        <f>IFERROR(__xludf.DUMMYFUNCTION("GOOGLETRANSLATE(B1323,""id"",""en"")"),"['Card', 'Sakti', 'Package', 'Cheap', 'Buy', 'Direct', 'Changed', 'Telkomsel', 'Nipu', 'Direct', 'Kenpa', 'Buy', ' Package ',' Change ',' already ',' expensive ',' expensive ',' buy ',' card ',' Sakti ',' package ',' cheap ',' already ',' buy ',' right ' "&amp;", 'Changed', 'Ngak', 'Ngilak', 'times',' buy ',' admit ',' telkosel ',' best ',' signal ',' service ',' expensive ',' gini ',' Auto ',' replace ',' card ',' Please ',' repair ',' Telkomsel ',' Please ',' his responses', ""]")</f>
        <v>['Card', 'Sakti', 'Package', 'Cheap', 'Buy', 'Direct', 'Changed', 'Telkomsel', 'Nipu', 'Direct', 'Kenpa', 'Buy', ' Package ',' Change ',' already ',' expensive ',' expensive ',' buy ',' card ',' Sakti ',' package ',' cheap ',' already ',' buy ',' right ' , 'Changed', 'Ngak', 'Ngilak', 'times',' buy ',' admit ',' telkosel ',' best ',' signal ',' service ',' expensive ',' gini ',' Auto ',' replace ',' card ',' Please ',' repair ',' Telkomsel ',' Please ',' his responses', "]</v>
      </c>
      <c r="D1323" s="3">
        <v>1.0</v>
      </c>
    </row>
    <row r="1324" ht="15.75" customHeight="1">
      <c r="A1324" s="1">
        <v>1399.0</v>
      </c>
      <c r="B1324" s="3" t="s">
        <v>1314</v>
      </c>
      <c r="C1324" s="3" t="str">
        <f>IFERROR(__xludf.DUMMYFUNCTION("GOOGLETRANSLATE(B1324,""id"",""en"")"),"['difficult', 'times', 'entry', '']")</f>
        <v>['difficult', 'times', 'entry', '']</v>
      </c>
      <c r="D1324" s="3">
        <v>1.0</v>
      </c>
    </row>
    <row r="1325" ht="15.75" customHeight="1">
      <c r="A1325" s="1">
        <v>1400.0</v>
      </c>
      <c r="B1325" s="3" t="s">
        <v>1315</v>
      </c>
      <c r="C1325" s="3" t="str">
        <f>IFERROR(__xludf.DUMMYFUNCTION("GOOGLETRANSLATE(B1325,""id"",""en"")"),"['Woy', 'Belihin', 'signal', 'Napa', 'add', 'ngeleg', 'good', ""]")</f>
        <v>['Woy', 'Belihin', 'signal', 'Napa', 'add', 'ngeleg', 'good', "]</v>
      </c>
      <c r="D1325" s="3">
        <v>1.0</v>
      </c>
    </row>
    <row r="1326" ht="15.75" customHeight="1">
      <c r="A1326" s="1">
        <v>1401.0</v>
      </c>
      <c r="B1326" s="3" t="s">
        <v>1316</v>
      </c>
      <c r="C1326" s="3" t="str">
        <f>IFERROR(__xludf.DUMMYFUNCTION("GOOGLETRANSLATE(B1326,""id"",""en"")"),"['steady', 'signal', 'good']")</f>
        <v>['steady', 'signal', 'good']</v>
      </c>
      <c r="D1326" s="3">
        <v>5.0</v>
      </c>
    </row>
    <row r="1327" ht="15.75" customHeight="1">
      <c r="A1327" s="1">
        <v>1402.0</v>
      </c>
      <c r="B1327" s="3" t="s">
        <v>1317</v>
      </c>
      <c r="C1327" s="3" t="str">
        <f>IFERROR(__xludf.DUMMYFUNCTION("GOOGLETRANSLATE(B1327,""id"",""en"")"),"['buy', 'package', 'already', 'kaga', 'finish', 'finish']")</f>
        <v>['buy', 'package', 'already', 'kaga', 'finish', 'finish']</v>
      </c>
      <c r="D1327" s="3">
        <v>1.0</v>
      </c>
    </row>
    <row r="1328" ht="15.75" customHeight="1">
      <c r="A1328" s="1">
        <v>1403.0</v>
      </c>
      <c r="B1328" s="3" t="s">
        <v>1318</v>
      </c>
      <c r="C1328" s="3" t="str">
        <f>IFERROR(__xludf.DUMMYFUNCTION("GOOGLETRANSLATE(B1328,""id"",""en"")"),"['Telkomsel', 'Need', 'Review', 'Leet', 'Super', 'Annoyed', 'Already', 'Guaranteed', 'Ending', 'GPain', 'LGI', 'LGI', ' Telkomsel ',' network ',' slow ',' expect ',' a day ',' Sya ',' restand ',' cellphone ',' network ',' normal ', ""]")</f>
        <v>['Telkomsel', 'Need', 'Review', 'Leet', 'Super', 'Annoyed', 'Already', 'Guaranteed', 'Ending', 'GPain', 'LGI', 'LGI', ' Telkomsel ',' network ',' slow ',' expect ',' a day ',' Sya ',' restand ',' cellphone ',' network ',' normal ', "]</v>
      </c>
      <c r="D1328" s="3">
        <v>1.0</v>
      </c>
    </row>
    <row r="1329" ht="15.75" customHeight="1">
      <c r="A1329" s="1">
        <v>1404.0</v>
      </c>
      <c r="B1329" s="3" t="s">
        <v>1319</v>
      </c>
      <c r="C1329" s="3" t="str">
        <f>IFERROR(__xludf.DUMMYFUNCTION("GOOGLETRANSLATE(B1329,""id"",""en"")"),"['Network', 'rich', 'BURIK', 'expensive', 'doang', 'play', 'game', 'lag', 'shy', 'netting', 'next door', 'free', ' Change ',' card ',' UDH ',' Change ',' ']")</f>
        <v>['Network', 'rich', 'BURIK', 'expensive', 'doang', 'play', 'game', 'lag', 'shy', 'netting', 'next door', 'free', ' Change ',' card ',' UDH ',' Change ',' ']</v>
      </c>
      <c r="D1329" s="3">
        <v>1.0</v>
      </c>
    </row>
    <row r="1330" ht="15.75" customHeight="1">
      <c r="A1330" s="1">
        <v>1405.0</v>
      </c>
      <c r="B1330" s="3" t="s">
        <v>1320</v>
      </c>
      <c r="C1330" s="3" t="str">
        <f>IFERROR(__xludf.DUMMYFUNCTION("GOOGLETRANSLATE(B1330,""id"",""en"")"),"['Try', 'bnerin', 'maen', 'lag', 'then', 'stable', 'skali', 'ping', 'severe', 'smpek', 'motion']")</f>
        <v>['Try', 'bnerin', 'maen', 'lag', 'then', 'stable', 'skali', 'ping', 'severe', 'smpek', 'motion']</v>
      </c>
      <c r="D1330" s="3">
        <v>1.0</v>
      </c>
    </row>
    <row r="1331" ht="15.75" customHeight="1">
      <c r="A1331" s="1">
        <v>1407.0</v>
      </c>
      <c r="B1331" s="3" t="s">
        <v>1321</v>
      </c>
      <c r="C1331" s="3" t="str">
        <f>IFERROR(__xludf.DUMMYFUNCTION("GOOGLETRANSLATE(B1331,""id"",""en"")"),"['Wait', 'gift']")</f>
        <v>['Wait', 'gift']</v>
      </c>
      <c r="D1331" s="3">
        <v>5.0</v>
      </c>
    </row>
    <row r="1332" ht="15.75" customHeight="1">
      <c r="A1332" s="1">
        <v>1408.0</v>
      </c>
      <c r="B1332" s="3" t="s">
        <v>1322</v>
      </c>
      <c r="C1332" s="3" t="str">
        <f>IFERROR(__xludf.DUMMYFUNCTION("GOOGLETRANSLATE(B1332,""id"",""en"")"),"['Network', 'stable', 'nyamam', 'customers', 'loyal', 'Telkomsel', 'hopefully', 'Telkomsel', 'best', 'customer']")</f>
        <v>['Network', 'stable', 'nyamam', 'customers', 'loyal', 'Telkomsel', 'hopefully', 'Telkomsel', 'best', 'customer']</v>
      </c>
      <c r="D1332" s="3">
        <v>5.0</v>
      </c>
    </row>
    <row r="1333" ht="15.75" customHeight="1">
      <c r="A1333" s="1">
        <v>1409.0</v>
      </c>
      <c r="B1333" s="3" t="s">
        <v>1323</v>
      </c>
      <c r="C1333" s="3" t="str">
        <f>IFERROR(__xludf.DUMMYFUNCTION("GOOGLETRANSLATE(B1333,""id"",""en"")"),"['thank', 'love', 'service', 'hope', 'in the future', 'best', 'spirit', 'Telkomsel']")</f>
        <v>['thank', 'love', 'service', 'hope', 'in the future', 'best', 'spirit', 'Telkomsel']</v>
      </c>
      <c r="D1333" s="3">
        <v>5.0</v>
      </c>
    </row>
    <row r="1334" ht="15.75" customHeight="1">
      <c r="A1334" s="1">
        <v>1411.0</v>
      </c>
      <c r="B1334" s="3" t="s">
        <v>1324</v>
      </c>
      <c r="C1334" s="3" t="str">
        <f>IFERROR(__xludf.DUMMYFUNCTION("GOOGLETRANSLATE(B1334,""id"",""en"")"),"['satisfied', 'ignition', 'number', 'explanation', 'according to', 'explanation', 'good']")</f>
        <v>['satisfied', 'ignition', 'number', 'explanation', 'according to', 'explanation', 'good']</v>
      </c>
      <c r="D1334" s="3">
        <v>1.0</v>
      </c>
    </row>
    <row r="1335" ht="15.75" customHeight="1">
      <c r="A1335" s="1">
        <v>1412.0</v>
      </c>
      <c r="B1335" s="3" t="s">
        <v>1325</v>
      </c>
      <c r="C1335" s="3" t="str">
        <f>IFERROR(__xludf.DUMMYFUNCTION("GOOGLETRANSLATE(B1335,""id"",""en"")"),"['Good', 'Signal', 'Operation', 'Application']")</f>
        <v>['Good', 'Signal', 'Operation', 'Application']</v>
      </c>
      <c r="D1335" s="3">
        <v>5.0</v>
      </c>
    </row>
    <row r="1336" ht="15.75" customHeight="1">
      <c r="A1336" s="1">
        <v>1413.0</v>
      </c>
      <c r="B1336" s="3" t="s">
        <v>1326</v>
      </c>
      <c r="C1336" s="3" t="str">
        <f>IFERROR(__xludf.DUMMYFUNCTION("GOOGLETRANSLATE(B1336,""id"",""en"")"),"['pulse', 'Sumpot', 'quota', 'Multimedian', 'GB', '']")</f>
        <v>['pulse', 'Sumpot', 'quota', 'Multimedian', 'GB', '']</v>
      </c>
      <c r="D1336" s="3">
        <v>1.0</v>
      </c>
    </row>
    <row r="1337" ht="15.75" customHeight="1">
      <c r="A1337" s="1">
        <v>1414.0</v>
      </c>
      <c r="B1337" s="3" t="s">
        <v>1327</v>
      </c>
      <c r="C1337" s="3" t="str">
        <f>IFERROR(__xludf.DUMMYFUNCTION("GOOGLETRANSLATE(B1337,""id"",""en"")"),"['Likes', 'MyTelkomsel']")</f>
        <v>['Likes', 'MyTelkomsel']</v>
      </c>
      <c r="D1337" s="3">
        <v>3.0</v>
      </c>
    </row>
    <row r="1338" ht="15.75" customHeight="1">
      <c r="A1338" s="1">
        <v>1415.0</v>
      </c>
      <c r="B1338" s="3" t="s">
        <v>1328</v>
      </c>
      <c r="C1338" s="3" t="str">
        <f>IFERROR(__xludf.DUMMYFUNCTION("GOOGLETRANSLATE(B1338,""id"",""en"")"),"['Anjeeeng', 'Telkomsel', 'signal', 'ngeleg', 'play', 'mobile', 'Legend', 'City', 'Palembang', 'signal', 'ngentod', 'package', ' Already ',' expensive ',' buy ',' Baabi ']")</f>
        <v>['Anjeeeng', 'Telkomsel', 'signal', 'ngeleg', 'play', 'mobile', 'Legend', 'City', 'Palembang', 'signal', 'ngentod', 'package', ' Already ',' expensive ',' buy ',' Baabi ']</v>
      </c>
      <c r="D1338" s="3">
        <v>1.0</v>
      </c>
    </row>
    <row r="1339" ht="15.75" customHeight="1">
      <c r="A1339" s="1">
        <v>1416.0</v>
      </c>
      <c r="B1339" s="3" t="s">
        <v>1329</v>
      </c>
      <c r="C1339" s="3" t="str">
        <f>IFERROR(__xludf.DUMMYFUNCTION("GOOGLETRANSLATE(B1339,""id"",""en"")"),"['network', 'cord']")</f>
        <v>['network', 'cord']</v>
      </c>
      <c r="D1339" s="3">
        <v>1.0</v>
      </c>
    </row>
    <row r="1340" ht="15.75" customHeight="1">
      <c r="A1340" s="1">
        <v>1417.0</v>
      </c>
      <c r="B1340" s="3" t="s">
        <v>1330</v>
      </c>
      <c r="C1340" s="3" t="str">
        <f>IFERROR(__xludf.DUMMYFUNCTION("GOOGLETRANSLATE(B1340,""id"",""en"")"),"['quota', 'lapse', 'remove', 'package', 'zoom', 'education', 'watch', 'film']")</f>
        <v>['quota', 'lapse', 'remove', 'package', 'zoom', 'education', 'watch', 'film']</v>
      </c>
      <c r="D1340" s="3">
        <v>1.0</v>
      </c>
    </row>
    <row r="1341" ht="15.75" customHeight="1">
      <c r="A1341" s="1">
        <v>1418.0</v>
      </c>
      <c r="B1341" s="3" t="s">
        <v>1331</v>
      </c>
      <c r="C1341" s="3" t="str">
        <f>IFERROR(__xludf.DUMMYFUNCTION("GOOGLETRANSLATE(B1341,""id"",""en"")"),"['Network', 'Tail', 'Tlong', 'Tower']")</f>
        <v>['Network', 'Tail', 'Tlong', 'Tower']</v>
      </c>
      <c r="D1341" s="3">
        <v>1.0</v>
      </c>
    </row>
    <row r="1342" ht="15.75" customHeight="1">
      <c r="A1342" s="1">
        <v>1419.0</v>
      </c>
      <c r="B1342" s="3" t="s">
        <v>1332</v>
      </c>
      <c r="C1342" s="3" t="str">
        <f>IFERROR(__xludf.DUMMYFUNCTION("GOOGLETRANSLATE(B1342,""id"",""en"")"),"['Difficult', 'Login', 'User', 'MIFI', 'Connected', 'WiFi', 'Sometimes',' Vouch ',' Content ',' reset ',' Vouch ',' Physical ',' Sometimes', 'System', 'Busy', 'Try', 'Sometimes',' Signal ',' Upload ',' Lbih ',' Low ',' Signal ',' Download ',' Cause ',' Fa"&amp;"iled ' , 'Connected', 'web', 'example', 'chrome', 'mobile', 'rain', 'signal', 'bar', 'down', 'please', 'fix', 'user', ' Faithful ',' Telkomsel ',' lbh ',' yrs']")</f>
        <v>['Difficult', 'Login', 'User', 'MIFI', 'Connected', 'WiFi', 'Sometimes',' Vouch ',' Content ',' reset ',' Vouch ',' Physical ',' Sometimes', 'System', 'Busy', 'Try', 'Sometimes',' Signal ',' Upload ',' Lbih ',' Low ',' Signal ',' Download ',' Cause ',' Failed ' , 'Connected', 'web', 'example', 'chrome', 'mobile', 'rain', 'signal', 'bar', 'down', 'please', 'fix', 'user', ' Faithful ',' Telkomsel ',' lbh ',' yrs']</v>
      </c>
      <c r="D1342" s="3">
        <v>2.0</v>
      </c>
    </row>
    <row r="1343" ht="15.75" customHeight="1">
      <c r="A1343" s="1">
        <v>1420.0</v>
      </c>
      <c r="B1343" s="3" t="s">
        <v>1333</v>
      </c>
      <c r="C1343" s="3" t="str">
        <f>IFERROR(__xludf.DUMMYFUNCTION("GOOGLETRANSLATE(B1343,""id"",""en"")"),"['Application', 'Open', 'payaaah']")</f>
        <v>['Application', 'Open', 'payaaah']</v>
      </c>
      <c r="D1343" s="3">
        <v>1.0</v>
      </c>
    </row>
    <row r="1344" ht="15.75" customHeight="1">
      <c r="A1344" s="1">
        <v>1421.0</v>
      </c>
      <c r="B1344" s="3" t="s">
        <v>1334</v>
      </c>
      <c r="C1344" s="3" t="str">
        <f>IFERROR(__xludf.DUMMYFUNCTION("GOOGLETRANSLATE(B1344,""id"",""en"")"),"['Please', 'fix', 'Telkomsel', 'credit', 'sumps', 'use', 'package', 'call']")</f>
        <v>['Please', 'fix', 'Telkomsel', 'credit', 'sumps', 'use', 'package', 'call']</v>
      </c>
      <c r="D1344" s="3">
        <v>4.0</v>
      </c>
    </row>
    <row r="1345" ht="15.75" customHeight="1">
      <c r="A1345" s="1">
        <v>1422.0</v>
      </c>
      <c r="B1345" s="3" t="s">
        <v>1335</v>
      </c>
      <c r="C1345" s="3" t="str">
        <f>IFERROR(__xludf.DUMMYFUNCTION("GOOGLETRANSLATE(B1345,""id"",""en"")"),"['Signal', 'Region', 'Semampire', 'Surabaya', 'Lemot']")</f>
        <v>['Signal', 'Region', 'Semampire', 'Surabaya', 'Lemot']</v>
      </c>
      <c r="D1345" s="3">
        <v>3.0</v>
      </c>
    </row>
    <row r="1346" ht="15.75" customHeight="1">
      <c r="A1346" s="1">
        <v>1423.0</v>
      </c>
      <c r="B1346" s="3" t="s">
        <v>1336</v>
      </c>
      <c r="C1346" s="3" t="str">
        <f>IFERROR(__xludf.DUMMYFUNCTION("GOOGLETRANSLATE(B1346,""id"",""en"")"),"['signal', 'kek', 'kintil', 'price', 'package', 'exorbitant', 'signal', 'rotten', 'ngakunya', 'provider', 'good']")</f>
        <v>['signal', 'kek', 'kintil', 'price', 'package', 'exorbitant', 'signal', 'rotten', 'ngakunya', 'provider', 'good']</v>
      </c>
      <c r="D1346" s="3">
        <v>1.0</v>
      </c>
    </row>
    <row r="1347" ht="15.75" customHeight="1">
      <c r="A1347" s="1">
        <v>1424.0</v>
      </c>
      <c r="B1347" s="3" t="s">
        <v>1337</v>
      </c>
      <c r="C1347" s="3" t="str">
        <f>IFERROR(__xludf.DUMMYFUNCTION("GOOGLETRANSLATE(B1347,""id"",""en"")"),"['Severe', 'Network', 'ugly', 'really']")</f>
        <v>['Severe', 'Network', 'ugly', 'really']</v>
      </c>
      <c r="D1347" s="3">
        <v>1.0</v>
      </c>
    </row>
    <row r="1348" ht="15.75" customHeight="1">
      <c r="A1348" s="1">
        <v>1425.0</v>
      </c>
      <c r="B1348" s="3" t="s">
        <v>1338</v>
      </c>
      <c r="C1348" s="3" t="str">
        <f>IFERROR(__xludf.DUMMYFUNCTION("GOOGLETRANSLATE(B1348,""id"",""en"")"),"['apk', 'broken', '']")</f>
        <v>['apk', 'broken', '']</v>
      </c>
      <c r="D1348" s="3">
        <v>2.0</v>
      </c>
    </row>
    <row r="1349" ht="15.75" customHeight="1">
      <c r="A1349" s="1">
        <v>1426.0</v>
      </c>
      <c r="B1349" s="3" t="s">
        <v>1339</v>
      </c>
      <c r="C1349" s="3" t="str">
        <f>IFERROR(__xludf.DUMMYFUNCTION("GOOGLETRANSLATE(B1349,""id"",""en"")"),"['Please', 'Network', 'Telkomsel', 'Bad', 'Switch', 'Telkomsel', 'Fix', 'Network', ""]")</f>
        <v>['Please', 'Network', 'Telkomsel', 'Bad', 'Switch', 'Telkomsel', 'Fix', 'Network', "]</v>
      </c>
      <c r="D1349" s="3">
        <v>2.0</v>
      </c>
    </row>
    <row r="1350" ht="15.75" customHeight="1">
      <c r="A1350" s="1">
        <v>1428.0</v>
      </c>
      <c r="B1350" s="3" t="s">
        <v>1340</v>
      </c>
      <c r="C1350" s="3" t="str">
        <f>IFERROR(__xludf.DUMMYFUNCTION("GOOGLETRANSLATE(B1350,""id"",""en"")"),"['', 'Credit', 'Cut', 'Muluk', 'Damn', 'Move', 'Card']")</f>
        <v>['', 'Credit', 'Cut', 'Muluk', 'Damn', 'Move', 'Card']</v>
      </c>
      <c r="D1350" s="3">
        <v>1.0</v>
      </c>
    </row>
    <row r="1351" ht="15.75" customHeight="1">
      <c r="A1351" s="1">
        <v>1429.0</v>
      </c>
      <c r="B1351" s="3" t="s">
        <v>1341</v>
      </c>
      <c r="C1351" s="3" t="str">
        <f>IFERROR(__xludf.DUMMYFUNCTION("GOOGLETRANSLATE(B1351,""id"",""en"")"),"['Dear', 'Telkomsel', 'clickbait', 'please', 'reduced', 'NGasi', 'info', 'Jan', 'stengah', 'org', 'missed', ' info ',' package ',' bought ',' that's', 'play', '']")</f>
        <v>['Dear', 'Telkomsel', 'clickbait', 'please', 'reduced', 'NGasi', 'info', 'Jan', 'stengah', 'org', 'missed', ' info ',' package ',' bought ',' that's', 'play', '']</v>
      </c>
      <c r="D1351" s="3">
        <v>1.0</v>
      </c>
    </row>
    <row r="1352" ht="15.75" customHeight="1">
      <c r="A1352" s="1">
        <v>1430.0</v>
      </c>
      <c r="B1352" s="3" t="s">
        <v>1271</v>
      </c>
      <c r="C1352" s="3" t="str">
        <f>IFERROR(__xludf.DUMMYFUNCTION("GOOGLETRANSLATE(B1352,""id"",""en"")"),"['thank', 'love', 'Telkomsel']")</f>
        <v>['thank', 'love', 'Telkomsel']</v>
      </c>
      <c r="D1352" s="3">
        <v>5.0</v>
      </c>
    </row>
    <row r="1353" ht="15.75" customHeight="1">
      <c r="A1353" s="1">
        <v>1431.0</v>
      </c>
      <c r="B1353" s="3" t="s">
        <v>1342</v>
      </c>
      <c r="C1353" s="3" t="str">
        <f>IFERROR(__xludf.DUMMYFUNCTION("GOOGLETRANSLATE(B1353,""id"",""en"")"),"['Pesanne', 'banned']")</f>
        <v>['Pesanne', 'banned']</v>
      </c>
      <c r="D1353" s="3">
        <v>3.0</v>
      </c>
    </row>
    <row r="1354" ht="15.75" customHeight="1">
      <c r="A1354" s="1">
        <v>1432.0</v>
      </c>
      <c r="B1354" s="3" t="s">
        <v>1343</v>
      </c>
      <c r="C1354" s="3" t="str">
        <f>IFERROR(__xludf.DUMMYFUNCTION("GOOGLETRANSLATE(B1354,""id"",""en"")"),"['Telkomsel', 'Please', 'Fix', 'Service', 'Quota', 'YouTube', 'Unlimited', 'Quota', 'Main', 'Telkomsel', 'Sumpot', ""]")</f>
        <v>['Telkomsel', 'Please', 'Fix', 'Service', 'Quota', 'YouTube', 'Unlimited', 'Quota', 'Main', 'Telkomsel', 'Sumpot', "]</v>
      </c>
      <c r="D1354" s="3">
        <v>5.0</v>
      </c>
    </row>
    <row r="1355" ht="15.75" customHeight="1">
      <c r="A1355" s="1">
        <v>1433.0</v>
      </c>
      <c r="B1355" s="3" t="s">
        <v>1344</v>
      </c>
      <c r="C1355" s="3" t="str">
        <f>IFERROR(__xludf.DUMMYFUNCTION("GOOGLETRANSLATE(B1355,""id"",""en"")"),"['experience', 'anything', 'network', 'sometimes', 'good', ""]")</f>
        <v>['experience', 'anything', 'network', 'sometimes', 'good', "]</v>
      </c>
      <c r="D1355" s="3">
        <v>5.0</v>
      </c>
    </row>
    <row r="1356" ht="15.75" customHeight="1">
      <c r="A1356" s="1">
        <v>1434.0</v>
      </c>
      <c r="B1356" s="3" t="s">
        <v>1345</v>
      </c>
      <c r="C1356" s="3" t="str">
        <f>IFERROR(__xludf.DUMMYFUNCTION("GOOGLETRANSLATE(B1356,""id"",""en"")"),"['package', 'expensive', 'user', 'package', 'cheap', 'user', 'ethical']")</f>
        <v>['package', 'expensive', 'user', 'package', 'cheap', 'user', 'ethical']</v>
      </c>
      <c r="D1356" s="3">
        <v>1.0</v>
      </c>
    </row>
    <row r="1357" ht="15.75" customHeight="1">
      <c r="A1357" s="1">
        <v>1435.0</v>
      </c>
      <c r="B1357" s="3" t="s">
        <v>1346</v>
      </c>
      <c r="C1357" s="3" t="str">
        <f>IFERROR(__xludf.DUMMYFUNCTION("GOOGLETRANSLATE(B1357,""id"",""en"")"),"['The network', 'ugly', 'really', '']")</f>
        <v>['The network', 'ugly', 'really', '']</v>
      </c>
      <c r="D1357" s="3">
        <v>1.0</v>
      </c>
    </row>
    <row r="1358" ht="15.75" customHeight="1">
      <c r="A1358" s="1">
        <v>1436.0</v>
      </c>
      <c r="B1358" s="3" t="s">
        <v>1347</v>
      </c>
      <c r="C1358" s="3" t="str">
        <f>IFERROR(__xludf.DUMMYFUNCTION("GOOGLETRANSLATE(B1358,""id"",""en"")"),"['Package', 'Internet', 'expensive']")</f>
        <v>['Package', 'Internet', 'expensive']</v>
      </c>
      <c r="D1358" s="3">
        <v>1.0</v>
      </c>
    </row>
    <row r="1359" ht="15.75" customHeight="1">
      <c r="A1359" s="1">
        <v>1437.0</v>
      </c>
      <c r="B1359" s="3" t="s">
        <v>1348</v>
      </c>
      <c r="C1359" s="3" t="str">
        <f>IFERROR(__xludf.DUMMYFUNCTION("GOOGLETRANSLATE(B1359,""id"",""en"")"),"['Application', 'Weighted', 'Login', 'Bye']")</f>
        <v>['Application', 'Weighted', 'Login', 'Bye']</v>
      </c>
      <c r="D1359" s="3">
        <v>1.0</v>
      </c>
    </row>
    <row r="1360" ht="15.75" customHeight="1">
      <c r="A1360" s="1">
        <v>1438.0</v>
      </c>
      <c r="B1360" s="3" t="s">
        <v>1349</v>
      </c>
      <c r="C1360" s="3" t="str">
        <f>IFERROR(__xludf.DUMMYFUNCTION("GOOGLETRANSLATE(B1360,""id"",""en"")"),"['Hopefully', 'Win', 'Lottery', 'Amin']")</f>
        <v>['Hopefully', 'Win', 'Lottery', 'Amin']</v>
      </c>
      <c r="D1360" s="3">
        <v>5.0</v>
      </c>
    </row>
    <row r="1361" ht="15.75" customHeight="1">
      <c r="A1361" s="1">
        <v>1439.0</v>
      </c>
      <c r="B1361" s="3" t="s">
        <v>1350</v>
      </c>
      <c r="C1361" s="3" t="str">
        <f>IFERROR(__xludf.DUMMYFUNCTION("GOOGLETRANSLATE(B1361,""id"",""en"")"),"['Practical', 'save']")</f>
        <v>['Practical', 'save']</v>
      </c>
      <c r="D1361" s="3">
        <v>3.0</v>
      </c>
    </row>
    <row r="1362" ht="15.75" customHeight="1">
      <c r="A1362" s="1">
        <v>1440.0</v>
      </c>
      <c r="B1362" s="3" t="s">
        <v>1351</v>
      </c>
      <c r="C1362" s="3" t="str">
        <f>IFERROR(__xludf.DUMMYFUNCTION("GOOGLETRANSLATE(B1362,""id"",""en"")"),"['improvement', 'network', 'lose', ""]")</f>
        <v>['improvement', 'network', 'lose', "]</v>
      </c>
      <c r="D1362" s="3">
        <v>1.0</v>
      </c>
    </row>
    <row r="1363" ht="15.75" customHeight="1">
      <c r="A1363" s="1">
        <v>1441.0</v>
      </c>
      <c r="B1363" s="3" t="s">
        <v>1352</v>
      </c>
      <c r="C1363" s="3" t="str">
        <f>IFERROR(__xludf.DUMMYFUNCTION("GOOGLETRANSLATE(B1363,""id"",""en"")"),"['']")</f>
        <v>['']</v>
      </c>
      <c r="D1363" s="3">
        <v>5.0</v>
      </c>
    </row>
    <row r="1364" ht="15.75" customHeight="1">
      <c r="A1364" s="1">
        <v>1442.0</v>
      </c>
      <c r="B1364" s="3" t="s">
        <v>1353</v>
      </c>
      <c r="C1364" s="3" t="str">
        <f>IFERROR(__xludf.DUMMYFUNCTION("GOOGLETRANSLATE(B1364,""id"",""en"")"),"['', 'Telkomsel', 'steady', 'good', ""]")</f>
        <v>['', 'Telkomsel', 'steady', 'good', "]</v>
      </c>
      <c r="D1364" s="3">
        <v>5.0</v>
      </c>
    </row>
    <row r="1365" ht="15.75" customHeight="1">
      <c r="A1365" s="1">
        <v>1443.0</v>
      </c>
      <c r="B1365" s="3" t="s">
        <v>1354</v>
      </c>
      <c r="C1365" s="3" t="str">
        <f>IFERROR(__xludf.DUMMYFUNCTION("GOOGLETRANSLATE(B1365,""id"",""en"")"),"['Choice', 'service', 'satisfying']")</f>
        <v>['Choice', 'service', 'satisfying']</v>
      </c>
      <c r="D1365" s="3">
        <v>5.0</v>
      </c>
    </row>
    <row r="1366" ht="15.75" customHeight="1">
      <c r="A1366" s="1">
        <v>1444.0</v>
      </c>
      <c r="B1366" s="3" t="s">
        <v>1355</v>
      </c>
      <c r="C1366" s="3" t="str">
        <f>IFERROR(__xludf.DUMMYFUNCTION("GOOGLETRANSLATE(B1366,""id"",""en"")"),"['package', 'expensive', 'balance', 'speed', 'internet', '']")</f>
        <v>['package', 'expensive', 'balance', 'speed', 'internet', '']</v>
      </c>
      <c r="D1366" s="3">
        <v>1.0</v>
      </c>
    </row>
    <row r="1367" ht="15.75" customHeight="1">
      <c r="A1367" s="1">
        <v>1445.0</v>
      </c>
      <c r="B1367" s="3" t="s">
        <v>1356</v>
      </c>
      <c r="C1367" s="3" t="str">
        <f>IFERROR(__xludf.DUMMYFUNCTION("GOOGLETRANSLATE(B1367,""id"",""en"")"),"['Service', 'network', 'Telkomsel', 'decreases', 'in the area', 'point', 'internet', 'slow', 'ampuuuuunn', ""]")</f>
        <v>['Service', 'network', 'Telkomsel', 'decreases', 'in the area', 'point', 'internet', 'slow', 'ampuuuuunn', "]</v>
      </c>
      <c r="D1367" s="3">
        <v>1.0</v>
      </c>
    </row>
    <row r="1368" ht="15.75" customHeight="1">
      <c r="A1368" s="1">
        <v>1446.0</v>
      </c>
      <c r="B1368" s="3" t="s">
        <v>1357</v>
      </c>
      <c r="C1368" s="3" t="str">
        <f>IFERROR(__xludf.DUMMYFUNCTION("GOOGLETRANSLATE(B1368,""id"",""en"")"),"['Woiii', 'Telkomsel', 'Tlong', 'Fix', 'Network', 'Ngapa', 'Leet', 'Propider', 'Indonesia', 'Love', 'Best', 'Back', ' ',' disappointing ',' customer ',' JRINGAN ',' KEK ',' Gini ',' pdhal ',' slow ',' ksih ',' star ',' I ',' ksih ',' bntang ' , 'skali', '"&amp;"']")</f>
        <v>['Woiii', 'Telkomsel', 'Tlong', 'Fix', 'Network', 'Ngapa', 'Leet', 'Propider', 'Indonesia', 'Love', 'Best', 'Back', ' ',' disappointing ',' customer ',' JRINGAN ',' KEK ',' Gini ',' pdhal ',' slow ',' ksih ',' star ',' I ',' ksih ',' bntang ' , 'skali', '']</v>
      </c>
      <c r="D1368" s="3">
        <v>1.0</v>
      </c>
    </row>
    <row r="1369" ht="15.75" customHeight="1">
      <c r="A1369" s="1">
        <v>1447.0</v>
      </c>
      <c r="B1369" s="3" t="s">
        <v>1358</v>
      </c>
      <c r="C1369" s="3" t="str">
        <f>IFERROR(__xludf.DUMMYFUNCTION("GOOGLETRANSLATE(B1369,""id"",""en"")"),"['Please', 'admin', 'Telkomsel', 'balance', 'pulse', 'dri', 'purchase', 'package', 'leftover', 'balance', 'drained', ""]")</f>
        <v>['Please', 'admin', 'Telkomsel', 'balance', 'pulse', 'dri', 'purchase', 'package', 'leftover', 'balance', 'drained', "]</v>
      </c>
      <c r="D1369" s="3">
        <v>3.0</v>
      </c>
    </row>
    <row r="1370" ht="15.75" customHeight="1">
      <c r="A1370" s="1">
        <v>1448.0</v>
      </c>
      <c r="B1370" s="3" t="s">
        <v>1359</v>
      </c>
      <c r="C1370" s="3" t="str">
        <f>IFERROR(__xludf.DUMMYFUNCTION("GOOGLETRANSLATE(B1370,""id"",""en"")"),"['Tissue', 'Telkomsel', 'here', 'Severe', 'Thinking', 'User', 'Cuan', 'Current', 'Can Be', 'Bebenah', 'Network', 'Mending', ' Close ',' boss', 'network', 'Telkomsel', 'person', 'disappointed', 'network', 'ugly', ""]")</f>
        <v>['Tissue', 'Telkomsel', 'here', 'Severe', 'Thinking', 'User', 'Cuan', 'Current', 'Can Be', 'Bebenah', 'Network', 'Mending', ' Close ',' boss', 'network', 'Telkomsel', 'person', 'disappointed', 'network', 'ugly', "]</v>
      </c>
      <c r="D1370" s="3">
        <v>1.0</v>
      </c>
    </row>
    <row r="1371" ht="15.75" customHeight="1">
      <c r="A1371" s="1">
        <v>1449.0</v>
      </c>
      <c r="B1371" s="3" t="s">
        <v>1360</v>
      </c>
      <c r="C1371" s="3" t="str">
        <f>IFERROR(__xludf.DUMMYFUNCTION("GOOGLETRANSLATE(B1371,""id"",""en"")"),"['Help', 'Telkomsel', 'Thank "",' Love ',' Telkomsel ']")</f>
        <v>['Help', 'Telkomsel', 'Thank ",' Love ',' Telkomsel ']</v>
      </c>
      <c r="D1371" s="3">
        <v>5.0</v>
      </c>
    </row>
    <row r="1372" ht="15.75" customHeight="1">
      <c r="A1372" s="1">
        <v>1450.0</v>
      </c>
      <c r="B1372" s="3" t="s">
        <v>1361</v>
      </c>
      <c r="C1372" s="3" t="str">
        <f>IFERROR(__xludf.DUMMYFUNCTION("GOOGLETRANSLATE(B1372,""id"",""en"")"),"['Please', 'agent', 'Telkomsel', 'humbled', 'price', 'package', 'price', ""]")</f>
        <v>['Please', 'agent', 'Telkomsel', 'humbled', 'price', 'package', 'price', "]</v>
      </c>
      <c r="D1372" s="3">
        <v>1.0</v>
      </c>
    </row>
    <row r="1373" ht="15.75" customHeight="1">
      <c r="A1373" s="1">
        <v>1451.0</v>
      </c>
      <c r="B1373" s="3" t="s">
        <v>1362</v>
      </c>
      <c r="C1373" s="3" t="str">
        <f>IFERROR(__xludf.DUMMYFUNCTION("GOOGLETRANSLATE(B1373,""id"",""en"")"),"['Difficult', 'opened']")</f>
        <v>['Difficult', 'opened']</v>
      </c>
      <c r="D1373" s="3">
        <v>1.0</v>
      </c>
    </row>
    <row r="1374" ht="15.75" customHeight="1">
      <c r="A1374" s="1">
        <v>1452.0</v>
      </c>
      <c r="B1374" s="3" t="s">
        <v>1363</v>
      </c>
      <c r="C1374" s="3" t="str">
        <f>IFERROR(__xludf.DUMMYFUNCTION("GOOGLETRANSLATE(B1374,""id"",""en"")"),"['Maling', 'idiot', 'package', 'emergency', 'already', 'paid out', 'August', 'samp', 'cut', 'pulse', 'bill', 'pulses',' Emergency ',' basic ',' Maling ',' idiot ',' ']")</f>
        <v>['Maling', 'idiot', 'package', 'emergency', 'already', 'paid out', 'August', 'samp', 'cut', 'pulse', 'bill', 'pulses',' Emergency ',' basic ',' Maling ',' idiot ',' ']</v>
      </c>
      <c r="D1374" s="3">
        <v>1.0</v>
      </c>
    </row>
    <row r="1375" ht="15.75" customHeight="1">
      <c r="A1375" s="1">
        <v>1453.0</v>
      </c>
      <c r="B1375" s="3" t="s">
        <v>1364</v>
      </c>
      <c r="C1375" s="3" t="str">
        <f>IFERROR(__xludf.DUMMYFUNCTION("GOOGLETRANSLATE(B1375,""id"",""en"")"),"['Network', 'Internet', 'Lemot', 'Turuni', 'Star']")</f>
        <v>['Network', 'Internet', 'Lemot', 'Turuni', 'Star']</v>
      </c>
      <c r="D1375" s="3">
        <v>2.0</v>
      </c>
    </row>
    <row r="1376" ht="15.75" customHeight="1">
      <c r="A1376" s="1">
        <v>1454.0</v>
      </c>
      <c r="B1376" s="3" t="s">
        <v>1365</v>
      </c>
      <c r="C1376" s="3" t="str">
        <f>IFERROR(__xludf.DUMMYFUNCTION("GOOGLETRANSLATE(B1376,""id"",""en"")"),"['Telkomsel', 'Please', 'Read', 'Understand', 'Fix', 'Complaints', 'Complaints', 'Customer', 'Setia', ""]")</f>
        <v>['Telkomsel', 'Please', 'Read', 'Understand', 'Fix', 'Complaints', 'Complaints', 'Customer', 'Setia', "]</v>
      </c>
      <c r="D1376" s="3">
        <v>1.0</v>
      </c>
    </row>
    <row r="1377" ht="15.75" customHeight="1">
      <c r="A1377" s="1">
        <v>1455.0</v>
      </c>
      <c r="B1377" s="3" t="s">
        <v>1366</v>
      </c>
      <c r="C1377" s="3" t="str">
        <f>IFERROR(__xludf.DUMMYFUNCTION("GOOGLETRANSLATE(B1377,""id"",""en"")"),"['Come', 'The network', 'Disappointed', 'Aahh']")</f>
        <v>['Come', 'The network', 'Disappointed', 'Aahh']</v>
      </c>
      <c r="D1377" s="3">
        <v>3.0</v>
      </c>
    </row>
    <row r="1378" ht="15.75" customHeight="1">
      <c r="A1378" s="1">
        <v>1456.0</v>
      </c>
      <c r="B1378" s="3" t="s">
        <v>1367</v>
      </c>
      <c r="C1378" s="3" t="str">
        <f>IFERROR(__xludf.DUMMYFUNCTION("GOOGLETRANSLATE(B1378,""id"",""en"")"),"['application', 'hard', 'slow', 'entered', 'shopping', 'system', 'error', 'class', 'Telkomsel', 'service', 'disappointing', '']")</f>
        <v>['application', 'hard', 'slow', 'entered', 'shopping', 'system', 'error', 'class', 'Telkomsel', 'service', 'disappointing', '']</v>
      </c>
      <c r="D1378" s="3">
        <v>1.0</v>
      </c>
    </row>
    <row r="1379" ht="15.75" customHeight="1">
      <c r="A1379" s="1">
        <v>1457.0</v>
      </c>
      <c r="B1379" s="3" t="s">
        <v>1368</v>
      </c>
      <c r="C1379" s="3" t="str">
        <f>IFERROR(__xludf.DUMMYFUNCTION("GOOGLETRANSLATE(B1379,""id"",""en"")"),"['signal', 'Telkomsel', 'slow', 'please', 'fix', '']")</f>
        <v>['signal', 'Telkomsel', 'slow', 'please', 'fix', '']</v>
      </c>
      <c r="D1379" s="3">
        <v>1.0</v>
      </c>
    </row>
    <row r="1380" ht="15.75" customHeight="1">
      <c r="A1380" s="1">
        <v>1458.0</v>
      </c>
      <c r="B1380" s="3" t="s">
        <v>1369</v>
      </c>
      <c r="C1380" s="3" t="str">
        <f>IFERROR(__xludf.DUMMYFUNCTION("GOOGLETRANSLATE(B1380,""id"",""en"")"),"['pules',' free ',' data ',' GB ',' spend ',' pulse ',' Telkomsel ',' suck ',' pulse ',' suck ',' data ',' free ',' Telkomsel ',' cheated ',' repeated ',' times', 'okay', ""]")</f>
        <v>['pules',' free ',' data ',' GB ',' spend ',' pulse ',' Telkomsel ',' suck ',' pulse ',' suck ',' data ',' free ',' Telkomsel ',' cheated ',' repeated ',' times', 'okay', "]</v>
      </c>
      <c r="D1380" s="3">
        <v>1.0</v>
      </c>
    </row>
    <row r="1381" ht="15.75" customHeight="1">
      <c r="A1381" s="1">
        <v>1460.0</v>
      </c>
      <c r="B1381" s="3" t="s">
        <v>1370</v>
      </c>
      <c r="C1381" s="3" t="str">
        <f>IFERROR(__xludf.DUMMYFUNCTION("GOOGLETRANSLATE(B1381,""id"",""en"")"),"['Payment', 'complete', 'use', 'Linkaja', 'pulse', 'use', 'funds',' ovo ',' gopay ',' top ',' pulse ',' provided ',' Tools', 'Pay', 'Linkaja', 'Use', 'Fund', '']")</f>
        <v>['Payment', 'complete', 'use', 'Linkaja', 'pulse', 'use', 'funds',' ovo ',' gopay ',' top ',' pulse ',' provided ',' Tools', 'Pay', 'Linkaja', 'Use', 'Fund', '']</v>
      </c>
      <c r="D1381" s="3">
        <v>2.0</v>
      </c>
    </row>
    <row r="1382" ht="15.75" customHeight="1">
      <c r="A1382" s="1">
        <v>1461.0</v>
      </c>
      <c r="B1382" s="3" t="s">
        <v>1371</v>
      </c>
      <c r="C1382" s="3" t="str">
        <f>IFERROR(__xludf.DUMMYFUNCTION("GOOGLETRANSLATE(B1382,""id"",""en"")"),"['MyTelkomsel', 'Update', 'Clean', 'then', 'Open', 'Application', 'Open', 'Ngeblank', 'Picture', 'Please', 'Help', 'Donk', ' ']")</f>
        <v>['MyTelkomsel', 'Update', 'Clean', 'then', 'Open', 'Application', 'Open', 'Ngeblank', 'Picture', 'Please', 'Help', 'Donk', ' ']</v>
      </c>
      <c r="D1382" s="3">
        <v>5.0</v>
      </c>
    </row>
    <row r="1383" ht="15.75" customHeight="1">
      <c r="A1383" s="1">
        <v>1462.0</v>
      </c>
      <c r="B1383" s="3" t="s">
        <v>1372</v>
      </c>
      <c r="C1383" s="3" t="str">
        <f>IFERROR(__xludf.DUMMYFUNCTION("GOOGLETRANSLATE(B1383,""id"",""en"")"),"['Telkomsel', 'Where', 'Signal', 'SLLU', '']")</f>
        <v>['Telkomsel', 'Where', 'Signal', 'SLLU', '']</v>
      </c>
      <c r="D1383" s="3">
        <v>4.0</v>
      </c>
    </row>
    <row r="1384" ht="15.75" customHeight="1">
      <c r="A1384" s="1">
        <v>1463.0</v>
      </c>
      <c r="B1384" s="3" t="s">
        <v>1373</v>
      </c>
      <c r="C1384" s="3" t="str">
        <f>IFERROR(__xludf.DUMMYFUNCTION("GOOGLETRANSLATE(B1384,""id"",""en"")"),"['Move', 'cheap', 'Rada', 'slow', 'gapapa', 'TPI', 'rare', 'disorder']")</f>
        <v>['Move', 'cheap', 'Rada', 'slow', 'gapapa', 'TPI', 'rare', 'disorder']</v>
      </c>
      <c r="D1384" s="3">
        <v>1.0</v>
      </c>
    </row>
    <row r="1385" ht="15.75" customHeight="1">
      <c r="A1385" s="1">
        <v>1464.0</v>
      </c>
      <c r="B1385" s="3" t="s">
        <v>1374</v>
      </c>
      <c r="C1385" s="3" t="str">
        <f>IFERROR(__xludf.DUMMYFUNCTION("GOOGLETRANSLATE(B1385,""id"",""en"")"),"['Login', 'Application', 'Telkomsel', 'Voice', 'Brisik', '']")</f>
        <v>['Login', 'Application', 'Telkomsel', 'Voice', 'Brisik', '']</v>
      </c>
      <c r="D1385" s="3">
        <v>5.0</v>
      </c>
    </row>
    <row r="1386" ht="15.75" customHeight="1">
      <c r="A1386" s="1">
        <v>1465.0</v>
      </c>
      <c r="B1386" s="3" t="s">
        <v>1375</v>
      </c>
      <c r="C1386" s="3" t="str">
        <f>IFERROR(__xludf.DUMMYFUNCTION("GOOGLETRANSLATE(B1386,""id"",""en"")"),"['Please', 'Network', 'Good', 'Lost', 'Lost', 'Embossed', 'Telkomsel', 'Want', 'Move', 'Operator', 'Please', 'Network']")</f>
        <v>['Please', 'Network', 'Good', 'Lost', 'Lost', 'Embossed', 'Telkomsel', 'Want', 'Move', 'Operator', 'Please', 'Network']</v>
      </c>
      <c r="D1386" s="3">
        <v>1.0</v>
      </c>
    </row>
    <row r="1387" ht="15.75" customHeight="1">
      <c r="A1387" s="1">
        <v>1466.0</v>
      </c>
      <c r="B1387" s="3" t="s">
        <v>1376</v>
      </c>
      <c r="C1387" s="3" t="str">
        <f>IFERROR(__xludf.DUMMYFUNCTION("GOOGLETRANSLATE(B1387,""id"",""en"")"),"['Strength', 'Signal', 'Region', 'Increase', 'Strength', 'Signal', 'Capital']")</f>
        <v>['Strength', 'Signal', 'Region', 'Increase', 'Strength', 'Signal', 'Capital']</v>
      </c>
      <c r="D1387" s="3">
        <v>5.0</v>
      </c>
    </row>
    <row r="1388" ht="15.75" customHeight="1">
      <c r="A1388" s="1">
        <v>1467.0</v>
      </c>
      <c r="B1388" s="3" t="s">
        <v>1377</v>
      </c>
      <c r="C1388" s="3" t="str">
        <f>IFERROR(__xludf.DUMMYFUNCTION("GOOGLETRANSLATE(B1388,""id"",""en"")"),"['package', 'expensive', 'network', 'game', 'macem']")</f>
        <v>['package', 'expensive', 'network', 'game', 'macem']</v>
      </c>
      <c r="D1388" s="3">
        <v>1.0</v>
      </c>
    </row>
    <row r="1389" ht="15.75" customHeight="1">
      <c r="A1389" s="1">
        <v>1468.0</v>
      </c>
      <c r="B1389" s="3" t="s">
        <v>1378</v>
      </c>
      <c r="C1389" s="3" t="str">
        <f>IFERROR(__xludf.DUMMYFUNCTION("GOOGLETRANSLATE(B1389,""id"",""en"")"),"['Increase', 'Service', 'Best']")</f>
        <v>['Increase', 'Service', 'Best']</v>
      </c>
      <c r="D1389" s="3">
        <v>4.0</v>
      </c>
    </row>
    <row r="1390" ht="15.75" customHeight="1">
      <c r="A1390" s="1">
        <v>1469.0</v>
      </c>
      <c r="B1390" s="3" t="s">
        <v>1379</v>
      </c>
      <c r="C1390" s="3" t="str">
        <f>IFERROR(__xludf.DUMMYFUNCTION("GOOGLETRANSLATE(B1390,""id"",""en"")"),"['', 'Kelurahan', 'Semper', 'West', 'Jakarta', 'North', 'Sousal', 'Weak', 'night', 'Please', 'Increase', 'Fix', 'Sinyal ',' signal ',' Loyo ',' yellow ',' strong ',' signal ',' biggest ',' loyo ']")</f>
        <v>['', 'Kelurahan', 'Semper', 'West', 'Jakarta', 'North', 'Sousal', 'Weak', 'night', 'Please', 'Increase', 'Fix', 'Sinyal ',' signal ',' Loyo ',' yellow ',' strong ',' signal ',' biggest ',' loyo ']</v>
      </c>
      <c r="D1390" s="3">
        <v>5.0</v>
      </c>
    </row>
    <row r="1391" ht="15.75" customHeight="1">
      <c r="A1391" s="1">
        <v>1470.0</v>
      </c>
      <c r="B1391" s="3" t="s">
        <v>1380</v>
      </c>
      <c r="C1391" s="3" t="str">
        <f>IFERROR(__xludf.DUMMYFUNCTION("GOOGLETRANSLATE(B1391,""id"",""en"")"),"['Severe', 'Signal', 'Telkomsel']")</f>
        <v>['Severe', 'Signal', 'Telkomsel']</v>
      </c>
      <c r="D1391" s="3">
        <v>2.0</v>
      </c>
    </row>
    <row r="1392" ht="15.75" customHeight="1">
      <c r="A1392" s="1">
        <v>1471.0</v>
      </c>
      <c r="B1392" s="3" t="s">
        <v>1381</v>
      </c>
      <c r="C1392" s="3" t="str">
        <f>IFERROR(__xludf.DUMMYFUNCTION("GOOGLETRANSLATE(B1392,""id"",""en"")"),"['Signal', 'Telkomsel', 'here', 'BURIK', 'MABAR', 'Red', 'Minus', 'Identiku', 'Telkomsel']")</f>
        <v>['Signal', 'Telkomsel', 'here', 'BURIK', 'MABAR', 'Red', 'Minus', 'Identiku', 'Telkomsel']</v>
      </c>
      <c r="D1392" s="3">
        <v>1.0</v>
      </c>
    </row>
    <row r="1393" ht="15.75" customHeight="1">
      <c r="A1393" s="1">
        <v>1472.0</v>
      </c>
      <c r="B1393" s="3" t="s">
        <v>1382</v>
      </c>
      <c r="C1393" s="3" t="str">
        <f>IFERROR(__xludf.DUMMYFUNCTION("GOOGLETRANSLATE(B1393,""id"",""en"")"),"['Ouch', 'ugly', 'gini', 'notip', 'kuata', 'abis',' pulses', 'follow', 'ilang', 'rupiah', 'pulses',' coakes', ' KNPA ',' ilang ',' Sendri ',' Ahh ']")</f>
        <v>['Ouch', 'ugly', 'gini', 'notip', 'kuata', 'abis',' pulses', 'follow', 'ilang', 'rupiah', 'pulses',' coakes', ' KNPA ',' ilang ',' Sendri ',' Ahh ']</v>
      </c>
      <c r="D1393" s="3">
        <v>2.0</v>
      </c>
    </row>
    <row r="1394" ht="15.75" customHeight="1">
      <c r="A1394" s="1">
        <v>1473.0</v>
      </c>
      <c r="B1394" s="3" t="s">
        <v>1383</v>
      </c>
      <c r="C1394" s="3" t="str">
        <f>IFERROR(__xludf.DUMMYFUNCTION("GOOGLETRANSLATE(B1394,""id"",""en"")"),"['language', '']")</f>
        <v>['language', '']</v>
      </c>
      <c r="D1394" s="3">
        <v>1.0</v>
      </c>
    </row>
    <row r="1395" ht="15.75" customHeight="1">
      <c r="A1395" s="1">
        <v>1474.0</v>
      </c>
      <c r="B1395" s="3" t="s">
        <v>1384</v>
      </c>
      <c r="C1395" s="3" t="str">
        <f>IFERROR(__xludf.DUMMYFUNCTION("GOOGLETRANSLATE(B1395,""id"",""en"")"),"['Gaada', 'picture', 'page', 'main', 'gabisa', 'reload', 'gloomy', 'play', 'game', 'ganshin', 'impac', 'delay', ' Tsel ',' ']")</f>
        <v>['Gaada', 'picture', 'page', 'main', 'gabisa', 'reload', 'gloomy', 'play', 'game', 'ganshin', 'impac', 'delay', ' Tsel ',' ']</v>
      </c>
      <c r="D1395" s="3">
        <v>1.0</v>
      </c>
    </row>
    <row r="1396" ht="15.75" customHeight="1">
      <c r="A1396" s="1">
        <v>1475.0</v>
      </c>
      <c r="B1396" s="3" t="s">
        <v>1385</v>
      </c>
      <c r="C1396" s="3" t="str">
        <f>IFERROR(__xludf.DUMMYFUNCTION("GOOGLETRANSLATE(B1396,""id"",""en"")"),"['Application', 'Cool', 'Help']")</f>
        <v>['Application', 'Cool', 'Help']</v>
      </c>
      <c r="D1396" s="3">
        <v>5.0</v>
      </c>
    </row>
    <row r="1397" ht="15.75" customHeight="1">
      <c r="A1397" s="1">
        <v>1476.0</v>
      </c>
      <c r="B1397" s="3" t="s">
        <v>1386</v>
      </c>
      <c r="C1397" s="3" t="str">
        <f>IFERROR(__xludf.DUMMYFUNCTION("GOOGLETRANSLATE(B1397,""id"",""en"")"),"['', 'easy', 'help']")</f>
        <v>['', 'easy', 'help']</v>
      </c>
      <c r="D1397" s="3">
        <v>5.0</v>
      </c>
    </row>
    <row r="1398" ht="15.75" customHeight="1">
      <c r="A1398" s="1">
        <v>1477.0</v>
      </c>
      <c r="B1398" s="3" t="s">
        <v>1387</v>
      </c>
      <c r="C1398" s="3" t="str">
        <f>IFERROR(__xludf.DUMMYFUNCTION("GOOGLETRANSLATE(B1398,""id"",""en"")"),"['user', 'sympathy', 'signal', 'village', 'difficulttttttt', 'lose', 'provider', 'price', 'package', 'expensive', 'according to', 'signal', ' Android ',' Serasa ',' old school ', ""]")</f>
        <v>['user', 'sympathy', 'signal', 'village', 'difficulttttttt', 'lose', 'provider', 'price', 'package', 'expensive', 'according to', 'signal', ' Android ',' Serasa ',' old school ', "]</v>
      </c>
      <c r="D1398" s="3">
        <v>1.0</v>
      </c>
    </row>
    <row r="1399" ht="15.75" customHeight="1">
      <c r="A1399" s="1">
        <v>1478.0</v>
      </c>
      <c r="B1399" s="3" t="s">
        <v>1388</v>
      </c>
      <c r="C1399" s="3" t="str">
        <f>IFERROR(__xludf.DUMMYFUNCTION("GOOGLETRANSLATE(B1399,""id"",""en"")"),"['Jrngan', 'please', 'strengthen']")</f>
        <v>['Jrngan', 'please', 'strengthen']</v>
      </c>
      <c r="D1399" s="3">
        <v>1.0</v>
      </c>
    </row>
    <row r="1400" ht="15.75" customHeight="1">
      <c r="A1400" s="1">
        <v>1479.0</v>
      </c>
      <c r="B1400" s="3" t="s">
        <v>1389</v>
      </c>
      <c r="C1400" s="3" t="str">
        <f>IFERROR(__xludf.DUMMYFUNCTION("GOOGLETRANSLATE(B1400,""id"",""en"")"),"['Kasi', 'star', 'Masi', 'try', 'application']")</f>
        <v>['Kasi', 'star', 'Masi', 'try', 'application']</v>
      </c>
      <c r="D1400" s="3">
        <v>3.0</v>
      </c>
    </row>
    <row r="1401" ht="15.75" customHeight="1">
      <c r="A1401" s="1">
        <v>1480.0</v>
      </c>
      <c r="B1401" s="3" t="s">
        <v>1390</v>
      </c>
      <c r="C1401" s="3" t="str">
        <f>IFERROR(__xludf.DUMMYFUNCTION("GOOGLETRANSLATE(B1401,""id"",""en"")"),"['stable', 'severe', 'really', 'Telkomsel', 'Hello', 'Telkomsel', 'moved', 'operator', 'package', 'expensive', 'network', 'slow' critical', '']")</f>
        <v>['stable', 'severe', 'really', 'Telkomsel', 'Hello', 'Telkomsel', 'moved', 'operator', 'package', 'expensive', 'network', 'slow' critical', '']</v>
      </c>
      <c r="D1401" s="3">
        <v>1.0</v>
      </c>
    </row>
    <row r="1402" ht="15.75" customHeight="1">
      <c r="A1402" s="1">
        <v>1481.0</v>
      </c>
      <c r="B1402" s="3" t="s">
        <v>1391</v>
      </c>
      <c r="C1402" s="3" t="str">
        <f>IFERROR(__xludf.DUMMYFUNCTION("GOOGLETRANSLATE(B1402,""id"",""en"")"),"['pretentious', 'package', 'game', 'dipake', 'ngelag', 'lolot']")</f>
        <v>['pretentious', 'package', 'game', 'dipake', 'ngelag', 'lolot']</v>
      </c>
      <c r="D1402" s="3">
        <v>1.0</v>
      </c>
    </row>
    <row r="1403" ht="15.75" customHeight="1">
      <c r="A1403" s="1">
        <v>1482.0</v>
      </c>
      <c r="B1403" s="3" t="s">
        <v>1392</v>
      </c>
      <c r="C1403" s="3" t="str">
        <f>IFERROR(__xludf.DUMMYFUNCTION("GOOGLETRANSLATE(B1403,""id"",""en"")"),"['min', 'please', 'connection', 'internet', 'fix', 'area', 'ciwidey', 'bandung', 'connection', 'internet', 'error', 'stable', ' signal ',' full ',' play ',' game ',' ngeleg ',' like ',' gini ',' loyal ',' telkomsel ',' turn ',' prove ',' slogan ',' thank "&amp;"' , 'love']")</f>
        <v>['min', 'please', 'connection', 'internet', 'fix', 'area', 'ciwidey', 'bandung', 'connection', 'internet', 'error', 'stable', ' signal ',' full ',' play ',' game ',' ngeleg ',' like ',' gini ',' loyal ',' telkomsel ',' turn ',' prove ',' slogan ',' thank ' , 'love']</v>
      </c>
      <c r="D1403" s="3">
        <v>2.0</v>
      </c>
    </row>
    <row r="1404" ht="15.75" customHeight="1">
      <c r="A1404" s="1">
        <v>1483.0</v>
      </c>
      <c r="B1404" s="3" t="s">
        <v>1393</v>
      </c>
      <c r="C1404" s="3" t="str">
        <f>IFERROR(__xludf.DUMMYFUNCTION("GOOGLETRANSLATE(B1404,""id"",""en"")"),"['MangTapss', 'spirit', 'hope', 'crew', 'team', 'Telkomsel', 'blessed']")</f>
        <v>['MangTapss', 'spirit', 'hope', 'crew', 'team', 'Telkomsel', 'blessed']</v>
      </c>
      <c r="D1404" s="3">
        <v>5.0</v>
      </c>
    </row>
    <row r="1405" ht="15.75" customHeight="1">
      <c r="A1405" s="1">
        <v>1485.0</v>
      </c>
      <c r="B1405" s="3" t="s">
        <v>1394</v>
      </c>
      <c r="C1405" s="3" t="str">
        <f>IFERROR(__xludf.DUMMYFUNCTION("GOOGLETRANSLATE(B1405,""id"",""en"")"),"['Please', 'price', 'package', 'internet', 'cheap', 'era', 'difficult']")</f>
        <v>['Please', 'price', 'package', 'internet', 'cheap', 'era', 'difficult']</v>
      </c>
      <c r="D1405" s="3">
        <v>5.0</v>
      </c>
    </row>
    <row r="1406" ht="15.75" customHeight="1">
      <c r="A1406" s="1">
        <v>1486.0</v>
      </c>
      <c r="B1406" s="3" t="s">
        <v>1395</v>
      </c>
      <c r="C1406" s="3" t="str">
        <f>IFERROR(__xludf.DUMMYFUNCTION("GOOGLETRANSLATE(B1406,""id"",""en"")"),"['like', 'like', 'like']")</f>
        <v>['like', 'like', 'like']</v>
      </c>
      <c r="D1406" s="3">
        <v>5.0</v>
      </c>
    </row>
    <row r="1407" ht="15.75" customHeight="1">
      <c r="A1407" s="1">
        <v>1487.0</v>
      </c>
      <c r="B1407" s="3" t="s">
        <v>1396</v>
      </c>
      <c r="C1407" s="3" t="str">
        <f>IFERROR(__xludf.DUMMYFUNCTION("GOOGLETRANSLATE(B1407,""id"",""en"")"),"['Telkomsel', 'like', 'prank', 'enter', 'application', 'loading', 'clock', 'error', ""]")</f>
        <v>['Telkomsel', 'like', 'prank', 'enter', 'application', 'loading', 'clock', 'error', "]</v>
      </c>
      <c r="D1407" s="3">
        <v>1.0</v>
      </c>
    </row>
    <row r="1408" ht="15.75" customHeight="1">
      <c r="A1408" s="1">
        <v>1488.0</v>
      </c>
      <c r="B1408" s="3" t="s">
        <v>1397</v>
      </c>
      <c r="C1408" s="3" t="str">
        <f>IFERROR(__xludf.DUMMYFUNCTION("GOOGLETRANSLATE(B1408,""id"",""en"")"),"['user', 'loyal', 'sympathy', 'times', 'sympathy', 'internet', 'weak', 'please', 'fix', '']")</f>
        <v>['user', 'loyal', 'sympathy', 'times', 'sympathy', 'internet', 'weak', 'please', 'fix', '']</v>
      </c>
      <c r="D1408" s="3">
        <v>2.0</v>
      </c>
    </row>
    <row r="1409" ht="15.75" customHeight="1">
      <c r="A1409" s="1">
        <v>1489.0</v>
      </c>
      <c r="B1409" s="3" t="s">
        <v>1398</v>
      </c>
      <c r="C1409" s="3" t="str">
        <f>IFERROR(__xludf.DUMMYFUNCTION("GOOGLETRANSLATE(B1409,""id"",""en"")"),"['Application', 'Sngat', 'Bgus']")</f>
        <v>['Application', 'Sngat', 'Bgus']</v>
      </c>
      <c r="D1409" s="3">
        <v>3.0</v>
      </c>
    </row>
    <row r="1410" ht="15.75" customHeight="1">
      <c r="A1410" s="1">
        <v>1490.0</v>
      </c>
      <c r="B1410" s="3" t="s">
        <v>1399</v>
      </c>
      <c r="C1410" s="3" t="str">
        <f>IFERROR(__xludf.DUMMYFUNCTION("GOOGLETRANSLATE(B1410,""id"",""en"")"),"['', 'Telkomsel', 'STLH', 'MNTA', 'Update', 'Dibk', 'UDH', 'Uninstall', 'TRS', 'Download', 'LGI', 'TTP', 'AZA ',' opened ',' ']")</f>
        <v>['', 'Telkomsel', 'STLH', 'MNTA', 'Update', 'Dibk', 'UDH', 'Uninstall', 'TRS', 'Download', 'LGI', 'TTP', 'AZA ',' opened ',' ']</v>
      </c>
      <c r="D1410" s="3">
        <v>1.0</v>
      </c>
    </row>
    <row r="1411" ht="15.75" customHeight="1">
      <c r="A1411" s="1">
        <v>1491.0</v>
      </c>
      <c r="B1411" s="3" t="s">
        <v>1400</v>
      </c>
      <c r="C1411" s="3" t="str">
        <f>IFERROR(__xludf.DUMMYFUNCTION("GOOGLETRANSLATE(B1411,""id"",""en"")"),"['Good', 'Danterjangah']")</f>
        <v>['Good', 'Danterjangah']</v>
      </c>
      <c r="D1411" s="3">
        <v>5.0</v>
      </c>
    </row>
    <row r="1412" ht="15.75" customHeight="1">
      <c r="A1412" s="1">
        <v>1492.0</v>
      </c>
      <c r="B1412" s="3" t="s">
        <v>1401</v>
      </c>
      <c r="C1412" s="3" t="str">
        <f>IFERROR(__xludf.DUMMYFUNCTION("GOOGLETRANSLATE(B1412,""id"",""en"")"),"['Gamers', 'card', 'recommendations', 'games', 'enemies', 'network', 'red', 'continued', 'toll', '']")</f>
        <v>['Gamers', 'card', 'recommendations', 'games', 'enemies', 'network', 'red', 'continued', 'toll', '']</v>
      </c>
      <c r="D1412" s="3">
        <v>1.0</v>
      </c>
    </row>
    <row r="1413" ht="15.75" customHeight="1">
      <c r="A1413" s="1">
        <v>1493.0</v>
      </c>
      <c r="B1413" s="3" t="s">
        <v>1402</v>
      </c>
      <c r="C1413" s="3" t="str">
        <f>IFERROR(__xludf.DUMMYFUNCTION("GOOGLETRANSLATE(B1413,""id"",""en"")"),"['The network', 'bad', 'area', '']")</f>
        <v>['The network', 'bad', 'area', '']</v>
      </c>
      <c r="D1413" s="3">
        <v>2.0</v>
      </c>
    </row>
    <row r="1414" ht="15.75" customHeight="1">
      <c r="A1414" s="1">
        <v>1494.0</v>
      </c>
      <c r="B1414" s="3" t="s">
        <v>1403</v>
      </c>
      <c r="C1414" s="3" t="str">
        <f>IFERROR(__xludf.DUMMYFUNCTION("GOOGLETRANSLATE(B1414,""id"",""en"")"),"['Complete', 'Different', 'Telkomsel', '']")</f>
        <v>['Complete', 'Different', 'Telkomsel', '']</v>
      </c>
      <c r="D1414" s="3">
        <v>1.0</v>
      </c>
    </row>
    <row r="1415" ht="15.75" customHeight="1">
      <c r="A1415" s="1">
        <v>1495.0</v>
      </c>
      <c r="B1415" s="3" t="s">
        <v>1404</v>
      </c>
      <c r="C1415" s="3" t="str">
        <f>IFERROR(__xludf.DUMMYFUNCTION("GOOGLETRANSLATE(B1415,""id"",""en"")"),"['good, good']")</f>
        <v>['good, good']</v>
      </c>
      <c r="D1415" s="3">
        <v>5.0</v>
      </c>
    </row>
    <row r="1416" ht="15.75" customHeight="1">
      <c r="A1416" s="1">
        <v>1496.0</v>
      </c>
      <c r="B1416" s="3" t="s">
        <v>1405</v>
      </c>
      <c r="C1416" s="3" t="str">
        <f>IFERROR(__xludf.DUMMYFUNCTION("GOOGLETRANSLATE(B1416,""id"",""en"")"),"['okay', 'really', 'service', 'see', 'kouta', 'good']")</f>
        <v>['okay', 'really', 'service', 'see', 'kouta', 'good']</v>
      </c>
      <c r="D1416" s="3">
        <v>5.0</v>
      </c>
    </row>
    <row r="1417" ht="15.75" customHeight="1">
      <c r="A1417" s="1">
        <v>1497.0</v>
      </c>
      <c r="B1417" s="3" t="s">
        <v>1406</v>
      </c>
      <c r="C1417" s="3" t="str">
        <f>IFERROR(__xludf.DUMMYFUNCTION("GOOGLETRANSLATE(B1417,""id"",""en"")"),"['Reach', 'Signal', 'Not bad', 'Good', 'Increase', 'Area', 'Plosok']")</f>
        <v>['Reach', 'Signal', 'Not bad', 'Good', 'Increase', 'Area', 'Plosok']</v>
      </c>
      <c r="D1417" s="3">
        <v>4.0</v>
      </c>
    </row>
    <row r="1418" ht="15.75" customHeight="1">
      <c r="A1418" s="1">
        <v>1498.0</v>
      </c>
      <c r="B1418" s="3" t="s">
        <v>1407</v>
      </c>
      <c r="C1418" s="3" t="str">
        <f>IFERROR(__xludf.DUMMYFUNCTION("GOOGLETRANSLATE(B1418,""id"",""en"")"),"['Mantep', 'APK']")</f>
        <v>['Mantep', 'APK']</v>
      </c>
      <c r="D1418" s="3">
        <v>5.0</v>
      </c>
    </row>
    <row r="1419" ht="15.75" customHeight="1">
      <c r="A1419" s="1">
        <v>1499.0</v>
      </c>
      <c r="B1419" s="3" t="s">
        <v>1408</v>
      </c>
      <c r="C1419" s="3" t="str">
        <f>IFERROR(__xludf.DUMMYFUNCTION("GOOGLETRANSLATE(B1419,""id"",""en"")"),"['Kang']")</f>
        <v>['Kang']</v>
      </c>
      <c r="D1419" s="3">
        <v>4.0</v>
      </c>
    </row>
    <row r="1420" ht="15.75" customHeight="1">
      <c r="A1420" s="1">
        <v>1500.0</v>
      </c>
      <c r="B1420" s="3" t="s">
        <v>1409</v>
      </c>
      <c r="C1420" s="3" t="str">
        <f>IFERROR(__xludf.DUMMYFUNCTION("GOOGLETRANSLATE(B1420,""id"",""en"")"),"['Application', 'garbage', 'Disruption', 'Different', ""]")</f>
        <v>['Application', 'garbage', 'Disruption', 'Different', "]</v>
      </c>
      <c r="D1420" s="3">
        <v>1.0</v>
      </c>
    </row>
    <row r="1421" ht="15.75" customHeight="1">
      <c r="A1421" s="1">
        <v>1501.0</v>
      </c>
      <c r="B1421" s="3" t="s">
        <v>1410</v>
      </c>
      <c r="C1421" s="3" t="str">
        <f>IFERROR(__xludf.DUMMYFUNCTION("GOOGLETRANSLATE(B1421,""id"",""en"")"),"['Package', 'unlimitates', 'slow']")</f>
        <v>['Package', 'unlimitates', 'slow']</v>
      </c>
      <c r="D1421" s="3">
        <v>1.0</v>
      </c>
    </row>
    <row r="1422" ht="15.75" customHeight="1">
      <c r="A1422" s="1">
        <v>1502.0</v>
      </c>
      <c r="B1422" s="3" t="s">
        <v>1411</v>
      </c>
      <c r="C1422" s="3" t="str">
        <f>IFERROR(__xludf.DUMMYFUNCTION("GOOGLETRANSLATE(B1422,""id"",""en"")"),"['Bukuk', 'ALII']")</f>
        <v>['Bukuk', 'ALII']</v>
      </c>
      <c r="D1422" s="3">
        <v>5.0</v>
      </c>
    </row>
    <row r="1423" ht="15.75" customHeight="1">
      <c r="A1423" s="1">
        <v>1503.0</v>
      </c>
      <c r="B1423" s="3" t="s">
        <v>1412</v>
      </c>
      <c r="C1423" s="3" t="str">
        <f>IFERROR(__xludf.DUMMYFUNCTION("GOOGLETRANSLATE(B1423,""id"",""en"")"),"['talalasoooooo', 'ngelag', 'Ajg', 'expensive', 'doank', 'taiiii']")</f>
        <v>['talalasoooooo', 'ngelag', 'Ajg', 'expensive', 'doank', 'taiiii']</v>
      </c>
      <c r="D1423" s="3">
        <v>1.0</v>
      </c>
    </row>
    <row r="1424" ht="15.75" customHeight="1">
      <c r="A1424" s="1">
        <v>1504.0</v>
      </c>
      <c r="B1424" s="3" t="s">
        <v>1413</v>
      </c>
      <c r="C1424" s="3" t="str">
        <f>IFERROR(__xludf.DUMMYFUNCTION("GOOGLETRANSLATE(B1424,""id"",""en"")"),"['TOP', 'Markotop', 'easy']")</f>
        <v>['TOP', 'Markotop', 'easy']</v>
      </c>
      <c r="D1424" s="3">
        <v>5.0</v>
      </c>
    </row>
    <row r="1425" ht="15.75" customHeight="1">
      <c r="A1425" s="1">
        <v>1505.0</v>
      </c>
      <c r="B1425" s="3" t="s">
        <v>1414</v>
      </c>
      <c r="C1425" s="3" t="str">
        <f>IFERROR(__xludf.DUMMYFUNCTION("GOOGLETRANSLATE(B1425,""id"",""en"")"),"['How', 'Internet', 'Wrong', 'expensive', 'wifi', 'network', 'noticed', 'please', 'min', 'center', 'region', 'Palembang', ' Seberga ',' Ulu ',' Good ',' LGI ',' Signal ',' What ',' Forward ',' Internet ',' Expensive ',' Network ',' Nygk ',' Noted ',' Cons"&amp;"umer ' , 'disappointed', 'please', 'assisted', 'good', 'network', 'JNG', 'CUE', 'ngalir', 'network', 'slow']")</f>
        <v>['How', 'Internet', 'Wrong', 'expensive', 'wifi', 'network', 'noticed', 'please', 'min', 'center', 'region', 'Palembang', ' Seberga ',' Ulu ',' Good ',' LGI ',' Signal ',' What ',' Forward ',' Internet ',' Expensive ',' Network ',' Nygk ',' Noted ',' Consumer ' , 'disappointed', 'please', 'assisted', 'good', 'network', 'JNG', 'CUE', 'ngalir', 'network', 'slow']</v>
      </c>
      <c r="D1425" s="3">
        <v>1.0</v>
      </c>
    </row>
    <row r="1426" ht="15.75" customHeight="1">
      <c r="A1426" s="1">
        <v>1506.0</v>
      </c>
      <c r="B1426" s="3" t="s">
        <v>1415</v>
      </c>
      <c r="C1426" s="3" t="str">
        <f>IFERROR(__xludf.DUMMYFUNCTION("GOOGLETRANSLATE(B1426,""id"",""en"")"),"['Telkomsel', 'signal', 'BURIK']")</f>
        <v>['Telkomsel', 'signal', 'BURIK']</v>
      </c>
      <c r="D1426" s="3">
        <v>1.0</v>
      </c>
    </row>
    <row r="1427" ht="15.75" customHeight="1">
      <c r="A1427" s="1">
        <v>1507.0</v>
      </c>
      <c r="B1427" s="3" t="s">
        <v>1416</v>
      </c>
      <c r="C1427" s="3" t="str">
        <f>IFERROR(__xludf.DUMMYFUNCTION("GOOGLETRANSLATE(B1427,""id"",""en"")"),"['The network', 'slow', ""]")</f>
        <v>['The network', 'slow', "]</v>
      </c>
      <c r="D1427" s="3">
        <v>1.0</v>
      </c>
    </row>
    <row r="1428" ht="15.75" customHeight="1">
      <c r="A1428" s="1">
        <v>1508.0</v>
      </c>
      <c r="B1428" s="3" t="s">
        <v>1417</v>
      </c>
      <c r="C1428" s="3" t="str">
        <f>IFERROR(__xludf.DUMMYFUNCTION("GOOGLETRANSLATE(B1428,""id"",""en"")"),"['right', 'pay', 'no']")</f>
        <v>['right', 'pay', 'no']</v>
      </c>
      <c r="D1428" s="3">
        <v>2.0</v>
      </c>
    </row>
    <row r="1429" ht="15.75" customHeight="1">
      <c r="A1429" s="1">
        <v>1509.0</v>
      </c>
      <c r="B1429" s="3" t="s">
        <v>1418</v>
      </c>
      <c r="C1429" s="3" t="str">
        <f>IFERROR(__xludf.DUMMYFUNCTION("GOOGLETRANSLATE(B1429,""id"",""en"")"),"['easy', 'buy', 'quota', 'save']")</f>
        <v>['easy', 'buy', 'quota', 'save']</v>
      </c>
      <c r="D1429" s="3">
        <v>5.0</v>
      </c>
    </row>
    <row r="1430" ht="15.75" customHeight="1">
      <c r="A1430" s="1">
        <v>1510.0</v>
      </c>
      <c r="B1430" s="3" t="s">
        <v>1419</v>
      </c>
      <c r="C1430" s="3" t="str">
        <f>IFERROR(__xludf.DUMMYFUNCTION("GOOGLETRANSLATE(B1430,""id"",""en"")"),"['buy', 'game', 'max', 'GB', 'quota', 'main', 'abis',' leftover ',' GB ',' gabisa ',' use ',' game ',' Try ',' buy ',' expensive ',' GB ',' Doang ',' Bad ',' ']")</f>
        <v>['buy', 'game', 'max', 'GB', 'quota', 'main', 'abis',' leftover ',' GB ',' gabisa ',' use ',' game ',' Try ',' buy ',' expensive ',' GB ',' Doang ',' Bad ',' ']</v>
      </c>
      <c r="D1430" s="3">
        <v>1.0</v>
      </c>
    </row>
    <row r="1431" ht="15.75" customHeight="1">
      <c r="A1431" s="1">
        <v>1511.0</v>
      </c>
      <c r="B1431" s="3" t="s">
        <v>1420</v>
      </c>
      <c r="C1431" s="3" t="str">
        <f>IFERROR(__xludf.DUMMYFUNCTION("GOOGLETRANSLATE(B1431,""id"",""en"")"),"['cheap', 'nampol', 'ndasmu', 'fix', 'system', 'knp', 'lose', 'ama', 'yellow', ""]")</f>
        <v>['cheap', 'nampol', 'ndasmu', 'fix', 'system', 'knp', 'lose', 'ama', 'yellow', "]</v>
      </c>
      <c r="D1431" s="3">
        <v>1.0</v>
      </c>
    </row>
    <row r="1432" ht="15.75" customHeight="1">
      <c r="A1432" s="1">
        <v>1512.0</v>
      </c>
      <c r="B1432" s="3" t="s">
        <v>1421</v>
      </c>
      <c r="C1432" s="3" t="str">
        <f>IFERROR(__xludf.DUMMYFUNCTION("GOOGLETRANSLATE(B1432,""id"",""en"")"),"['Steady', 'cheap', 'cheap']")</f>
        <v>['Steady', 'cheap', 'cheap']</v>
      </c>
      <c r="D1432" s="3">
        <v>5.0</v>
      </c>
    </row>
    <row r="1433" ht="15.75" customHeight="1">
      <c r="A1433" s="1">
        <v>1514.0</v>
      </c>
      <c r="B1433" s="3" t="s">
        <v>1422</v>
      </c>
      <c r="C1433" s="3" t="str">
        <f>IFERROR(__xludf.DUMMYFUNCTION("GOOGLETRANSLATE(B1433,""id"",""en"")"),"['Package', 'Data', 'Expensive', 'Network', 'Stable', 'Register', 'APK', 'Video', 'Merciful', 'Lost', ""]")</f>
        <v>['Package', 'Data', 'Expensive', 'Network', 'Stable', 'Register', 'APK', 'Video', 'Merciful', 'Lost', "]</v>
      </c>
      <c r="D1433" s="3">
        <v>1.0</v>
      </c>
    </row>
    <row r="1434" ht="15.75" customHeight="1">
      <c r="A1434" s="1">
        <v>1515.0</v>
      </c>
      <c r="B1434" s="3" t="s">
        <v>1423</v>
      </c>
      <c r="C1434" s="3" t="str">
        <f>IFERROR(__xludf.DUMMYFUNCTION("GOOGLETRANSLATE(B1434,""id"",""en"")"),"['Telkomsel', 'expensive', 'Doang', 'TPI', 'Kualits', 'Network', 'ugly', ""]")</f>
        <v>['Telkomsel', 'expensive', 'Doang', 'TPI', 'Kualits', 'Network', 'ugly', "]</v>
      </c>
      <c r="D1434" s="3">
        <v>1.0</v>
      </c>
    </row>
    <row r="1435" ht="15.75" customHeight="1">
      <c r="A1435" s="1">
        <v>1516.0</v>
      </c>
      <c r="B1435" s="3" t="s">
        <v>1424</v>
      </c>
      <c r="C1435" s="3" t="str">
        <f>IFERROR(__xludf.DUMMYFUNCTION("GOOGLETRANSLATE(B1435,""id"",""en"")"),"['Sudh', 'connection', 'bad', 'severe']")</f>
        <v>['Sudh', 'connection', 'bad', 'severe']</v>
      </c>
      <c r="D1435" s="3">
        <v>3.0</v>
      </c>
    </row>
    <row r="1436" ht="15.75" customHeight="1">
      <c r="A1436" s="1">
        <v>1517.0</v>
      </c>
      <c r="B1436" s="3" t="s">
        <v>1425</v>
      </c>
      <c r="C1436" s="3" t="str">
        <f>IFERROR(__xludf.DUMMYFUNCTION("GOOGLETRANSLATE(B1436,""id"",""en"")"),"['Application', 'Payiri', 'Exchange', 'Points',' Failed ',' Payment ',' Blum ',' Success', 'Udh', 'Sya', 'Try', 'Berulng', ' kli ',' sya ',' user ',' Telkomsel ',' Miss', 'cewa', 'apk', 'please', 'fix', 'lgi']")</f>
        <v>['Application', 'Payiri', 'Exchange', 'Points',' Failed ',' Payment ',' Blum ',' Success', 'Udh', 'Sya', 'Try', 'Berulng', ' kli ',' sya ',' user ',' Telkomsel ',' Miss', 'cewa', 'apk', 'please', 'fix', 'lgi']</v>
      </c>
      <c r="D1436" s="3">
        <v>1.0</v>
      </c>
    </row>
    <row r="1437" ht="15.75" customHeight="1">
      <c r="A1437" s="1">
        <v>1518.0</v>
      </c>
      <c r="B1437" s="3" t="s">
        <v>1426</v>
      </c>
      <c r="C1437" s="3" t="str">
        <f>IFERROR(__xludf.DUMMYFUNCTION("GOOGLETRANSLATE(B1437,""id"",""en"")"),"['Okeeeeeeeh', 'really', ""]")</f>
        <v>['Okeeeeeeeh', 'really', "]</v>
      </c>
      <c r="D1437" s="3">
        <v>4.0</v>
      </c>
    </row>
    <row r="1438" ht="15.75" customHeight="1">
      <c r="A1438" s="1">
        <v>1519.0</v>
      </c>
      <c r="B1438" s="3" t="s">
        <v>1427</v>
      </c>
      <c r="C1438" s="3" t="str">
        <f>IFERROR(__xludf.DUMMYFUNCTION("GOOGLETRANSLATE(B1438,""id"",""en"")"),"['Come', 'ugly', 'quality', 'sinynya', 'ojol', 'open', 'application', 'shopeedriver', 'loading', 'tried', 'provider', 'smooth', ' Jaya ']")</f>
        <v>['Come', 'ugly', 'quality', 'sinynya', 'ojol', 'open', 'application', 'shopeedriver', 'loading', 'tried', 'provider', 'smooth', ' Jaya ']</v>
      </c>
      <c r="D1438" s="3">
        <v>1.0</v>
      </c>
    </row>
    <row r="1439" ht="15.75" customHeight="1">
      <c r="A1439" s="1">
        <v>1520.0</v>
      </c>
      <c r="B1439" s="3" t="s">
        <v>1428</v>
      </c>
      <c r="C1439" s="3" t="str">
        <f>IFERROR(__xludf.DUMMYFUNCTION("GOOGLETRANSLATE(B1439,""id"",""en"")"),"['Please', 'fix']")</f>
        <v>['Please', 'fix']</v>
      </c>
      <c r="D1439" s="3">
        <v>4.0</v>
      </c>
    </row>
    <row r="1440" ht="15.75" customHeight="1">
      <c r="A1440" s="1">
        <v>1521.0</v>
      </c>
      <c r="B1440" s="3" t="s">
        <v>1429</v>
      </c>
      <c r="C1440" s="3" t="str">
        <f>IFERROR(__xludf.DUMMYFUNCTION("GOOGLETRANSLATE(B1440,""id"",""en"")"),"['lag', 'mulu', 'block', 'play', '']")</f>
        <v>['lag', 'mulu', 'block', 'play', '']</v>
      </c>
      <c r="D1440" s="3">
        <v>1.0</v>
      </c>
    </row>
    <row r="1441" ht="15.75" customHeight="1">
      <c r="A1441" s="1">
        <v>1522.0</v>
      </c>
      <c r="B1441" s="3" t="s">
        <v>1430</v>
      </c>
      <c r="C1441" s="3" t="str">
        <f>IFERROR(__xludf.DUMMYFUNCTION("GOOGLETRANSLATE(B1441,""id"",""en"")"),"['Jaya', 'then', 'Telcomsel', 'Please', 'Enhanced', 'Quality', 'Signal', 'Area', 'Krna', 'User', 'Telcomsel', 'Diarea', ' okay']")</f>
        <v>['Jaya', 'then', 'Telcomsel', 'Please', 'Enhanced', 'Quality', 'Signal', 'Area', 'Krna', 'User', 'Telcomsel', 'Diarea', ' okay']</v>
      </c>
      <c r="D1441" s="3">
        <v>5.0</v>
      </c>
    </row>
    <row r="1442" ht="15.75" customHeight="1">
      <c r="A1442" s="1">
        <v>1523.0</v>
      </c>
      <c r="B1442" s="3" t="s">
        <v>1431</v>
      </c>
      <c r="C1442" s="3" t="str">
        <f>IFERROR(__xludf.DUMMYFUNCTION("GOOGLETRANSLATE(B1442,""id"",""en"")"),"['Please', 'separated', 'package', 'data', 'pulse', 'card', '']")</f>
        <v>['Please', 'separated', 'package', 'data', 'pulse', 'card', '']</v>
      </c>
      <c r="D1442" s="3">
        <v>4.0</v>
      </c>
    </row>
    <row r="1443" ht="15.75" customHeight="1">
      <c r="A1443" s="1">
        <v>1524.0</v>
      </c>
      <c r="B1443" s="3" t="s">
        <v>1432</v>
      </c>
      <c r="C1443" s="3" t="str">
        <f>IFERROR(__xludf.DUMMYFUNCTION("GOOGLETRANSLATE(B1443,""id"",""en"")"),"['buy', 'data', 'internet']")</f>
        <v>['buy', 'data', 'internet']</v>
      </c>
      <c r="D1443" s="3">
        <v>1.0</v>
      </c>
    </row>
    <row r="1444" ht="15.75" customHeight="1">
      <c r="A1444" s="1">
        <v>1525.0</v>
      </c>
      <c r="B1444" s="3" t="s">
        <v>1433</v>
      </c>
      <c r="C1444" s="3" t="str">
        <f>IFERROR(__xludf.DUMMYFUNCTION("GOOGLETRANSLATE(B1444,""id"",""en"")"),"['Try', 'internet']")</f>
        <v>['Try', 'internet']</v>
      </c>
      <c r="D1444" s="3">
        <v>5.0</v>
      </c>
    </row>
    <row r="1445" ht="15.75" customHeight="1">
      <c r="A1445" s="1">
        <v>1526.0</v>
      </c>
      <c r="B1445" s="3" t="s">
        <v>1434</v>
      </c>
      <c r="C1445" s="3" t="str">
        <f>IFERROR(__xludf.DUMMYFUNCTION("GOOGLETRANSLATE(B1445,""id"",""en"")"),"['Update', 'application', 'Open', 'how']")</f>
        <v>['Update', 'application', 'Open', 'how']</v>
      </c>
      <c r="D1445" s="3">
        <v>1.0</v>
      </c>
    </row>
    <row r="1446" ht="15.75" customHeight="1">
      <c r="A1446" s="1">
        <v>1527.0</v>
      </c>
      <c r="B1446" s="3" t="s">
        <v>1435</v>
      </c>
      <c r="C1446" s="3" t="str">
        <f>IFERROR(__xludf.DUMMYFUNCTION("GOOGLETRANSLATE(B1446,""id"",""en"")"),"['help', '']")</f>
        <v>['help', '']</v>
      </c>
      <c r="D1446" s="3">
        <v>5.0</v>
      </c>
    </row>
    <row r="1447" ht="15.75" customHeight="1">
      <c r="A1447" s="1">
        <v>1528.0</v>
      </c>
      <c r="B1447" s="3" t="s">
        <v>1436</v>
      </c>
      <c r="C1447" s="3" t="str">
        <f>IFERROR(__xludf.DUMMYFUNCTION("GOOGLETRANSLATE(B1447,""id"",""en"")"),"['Signal', 'rain', 'cloudy', 'ugly', 'really', 'kayak', 'Telkomsel', 'loss', 'signal', 'severe', 'really']")</f>
        <v>['Signal', 'rain', 'cloudy', 'ugly', 'really', 'kayak', 'Telkomsel', 'loss', 'signal', 'severe', 'really']</v>
      </c>
      <c r="D1447" s="3">
        <v>1.0</v>
      </c>
    </row>
    <row r="1448" ht="15.75" customHeight="1">
      <c r="A1448" s="1">
        <v>1529.0</v>
      </c>
      <c r="B1448" s="3" t="s">
        <v>1437</v>
      </c>
      <c r="C1448" s="3" t="str">
        <f>IFERROR(__xludf.DUMMYFUNCTION("GOOGLETRANSLATE(B1448,""id"",""en"")"),"['The application', 'Open', 'Yesterday', '']")</f>
        <v>['The application', 'Open', 'Yesterday', '']</v>
      </c>
      <c r="D1448" s="3">
        <v>1.0</v>
      </c>
    </row>
    <row r="1449" ht="15.75" customHeight="1">
      <c r="A1449" s="1">
        <v>1530.0</v>
      </c>
      <c r="B1449" s="3" t="s">
        <v>1438</v>
      </c>
      <c r="C1449" s="3" t="str">
        <f>IFERROR(__xludf.DUMMYFUNCTION("GOOGLETRANSLATE(B1449,""id"",""en"")"),"['satisfying', 'users', 'Telkomsel', 'Come', 'Install', ""]")</f>
        <v>['satisfying', 'users', 'Telkomsel', 'Come', 'Install', "]</v>
      </c>
      <c r="D1449" s="3">
        <v>5.0</v>
      </c>
    </row>
    <row r="1450" ht="15.75" customHeight="1">
      <c r="A1450" s="1">
        <v>1531.0</v>
      </c>
      <c r="B1450" s="3" t="s">
        <v>1439</v>
      </c>
      <c r="C1450" s="3" t="str">
        <f>IFERROR(__xludf.DUMMYFUNCTION("GOOGLETRANSLATE(B1450,""id"",""en"")"),"['quota', 'package', 'expensive', 'signal', 'klu', 'bankrupt', 'donk']")</f>
        <v>['quota', 'package', 'expensive', 'signal', 'klu', 'bankrupt', 'donk']</v>
      </c>
      <c r="D1450" s="3">
        <v>5.0</v>
      </c>
    </row>
    <row r="1451" ht="15.75" customHeight="1">
      <c r="A1451" s="1">
        <v>1532.0</v>
      </c>
      <c r="B1451" s="3" t="s">
        <v>1440</v>
      </c>
      <c r="C1451" s="3" t="str">
        <f>IFERROR(__xludf.DUMMYFUNCTION("GOOGLETRANSLATE(B1451,""id"",""en"")"),"['Nambah', 'ugly', 'net', 'network', 'barren', 'bwt', 'ngekame', 'lag']")</f>
        <v>['Nambah', 'ugly', 'net', 'network', 'barren', 'bwt', 'ngekame', 'lag']</v>
      </c>
      <c r="D1451" s="3">
        <v>1.0</v>
      </c>
    </row>
    <row r="1452" ht="15.75" customHeight="1">
      <c r="A1452" s="1">
        <v>1534.0</v>
      </c>
      <c r="B1452" s="3" t="s">
        <v>1441</v>
      </c>
      <c r="C1452" s="3" t="str">
        <f>IFERROR(__xludf.DUMMYFUNCTION("GOOGLETRANSLATE(B1452,""id"",""en"")"),"['Helping', 'Thanks', 'Telkomsel', '']")</f>
        <v>['Helping', 'Thanks', 'Telkomsel', '']</v>
      </c>
      <c r="D1452" s="3">
        <v>5.0</v>
      </c>
    </row>
    <row r="1453" ht="15.75" customHeight="1">
      <c r="A1453" s="1">
        <v>1535.0</v>
      </c>
      <c r="B1453" s="3" t="s">
        <v>1442</v>
      </c>
      <c r="C1453" s="3" t="str">
        <f>IFERROR(__xludf.DUMMYFUNCTION("GOOGLETRANSLATE(B1453,""id"",""en"")"),"['Lemotttttt', 'already', 'expensive']")</f>
        <v>['Lemotttttt', 'already', 'expensive']</v>
      </c>
      <c r="D1453" s="3">
        <v>1.0</v>
      </c>
    </row>
    <row r="1454" ht="15.75" customHeight="1">
      <c r="A1454" s="1">
        <v>1536.0</v>
      </c>
      <c r="B1454" s="3" t="s">
        <v>1443</v>
      </c>
      <c r="C1454" s="3" t="str">
        <f>IFERROR(__xludf.DUMMYFUNCTION("GOOGLETRANSLATE(B1454,""id"",""en"")"),"['Trimakasih', 'Sgala', 'Kmudahan', 'Transaction', 'Application']")</f>
        <v>['Trimakasih', 'Sgala', 'Kmudahan', 'Transaction', 'Application']</v>
      </c>
      <c r="D1454" s="3">
        <v>5.0</v>
      </c>
    </row>
    <row r="1455" ht="15.75" customHeight="1">
      <c r="A1455" s="1">
        <v>1537.0</v>
      </c>
      <c r="B1455" s="3" t="s">
        <v>1444</v>
      </c>
      <c r="C1455" s="3" t="str">
        <f>IFERROR(__xludf.DUMMYFUNCTION("GOOGLETRANSLATE(B1455,""id"",""en"")"),"['Points', 'Exchange', 'Credit', 'Data', 'Points']")</f>
        <v>['Points', 'Exchange', 'Credit', 'Data', 'Points']</v>
      </c>
      <c r="D1455" s="3">
        <v>1.0</v>
      </c>
    </row>
    <row r="1456" ht="15.75" customHeight="1">
      <c r="A1456" s="1">
        <v>1538.0</v>
      </c>
      <c r="B1456" s="3" t="s">
        <v>1445</v>
      </c>
      <c r="C1456" s="3" t="str">
        <f>IFERROR(__xludf.DUMMYFUNCTION("GOOGLETRANSLATE(B1456,""id"",""en"")"),"['Signal', 'Telkomsel', 'Karuan', 'Quota', 'Signal', 'Good', 'Connection', 'Internet', 'TLFN']")</f>
        <v>['Signal', 'Telkomsel', 'Karuan', 'Quota', 'Signal', 'Good', 'Connection', 'Internet', 'TLFN']</v>
      </c>
      <c r="D1456" s="3">
        <v>1.0</v>
      </c>
    </row>
    <row r="1457" ht="15.75" customHeight="1">
      <c r="A1457" s="1">
        <v>1539.0</v>
      </c>
      <c r="B1457" s="3" t="s">
        <v>1446</v>
      </c>
      <c r="C1457" s="3" t="str">
        <f>IFERROR(__xludf.DUMMYFUNCTION("GOOGLETRANSLATE(B1457,""id"",""en"")"),"['The network', 'Berek', 'Honey']")</f>
        <v>['The network', 'Berek', 'Honey']</v>
      </c>
      <c r="D1457" s="3">
        <v>1.0</v>
      </c>
    </row>
    <row r="1458" ht="15.75" customHeight="1">
      <c r="A1458" s="1">
        <v>1540.0</v>
      </c>
      <c r="B1458" s="3" t="s">
        <v>1447</v>
      </c>
      <c r="C1458" s="3" t="str">
        <f>IFERROR(__xludf.DUMMYFUNCTION("GOOGLETRANSLATE(B1458,""id"",""en"")"),"['Points', 'Telkomsel', 'Please']")</f>
        <v>['Points', 'Telkomsel', 'Please']</v>
      </c>
      <c r="D1458" s="3">
        <v>3.0</v>
      </c>
    </row>
    <row r="1459" ht="15.75" customHeight="1">
      <c r="A1459" s="1">
        <v>1541.0</v>
      </c>
      <c r="B1459" s="3" t="s">
        <v>1448</v>
      </c>
      <c r="C1459" s="3" t="str">
        <f>IFERROR(__xludf.DUMMYFUNCTION("GOOGLETRANSLATE(B1459,""id"",""en"")"),"['Package', 'Doang', 'expensive', 'signal', 'Berek']")</f>
        <v>['Package', 'Doang', 'expensive', 'signal', 'Berek']</v>
      </c>
      <c r="D1459" s="3">
        <v>1.0</v>
      </c>
    </row>
    <row r="1460" ht="15.75" customHeight="1">
      <c r="A1460" s="1">
        <v>1542.0</v>
      </c>
      <c r="B1460" s="3" t="s">
        <v>1449</v>
      </c>
      <c r="C1460" s="3" t="str">
        <f>IFERROR(__xludf.DUMMYFUNCTION("GOOGLETRANSLATE(B1460,""id"",""en"")"),"['Not bad', 'tasty', 'slow', 'blom', 'kasi', 'star', '']")</f>
        <v>['Not bad', 'tasty', 'slow', 'blom', 'kasi', 'star', '']</v>
      </c>
      <c r="D1460" s="3">
        <v>4.0</v>
      </c>
    </row>
    <row r="1461" ht="15.75" customHeight="1">
      <c r="A1461" s="1">
        <v>1545.0</v>
      </c>
      <c r="B1461" s="3" t="s">
        <v>1450</v>
      </c>
      <c r="C1461" s="3" t="str">
        <f>IFERROR(__xludf.DUMMYFUNCTION("GOOGLETRANSLATE(B1461,""id"",""en"")"),"['screen', 'white', 'trs', 'knpa']")</f>
        <v>['screen', 'white', 'trs', 'knpa']</v>
      </c>
      <c r="D1461" s="3">
        <v>1.0</v>
      </c>
    </row>
    <row r="1462" ht="15.75" customHeight="1">
      <c r="A1462" s="1">
        <v>1546.0</v>
      </c>
      <c r="B1462" s="3" t="s">
        <v>1451</v>
      </c>
      <c r="C1462" s="3" t="str">
        <f>IFERROR(__xludf.DUMMYFUNCTION("GOOGLETRANSLATE(B1462,""id"",""en"")"),"['Telkomsel', 'proud of', 'Ntah', 'Sekrang', 'Allow', 'Signal', 'Best', 'Beast', 'Please', 'Repaired', 'Hear', 'complaint', ' Users', ""]")</f>
        <v>['Telkomsel', 'proud of', 'Ntah', 'Sekrang', 'Allow', 'Signal', 'Best', 'Beast', 'Please', 'Repaired', 'Hear', 'complaint', ' Users', "]</v>
      </c>
      <c r="D1462" s="3">
        <v>1.0</v>
      </c>
    </row>
    <row r="1463" ht="15.75" customHeight="1">
      <c r="A1463" s="1">
        <v>1547.0</v>
      </c>
      <c r="B1463" s="3" t="s">
        <v>1452</v>
      </c>
      <c r="C1463" s="3" t="str">
        <f>IFERROR(__xludf.DUMMYFUNCTION("GOOGLETRANSLATE(B1463,""id"",""en"")"),"['OK good']")</f>
        <v>['OK good']</v>
      </c>
      <c r="D1463" s="3">
        <v>5.0</v>
      </c>
    </row>
    <row r="1464" ht="15.75" customHeight="1">
      <c r="A1464" s="1">
        <v>1548.0</v>
      </c>
      <c r="B1464" s="3" t="s">
        <v>1453</v>
      </c>
      <c r="C1464" s="3" t="str">
        <f>IFERROR(__xludf.DUMMYFUNCTION("GOOGLETRANSLATE(B1464,""id"",""en"")"),"['Lemot', 'Different', 'Myim', 'MyXL', 'Consumer', 'Bykan', 'Telkomsel', 'qualitations', 'please', 'fix', ""]")</f>
        <v>['Lemot', 'Different', 'Myim', 'MyXL', 'Consumer', 'Bykan', 'Telkomsel', 'qualitations', 'please', 'fix', "]</v>
      </c>
      <c r="D1464" s="3">
        <v>1.0</v>
      </c>
    </row>
    <row r="1465" ht="15.75" customHeight="1">
      <c r="A1465" s="1">
        <v>1549.0</v>
      </c>
      <c r="B1465" s="3" t="s">
        <v>1454</v>
      </c>
      <c r="C1465" s="3" t="str">
        <f>IFERROR(__xludf.DUMMYFUNCTION("GOOGLETRANSLATE(B1465,""id"",""en"")"),"['Please', 'Package', 'Call', 'Cheap', '']")</f>
        <v>['Please', 'Package', 'Call', 'Cheap', '']</v>
      </c>
      <c r="D1465" s="3">
        <v>5.0</v>
      </c>
    </row>
    <row r="1466" ht="15.75" customHeight="1">
      <c r="A1466" s="1">
        <v>1550.0</v>
      </c>
      <c r="B1466" s="3" t="s">
        <v>1455</v>
      </c>
      <c r="C1466" s="3" t="str">
        <f>IFERROR(__xludf.DUMMYFUNCTION("GOOGLETRANSLATE(B1466,""id"",""en"")"),"['Application', 'inconvenient', 'buy', 'quota', 'turn', 'thief', 'pulse', 'fast', '']")</f>
        <v>['Application', 'inconvenient', 'buy', 'quota', 'turn', 'thief', 'pulse', 'fast', '']</v>
      </c>
      <c r="D1466" s="3">
        <v>1.0</v>
      </c>
    </row>
    <row r="1467" ht="15.75" customHeight="1">
      <c r="A1467" s="1">
        <v>1551.0</v>
      </c>
      <c r="B1467" s="3" t="s">
        <v>1456</v>
      </c>
      <c r="C1467" s="3" t="str">
        <f>IFERROR(__xludf.DUMMYFUNCTION("GOOGLETRANSLATE(B1467,""id"",""en"")"),"['Lowding']")</f>
        <v>['Lowding']</v>
      </c>
      <c r="D1467" s="3">
        <v>3.0</v>
      </c>
    </row>
    <row r="1468" ht="15.75" customHeight="1">
      <c r="A1468" s="1">
        <v>1552.0</v>
      </c>
      <c r="B1468" s="3" t="s">
        <v>1457</v>
      </c>
      <c r="C1468" s="3" t="str">
        <f>IFERROR(__xludf.DUMMYFUNCTION("GOOGLETRANSLATE(B1468,""id"",""en"")"),"['Knpa', 'The network', 'missing', 'missing', 'Mulu']")</f>
        <v>['Knpa', 'The network', 'missing', 'missing', 'Mulu']</v>
      </c>
      <c r="D1468" s="3">
        <v>1.0</v>
      </c>
    </row>
    <row r="1469" ht="15.75" customHeight="1">
      <c r="A1469" s="1">
        <v>1553.0</v>
      </c>
      <c r="B1469" s="3" t="s">
        <v>1458</v>
      </c>
      <c r="C1469" s="3" t="str">
        <f>IFERROR(__xludf.DUMMYFUNCTION("GOOGLETRANSLATE(B1469,""id"",""en"")"),"['promo', 'expensive', 'stingy', 'stingy', 'woyy']")</f>
        <v>['promo', 'expensive', 'stingy', 'stingy', 'woyy']</v>
      </c>
      <c r="D1469" s="3">
        <v>1.0</v>
      </c>
    </row>
    <row r="1470" ht="15.75" customHeight="1">
      <c r="A1470" s="1">
        <v>1554.0</v>
      </c>
      <c r="B1470" s="3" t="s">
        <v>1459</v>
      </c>
      <c r="C1470" s="3" t="str">
        <f>IFERROR(__xludf.DUMMYFUNCTION("GOOGLETRANSLATE(B1470,""id"",""en"")"),"['', 'Telkomsel', 'Indonesia', 'activated', 'package', 'OMG', 'Bulana', 'date', 'off', 'tnggal', 'mksd', ""]")</f>
        <v>['', 'Telkomsel', 'Indonesia', 'activated', 'package', 'OMG', 'Bulana', 'date', 'off', 'tnggal', 'mksd', "]</v>
      </c>
      <c r="D1470" s="3">
        <v>1.0</v>
      </c>
    </row>
    <row r="1471" ht="15.75" customHeight="1">
      <c r="A1471" s="1">
        <v>1555.0</v>
      </c>
      <c r="B1471" s="3" t="s">
        <v>1460</v>
      </c>
      <c r="C1471" s="3" t="str">
        <f>IFERROR(__xludf.DUMMYFUNCTION("GOOGLETRANSLATE(B1471,""id"",""en"")"),"['jammed', 'signal', 'Please', 'repaired', 'because', 'customer', 'loyal', 'Telkomsel', 'thank you']")</f>
        <v>['jammed', 'signal', 'Please', 'repaired', 'because', 'customer', 'loyal', 'Telkomsel', 'thank you']</v>
      </c>
      <c r="D1471" s="3">
        <v>3.0</v>
      </c>
    </row>
    <row r="1472" ht="15.75" customHeight="1">
      <c r="A1472" s="1">
        <v>1556.0</v>
      </c>
      <c r="B1472" s="3" t="s">
        <v>1461</v>
      </c>
      <c r="C1472" s="3" t="str">
        <f>IFERROR(__xludf.DUMMYFUNCTION("GOOGLETRANSLATE(B1472,""id"",""en"")"),"['Good', 'bsa', 'save']")</f>
        <v>['Good', 'bsa', 'save']</v>
      </c>
      <c r="D1472" s="3">
        <v>3.0</v>
      </c>
    </row>
    <row r="1473" ht="15.75" customHeight="1">
      <c r="A1473" s="1">
        <v>1557.0</v>
      </c>
      <c r="B1473" s="3" t="s">
        <v>1462</v>
      </c>
      <c r="C1473" s="3" t="str">
        <f>IFERROR(__xludf.DUMMYFUNCTION("GOOGLETRANSLATE(B1473,""id"",""en"")"),"['dapet', 'quota', 'free', 'list', 'just', 'cool', 'really', ""]")</f>
        <v>['dapet', 'quota', 'free', 'list', 'just', 'cool', 'really', "]</v>
      </c>
      <c r="D1473" s="3">
        <v>5.0</v>
      </c>
    </row>
    <row r="1474" ht="15.75" customHeight="1">
      <c r="A1474" s="1">
        <v>1558.0</v>
      </c>
      <c r="B1474" s="3" t="s">
        <v>1463</v>
      </c>
      <c r="C1474" s="3" t="str">
        <f>IFERROR(__xludf.DUMMYFUNCTION("GOOGLETRANSLATE(B1474,""id"",""en"")"),"['Use', 'Card', 'Telkomsel', 'The Network', 'Okeee', 'Cus', '']")</f>
        <v>['Use', 'Card', 'Telkomsel', 'The Network', 'Okeee', 'Cus', '']</v>
      </c>
      <c r="D1474" s="3">
        <v>5.0</v>
      </c>
    </row>
    <row r="1475" ht="15.75" customHeight="1">
      <c r="A1475" s="1">
        <v>1559.0</v>
      </c>
      <c r="B1475" s="3" t="s">
        <v>1464</v>
      </c>
      <c r="C1475" s="3" t="str">
        <f>IFERROR(__xludf.DUMMYFUNCTION("GOOGLETRANSLATE(B1475,""id"",""en"")"),"['Help', 'makes it easy']")</f>
        <v>['Help', 'makes it easy']</v>
      </c>
      <c r="D1475" s="3">
        <v>5.0</v>
      </c>
    </row>
    <row r="1476" ht="15.75" customHeight="1">
      <c r="A1476" s="1">
        <v>1560.0</v>
      </c>
      <c r="B1476" s="3" t="s">
        <v>1465</v>
      </c>
      <c r="C1476" s="3" t="str">
        <f>IFERROR(__xludf.DUMMYFUNCTION("GOOGLETRANSLATE(B1476,""id"",""en"")"),"['How', 'The net', 'right', 'play', 'signal', 'red', 'quota', 'pohon', 'considered', 'replace', 'card']")</f>
        <v>['How', 'The net', 'right', 'play', 'signal', 'red', 'quota', 'pohon', 'considered', 'replace', 'card']</v>
      </c>
      <c r="D1476" s="3">
        <v>1.0</v>
      </c>
    </row>
    <row r="1477" ht="15.75" customHeight="1">
      <c r="A1477" s="1">
        <v>1561.0</v>
      </c>
      <c r="B1477" s="3" t="s">
        <v>1466</v>
      </c>
      <c r="C1477" s="3" t="str">
        <f>IFERROR(__xludf.DUMMYFUNCTION("GOOGLETRANSLATE(B1477,""id"",""en"")"),"['easy', 'fast']")</f>
        <v>['easy', 'fast']</v>
      </c>
      <c r="D1477" s="3">
        <v>1.0</v>
      </c>
    </row>
    <row r="1478" ht="15.75" customHeight="1">
      <c r="A1478" s="1">
        <v>1562.0</v>
      </c>
      <c r="B1478" s="3" t="s">
        <v>1467</v>
      </c>
      <c r="C1478" s="3" t="str">
        <f>IFERROR(__xludf.DUMMYFUNCTION("GOOGLETRANSLATE(B1478,""id"",""en"")"),"['Knp', 'Telkomsel', 'slow', 'region', 'Sya', 'pdahal', 'customer', 'loyal', 'Telkomsel', 'application', 'jga', 'loading', ' Leet ']")</f>
        <v>['Knp', 'Telkomsel', 'slow', 'region', 'Sya', 'pdahal', 'customer', 'loyal', 'Telkomsel', 'application', 'jga', 'loading', ' Leet ']</v>
      </c>
      <c r="D1478" s="3">
        <v>2.0</v>
      </c>
    </row>
    <row r="1479" ht="15.75" customHeight="1">
      <c r="A1479" s="1">
        <v>1564.0</v>
      </c>
      <c r="B1479" s="3" t="s">
        <v>1468</v>
      </c>
      <c r="C1479" s="3" t="str">
        <f>IFERROR(__xludf.DUMMYFUNCTION("GOOGLETRANSLATE(B1479,""id"",""en"")"),"['Rare', 'promo', 'my number']")</f>
        <v>['Rare', 'promo', 'my number']</v>
      </c>
      <c r="D1479" s="3">
        <v>5.0</v>
      </c>
    </row>
    <row r="1480" ht="15.75" customHeight="1">
      <c r="A1480" s="1">
        <v>1565.0</v>
      </c>
      <c r="B1480" s="3" t="s">
        <v>1469</v>
      </c>
      <c r="C1480" s="3" t="str">
        <f>IFERROR(__xludf.DUMMYFUNCTION("GOOGLETRANSLATE(B1480,""id"",""en"")"),"['Steady', 'The application', 'Likes', 'Likeaaaaaaaaaaaaaaaaa']")</f>
        <v>['Steady', 'The application', 'Likes', 'Likeaaaaaaaaaaaaaaaaa']</v>
      </c>
      <c r="D1480" s="3">
        <v>5.0</v>
      </c>
    </row>
    <row r="1481" ht="15.75" customHeight="1">
      <c r="A1481" s="1">
        <v>1566.0</v>
      </c>
      <c r="B1481" s="3" t="s">
        <v>1470</v>
      </c>
      <c r="C1481" s="3" t="str">
        <f>IFERROR(__xludf.DUMMYFUNCTION("GOOGLETRANSLATE(B1481,""id"",""en"")"),"['oath', 'Telkomsel', 'ugly', 'signal', 'lose', 'provider', 'next door']")</f>
        <v>['oath', 'Telkomsel', 'ugly', 'signal', 'lose', 'provider', 'next door']</v>
      </c>
      <c r="D1481" s="3">
        <v>2.0</v>
      </c>
    </row>
    <row r="1482" ht="15.75" customHeight="1">
      <c r="A1482" s="1">
        <v>1567.0</v>
      </c>
      <c r="B1482" s="3" t="s">
        <v>273</v>
      </c>
      <c r="C1482" s="3" t="str">
        <f>IFERROR(__xludf.DUMMYFUNCTION("GOOGLETRANSLATE(B1482,""id"",""en"")"),"['like']")</f>
        <v>['like']</v>
      </c>
      <c r="D1482" s="3">
        <v>5.0</v>
      </c>
    </row>
    <row r="1483" ht="15.75" customHeight="1">
      <c r="A1483" s="1">
        <v>1569.0</v>
      </c>
      <c r="B1483" s="3" t="s">
        <v>1471</v>
      </c>
      <c r="C1483" s="3" t="str">
        <f>IFERROR(__xludf.DUMMYFUNCTION("GOOGLETRANSLATE(B1483,""id"",""en"")"),"['Telkomsel', 'sell', 'quota', 'expensive', 'ngeta', 'no', 'equivalent', 'finger', 'ngaya', 'slow', 'price', 'quota', ' expensive']")</f>
        <v>['Telkomsel', 'sell', 'quota', 'expensive', 'ngeta', 'no', 'equivalent', 'finger', 'ngaya', 'slow', 'price', 'quota', ' expensive']</v>
      </c>
      <c r="D1483" s="3">
        <v>5.0</v>
      </c>
    </row>
    <row r="1484" ht="15.75" customHeight="1">
      <c r="A1484" s="1">
        <v>1570.0</v>
      </c>
      <c r="B1484" s="3" t="s">
        <v>1472</v>
      </c>
      <c r="C1484" s="3" t="str">
        <f>IFERROR(__xludf.DUMMYFUNCTION("GOOGLETRANSLATE(B1484,""id"",""en"")"),"['Weather', 'signal', 'Normal', 'Telkomsel', 'Joss', '']")</f>
        <v>['Weather', 'signal', 'Normal', 'Telkomsel', 'Joss', '']</v>
      </c>
      <c r="D1484" s="3">
        <v>5.0</v>
      </c>
    </row>
    <row r="1485" ht="15.75" customHeight="1">
      <c r="A1485" s="1">
        <v>1571.0</v>
      </c>
      <c r="B1485" s="3" t="s">
        <v>1473</v>
      </c>
      <c r="C1485" s="3" t="str">
        <f>IFERROR(__xludf.DUMMYFUNCTION("GOOGLETRANSLATE(B1485,""id"",""en"")"),"['Hafiah', ""]")</f>
        <v>['Hafiah', "]</v>
      </c>
      <c r="D1485" s="3">
        <v>5.0</v>
      </c>
    </row>
    <row r="1486" ht="15.75" customHeight="1">
      <c r="A1486" s="1">
        <v>1572.0</v>
      </c>
      <c r="B1486" s="3" t="s">
        <v>1474</v>
      </c>
      <c r="C1486" s="3" t="str">
        <f>IFERROR(__xludf.DUMMYFUNCTION("GOOGLETRANSLATE(B1486,""id"",""en"")"),"['Credit', 'cave', 'underlook', 'anjj', 'padaha', 'data', 'nyala', ""]")</f>
        <v>['Credit', 'cave', 'underlook', 'anjj', 'padaha', 'data', 'nyala', "]</v>
      </c>
      <c r="D1486" s="3">
        <v>1.0</v>
      </c>
    </row>
    <row r="1487" ht="15.75" customHeight="1">
      <c r="A1487" s="1">
        <v>1573.0</v>
      </c>
      <c r="B1487" s="3" t="s">
        <v>1475</v>
      </c>
      <c r="C1487" s="3" t="str">
        <f>IFERROR(__xludf.DUMMYFUNCTION("GOOGLETRANSLATE(B1487,""id"",""en"")"),"['please', 'Telkomsel', 'enter', 'the application', 'really', 'already', 'waiting', 'NOT', 'Enter', 'Masalh', 'Counseling', 'user', ' Please, 'Fix', 'Application']")</f>
        <v>['please', 'Telkomsel', 'enter', 'the application', 'really', 'already', 'waiting', 'NOT', 'Enter', 'Masalh', 'Counseling', 'user', ' Please, 'Fix', 'Application']</v>
      </c>
      <c r="D1487" s="3">
        <v>2.0</v>
      </c>
    </row>
    <row r="1488" ht="15.75" customHeight="1">
      <c r="A1488" s="1">
        <v>1574.0</v>
      </c>
      <c r="B1488" s="3" t="s">
        <v>1476</v>
      </c>
      <c r="C1488" s="3" t="str">
        <f>IFERROR(__xludf.DUMMYFUNCTION("GOOGLETRANSLATE(B1488,""id"",""en"")"),"['Jugak', 'White', 'Screen', 'Telkomsel', 'Install']")</f>
        <v>['Jugak', 'White', 'Screen', 'Telkomsel', 'Install']</v>
      </c>
      <c r="D1488" s="3">
        <v>2.0</v>
      </c>
    </row>
    <row r="1489" ht="15.75" customHeight="1">
      <c r="A1489" s="1">
        <v>1575.0</v>
      </c>
      <c r="B1489" s="3" t="s">
        <v>1477</v>
      </c>
      <c r="C1489" s="3" t="str">
        <f>IFERROR(__xludf.DUMMYFUNCTION("GOOGLETRANSLATE(B1489,""id"",""en"")"),"['customer', 'loyal', 'Telkomsel', 'knp', 'package', 'unlimited', 'hpus', 'wehh', '']")</f>
        <v>['customer', 'loyal', 'Telkomsel', 'knp', 'package', 'unlimited', 'hpus', 'wehh', '']</v>
      </c>
      <c r="D1489" s="3">
        <v>1.0</v>
      </c>
    </row>
    <row r="1490" ht="15.75" customHeight="1">
      <c r="A1490" s="1">
        <v>1576.0</v>
      </c>
      <c r="B1490" s="3" t="s">
        <v>1478</v>
      </c>
      <c r="C1490" s="3" t="str">
        <f>IFERROR(__xludf.DUMMYFUNCTION("GOOGLETRANSLATE(B1490,""id"",""en"")"),"['Features',' Bgus', 'Hnya', 'refresher', 'sdkit', 'method', 'payment--', 'mhon', 'help', 'min', 'knp', 'apps',' Sya ',' Method ',' Figure ',' Lngkap ',' Method ',' Card ',' Debit ',' ']")</f>
        <v>['Features',' Bgus', 'Hnya', 'refresher', 'sdkit', 'method', 'payment--', 'mhon', 'help', 'min', 'knp', 'apps',' Sya ',' Method ',' Figure ',' Lngkap ',' Method ',' Card ',' Debit ',' ']</v>
      </c>
      <c r="D1490" s="3">
        <v>5.0</v>
      </c>
    </row>
    <row r="1491" ht="15.75" customHeight="1">
      <c r="A1491" s="1">
        <v>1577.0</v>
      </c>
      <c r="B1491" s="3" t="s">
        <v>1479</v>
      </c>
      <c r="C1491" s="3" t="str">
        <f>IFERROR(__xludf.DUMMYFUNCTION("GOOGLETRANSLATE(B1491,""id"",""en"")"),"['Its Application', 'Error', 'Login', 'Signal', 'Lag', 'Teruz', 'Transaction', 'Difficult', 'Advertising', 'Doank', 'Login', ' reset ',' difficult ',' like ',' kluar ',' send ',' link ',' confirm ',' login ',' reset ',' difficult ',' enter ', ""]")</f>
        <v>['Its Application', 'Error', 'Login', 'Signal', 'Lag', 'Teruz', 'Transaction', 'Difficult', 'Advertising', 'Doank', 'Login', ' reset ',' difficult ',' like ',' kluar ',' send ',' link ',' confirm ',' login ',' reset ',' difficult ',' enter ', "]</v>
      </c>
      <c r="D1491" s="3">
        <v>1.0</v>
      </c>
    </row>
    <row r="1492" ht="15.75" customHeight="1">
      <c r="A1492" s="1">
        <v>1578.0</v>
      </c>
      <c r="B1492" s="3" t="s">
        <v>1480</v>
      </c>
      <c r="C1492" s="3" t="str">
        <f>IFERROR(__xludf.DUMMYFUNCTION("GOOGLETRANSLATE(B1492,""id"",""en"")"),"['opened', 'update', 'rich', 'gini', 'buy', 'package', 'difficult', ""]")</f>
        <v>['opened', 'update', 'rich', 'gini', 'buy', 'package', 'difficult', "]</v>
      </c>
      <c r="D1492" s="3">
        <v>1.0</v>
      </c>
    </row>
    <row r="1493" ht="15.75" customHeight="1">
      <c r="A1493" s="1">
        <v>1579.0</v>
      </c>
      <c r="B1493" s="3" t="s">
        <v>1481</v>
      </c>
      <c r="C1493" s="3" t="str">
        <f>IFERROR(__xludf.DUMMYFUNCTION("GOOGLETRANSLATE(B1493,""id"",""en"")"),"['Telkomsel', 'enter', 'blank', 'color', 'white', ""]")</f>
        <v>['Telkomsel', 'enter', 'blank', 'color', 'white', "]</v>
      </c>
      <c r="D1493" s="3">
        <v>3.0</v>
      </c>
    </row>
    <row r="1494" ht="15.75" customHeight="1">
      <c r="A1494" s="1">
        <v>1581.0</v>
      </c>
      <c r="B1494" s="3" t="s">
        <v>1482</v>
      </c>
      <c r="C1494" s="3" t="str">
        <f>IFERROR(__xludf.DUMMYFUNCTION("GOOGLETRANSLATE(B1494,""id"",""en"")"),"['Hopefully', 'signal', 'good', 'quota', 'until', 'expensive', ""]")</f>
        <v>['Hopefully', 'signal', 'good', 'quota', 'until', 'expensive', "]</v>
      </c>
      <c r="D1494" s="3">
        <v>5.0</v>
      </c>
    </row>
    <row r="1495" ht="15.75" customHeight="1">
      <c r="A1495" s="1">
        <v>1582.0</v>
      </c>
      <c r="B1495" s="3" t="s">
        <v>1483</v>
      </c>
      <c r="C1495" s="3" t="str">
        <f>IFERROR(__xludf.DUMMYFUNCTION("GOOGLETRANSLATE(B1495,""id"",""en"")"),"['Disappointed', 'Network', 'Telkomsel', 'ugly', 'Severe', 'skrg', 'card', 'sultan', 'package', 'expensive', 'signal', 'beriss',' Taii ',' Lahh ']")</f>
        <v>['Disappointed', 'Network', 'Telkomsel', 'ugly', 'Severe', 'skrg', 'card', 'sultan', 'package', 'expensive', 'signal', 'beriss',' Taii ',' Lahh ']</v>
      </c>
      <c r="D1495" s="3">
        <v>1.0</v>
      </c>
    </row>
    <row r="1496" ht="15.75" customHeight="1">
      <c r="A1496" s="1">
        <v>1583.0</v>
      </c>
      <c r="B1496" s="3" t="s">
        <v>1484</v>
      </c>
      <c r="C1496" s="3" t="str">
        <f>IFERROR(__xludf.DUMMYFUNCTION("GOOGLETRANSLATE(B1496,""id"",""en"")"),"['quota', 'GB', 'slow', 'ehh', 'Busett', 'Sya', 'already', 'subscription', 'loyal', 'many years',' TPI ',' Gini ',' feeling ',' behavior ',' gth ',' business', 'rill', 'neutral', ""]")</f>
        <v>['quota', 'GB', 'slow', 'ehh', 'Busett', 'Sya', 'already', 'subscription', 'loyal', 'many years',' TPI ',' Gini ',' feeling ',' behavior ',' gth ',' business', 'rill', 'neutral', "]</v>
      </c>
      <c r="D1496" s="3">
        <v>1.0</v>
      </c>
    </row>
    <row r="1497" ht="15.75" customHeight="1">
      <c r="A1497" s="1">
        <v>1584.0</v>
      </c>
      <c r="B1497" s="3" t="s">
        <v>1485</v>
      </c>
      <c r="C1497" s="3" t="str">
        <f>IFERROR(__xludf.DUMMYFUNCTION("GOOGLETRANSLATE(B1497,""id"",""en"")"),"['icon', 'notif', 'shape', 'box', 'ugly', 'clay', 'damage', 'sights',' subjuge ',' icon ',' notif ',' app ',' bugs', 'uda', 'fix', 'cave', 'love', 'star', 'karenu', 'lazy', 'cave', 'change', 'star', 'uda', 'repay' , 'cave', 'promo', 'cheap', 'wrong', 'app"&amp;"', 'ngebug', 'muted', 'ngeluh', 'pdahal', 'uda', 'good', 'cave', ' Love ',' Bintang ',' ']")</f>
        <v>['icon', 'notif', 'shape', 'box', 'ugly', 'clay', 'damage', 'sights',' subjuge ',' icon ',' notif ',' app ',' bugs', 'uda', 'fix', 'cave', 'love', 'star', 'karenu', 'lazy', 'cave', 'change', 'star', 'uda', 'repay' , 'cave', 'promo', 'cheap', 'wrong', 'app', 'ngebug', 'muted', 'ngeluh', 'pdahal', 'uda', 'good', 'cave', ' Love ',' Bintang ',' ']</v>
      </c>
      <c r="D1497" s="3">
        <v>1.0</v>
      </c>
    </row>
    <row r="1498" ht="15.75" customHeight="1">
      <c r="A1498" s="1">
        <v>1585.0</v>
      </c>
      <c r="B1498" s="3" t="s">
        <v>1486</v>
      </c>
      <c r="C1498" s="3" t="str">
        <f>IFERROR(__xludf.DUMMYFUNCTION("GOOGLETRANSLATE(B1498,""id"",""en"")"),"['Slow', 'application']")</f>
        <v>['Slow', 'application']</v>
      </c>
      <c r="D1498" s="3">
        <v>1.0</v>
      </c>
    </row>
    <row r="1499" ht="15.75" customHeight="1">
      <c r="A1499" s="1">
        <v>1586.0</v>
      </c>
      <c r="B1499" s="3" t="s">
        <v>1487</v>
      </c>
      <c r="C1499" s="3" t="str">
        <f>IFERROR(__xludf.DUMMYFUNCTION("GOOGLETRANSLATE(B1499,""id"",""en"")"),"['support']")</f>
        <v>['support']</v>
      </c>
      <c r="D1499" s="3">
        <v>5.0</v>
      </c>
    </row>
    <row r="1500" ht="15.75" customHeight="1">
      <c r="A1500" s="1">
        <v>1587.0</v>
      </c>
      <c r="B1500" s="3" t="s">
        <v>1488</v>
      </c>
      <c r="C1500" s="3" t="str">
        <f>IFERROR(__xludf.DUMMYFUNCTION("GOOGLETRANSLATE(B1500,""id"",""en"")"),"['Awaited', 'promo', 'go goose']")</f>
        <v>['Awaited', 'promo', 'go goose']</v>
      </c>
      <c r="D1500" s="3">
        <v>5.0</v>
      </c>
    </row>
    <row r="1501" ht="15.75" customHeight="1">
      <c r="A1501" s="1">
        <v>1588.0</v>
      </c>
      <c r="B1501" s="3" t="s">
        <v>1489</v>
      </c>
      <c r="C1501" s="3" t="str">
        <f>IFERROR(__xludf.DUMMYFUNCTION("GOOGLETRANSLATE(B1501,""id"",""en"")"),"['price', 'package', 'according to', 'service', 'disorder', 'pay', 'expensive', 'free', 'disappointing']")</f>
        <v>['price', 'package', 'according to', 'service', 'disorder', 'pay', 'expensive', 'free', 'disappointing']</v>
      </c>
      <c r="D1501" s="3">
        <v>1.0</v>
      </c>
    </row>
    <row r="1502" ht="15.75" customHeight="1">
      <c r="A1502" s="1">
        <v>1589.0</v>
      </c>
      <c r="B1502" s="3" t="s">
        <v>1490</v>
      </c>
      <c r="C1502" s="3" t="str">
        <f>IFERROR(__xludf.DUMMYFUNCTION("GOOGLETRANSLATE(B1502,""id"",""en"")"),"['list', 'promo', 'information', 'kouta', 'emang', 'noise', ""]")</f>
        <v>['list', 'promo', 'information', 'kouta', 'emang', 'noise', "]</v>
      </c>
      <c r="D1502" s="3">
        <v>5.0</v>
      </c>
    </row>
    <row r="1503" ht="15.75" customHeight="1">
      <c r="A1503" s="1">
        <v>1590.0</v>
      </c>
      <c r="B1503" s="3" t="s">
        <v>1491</v>
      </c>
      <c r="C1503" s="3" t="str">
        <f>IFERROR(__xludf.DUMMYFUNCTION("GOOGLETRANSLATE(B1503,""id"",""en"")"),"['Severe', 'Application', 'No "",' Open ',' Application ',' Class', 'Telkomsel', 'Lost']")</f>
        <v>['Severe', 'Application', 'No ",' Open ',' Application ',' Class', 'Telkomsel', 'Lost']</v>
      </c>
      <c r="D1503" s="3">
        <v>2.0</v>
      </c>
    </row>
    <row r="1504" ht="15.75" customHeight="1">
      <c r="A1504" s="1">
        <v>1591.0</v>
      </c>
      <c r="B1504" s="3" t="s">
        <v>1492</v>
      </c>
      <c r="C1504" s="3" t="str">
        <f>IFERROR(__xludf.DUMMYFUNCTION("GOOGLETRANSLATE(B1504,""id"",""en"")"),"['Package', 'Completant']")</f>
        <v>['Package', 'Completant']</v>
      </c>
      <c r="D1504" s="3">
        <v>5.0</v>
      </c>
    </row>
    <row r="1505" ht="15.75" customHeight="1">
      <c r="A1505" s="1">
        <v>1592.0</v>
      </c>
      <c r="B1505" s="3" t="s">
        <v>1493</v>
      </c>
      <c r="C1505" s="3" t="str">
        <f>IFERROR(__xludf.DUMMYFUNCTION("GOOGLETRANSLATE(B1505,""id"",""en"")"),"['Baguus', 'Bangett', 'Aga', 'Loding', 'Region']")</f>
        <v>['Baguus', 'Bangett', 'Aga', 'Loding', 'Region']</v>
      </c>
      <c r="D1505" s="3">
        <v>5.0</v>
      </c>
    </row>
    <row r="1506" ht="15.75" customHeight="1">
      <c r="A1506" s="1">
        <v>1593.0</v>
      </c>
      <c r="B1506" s="3" t="s">
        <v>1494</v>
      </c>
      <c r="C1506" s="3" t="str">
        <f>IFERROR(__xludf.DUMMYFUNCTION("GOOGLETRANSLATE(B1506,""id"",""en"")"),"['Oprator', 'Disruption', 'Tell', 'Gini', 'Rich', 'Bener', 'Good', 'Good', 'Disappointed']")</f>
        <v>['Oprator', 'Disruption', 'Tell', 'Gini', 'Rich', 'Bener', 'Good', 'Good', 'Disappointed']</v>
      </c>
      <c r="D1506" s="3">
        <v>1.0</v>
      </c>
    </row>
    <row r="1507" ht="15.75" customHeight="1">
      <c r="A1507" s="1">
        <v>1594.0</v>
      </c>
      <c r="B1507" s="3" t="s">
        <v>1495</v>
      </c>
      <c r="C1507" s="3" t="str">
        <f>IFERROR(__xludf.DUMMYFUNCTION("GOOGLETRANSLATE(B1507,""id"",""en"")"),"['Exchange', 'Points', 'Points', 'Sya', 'Not bad', 'FAIL']")</f>
        <v>['Exchange', 'Points', 'Points', 'Sya', 'Not bad', 'FAIL']</v>
      </c>
      <c r="D1507" s="3">
        <v>1.0</v>
      </c>
    </row>
    <row r="1508" ht="15.75" customHeight="1">
      <c r="A1508" s="1">
        <v>1595.0</v>
      </c>
      <c r="B1508" s="3" t="s">
        <v>1496</v>
      </c>
      <c r="C1508" s="3" t="str">
        <f>IFERROR(__xludf.DUMMYFUNCTION("GOOGLETRANSLATE(B1508,""id"",""en"")"),"['easy', 'check', 'pulse', 'package', 'etc.', '']")</f>
        <v>['easy', 'check', 'pulse', 'package', 'etc.', '']</v>
      </c>
      <c r="D1508" s="3">
        <v>3.0</v>
      </c>
    </row>
    <row r="1509" ht="15.75" customHeight="1">
      <c r="A1509" s="1">
        <v>1596.0</v>
      </c>
      <c r="B1509" s="3" t="s">
        <v>1497</v>
      </c>
      <c r="C1509" s="3" t="str">
        <f>IFERROR(__xludf.DUMMYFUNCTION("GOOGLETRANSLATE(B1509,""id"",""en"")"),"['The application', 'broken', 'gabisa', 'login', 'ngeactivine', 'quota']")</f>
        <v>['The application', 'broken', 'gabisa', 'login', 'ngeactivine', 'quota']</v>
      </c>
      <c r="D1509" s="3">
        <v>1.0</v>
      </c>
    </row>
    <row r="1510" ht="15.75" customHeight="1">
      <c r="A1510" s="1">
        <v>1597.0</v>
      </c>
      <c r="B1510" s="3" t="s">
        <v>1498</v>
      </c>
      <c r="C1510" s="3" t="str">
        <f>IFERROR(__xludf.DUMMYFUNCTION("GOOGLETRANSLATE(B1510,""id"",""en"")"),"['wow', 'program', 'program', 'interesting', 'coupon', 'lottery', 'real', 'ngak', 'trs', 'transparent']")</f>
        <v>['wow', 'program', 'program', 'interesting', 'coupon', 'lottery', 'real', 'ngak', 'trs', 'transparent']</v>
      </c>
      <c r="D1510" s="3">
        <v>5.0</v>
      </c>
    </row>
    <row r="1511" ht="15.75" customHeight="1">
      <c r="A1511" s="1">
        <v>1598.0</v>
      </c>
      <c r="B1511" s="3" t="s">
        <v>1499</v>
      </c>
      <c r="C1511" s="3" t="str">
        <f>IFERROR(__xludf.DUMMYFUNCTION("GOOGLETRANSLATE(B1511,""id"",""en"")"),"['Quality', 'sympathy', 'decreases']")</f>
        <v>['Quality', 'sympathy', 'decreases']</v>
      </c>
      <c r="D1511" s="3">
        <v>1.0</v>
      </c>
    </row>
    <row r="1512" ht="15.75" customHeight="1">
      <c r="A1512" s="1">
        <v>1599.0</v>
      </c>
      <c r="B1512" s="3" t="s">
        <v>1500</v>
      </c>
      <c r="C1512" s="3" t="str">
        <f>IFERROR(__xludf.DUMMYFUNCTION("GOOGLETRANSLATE(B1512,""id"",""en"")"),"['APK', 'opened', 'error', 'gini', 'please', 'update', 'good', 'ugly', 'severe', 'apk', 'opened', 'already', ' Unstall ',' Abis', 'Install', 'Ajj', 'Rich', 'Gini']")</f>
        <v>['APK', 'opened', 'error', 'gini', 'please', 'update', 'good', 'ugly', 'severe', 'apk', 'opened', 'already', ' Unstall ',' Abis', 'Install', 'Ajj', 'Rich', 'Gini']</v>
      </c>
      <c r="D1512" s="3">
        <v>1.0</v>
      </c>
    </row>
    <row r="1513" ht="15.75" customHeight="1">
      <c r="A1513" s="1">
        <v>1600.0</v>
      </c>
      <c r="B1513" s="3" t="s">
        <v>1501</v>
      </c>
      <c r="C1513" s="3" t="str">
        <f>IFERROR(__xludf.DUMMYFUNCTION("GOOGLETRANSLATE(B1513,""id"",""en"")"),"['Exchange', 'check', 'HRS', 'use', 'Points', 'Search', 'Points', 'Huh', 'Star', 'Turuni', 'Separo']")</f>
        <v>['Exchange', 'check', 'HRS', 'use', 'Points', 'Search', 'Points', 'Huh', 'Star', 'Turuni', 'Separo']</v>
      </c>
      <c r="D1513" s="3">
        <v>3.0</v>
      </c>
    </row>
    <row r="1514" ht="15.75" customHeight="1">
      <c r="A1514" s="1">
        <v>1601.0</v>
      </c>
      <c r="B1514" s="3" t="s">
        <v>1502</v>
      </c>
      <c r="C1514" s="3" t="str">
        <f>IFERROR(__xludf.DUMMYFUNCTION("GOOGLETRANSLATE(B1514,""id"",""en"")"),"['Telkomsel', 'here', 'severe', 'lag', 'Telkomsel', 'bankrupt', ""]")</f>
        <v>['Telkomsel', 'here', 'severe', 'lag', 'Telkomsel', 'bankrupt', "]</v>
      </c>
      <c r="D1514" s="3">
        <v>1.0</v>
      </c>
    </row>
    <row r="1515" ht="15.75" customHeight="1">
      <c r="A1515" s="1">
        <v>1602.0</v>
      </c>
      <c r="B1515" s="3" t="s">
        <v>1503</v>
      </c>
      <c r="C1515" s="3" t="str">
        <f>IFERROR(__xludf.DUMMYFUNCTION("GOOGLETRANSLATE(B1515,""id"",""en"")"),"['The application', 'ugly', 'really', 'oath', 'eat', 'salary', 'blind', 'looked', 'Telkomsel', 'rich', 'gini', 'the application']")</f>
        <v>['The application', 'ugly', 'really', 'oath', 'eat', 'salary', 'blind', 'looked', 'Telkomsel', 'rich', 'gini', 'the application']</v>
      </c>
      <c r="D1515" s="3">
        <v>1.0</v>
      </c>
    </row>
    <row r="1516" ht="15.75" customHeight="1">
      <c r="A1516" s="1">
        <v>1603.0</v>
      </c>
      <c r="B1516" s="3" t="s">
        <v>1504</v>
      </c>
      <c r="C1516" s="3" t="str">
        <f>IFERROR(__xludf.DUMMYFUNCTION("GOOGLETRANSLATE(B1516,""id"",""en"")"),"['Love', 'star', 'prize', 'Lahh']")</f>
        <v>['Love', 'star', 'prize', 'Lahh']</v>
      </c>
      <c r="D1516" s="3">
        <v>5.0</v>
      </c>
    </row>
    <row r="1517" ht="15.75" customHeight="1">
      <c r="A1517" s="1">
        <v>1604.0</v>
      </c>
      <c r="B1517" s="3" t="s">
        <v>1505</v>
      </c>
      <c r="C1517" s="3" t="str">
        <f>IFERROR(__xludf.DUMMYFUNCTION("GOOGLETRANSLATE(B1517,""id"",""en"")"),"['Koutaa', 'Free', '']")</f>
        <v>['Koutaa', 'Free', '']</v>
      </c>
      <c r="D1517" s="3">
        <v>5.0</v>
      </c>
    </row>
    <row r="1518" ht="15.75" customHeight="1">
      <c r="A1518" s="1">
        <v>1605.0</v>
      </c>
      <c r="B1518" s="3" t="s">
        <v>1506</v>
      </c>
      <c r="C1518" s="3" t="str">
        <f>IFERROR(__xludf.DUMMYFUNCTION("GOOGLETRANSLATE(B1518,""id"",""en"")"),"['Signal', 'ilang', 'Nilagan', 'then', 'user', 'loyal', 'detrimental', 'disappointed', 'Maen', 'game', 'kagak']")</f>
        <v>['Signal', 'ilang', 'Nilagan', 'then', 'user', 'loyal', 'detrimental', 'disappointed', 'Maen', 'game', 'kagak']</v>
      </c>
      <c r="D1518" s="3">
        <v>1.0</v>
      </c>
    </row>
    <row r="1519" ht="15.75" customHeight="1">
      <c r="A1519" s="1">
        <v>1606.0</v>
      </c>
      <c r="B1519" s="3" t="s">
        <v>1507</v>
      </c>
      <c r="C1519" s="3" t="str">
        <f>IFERROR(__xludf.DUMMYFUNCTION("GOOGLETRANSLATE(B1519,""id"",""en"")"),"['Stage', 'Experiment', 'Optimal', 'Star', '']")</f>
        <v>['Stage', 'Experiment', 'Optimal', 'Star', '']</v>
      </c>
      <c r="D1519" s="3">
        <v>4.0</v>
      </c>
    </row>
    <row r="1520" ht="15.75" customHeight="1">
      <c r="A1520" s="1">
        <v>1607.0</v>
      </c>
      <c r="B1520" s="3" t="s">
        <v>1508</v>
      </c>
      <c r="C1520" s="3" t="str">
        <f>IFERROR(__xludf.DUMMYFUNCTION("GOOGLETRANSLATE(B1520,""id"",""en"")"),"['Application', 'NGK', 'BERES', 'DURAH', 'CUSTOMER']")</f>
        <v>['Application', 'NGK', 'BERES', 'DURAH', 'CUSTOMER']</v>
      </c>
      <c r="D1520" s="3">
        <v>1.0</v>
      </c>
    </row>
    <row r="1521" ht="15.75" customHeight="1">
      <c r="A1521" s="1">
        <v>1608.0</v>
      </c>
      <c r="B1521" s="3" t="s">
        <v>1509</v>
      </c>
      <c r="C1521" s="3" t="str">
        <f>IFERROR(__xludf.DUMMYFUNCTION("GOOGLETRANSLATE(B1521,""id"",""en"")"),"['contents', 'internet', 'easy']")</f>
        <v>['contents', 'internet', 'easy']</v>
      </c>
      <c r="D1521" s="3">
        <v>5.0</v>
      </c>
    </row>
    <row r="1522" ht="15.75" customHeight="1">
      <c r="A1522" s="1">
        <v>1609.0</v>
      </c>
      <c r="B1522" s="3" t="s">
        <v>1510</v>
      </c>
      <c r="C1522" s="3" t="str">
        <f>IFERROR(__xludf.DUMMYFUNCTION("GOOGLETRANSLATE(B1522,""id"",""en"")"),"['Satisfied', 'Telkomsel']")</f>
        <v>['Satisfied', 'Telkomsel']</v>
      </c>
      <c r="D1522" s="3">
        <v>5.0</v>
      </c>
    </row>
    <row r="1523" ht="15.75" customHeight="1">
      <c r="A1523" s="1">
        <v>1610.0</v>
      </c>
      <c r="B1523" s="3" t="s">
        <v>1511</v>
      </c>
      <c r="C1523" s="3" t="str">
        <f>IFERROR(__xludf.DUMMYFUNCTION("GOOGLETRANSLATE(B1523,""id"",""en"")"),"['signal', 'Telkomsel', 'slow', 'as good', 'sometimes', 'signal', 'ilang', 'see', 'youtube', 'loading']")</f>
        <v>['signal', 'Telkomsel', 'slow', 'as good', 'sometimes', 'signal', 'ilang', 'see', 'youtube', 'loading']</v>
      </c>
      <c r="D1523" s="3">
        <v>2.0</v>
      </c>
    </row>
    <row r="1524" ht="15.75" customHeight="1">
      <c r="A1524" s="1">
        <v>1611.0</v>
      </c>
      <c r="B1524" s="3" t="s">
        <v>1512</v>
      </c>
      <c r="C1524" s="3" t="str">
        <f>IFERROR(__xludf.DUMMYFUNCTION("GOOGLETRANSLATE(B1524,""id"",""en"")"),"['Package', 'combo', 'unlimited', 'skrg', 'package', 'unlimited', 'uda', 'play', 'youtube', 'hrg', 'mkn', 'parahhh', ' PDHL ',' YTube ',' Priority ',' Win ',' BNYK ',' ']")</f>
        <v>['Package', 'combo', 'unlimited', 'skrg', 'package', 'unlimited', 'uda', 'play', 'youtube', 'hrg', 'mkn', 'parahhh', ' PDHL ',' YTube ',' Priority ',' Win ',' BNYK ',' ']</v>
      </c>
      <c r="D1524" s="3">
        <v>1.0</v>
      </c>
    </row>
    <row r="1525" ht="15.75" customHeight="1">
      <c r="A1525" s="1">
        <v>1612.0</v>
      </c>
      <c r="B1525" s="3" t="s">
        <v>1513</v>
      </c>
      <c r="C1525" s="3" t="str">
        <f>IFERROR(__xludf.DUMMYFUNCTION("GOOGLETRANSLATE(B1525,""id"",""en"")"),"['Dear', 'Telkomsel', 'Credit', 'Reduced', 'Dipake', 'Price', 'Package', 'Data', 'Improved', 'Network', 'Please', 'Repair', ' Min ']")</f>
        <v>['Dear', 'Telkomsel', 'Credit', 'Reduced', 'Dipake', 'Price', 'Package', 'Data', 'Improved', 'Network', 'Please', 'Repair', ' Min ']</v>
      </c>
      <c r="D1525" s="3">
        <v>1.0</v>
      </c>
    </row>
    <row r="1526" ht="15.75" customHeight="1">
      <c r="A1526" s="1">
        <v>1613.0</v>
      </c>
      <c r="B1526" s="3" t="s">
        <v>1514</v>
      </c>
      <c r="C1526" s="3" t="str">
        <f>IFERROR(__xludf.DUMMYFUNCTION("GOOGLETRANSLATE(B1526,""id"",""en"")"),"['Lally', 'promo']")</f>
        <v>['Lally', 'promo']</v>
      </c>
      <c r="D1526" s="3">
        <v>5.0</v>
      </c>
    </row>
    <row r="1527" ht="15.75" customHeight="1">
      <c r="A1527" s="1">
        <v>1614.0</v>
      </c>
      <c r="B1527" s="3" t="s">
        <v>1515</v>
      </c>
      <c r="C1527" s="3" t="str">
        <f>IFERROR(__xludf.DUMMYFUNCTION("GOOGLETRANSLATE(B1527,""id"",""en"")"),"['Slalu', 'Satisfied', 'Package', 'Combo', 'Sakti']")</f>
        <v>['Slalu', 'Satisfied', 'Package', 'Combo', 'Sakti']</v>
      </c>
      <c r="D1527" s="3">
        <v>5.0</v>
      </c>
    </row>
    <row r="1528" ht="15.75" customHeight="1">
      <c r="A1528" s="1">
        <v>1615.0</v>
      </c>
      <c r="B1528" s="3" t="s">
        <v>1516</v>
      </c>
      <c r="C1528" s="3" t="str">
        <f>IFERROR(__xludf.DUMMYFUNCTION("GOOGLETRANSLATE(B1528,""id"",""en"")"),"['Package', 'quota', 'cheap', 'expensive']")</f>
        <v>['Package', 'quota', 'cheap', 'expensive']</v>
      </c>
      <c r="D1528" s="3">
        <v>5.0</v>
      </c>
    </row>
    <row r="1529" ht="15.75" customHeight="1">
      <c r="A1529" s="1">
        <v>1616.0</v>
      </c>
      <c r="B1529" s="3" t="s">
        <v>1517</v>
      </c>
      <c r="C1529" s="3" t="str">
        <f>IFERROR(__xludf.DUMMYFUNCTION("GOOGLETRANSLATE(B1529,""id"",""en"")"),"['Package', 'combo', 'pain', 'missing', 'love', 'star', 'formerly']")</f>
        <v>['Package', 'combo', 'pain', 'missing', 'love', 'star', 'formerly']</v>
      </c>
      <c r="D1529" s="3">
        <v>3.0</v>
      </c>
    </row>
    <row r="1530" ht="15.75" customHeight="1">
      <c r="A1530" s="1">
        <v>1617.0</v>
      </c>
      <c r="B1530" s="3" t="s">
        <v>1518</v>
      </c>
      <c r="C1530" s="3" t="str">
        <f>IFERROR(__xludf.DUMMYFUNCTION("GOOGLETRANSLATE(B1530,""id"",""en"")"),"['Please', 'perman', 'package', 'again']")</f>
        <v>['Please', 'perman', 'package', 'again']</v>
      </c>
      <c r="D1530" s="3">
        <v>5.0</v>
      </c>
    </row>
    <row r="1531" ht="15.75" customHeight="1">
      <c r="A1531" s="1">
        <v>1618.0</v>
      </c>
      <c r="B1531" s="3" t="s">
        <v>1519</v>
      </c>
      <c r="C1531" s="3" t="str">
        <f>IFERROR(__xludf.DUMMYFUNCTION("GOOGLETRANSLATE(B1531,""id"",""en"")"),"['Package', 'Data', 'Credit', 'ilang', '']")</f>
        <v>['Package', 'Data', 'Credit', 'ilang', '']</v>
      </c>
      <c r="D1531" s="3">
        <v>2.0</v>
      </c>
    </row>
    <row r="1532" ht="15.75" customHeight="1">
      <c r="A1532" s="1">
        <v>1619.0</v>
      </c>
      <c r="B1532" s="3" t="s">
        <v>1520</v>
      </c>
      <c r="C1532" s="3" t="str">
        <f>IFERROR(__xludf.DUMMYFUNCTION("GOOGLETRANSLATE(B1532,""id"",""en"")"),"['The name', 'fix']")</f>
        <v>['The name', 'fix']</v>
      </c>
      <c r="D1532" s="3">
        <v>1.0</v>
      </c>
    </row>
    <row r="1533" ht="15.75" customHeight="1">
      <c r="A1533" s="1">
        <v>1620.0</v>
      </c>
      <c r="B1533" s="3" t="s">
        <v>1521</v>
      </c>
      <c r="C1533" s="3" t="str">
        <f>IFERROR(__xludf.DUMMYFUNCTION("GOOGLETRANSLATE(B1533,""id"",""en"")"),"['Download', 'easy', 'han', 'maximum', 'result']")</f>
        <v>['Download', 'easy', 'han', 'maximum', 'result']</v>
      </c>
      <c r="D1533" s="3">
        <v>5.0</v>
      </c>
    </row>
    <row r="1534" ht="15.75" customHeight="1">
      <c r="A1534" s="1">
        <v>1621.0</v>
      </c>
      <c r="B1534" s="3" t="s">
        <v>1522</v>
      </c>
      <c r="C1534" s="3" t="str">
        <f>IFERROR(__xludf.DUMMYFUNCTION("GOOGLETRANSLATE(B1534,""id"",""en"")"),"['Network', 'slow', 'really']")</f>
        <v>['Network', 'slow', 'really']</v>
      </c>
      <c r="D1534" s="3">
        <v>1.0</v>
      </c>
    </row>
    <row r="1535" ht="15.75" customHeight="1">
      <c r="A1535" s="1">
        <v>1622.0</v>
      </c>
      <c r="B1535" s="3" t="s">
        <v>1523</v>
      </c>
      <c r="C1535" s="3" t="str">
        <f>IFERROR(__xludf.DUMMYFUNCTION("GOOGLETRANSLATE(B1535,""id"",""en"")"),"['Okay', 'help']")</f>
        <v>['Okay', 'help']</v>
      </c>
      <c r="D1535" s="3">
        <v>5.0</v>
      </c>
    </row>
    <row r="1536" ht="15.75" customHeight="1">
      <c r="A1536" s="1">
        <v>1623.0</v>
      </c>
      <c r="B1536" s="3" t="s">
        <v>1524</v>
      </c>
      <c r="C1536" s="3" t="str">
        <f>IFERROR(__xludf.DUMMYFUNCTION("GOOGLETRANSLATE(B1536,""id"",""en"")"),"['Sorry', 'Review', 'Allow', 'I', 'TEMPO', 'APK', 'Sampe', 'Reportsih', 'Tetep', 'Spirit', 'Telkomsel', 'Forgot', ' Colently ',' price ',' package ',' ']")</f>
        <v>['Sorry', 'Review', 'Allow', 'I', 'TEMPO', 'APK', 'Sampe', 'Reportsih', 'Tetep', 'Spirit', 'Telkomsel', 'Forgot', ' Colently ',' price ',' package ',' ']</v>
      </c>
      <c r="D1536" s="3">
        <v>5.0</v>
      </c>
    </row>
    <row r="1537" ht="15.75" customHeight="1">
      <c r="A1537" s="1">
        <v>1624.0</v>
      </c>
      <c r="B1537" s="3" t="s">
        <v>1525</v>
      </c>
      <c r="C1537" s="3" t="str">
        <f>IFERROR(__xludf.DUMMYFUNCTION("GOOGLETRANSLATE(B1537,""id"",""en"")"),"['APK']")</f>
        <v>['APK']</v>
      </c>
      <c r="D1537" s="3">
        <v>1.0</v>
      </c>
    </row>
    <row r="1538" ht="15.75" customHeight="1">
      <c r="A1538" s="1">
        <v>1625.0</v>
      </c>
      <c r="B1538" s="3" t="s">
        <v>1526</v>
      </c>
      <c r="C1538" s="3" t="str">
        <f>IFERROR(__xludf.DUMMYFUNCTION("GOOGLETRANSLATE(B1538,""id"",""en"")"),"['signal', 'ilang', 'mksh', '']")</f>
        <v>['signal', 'ilang', 'mksh', '']</v>
      </c>
      <c r="D1538" s="3">
        <v>1.0</v>
      </c>
    </row>
    <row r="1539" ht="15.75" customHeight="1">
      <c r="A1539" s="1">
        <v>1626.0</v>
      </c>
      <c r="B1539" s="3" t="s">
        <v>1527</v>
      </c>
      <c r="C1539" s="3" t="str">
        <f>IFERROR(__xludf.DUMMYFUNCTION("GOOGLETRANSLATE(B1539,""id"",""en"")"),"['Enter', 'Ribet', 'fast', 'easy']")</f>
        <v>['Enter', 'Ribet', 'fast', 'easy']</v>
      </c>
      <c r="D1539" s="3">
        <v>1.0</v>
      </c>
    </row>
    <row r="1540" ht="15.75" customHeight="1">
      <c r="A1540" s="1">
        <v>1627.0</v>
      </c>
      <c r="B1540" s="3" t="s">
        <v>1528</v>
      </c>
      <c r="C1540" s="3" t="str">
        <f>IFERROR(__xludf.DUMMYFUNCTION("GOOGLETRANSLATE(B1540,""id"",""en"")"),"['Bonus', 'steady']")</f>
        <v>['Bonus', 'steady']</v>
      </c>
      <c r="D1540" s="3">
        <v>5.0</v>
      </c>
    </row>
    <row r="1541" ht="15.75" customHeight="1">
      <c r="A1541" s="1">
        <v>1628.0</v>
      </c>
      <c r="B1541" s="3" t="s">
        <v>1529</v>
      </c>
      <c r="C1541" s="3" t="str">
        <f>IFERROR(__xludf.DUMMYFUNCTION("GOOGLETRANSLATE(B1541,""id"",""en"")"),"['Updated', 'rational']")</f>
        <v>['Updated', 'rational']</v>
      </c>
      <c r="D1541" s="3">
        <v>1.0</v>
      </c>
    </row>
    <row r="1542" ht="15.75" customHeight="1">
      <c r="A1542" s="1">
        <v>1629.0</v>
      </c>
      <c r="B1542" s="3" t="s">
        <v>1530</v>
      </c>
      <c r="C1542" s="3" t="str">
        <f>IFERROR(__xludf.DUMMYFUNCTION("GOOGLETRANSLATE(B1542,""id"",""en"")"),"['Good', 'kujalani']")</f>
        <v>['Good', 'kujalani']</v>
      </c>
      <c r="D1542" s="3">
        <v>5.0</v>
      </c>
    </row>
    <row r="1543" ht="15.75" customHeight="1">
      <c r="A1543" s="1">
        <v>1630.0</v>
      </c>
      <c r="B1543" s="3" t="s">
        <v>1531</v>
      </c>
      <c r="C1543" s="3" t="str">
        <f>IFERROR(__xludf.DUMMYFUNCTION("GOOGLETRANSLATE(B1543,""id"",""en"")"),"['The application', 'good', 'SUPAGAT', 'HEFEN', 'EASY', 'PUSPENED', 'SIMPEL', 'SAMPE', 'Network', 'Telkomsel', 'Rich', 'Gini', ' Yutup ',' Nge ',' Network ',' Pesbuk ',' Nge ',' Network ',' Please ',' It's', 'Compled', 'Related', 'Network', 'Telkomsel', '"&amp;"repaired' , 'Customers', 'moved', 'Provider', 'Next to', 'Thank', 'Love', ""]")</f>
        <v>['The application', 'good', 'SUPAGAT', 'HEFEN', 'EASY', 'PUSPENED', 'SIMPEL', 'SAMPE', 'Network', 'Telkomsel', 'Rich', 'Gini', ' Yutup ',' Nge ',' Network ',' Pesbuk ',' Nge ',' Network ',' Please ',' It's', 'Compled', 'Related', 'Network', 'Telkomsel', 'repaired' , 'Customers', 'moved', 'Provider', 'Next to', 'Thank', 'Love', "]</v>
      </c>
      <c r="D1543" s="3">
        <v>4.0</v>
      </c>
    </row>
    <row r="1544" ht="15.75" customHeight="1">
      <c r="A1544" s="1">
        <v>1631.0</v>
      </c>
      <c r="B1544" s="3" t="s">
        <v>1532</v>
      </c>
      <c r="C1544" s="3" t="str">
        <f>IFERROR(__xludf.DUMMYFUNCTION("GOOGLETRANSLATE(B1544,""id"",""en"")"),"['please', 'Telkomsel', 'key', 'credit', 'pulse', 'run out', 'package', 'internet', 'credit', 'pulled', 'really', '']")</f>
        <v>['please', 'Telkomsel', 'key', 'credit', 'pulse', 'run out', 'package', 'internet', 'credit', 'pulled', 'really', '']</v>
      </c>
      <c r="D1544" s="3">
        <v>1.0</v>
      </c>
    </row>
    <row r="1545" ht="15.75" customHeight="1">
      <c r="A1545" s="1">
        <v>1632.0</v>
      </c>
      <c r="B1545" s="3" t="s">
        <v>1533</v>
      </c>
      <c r="C1545" s="3" t="str">
        <f>IFERROR(__xludf.DUMMYFUNCTION("GOOGLETRANSLATE(B1545,""id"",""en"")"),"['Hopefully', 'Can', 'Lottery', 'Switch', 'Points']")</f>
        <v>['Hopefully', 'Can', 'Lottery', 'Switch', 'Points']</v>
      </c>
      <c r="D1545" s="3">
        <v>5.0</v>
      </c>
    </row>
    <row r="1546" ht="15.75" customHeight="1">
      <c r="A1546" s="1">
        <v>1633.0</v>
      </c>
      <c r="B1546" s="3" t="s">
        <v>1534</v>
      </c>
      <c r="C1546" s="3" t="str">
        <f>IFERROR(__xludf.DUMMYFUNCTION("GOOGLETRANSLATE(B1546,""id"",""en"")"),"['disappointed', 'service', 'Telkomsel', 'package', 'quota', 'buy', 'package', 'games',' silver ',' gold ',' use ',' play ',' Game ',' Package ',' Internet ',' Kombo ',' Unlimited ',' Quota ',' Stay ',' Unlimited ',' Facebok ',' Yutube ',' Use ',' Deceive"&amp;"d ',' Disappointed ' , 'Consumers', 'Relieved', ""]")</f>
        <v>['disappointed', 'service', 'Telkomsel', 'package', 'quota', 'buy', 'package', 'games',' silver ',' gold ',' use ',' play ',' Game ',' Package ',' Internet ',' Kombo ',' Unlimited ',' Quota ',' Stay ',' Unlimited ',' Facebok ',' Yutube ',' Use ',' Deceived ',' Disappointed ' , 'Consumers', 'Relieved', "]</v>
      </c>
      <c r="D1546" s="3">
        <v>1.0</v>
      </c>
    </row>
    <row r="1547" ht="15.75" customHeight="1">
      <c r="A1547" s="1">
        <v>1634.0</v>
      </c>
      <c r="B1547" s="3" t="s">
        <v>1535</v>
      </c>
      <c r="C1547" s="3" t="str">
        <f>IFERROR(__xludf.DUMMYFUNCTION("GOOGLETRANSLATE(B1547,""id"",""en"")"),"['like', 'APK', '']")</f>
        <v>['like', 'APK', '']</v>
      </c>
      <c r="D1547" s="3">
        <v>5.0</v>
      </c>
    </row>
    <row r="1548" ht="15.75" customHeight="1">
      <c r="A1548" s="1">
        <v>1635.0</v>
      </c>
      <c r="B1548" s="3" t="s">
        <v>1536</v>
      </c>
      <c r="C1548" s="3" t="str">
        <f>IFERROR(__xludf.DUMMYFUNCTION("GOOGLETRANSLATE(B1548,""id"",""en"")"),"['Login', 'Posts',' SLLU ',' Session ',' Login ',' Many ',' TTP ',' Enter ',' Smnjak ',' Change ',' Logo ',' MLH ',' Good ',' high school ',' Skli ',' Powered ',' ']")</f>
        <v>['Login', 'Posts',' SLLU ',' Session ',' Login ',' Many ',' TTP ',' Enter ',' Smnjak ',' Change ',' Logo ',' MLH ',' Good ',' high school ',' Skli ',' Powered ',' ']</v>
      </c>
      <c r="D1548" s="3">
        <v>3.0</v>
      </c>
    </row>
    <row r="1549" ht="15.75" customHeight="1">
      <c r="A1549" s="1">
        <v>1636.0</v>
      </c>
      <c r="B1549" s="3" t="s">
        <v>1537</v>
      </c>
      <c r="C1549" s="3" t="str">
        <f>IFERROR(__xludf.DUMMYFUNCTION("GOOGLETRANSLATE(B1549,""id"",""en"")"),"['expensive', '']")</f>
        <v>['expensive', '']</v>
      </c>
      <c r="D1549" s="3">
        <v>1.0</v>
      </c>
    </row>
    <row r="1550" ht="15.75" customHeight="1">
      <c r="A1550" s="1">
        <v>1637.0</v>
      </c>
      <c r="B1550" s="3" t="s">
        <v>1538</v>
      </c>
      <c r="C1550" s="3" t="str">
        <f>IFERROR(__xludf.DUMMYFUNCTION("GOOGLETRANSLATE(B1550,""id"",""en"")"),"['Package', 'expensive', 'Please', 'Nonlahan', 'Price', 'Since', 'Package', 'Quota']")</f>
        <v>['Package', 'expensive', 'Please', 'Nonlahan', 'Price', 'Since', 'Package', 'Quota']</v>
      </c>
      <c r="D1550" s="3">
        <v>3.0</v>
      </c>
    </row>
    <row r="1551" ht="15.75" customHeight="1">
      <c r="A1551" s="1">
        <v>1638.0</v>
      </c>
      <c r="B1551" s="3" t="s">
        <v>1539</v>
      </c>
      <c r="C1551" s="3" t="str">
        <f>IFERROR(__xludf.DUMMYFUNCTION("GOOGLETRANSLATE(B1551,""id"",""en"")"),"['Usefulaaa', 'ATIIII', 'Application', '']")</f>
        <v>['Usefulaaa', 'ATIIII', 'Application', '']</v>
      </c>
      <c r="D1551" s="3">
        <v>5.0</v>
      </c>
    </row>
    <row r="1552" ht="15.75" customHeight="1">
      <c r="A1552" s="1">
        <v>1639.0</v>
      </c>
      <c r="B1552" s="3" t="s">
        <v>1540</v>
      </c>
      <c r="C1552" s="3" t="str">
        <f>IFERROR(__xludf.DUMMYFUNCTION("GOOGLETRANSLATE(B1552,""id"",""en"")"),"['Telkomsel', 'UDH', 'WEEK', 'Network', 'Drop', 'Send', 'Order', 'Hook', 'Hadehh', 'Message', 'Please', 'Fix', ' Greetings', 'Java', 'East']")</f>
        <v>['Telkomsel', 'UDH', 'WEEK', 'Network', 'Drop', 'Send', 'Order', 'Hook', 'Hadehh', 'Message', 'Please', 'Fix', ' Greetings', 'Java', 'East']</v>
      </c>
      <c r="D1552" s="3">
        <v>2.0</v>
      </c>
    </row>
    <row r="1553" ht="15.75" customHeight="1">
      <c r="A1553" s="1">
        <v>1640.0</v>
      </c>
      <c r="B1553" s="3" t="s">
        <v>1541</v>
      </c>
      <c r="C1553" s="3" t="str">
        <f>IFERROR(__xludf.DUMMYFUNCTION("GOOGLETRANSLATE(B1553,""id"",""en"")"),"['Good', 'Sie']")</f>
        <v>['Good', 'Sie']</v>
      </c>
      <c r="D1553" s="3">
        <v>5.0</v>
      </c>
    </row>
    <row r="1554" ht="15.75" customHeight="1">
      <c r="A1554" s="1">
        <v>1641.0</v>
      </c>
      <c r="B1554" s="3" t="s">
        <v>1542</v>
      </c>
      <c r="C1554" s="3" t="str">
        <f>IFERROR(__xludf.DUMMYFUNCTION("GOOGLETRANSLATE(B1554,""id"",""en"")"),"['It's easy', 'purchase']")</f>
        <v>['It's easy', 'purchase']</v>
      </c>
      <c r="D1554" s="3">
        <v>5.0</v>
      </c>
    </row>
    <row r="1555" ht="15.75" customHeight="1">
      <c r="A1555" s="1">
        <v>1642.0</v>
      </c>
      <c r="B1555" s="3" t="s">
        <v>1543</v>
      </c>
      <c r="C1555" s="3" t="str">
        <f>IFERROR(__xludf.DUMMYFUNCTION("GOOGLETRANSLATE(B1555,""id"",""en"")"),"['Gara', 'card', 'signal', 'ugly']")</f>
        <v>['Gara', 'card', 'signal', 'ugly']</v>
      </c>
      <c r="D1555" s="3">
        <v>1.0</v>
      </c>
    </row>
    <row r="1556" ht="15.75" customHeight="1">
      <c r="A1556" s="1">
        <v>1643.0</v>
      </c>
      <c r="B1556" s="3" t="s">
        <v>1544</v>
      </c>
      <c r="C1556" s="3" t="str">
        <f>IFERROR(__xludf.DUMMYFUNCTION("GOOGLETRANSLATE(B1556,""id"",""en"")"),"['win', 'expensive', 'doang', 'Jakarta', 'kaga', 'strong', 'signal']")</f>
        <v>['win', 'expensive', 'doang', 'Jakarta', 'kaga', 'strong', 'signal']</v>
      </c>
      <c r="D1556" s="3">
        <v>1.0</v>
      </c>
    </row>
    <row r="1557" ht="15.75" customHeight="1">
      <c r="A1557" s="1">
        <v>1644.0</v>
      </c>
      <c r="B1557" s="3" t="s">
        <v>1545</v>
      </c>
      <c r="C1557" s="3" t="str">
        <f>IFERROR(__xludf.DUMMYFUNCTION("GOOGLETRANSLATE(B1557,""id"",""en"")"),"['application', 'good', 'hope', 'Telkomsel', 'Jaya']")</f>
        <v>['application', 'good', 'hope', 'Telkomsel', 'Jaya']</v>
      </c>
      <c r="D1557" s="3">
        <v>5.0</v>
      </c>
    </row>
    <row r="1558" ht="15.75" customHeight="1">
      <c r="A1558" s="1">
        <v>1645.0</v>
      </c>
      <c r="B1558" s="3" t="s">
        <v>1546</v>
      </c>
      <c r="C1558" s="3" t="str">
        <f>IFERROR(__xludf.DUMMYFUNCTION("GOOGLETRANSLATE(B1558,""id"",""en"")"),"['APK', 'TELKOM', 'JLS', 'LIKE', 'Force', 'Close', 'Stop', 'Beloved', 'Telkom', 'Ampas']")</f>
        <v>['APK', 'TELKOM', 'JLS', 'LIKE', 'Force', 'Close', 'Stop', 'Beloved', 'Telkom', 'Ampas']</v>
      </c>
      <c r="D1558" s="3">
        <v>1.0</v>
      </c>
    </row>
    <row r="1559" ht="15.75" customHeight="1">
      <c r="A1559" s="1">
        <v>1646.0</v>
      </c>
      <c r="B1559" s="3" t="s">
        <v>1284</v>
      </c>
      <c r="C1559" s="3" t="str">
        <f>IFERROR(__xludf.DUMMYFUNCTION("GOOGLETRANSLATE(B1559,""id"",""en"")"),"['Telkomsel', 'steady']")</f>
        <v>['Telkomsel', 'steady']</v>
      </c>
      <c r="D1559" s="3">
        <v>5.0</v>
      </c>
    </row>
    <row r="1560" ht="15.75" customHeight="1">
      <c r="A1560" s="1">
        <v>1647.0</v>
      </c>
      <c r="B1560" s="3" t="s">
        <v>1547</v>
      </c>
      <c r="C1560" s="3" t="str">
        <f>IFERROR(__xludf.DUMMYFUNCTION("GOOGLETRANSLATE(B1560,""id"",""en"")"),"['', 'Open', 'appears', 'blank', 'white', 'please', 'fix', '']")</f>
        <v>['', 'Open', 'appears', 'blank', 'white', 'please', 'fix', '']</v>
      </c>
      <c r="D1560" s="3">
        <v>1.0</v>
      </c>
    </row>
    <row r="1561" ht="15.75" customHeight="1">
      <c r="A1561" s="1">
        <v>1648.0</v>
      </c>
      <c r="B1561" s="3" t="s">
        <v>1548</v>
      </c>
      <c r="C1561" s="3" t="str">
        <f>IFERROR(__xludf.DUMMYFUNCTION("GOOGLETRANSLATE(B1561,""id"",""en"")"),"['network', 'Telkomsel', 'difficult', 'signal', 'internet', 'full', '']")</f>
        <v>['network', 'Telkomsel', 'difficult', 'signal', 'internet', 'full', '']</v>
      </c>
      <c r="D1561" s="3">
        <v>4.0</v>
      </c>
    </row>
    <row r="1562" ht="15.75" customHeight="1">
      <c r="A1562" s="1">
        <v>1649.0</v>
      </c>
      <c r="B1562" s="3" t="s">
        <v>1549</v>
      </c>
      <c r="C1562" s="3" t="str">
        <f>IFERROR(__xludf.DUMMYFUNCTION("GOOGLETRANSLATE(B1562,""id"",""en"")"),"['Promo', 'Pable', 'Signal', 'Treated', 'Complained', 'Tangfant', 'Change', 'Stay', 'Diseet', 'Motion', 'Fix', 'Signal', ' Pay ',' expensive ',' expensive ',' LIAT ',' BUFFERING ',' ']")</f>
        <v>['Promo', 'Pable', 'Signal', 'Treated', 'Complained', 'Tangfant', 'Change', 'Stay', 'Diseet', 'Motion', 'Fix', 'Signal', ' Pay ',' expensive ',' expensive ',' LIAT ',' BUFFERING ',' ']</v>
      </c>
      <c r="D1562" s="3">
        <v>1.0</v>
      </c>
    </row>
    <row r="1563" ht="15.75" customHeight="1">
      <c r="A1563" s="1">
        <v>1650.0</v>
      </c>
      <c r="B1563" s="3" t="s">
        <v>1550</v>
      </c>
      <c r="C1563" s="3" t="str">
        <f>IFERROR(__xludf.DUMMYFUNCTION("GOOGLETRANSLATE(B1563,""id"",""en"")"),"['beneficial']")</f>
        <v>['beneficial']</v>
      </c>
      <c r="D1563" s="3">
        <v>5.0</v>
      </c>
    </row>
    <row r="1564" ht="15.75" customHeight="1">
      <c r="A1564" s="1">
        <v>1651.0</v>
      </c>
      <c r="B1564" s="3" t="s">
        <v>1551</v>
      </c>
      <c r="C1564" s="3" t="str">
        <f>IFERROR(__xludf.DUMMYFUNCTION("GOOGLETRANSLATE(B1564,""id"",""en"")"),"['signal', 'stable']")</f>
        <v>['signal', 'stable']</v>
      </c>
      <c r="D1564" s="3">
        <v>5.0</v>
      </c>
    </row>
    <row r="1565" ht="15.75" customHeight="1">
      <c r="A1565" s="1">
        <v>1652.0</v>
      </c>
      <c r="B1565" s="3" t="s">
        <v>1552</v>
      </c>
      <c r="C1565" s="3" t="str">
        <f>IFERROR(__xludf.DUMMYFUNCTION("GOOGLETRANSLATE(B1565,""id"",""en"")"),"['Network', 'Turu', 'Vangke']")</f>
        <v>['Network', 'Turu', 'Vangke']</v>
      </c>
      <c r="D1565" s="3">
        <v>1.0</v>
      </c>
    </row>
    <row r="1566" ht="15.75" customHeight="1">
      <c r="A1566" s="1">
        <v>1653.0</v>
      </c>
      <c r="B1566" s="3" t="s">
        <v>1553</v>
      </c>
      <c r="C1566" s="3" t="str">
        <f>IFERROR(__xludf.DUMMYFUNCTION("GOOGLETRANSLATE(B1566,""id"",""en"")"),"['Sigitu', 'strong', 'net', 'okay', 'app', ""]")</f>
        <v>['Sigitu', 'strong', 'net', 'okay', 'app', "]</v>
      </c>
      <c r="D1566" s="3">
        <v>5.0</v>
      </c>
    </row>
    <row r="1567" ht="15.75" customHeight="1">
      <c r="A1567" s="1">
        <v>1654.0</v>
      </c>
      <c r="B1567" s="3" t="s">
        <v>1554</v>
      </c>
      <c r="C1567" s="3" t="str">
        <f>IFERROR(__xludf.DUMMYFUNCTION("GOOGLETRANSLATE(B1567,""id"",""en"")"),"['Package', 'Gamemax', 'Please', 'Add', 'Game', 'Call', 'Duty', 'Mobile', 'Register', 'Game', 'Played', 'Package', ' Gamenya ']")</f>
        <v>['Package', 'Gamemax', 'Please', 'Add', 'Game', 'Call', 'Duty', 'Mobile', 'Register', 'Game', 'Played', 'Package', ' Gamenya ']</v>
      </c>
      <c r="D1567" s="3">
        <v>4.0</v>
      </c>
    </row>
    <row r="1568" ht="15.75" customHeight="1">
      <c r="A1568" s="1">
        <v>1655.0</v>
      </c>
      <c r="B1568" s="3" t="s">
        <v>1555</v>
      </c>
      <c r="C1568" s="3" t="str">
        <f>IFERROR(__xludf.DUMMYFUNCTION("GOOGLETRANSLATE(B1568,""id"",""en"")"),"['', 'Telkomsel', 'best']")</f>
        <v>['', 'Telkomsel', 'best']</v>
      </c>
      <c r="D1568" s="3">
        <v>5.0</v>
      </c>
    </row>
    <row r="1569" ht="15.75" customHeight="1">
      <c r="A1569" s="1">
        <v>1656.0</v>
      </c>
      <c r="B1569" s="3" t="s">
        <v>1556</v>
      </c>
      <c r="C1569" s="3" t="str">
        <f>IFERROR(__xludf.DUMMYFUNCTION("GOOGLETRANSLATE(B1569,""id"",""en"")"),"['Application', 'Telkomsel', 'Price', 'Cheap']")</f>
        <v>['Application', 'Telkomsel', 'Price', 'Cheap']</v>
      </c>
      <c r="D1569" s="3">
        <v>5.0</v>
      </c>
    </row>
    <row r="1570" ht="15.75" customHeight="1">
      <c r="A1570" s="1">
        <v>1657.0</v>
      </c>
      <c r="B1570" s="3" t="s">
        <v>1557</v>
      </c>
      <c r="C1570" s="3" t="str">
        <f>IFERROR(__xludf.DUMMYFUNCTION("GOOGLETRANSLATE(B1570,""id"",""en"")"),"['', 'Ando', 'old school', 'DPT', 'MyTelkomsel', 'Lite', 'BNYK', 'Package', 'Eliminate', 'Sell', 'Services',' Connection ',' Sell ',' Handheld ',' compatible ',' Ando ',' ']")</f>
        <v>['', 'Ando', 'old school', 'DPT', 'MyTelkomsel', 'Lite', 'BNYK', 'Package', 'Eliminate', 'Sell', 'Services',' Connection ',' Sell ',' Handheld ',' compatible ',' Ando ',' ']</v>
      </c>
      <c r="D1570" s="3">
        <v>2.0</v>
      </c>
    </row>
    <row r="1571" ht="15.75" customHeight="1">
      <c r="A1571" s="1">
        <v>1658.0</v>
      </c>
      <c r="B1571" s="3" t="s">
        <v>1558</v>
      </c>
      <c r="C1571" s="3" t="str">
        <f>IFERROR(__xludf.DUMMYFUNCTION("GOOGLETRANSLATE(B1571,""id"",""en"")"),"['Slalu', 'Treac', 'Tuk', 'Playana']")</f>
        <v>['Slalu', 'Treac', 'Tuk', 'Playana']</v>
      </c>
      <c r="D1571" s="3">
        <v>5.0</v>
      </c>
    </row>
    <row r="1572" ht="15.75" customHeight="1">
      <c r="A1572" s="1">
        <v>1659.0</v>
      </c>
      <c r="B1572" s="3" t="s">
        <v>1559</v>
      </c>
      <c r="C1572" s="3" t="str">
        <f>IFERROR(__xludf.DUMMYFUNCTION("GOOGLETRANSLATE(B1572,""id"",""en"")"),"['Service', 'technique']")</f>
        <v>['Service', 'technique']</v>
      </c>
      <c r="D1572" s="3">
        <v>5.0</v>
      </c>
    </row>
    <row r="1573" ht="15.75" customHeight="1">
      <c r="A1573" s="1">
        <v>1660.0</v>
      </c>
      <c r="B1573" s="3" t="s">
        <v>1560</v>
      </c>
      <c r="C1573" s="3" t="str">
        <f>IFERROR(__xludf.DUMMYFUNCTION("GOOGLETRANSLATE(B1573,""id"",""en"")"),"['App', 'Telkomsel', 'Watch', 'Mantap']")</f>
        <v>['App', 'Telkomsel', 'Watch', 'Mantap']</v>
      </c>
      <c r="D1573" s="3">
        <v>5.0</v>
      </c>
    </row>
    <row r="1574" ht="15.75" customHeight="1">
      <c r="A1574" s="1">
        <v>1661.0</v>
      </c>
      <c r="B1574" s="3" t="s">
        <v>1561</v>
      </c>
      <c r="C1574" s="3" t="str">
        <f>IFERROR(__xludf.DUMMYFUNCTION("GOOGLETRANSLATE(B1574,""id"",""en"")"),"['Good', 'Telkomsel']")</f>
        <v>['Good', 'Telkomsel']</v>
      </c>
      <c r="D1574" s="3">
        <v>5.0</v>
      </c>
    </row>
    <row r="1575" ht="15.75" customHeight="1">
      <c r="A1575" s="1">
        <v>1662.0</v>
      </c>
      <c r="B1575" s="3" t="s">
        <v>1562</v>
      </c>
      <c r="C1575" s="3" t="str">
        <f>IFERROR(__xludf.DUMMYFUNCTION("GOOGLETRANSLATE(B1575,""id"",""en"")"),"['Price', 'Move', 'Card', '']")</f>
        <v>['Price', 'Move', 'Card', '']</v>
      </c>
      <c r="D1575" s="3">
        <v>2.0</v>
      </c>
    </row>
    <row r="1576" ht="15.75" customHeight="1">
      <c r="A1576" s="1">
        <v>1663.0</v>
      </c>
      <c r="B1576" s="3" t="s">
        <v>1563</v>
      </c>
      <c r="C1576" s="3" t="str">
        <f>IFERROR(__xludf.DUMMYFUNCTION("GOOGLETRANSLATE(B1576,""id"",""en"")"),"['voucher', 'Telkomsel', 'ngak', 'unlimited', 'bonus', ""]")</f>
        <v>['voucher', 'Telkomsel', 'ngak', 'unlimited', 'bonus', "]</v>
      </c>
      <c r="D1576" s="3">
        <v>5.0</v>
      </c>
    </row>
    <row r="1577" ht="15.75" customHeight="1">
      <c r="A1577" s="1">
        <v>1664.0</v>
      </c>
      <c r="B1577" s="3" t="s">
        <v>1564</v>
      </c>
      <c r="C1577" s="3" t="str">
        <f>IFERROR(__xludf.DUMMYFUNCTION("GOOGLETRANSLATE(B1577,""id"",""en"")"),"['buy', 'package', 'internet', 'Telkomsel', 'signal', 'forgiveness',' bad ',' really ',' house ',' rural ',' sprti ',' replace ',' Operators', 'pity', 'relatives',' contact ',' ']")</f>
        <v>['buy', 'package', 'internet', 'Telkomsel', 'signal', 'forgiveness',' bad ',' really ',' house ',' rural ',' sprti ',' replace ',' Operators', 'pity', 'relatives',' contact ',' ']</v>
      </c>
      <c r="D1577" s="3">
        <v>1.0</v>
      </c>
    </row>
    <row r="1578" ht="15.75" customHeight="1">
      <c r="A1578" s="1">
        <v>1665.0</v>
      </c>
      <c r="B1578" s="3" t="s">
        <v>1565</v>
      </c>
      <c r="C1578" s="3" t="str">
        <f>IFERROR(__xludf.DUMMYFUNCTION("GOOGLETRANSLATE(B1578,""id"",""en"")"),"['Error', 'opened', 'screen', 'black', 'please', 'repaired', 'smooth']")</f>
        <v>['Error', 'opened', 'screen', 'black', 'please', 'repaired', 'smooth']</v>
      </c>
      <c r="D1578" s="3">
        <v>3.0</v>
      </c>
    </row>
    <row r="1579" ht="15.75" customHeight="1">
      <c r="A1579" s="1">
        <v>1666.0</v>
      </c>
      <c r="B1579" s="3" t="s">
        <v>1566</v>
      </c>
      <c r="C1579" s="3" t="str">
        <f>IFERROR(__xludf.DUMMYFUNCTION("GOOGLETRANSLATE(B1579,""id"",""en"")"),"['try', 'Sya', 'love', 'star', '']")</f>
        <v>['try', 'Sya', 'love', 'star', '']</v>
      </c>
      <c r="D1579" s="3">
        <v>3.0</v>
      </c>
    </row>
    <row r="1580" ht="15.75" customHeight="1">
      <c r="A1580" s="1">
        <v>1667.0</v>
      </c>
      <c r="B1580" s="3" t="s">
        <v>1567</v>
      </c>
      <c r="C1580" s="3" t="str">
        <f>IFERROR(__xludf.DUMMYFUNCTION("GOOGLETRANSLATE(B1580,""id"",""en"")"),"['Helpful', 'Bangeett', '']")</f>
        <v>['Helpful', 'Bangeett', '']</v>
      </c>
      <c r="D1580" s="3">
        <v>5.0</v>
      </c>
    </row>
    <row r="1581" ht="15.75" customHeight="1">
      <c r="A1581" s="1">
        <v>1668.0</v>
      </c>
      <c r="B1581" s="3" t="s">
        <v>1568</v>
      </c>
      <c r="C1581" s="3" t="str">
        <f>IFERROR(__xludf.DUMMYFUNCTION("GOOGLETRANSLATE(B1581,""id"",""en"")"),"['Feature', 'Pay', 'Package', 'Link', 'Removed', 'Good', 'Direct', 'Pay', 'Open', 'Link', 'Out', 'Package', ' pulses', 'main', 'direct', 'sucked', '']")</f>
        <v>['Feature', 'Pay', 'Package', 'Link', 'Removed', 'Good', 'Direct', 'Pay', 'Open', 'Link', 'Out', 'Package', ' pulses', 'main', 'direct', 'sucked', '']</v>
      </c>
      <c r="D1581" s="3">
        <v>1.0</v>
      </c>
    </row>
    <row r="1582" ht="15.75" customHeight="1">
      <c r="A1582" s="1">
        <v>1669.0</v>
      </c>
      <c r="B1582" s="3" t="s">
        <v>1569</v>
      </c>
      <c r="C1582" s="3" t="str">
        <f>IFERROR(__xludf.DUMMYFUNCTION("GOOGLETRANSLATE(B1582,""id"",""en"")"),"['buy', 'pulse', 'data', 'mytelkomsel', 'data', 'try', 'pulse', ""]")</f>
        <v>['buy', 'pulse', 'data', 'mytelkomsel', 'data', 'try', 'pulse', "]</v>
      </c>
      <c r="D1582" s="3">
        <v>1.0</v>
      </c>
    </row>
    <row r="1583" ht="15.75" customHeight="1">
      <c r="A1583" s="1">
        <v>1670.0</v>
      </c>
      <c r="B1583" s="3" t="s">
        <v>1570</v>
      </c>
      <c r="C1583" s="3" t="str">
        <f>IFERROR(__xludf.DUMMYFUNCTION("GOOGLETRANSLATE(B1583,""id"",""en"")"),"['love', 'star', 'going forward', 'good', 'disorder', 'signal', 'what's',' annoying ',' comfort ',' consumer ',' Thanks', 'Telkomsel', ' good luck', '']")</f>
        <v>['love', 'star', 'going forward', 'good', 'disorder', 'signal', 'what's',' annoying ',' comfort ',' consumer ',' Thanks', 'Telkomsel', ' good luck', '']</v>
      </c>
      <c r="D1583" s="3">
        <v>4.0</v>
      </c>
    </row>
    <row r="1584" ht="15.75" customHeight="1">
      <c r="A1584" s="1">
        <v>1671.0</v>
      </c>
      <c r="B1584" s="3" t="s">
        <v>1571</v>
      </c>
      <c r="C1584" s="3" t="str">
        <f>IFERROR(__xludf.DUMMYFUNCTION("GOOGLETRANSLATE(B1584,""id"",""en"")"),"['', 'City', 'Padang', 'Signal', 'Telkomsel', 'bad', 'LGI', 'Game', 'Online', 'getting', 'network', 'browsing', 'disconnected ',' mslh ',' signal ',' written ',' slow ',' mntak ',' forgiveness', '']")</f>
        <v>['', 'City', 'Padang', 'Signal', 'Telkomsel', 'bad', 'LGI', 'Game', 'Online', 'getting', 'network', 'browsing', 'disconnected ',' mslh ',' signal ',' written ',' slow ',' mntak ',' forgiveness', '']</v>
      </c>
      <c r="D1584" s="3">
        <v>1.0</v>
      </c>
    </row>
    <row r="1585" ht="15.75" customHeight="1">
      <c r="A1585" s="1">
        <v>1672.0</v>
      </c>
      <c r="B1585" s="3" t="s">
        <v>1572</v>
      </c>
      <c r="C1585" s="3" t="str">
        <f>IFERROR(__xludf.DUMMYFUNCTION("GOOGLETRANSLATE(B1585,""id"",""en"")"),"['Love', 'Star']")</f>
        <v>['Love', 'Star']</v>
      </c>
      <c r="D1585" s="3">
        <v>5.0</v>
      </c>
    </row>
    <row r="1586" ht="15.75" customHeight="1">
      <c r="A1586" s="1">
        <v>1673.0</v>
      </c>
      <c r="B1586" s="3" t="s">
        <v>1573</v>
      </c>
      <c r="C1586" s="3" t="str">
        <f>IFERROR(__xludf.DUMMYFUNCTION("GOOGLETRANSLATE(B1586,""id"",""en"")"),"['', 'ride', 'price', 'kouta', 'because', 'cave', 'buy', 'already', 'suggestion', 'cave', 'no', 'ride', 'price ',' Cave ',' Kerugan ',' Telkom ',' loyal ', ""]")</f>
        <v>['', 'ride', 'price', 'kouta', 'because', 'cave', 'buy', 'already', 'suggestion', 'cave', 'no', 'ride', 'price ',' Cave ',' Kerugan ',' Telkom ',' loyal ', "]</v>
      </c>
      <c r="D1586" s="3">
        <v>1.0</v>
      </c>
    </row>
    <row r="1587" ht="15.75" customHeight="1">
      <c r="A1587" s="1">
        <v>1674.0</v>
      </c>
      <c r="B1587" s="3" t="s">
        <v>1574</v>
      </c>
      <c r="C1587" s="3" t="str">
        <f>IFERROR(__xludf.DUMMYFUNCTION("GOOGLETRANSLATE(B1587,""id"",""en"")"),"['APK', 'problematic']")</f>
        <v>['APK', 'problematic']</v>
      </c>
      <c r="D1587" s="3">
        <v>4.0</v>
      </c>
    </row>
    <row r="1588" ht="15.75" customHeight="1">
      <c r="A1588" s="1">
        <v>1675.0</v>
      </c>
      <c r="B1588" s="3" t="s">
        <v>1575</v>
      </c>
      <c r="C1588" s="3" t="str">
        <f>IFERROR(__xludf.DUMMYFUNCTION("GOOGLETRANSLATE(B1588,""id"",""en"")"),"['expensive', 'GB', 'cheap', 'Different', 'that's']")</f>
        <v>['expensive', 'GB', 'cheap', 'Different', 'that's']</v>
      </c>
      <c r="D1588" s="3">
        <v>2.0</v>
      </c>
    </row>
    <row r="1589" ht="15.75" customHeight="1">
      <c r="A1589" s="1">
        <v>1677.0</v>
      </c>
      <c r="B1589" s="3" t="s">
        <v>1576</v>
      </c>
      <c r="C1589" s="3" t="str">
        <f>IFERROR(__xludf.DUMMYFUNCTION("GOOGLETRANSLATE(B1589,""id"",""en"")"),"['Telkomsel', 'price', 'package', 'expensive', 'signal', 'garbage', 'like', 'lost', 'weather', 'good', 'cloud', 'room', ' Brandomen ',' Mengngukan ',' Service ',' Telkomsel ',' ']")</f>
        <v>['Telkomsel', 'price', 'package', 'expensive', 'signal', 'garbage', 'like', 'lost', 'weather', 'good', 'cloud', 'room', ' Brandomen ',' Mengngukan ',' Service ',' Telkomsel ',' ']</v>
      </c>
      <c r="D1589" s="3">
        <v>1.0</v>
      </c>
    </row>
    <row r="1590" ht="15.75" customHeight="1">
      <c r="A1590" s="1">
        <v>1678.0</v>
      </c>
      <c r="B1590" s="3" t="s">
        <v>1577</v>
      </c>
      <c r="C1590" s="3" t="str">
        <f>IFERROR(__xludf.DUMMYFUNCTION("GOOGLETRANSLATE(B1590,""id"",""en"")"),"['Telkomsel', 'pig', 'signal', 'battered', 'package', 'expensive', 'quota', 'little']")</f>
        <v>['Telkomsel', 'pig', 'signal', 'battered', 'package', 'expensive', 'quota', 'little']</v>
      </c>
      <c r="D1590" s="3">
        <v>1.0</v>
      </c>
    </row>
    <row r="1591" ht="15.75" customHeight="1">
      <c r="A1591" s="1">
        <v>1679.0</v>
      </c>
      <c r="B1591" s="3" t="s">
        <v>1578</v>
      </c>
      <c r="C1591" s="3" t="str">
        <f>IFERROR(__xludf.DUMMYFUNCTION("GOOGLETRANSLATE(B1591,""id"",""en"")"),"['crazy', 'card', 'Telkomsel', 'here', 'expensive', 'package', 'internet', 'mending', 'moved', 'Indosat', 'gini', 'yr', ' I ',' TELKOM ',' AJIG ']")</f>
        <v>['crazy', 'card', 'Telkomsel', 'here', 'expensive', 'package', 'internet', 'mending', 'moved', 'Indosat', 'gini', 'yr', ' I ',' TELKOM ',' AJIG ']</v>
      </c>
      <c r="D1591" s="3">
        <v>1.0</v>
      </c>
    </row>
    <row r="1592" ht="15.75" customHeight="1">
      <c r="A1592" s="1">
        <v>1680.0</v>
      </c>
      <c r="B1592" s="3" t="s">
        <v>1579</v>
      </c>
      <c r="C1592" s="3" t="str">
        <f>IFERROR(__xludf.DUMMYFUNCTION("GOOGLETRANSLATE(B1592,""id"",""en"")"),"['Open', 'Application', 'Open', 'Display', 'Menu', 'Other', 'Please', 'Fix']")</f>
        <v>['Open', 'Application', 'Open', 'Display', 'Menu', 'Other', 'Please', 'Fix']</v>
      </c>
      <c r="D1592" s="3">
        <v>4.0</v>
      </c>
    </row>
    <row r="1593" ht="15.75" customHeight="1">
      <c r="A1593" s="1">
        <v>1681.0</v>
      </c>
      <c r="B1593" s="3" t="s">
        <v>1580</v>
      </c>
      <c r="C1593" s="3" t="str">
        <f>IFERROR(__xludf.DUMMYFUNCTION("GOOGLETRANSLATE(B1593,""id"",""en"")"),"['Buy', 'Combo', 'Sakti', 'Application', 'Telkomsel', 'Check', 'Connection', 'Signal', 'Good', 'Yahak', ""]")</f>
        <v>['Buy', 'Combo', 'Sakti', 'Application', 'Telkomsel', 'Check', 'Connection', 'Signal', 'Good', 'Yahak', "]</v>
      </c>
      <c r="D1593" s="3">
        <v>1.0</v>
      </c>
    </row>
    <row r="1594" ht="15.75" customHeight="1">
      <c r="A1594" s="1">
        <v>1682.0</v>
      </c>
      <c r="B1594" s="3" t="s">
        <v>1581</v>
      </c>
      <c r="C1594" s="3" t="str">
        <f>IFERROR(__xludf.DUMMYFUNCTION("GOOGLETRANSLATE(B1594,""id"",""en"")"),"['Love', 'promo']")</f>
        <v>['Love', 'promo']</v>
      </c>
      <c r="D1594" s="3">
        <v>5.0</v>
      </c>
    </row>
    <row r="1595" ht="15.75" customHeight="1">
      <c r="A1595" s="1">
        <v>1683.0</v>
      </c>
      <c r="B1595" s="3" t="s">
        <v>1582</v>
      </c>
      <c r="C1595" s="3" t="str">
        <f>IFERROR(__xludf.DUMMYFUNCTION("GOOGLETRANSLATE(B1595,""id"",""en"")"),"['Easy', 'Good']")</f>
        <v>['Easy', 'Good']</v>
      </c>
      <c r="D1595" s="3">
        <v>5.0</v>
      </c>
    </row>
    <row r="1596" ht="15.75" customHeight="1">
      <c r="A1596" s="1">
        <v>1684.0</v>
      </c>
      <c r="B1596" s="3" t="s">
        <v>1583</v>
      </c>
      <c r="C1596" s="3" t="str">
        <f>IFERROR(__xludf.DUMMYFUNCTION("GOOGLETRANSLATE(B1596,""id"",""en"")"),"['Good', 'bosqu', ""]")</f>
        <v>['Good', 'bosqu', "]</v>
      </c>
      <c r="D1596" s="3">
        <v>5.0</v>
      </c>
    </row>
    <row r="1597" ht="15.75" customHeight="1">
      <c r="A1597" s="1">
        <v>1685.0</v>
      </c>
      <c r="B1597" s="3" t="s">
        <v>1584</v>
      </c>
      <c r="C1597" s="3" t="str">
        <f>IFERROR(__xludf.DUMMYFUNCTION("GOOGLETRANSLATE(B1597,""id"",""en"")"),"['Telkomsel', 'easy', 'practical', 'trimakasih', 'Telkomsel']")</f>
        <v>['Telkomsel', 'easy', 'practical', 'trimakasih', 'Telkomsel']</v>
      </c>
      <c r="D1597" s="3">
        <v>5.0</v>
      </c>
    </row>
    <row r="1598" ht="15.75" customHeight="1">
      <c r="A1598" s="1">
        <v>1686.0</v>
      </c>
      <c r="B1598" s="3" t="s">
        <v>1585</v>
      </c>
      <c r="C1598" s="3" t="str">
        <f>IFERROR(__xludf.DUMMYFUNCTION("GOOGLETRANSLATE(B1598,""id"",""en"")"),"['need', 'balance']")</f>
        <v>['need', 'balance']</v>
      </c>
      <c r="D1598" s="3">
        <v>5.0</v>
      </c>
    </row>
    <row r="1599" ht="15.75" customHeight="1">
      <c r="A1599" s="1">
        <v>1687.0</v>
      </c>
      <c r="B1599" s="3" t="s">
        <v>1586</v>
      </c>
      <c r="C1599" s="3" t="str">
        <f>IFERROR(__xludf.DUMMYFUNCTION("GOOGLETRANSLATE(B1599,""id"",""en"")"),"['Mantab', 'Continue']")</f>
        <v>['Mantab', 'Continue']</v>
      </c>
      <c r="D1599" s="3">
        <v>5.0</v>
      </c>
    </row>
    <row r="1600" ht="15.75" customHeight="1">
      <c r="A1600" s="1">
        <v>1688.0</v>
      </c>
      <c r="B1600" s="3" t="s">
        <v>1587</v>
      </c>
      <c r="C1600" s="3" t="str">
        <f>IFERROR(__xludf.DUMMYFUNCTION("GOOGLETRANSLATE(B1600,""id"",""en"")"),"['Make it easier', 'in', 'purchase', 'quota', 'check', 'pulse']")</f>
        <v>['Make it easier', 'in', 'purchase', 'quota', 'check', 'pulse']</v>
      </c>
      <c r="D1600" s="3">
        <v>4.0</v>
      </c>
    </row>
    <row r="1601" ht="15.75" customHeight="1">
      <c r="A1601" s="1">
        <v>1689.0</v>
      </c>
      <c r="B1601" s="3" t="s">
        <v>1588</v>
      </c>
      <c r="C1601" s="3" t="str">
        <f>IFERROR(__xludf.DUMMYFUNCTION("GOOGLETRANSLATE(B1601,""id"",""en"")"),"['telkomm', 'pingin', 'cave', 'santet', 'bodies', 'times', 'the network']")</f>
        <v>['telkomm', 'pingin', 'cave', 'santet', 'bodies', 'times', 'the network']</v>
      </c>
      <c r="D1601" s="3">
        <v>1.0</v>
      </c>
    </row>
    <row r="1602" ht="15.75" customHeight="1">
      <c r="A1602" s="1">
        <v>1690.0</v>
      </c>
      <c r="B1602" s="3" t="s">
        <v>1589</v>
      </c>
      <c r="C1602" s="3" t="str">
        <f>IFERROR(__xludf.DUMMYFUNCTION("GOOGLETRANSLATE(B1602,""id"",""en"")"),"['Error', 'the application']")</f>
        <v>['Error', 'the application']</v>
      </c>
      <c r="D1602" s="3">
        <v>1.0</v>
      </c>
    </row>
    <row r="1603" ht="15.75" customHeight="1">
      <c r="A1603" s="1">
        <v>1691.0</v>
      </c>
      <c r="B1603" s="3" t="s">
        <v>1590</v>
      </c>
      <c r="C1603" s="3" t="str">
        <f>IFERROR(__xludf.DUMMYFUNCTION("GOOGLETRANSLATE(B1603,""id"",""en"")"),"['Woy', 'AJG', 'Network', 'Ngele', 'knapa', 'Network', 'Telkomsel', 'ilang', 'Mulu', 'intention', 'kga', 'price', ' package ',' doang ',' mahalin ',' network ',' down ',' fix ',' as soon as possible ',' already ',' really ',' rich ',' gini ', ""]")</f>
        <v>['Woy', 'AJG', 'Network', 'Ngele', 'knapa', 'Network', 'Telkomsel', 'ilang', 'Mulu', 'intention', 'kga', 'price', ' package ',' doang ',' mahalin ',' network ',' down ',' fix ',' as soon as possible ',' already ',' really ',' rich ',' gini ', "]</v>
      </c>
      <c r="D1603" s="3">
        <v>1.0</v>
      </c>
    </row>
    <row r="1604" ht="15.75" customHeight="1">
      <c r="A1604" s="1">
        <v>1692.0</v>
      </c>
      <c r="B1604" s="3" t="s">
        <v>1591</v>
      </c>
      <c r="C1604" s="3" t="str">
        <f>IFERROR(__xludf.DUMMYFUNCTION("GOOGLETRANSLATE(B1604,""id"",""en"")"),"['Shipping', 'fast', 'promo']")</f>
        <v>['Shipping', 'fast', 'promo']</v>
      </c>
      <c r="D1604" s="3">
        <v>5.0</v>
      </c>
    </row>
    <row r="1605" ht="15.75" customHeight="1">
      <c r="A1605" s="1">
        <v>1693.0</v>
      </c>
      <c r="B1605" s="3" t="s">
        <v>1592</v>
      </c>
      <c r="C1605" s="3" t="str">
        <f>IFERROR(__xludf.DUMMYFUNCTION("GOOGLETRANSLATE(B1605,""id"",""en"")"),"['Good', 'hope', 'steady']")</f>
        <v>['Good', 'hope', 'steady']</v>
      </c>
      <c r="D1605" s="3">
        <v>5.0</v>
      </c>
    </row>
    <row r="1606" ht="15.75" customHeight="1">
      <c r="A1606" s="1">
        <v>1694.0</v>
      </c>
      <c r="B1606" s="3" t="s">
        <v>1593</v>
      </c>
      <c r="C1606" s="3" t="str">
        <f>IFERROR(__xludf.DUMMYFUNCTION("GOOGLETRANSLATE(B1606,""id"",""en"")"),"['app', 'pulp', 'login', 'Musti', 'Delete', 'cache', 'high school', 'delete', 'data', 'dlu', 'delete', 'bsa', ' Entering ',' telorr ']")</f>
        <v>['app', 'pulp', 'login', 'Musti', 'Delete', 'cache', 'high school', 'delete', 'data', 'dlu', 'delete', 'bsa', ' Entering ',' telorr ']</v>
      </c>
      <c r="D1606" s="3">
        <v>1.0</v>
      </c>
    </row>
    <row r="1607" ht="15.75" customHeight="1">
      <c r="A1607" s="1">
        <v>1695.0</v>
      </c>
      <c r="B1607" s="3" t="s">
        <v>1594</v>
      </c>
      <c r="C1607" s="3" t="str">
        <f>IFERROR(__xludf.DUMMYFUNCTION("GOOGLETRANSLATE(B1607,""id"",""en"")"),"['Like', 'Telkomsel', 'Road', 'Please', 'Fix', 'Min']")</f>
        <v>['Like', 'Telkomsel', 'Road', 'Please', 'Fix', 'Min']</v>
      </c>
      <c r="D1607" s="3">
        <v>1.0</v>
      </c>
    </row>
    <row r="1608" ht="15.75" customHeight="1">
      <c r="A1608" s="1">
        <v>1696.0</v>
      </c>
      <c r="B1608" s="3" t="s">
        <v>1595</v>
      </c>
      <c r="C1608" s="3" t="str">
        <f>IFERROR(__xludf.DUMMYFUNCTION("GOOGLETRANSLATE(B1608,""id"",""en"")"),"['help', '']")</f>
        <v>['help', '']</v>
      </c>
      <c r="D1608" s="3">
        <v>4.0</v>
      </c>
    </row>
    <row r="1609" ht="15.75" customHeight="1">
      <c r="A1609" s="1">
        <v>1697.0</v>
      </c>
      <c r="B1609" s="3" t="s">
        <v>1596</v>
      </c>
      <c r="C1609" s="3" t="str">
        <f>IFERROR(__xludf.DUMMYFUNCTION("GOOGLETRANSLATE(B1609,""id"",""en"")"),"['Application', 'artisan', 'eat', 'pulse', 'run out', 'pulse', 'Gara', 'Gara', 'application', 'buy', 'package', 'internet', ' Ryesel ',' Download ',' application ',' ']")</f>
        <v>['Application', 'artisan', 'eat', 'pulse', 'run out', 'pulse', 'Gara', 'Gara', 'application', 'buy', 'package', 'internet', ' Ryesel ',' Download ',' application ',' ']</v>
      </c>
      <c r="D1609" s="3">
        <v>1.0</v>
      </c>
    </row>
    <row r="1610" ht="15.75" customHeight="1">
      <c r="A1610" s="1">
        <v>1698.0</v>
      </c>
      <c r="B1610" s="3" t="s">
        <v>1597</v>
      </c>
      <c r="C1610" s="3" t="str">
        <f>IFERROR(__xludf.DUMMYFUNCTION("GOOGLETRANSLATE(B1610,""id"",""en"")"),"['Severe', 'really', 'Rain', 'Maen', 'Game', 'Genshin', 'Impact', 'Delay', 'Very', 'ping']")</f>
        <v>['Severe', 'really', 'Rain', 'Maen', 'Game', 'Genshin', 'Impact', 'Delay', 'Very', 'ping']</v>
      </c>
      <c r="D1610" s="3">
        <v>1.0</v>
      </c>
    </row>
    <row r="1611" ht="15.75" customHeight="1">
      <c r="A1611" s="1">
        <v>1699.0</v>
      </c>
      <c r="B1611" s="3" t="s">
        <v>1598</v>
      </c>
      <c r="C1611" s="3" t="str">
        <f>IFERROR(__xludf.DUMMYFUNCTION("GOOGLETRANSLATE(B1611,""id"",""en"")"),"['Hi', 'Telkomsel', 'Thank', 'Love', 'Memoving', 'Network', 'Internet', 'Good', 'User', 'Telkomsel', 'Comfortable', ""]")</f>
        <v>['Hi', 'Telkomsel', 'Thank', 'Love', 'Memoving', 'Network', 'Internet', 'Good', 'User', 'Telkomsel', 'Comfortable', "]</v>
      </c>
      <c r="D1611" s="3">
        <v>5.0</v>
      </c>
    </row>
    <row r="1612" ht="15.75" customHeight="1">
      <c r="A1612" s="1">
        <v>1700.0</v>
      </c>
      <c r="B1612" s="3" t="s">
        <v>1599</v>
      </c>
      <c r="C1612" s="3" t="str">
        <f>IFERROR(__xludf.DUMMYFUNCTION("GOOGLETRANSLATE(B1612,""id"",""en"")"),"['signal', 'Telkomsel', 'slow', 'haha', 'lag', 'quota', 'expensive', 'network', 'lag', 'parahh', 'forced', 'replace', ' card', '']")</f>
        <v>['signal', 'Telkomsel', 'slow', 'haha', 'lag', 'quota', 'expensive', 'network', 'lag', 'parahh', 'forced', 'replace', ' card', '']</v>
      </c>
      <c r="D1612" s="3">
        <v>1.0</v>
      </c>
    </row>
    <row r="1613" ht="15.75" customHeight="1">
      <c r="A1613" s="1">
        <v>1701.0</v>
      </c>
      <c r="B1613" s="3" t="s">
        <v>1600</v>
      </c>
      <c r="C1613" s="3" t="str">
        <f>IFERROR(__xludf.DUMMYFUNCTION("GOOGLETRANSLATE(B1613,""id"",""en"")"),"['Package', 'promo', 'TOP']")</f>
        <v>['Package', 'promo', 'TOP']</v>
      </c>
      <c r="D1613" s="3">
        <v>5.0</v>
      </c>
    </row>
    <row r="1614" ht="15.75" customHeight="1">
      <c r="A1614" s="1">
        <v>1703.0</v>
      </c>
      <c r="B1614" s="3" t="s">
        <v>1601</v>
      </c>
      <c r="C1614" s="3" t="str">
        <f>IFERROR(__xludf.DUMMYFUNCTION("GOOGLETRANSLATE(B1614,""id"",""en"")"),"['God willing', 'Allah', 'blessing']")</f>
        <v>['God willing', 'Allah', 'blessing']</v>
      </c>
      <c r="D1614" s="3">
        <v>5.0</v>
      </c>
    </row>
    <row r="1615" ht="15.75" customHeight="1">
      <c r="A1615" s="1">
        <v>1704.0</v>
      </c>
      <c r="B1615" s="3" t="s">
        <v>1602</v>
      </c>
      <c r="C1615" s="3" t="str">
        <f>IFERROR(__xludf.DUMMYFUNCTION("GOOGLETRANSLATE(B1615,""id"",""en"")"),"['quota', 'leftover', 'GB', 'Extend', 'active', 'package', 'Reject', 'trs', 'buy', ""]")</f>
        <v>['quota', 'leftover', 'GB', 'Extend', 'active', 'package', 'Reject', 'trs', 'buy', "]</v>
      </c>
      <c r="D1615" s="3">
        <v>2.0</v>
      </c>
    </row>
    <row r="1616" ht="15.75" customHeight="1">
      <c r="A1616" s="1">
        <v>1705.0</v>
      </c>
      <c r="B1616" s="3" t="s">
        <v>1603</v>
      </c>
      <c r="C1616" s="3" t="str">
        <f>IFERROR(__xludf.DUMMYFUNCTION("GOOGLETRANSLATE(B1616,""id"",""en"")"),"['', 'Telkomsel', 'seizes',' money ',' people ',' credit ',' transfer ',' pulse ',' friend ',' told ',' press', 'number', 'sky ',' Music ',' truncated ',' pulse ',' command ',' service ',' Telkomsel ',' Connect ',' steal ',' silent ',' silent ',' sky ',' "&amp;"music ', '']")</f>
        <v>['', 'Telkomsel', 'seizes',' money ',' people ',' credit ',' transfer ',' pulse ',' friend ',' told ',' press', 'number', 'sky ',' Music ',' truncated ',' pulse ',' command ',' service ',' Telkomsel ',' Connect ',' steal ',' silent ',' silent ',' sky ',' music ', '']</v>
      </c>
      <c r="D1616" s="3">
        <v>1.0</v>
      </c>
    </row>
    <row r="1617" ht="15.75" customHeight="1">
      <c r="A1617" s="1">
        <v>1706.0</v>
      </c>
      <c r="B1617" s="3" t="s">
        <v>1561</v>
      </c>
      <c r="C1617" s="3" t="str">
        <f>IFERROR(__xludf.DUMMYFUNCTION("GOOGLETRANSLATE(B1617,""id"",""en"")"),"['Good', 'Telkomsel']")</f>
        <v>['Good', 'Telkomsel']</v>
      </c>
      <c r="D1617" s="3">
        <v>5.0</v>
      </c>
    </row>
    <row r="1618" ht="15.75" customHeight="1">
      <c r="A1618" s="1">
        <v>1707.0</v>
      </c>
      <c r="B1618" s="3" t="s">
        <v>1604</v>
      </c>
      <c r="C1618" s="3" t="str">
        <f>IFERROR(__xludf.DUMMYFUNCTION("GOOGLETRANSLATE(B1618,""id"",""en"")"),"['Good', 'Lottery', '']")</f>
        <v>['Good', 'Lottery', '']</v>
      </c>
      <c r="D1618" s="3">
        <v>5.0</v>
      </c>
    </row>
    <row r="1619" ht="15.75" customHeight="1">
      <c r="A1619" s="1">
        <v>1708.0</v>
      </c>
      <c r="B1619" s="3" t="s">
        <v>1605</v>
      </c>
      <c r="C1619" s="3" t="str">
        <f>IFERROR(__xludf.DUMMYFUNCTION("GOOGLETRANSLATE(B1619,""id"",""en"")"),"['Buy', 'Package']")</f>
        <v>['Buy', 'Package']</v>
      </c>
      <c r="D1619" s="3">
        <v>1.0</v>
      </c>
    </row>
    <row r="1620" ht="15.75" customHeight="1">
      <c r="A1620" s="1">
        <v>1709.0</v>
      </c>
      <c r="B1620" s="3" t="s">
        <v>1606</v>
      </c>
      <c r="C1620" s="3" t="str">
        <f>IFERROR(__xludf.DUMMYFUNCTION("GOOGLETRANSLATE(B1620,""id"",""en"")"),"['Satisfied', 'Telkomsel', 'Glad', 'Telkomsel', 'Changing', 'Card', 'Except', 'Telkomsel', 'Thank', 'Love', 'Telkomsel', ""]")</f>
        <v>['Satisfied', 'Telkomsel', 'Glad', 'Telkomsel', 'Changing', 'Card', 'Except', 'Telkomsel', 'Thank', 'Love', 'Telkomsel', "]</v>
      </c>
      <c r="D1620" s="3">
        <v>5.0</v>
      </c>
    </row>
    <row r="1621" ht="15.75" customHeight="1">
      <c r="A1621" s="1">
        <v>1710.0</v>
      </c>
      <c r="B1621" s="3" t="s">
        <v>1607</v>
      </c>
      <c r="C1621" s="3" t="str">
        <f>IFERROR(__xludf.DUMMYFUNCTION("GOOGLETRANSLATE(B1621,""id"",""en"")"),"['Network', 'sadiezzz']")</f>
        <v>['Network', 'sadiezzz']</v>
      </c>
      <c r="D1621" s="3">
        <v>1.0</v>
      </c>
    </row>
    <row r="1622" ht="15.75" customHeight="1">
      <c r="A1622" s="1">
        <v>1711.0</v>
      </c>
      <c r="B1622" s="3" t="s">
        <v>1608</v>
      </c>
      <c r="C1622" s="3" t="str">
        <f>IFERROR(__xludf.DUMMYFUNCTION("GOOGLETRANSLATE(B1622,""id"",""en"")"),"['already', 'package', 'expensive', 'buy', 'package', 'persulit', 'already', 'contents',' pulse ',' admin ',' pulse ',' sufficient ',' ']")</f>
        <v>['already', 'package', 'expensive', 'buy', 'package', 'persulit', 'already', 'contents',' pulse ',' admin ',' pulse ',' sufficient ',' ']</v>
      </c>
      <c r="D1622" s="3">
        <v>2.0</v>
      </c>
    </row>
    <row r="1623" ht="15.75" customHeight="1">
      <c r="A1623" s="1">
        <v>1712.0</v>
      </c>
      <c r="B1623" s="3" t="s">
        <v>1609</v>
      </c>
      <c r="C1623" s="3" t="str">
        <f>IFERROR(__xludf.DUMMYFUNCTION("GOOGLETRANSLATE(B1623,""id"",""en"")"),"['Joss', 'pokonya']")</f>
        <v>['Joss', 'pokonya']</v>
      </c>
      <c r="D1623" s="3">
        <v>5.0</v>
      </c>
    </row>
    <row r="1624" ht="15.75" customHeight="1">
      <c r="A1624" s="1">
        <v>1713.0</v>
      </c>
      <c r="B1624" s="3" t="s">
        <v>1610</v>
      </c>
      <c r="C1624" s="3" t="str">
        <f>IFERROR(__xludf.DUMMYFUNCTION("GOOGLETRANSLATE(B1624,""id"",""en"")"),"['Download', 'application', 'MyTelkomsel', 'open', 'Try', 'contents', 'pls', 'application', 'contents', 'pulses', 'problem', 'Telkomsel']")</f>
        <v>['Download', 'application', 'MyTelkomsel', 'open', 'Try', 'contents', 'pls', 'application', 'contents', 'pulses', 'problem', 'Telkomsel']</v>
      </c>
      <c r="D1624" s="3">
        <v>1.0</v>
      </c>
    </row>
    <row r="1625" ht="15.75" customHeight="1">
      <c r="A1625" s="1">
        <v>1714.0</v>
      </c>
      <c r="B1625" s="3" t="s">
        <v>1611</v>
      </c>
      <c r="C1625" s="3" t="str">
        <f>IFERROR(__xludf.DUMMYFUNCTION("GOOGLETRANSLATE(B1625,""id"",""en"")"),"['Telkomsel', 'exploded', ""]")</f>
        <v>['Telkomsel', 'exploded', "]</v>
      </c>
      <c r="D1625" s="3">
        <v>5.0</v>
      </c>
    </row>
    <row r="1626" ht="15.75" customHeight="1">
      <c r="A1626" s="1">
        <v>1715.0</v>
      </c>
      <c r="B1626" s="3" t="s">
        <v>1612</v>
      </c>
      <c r="C1626" s="3" t="str">
        <f>IFERROR(__xludf.DUMMYFUNCTION("GOOGLETRANSLATE(B1626,""id"",""en"")"),"['Bismillaah', 'Success', 'Telkomsel']")</f>
        <v>['Bismillaah', 'Success', 'Telkomsel']</v>
      </c>
      <c r="D1626" s="3">
        <v>5.0</v>
      </c>
    </row>
    <row r="1627" ht="15.75" customHeight="1">
      <c r="A1627" s="1">
        <v>1716.0</v>
      </c>
      <c r="B1627" s="3" t="s">
        <v>1613</v>
      </c>
      <c r="C1627" s="3" t="str">
        <f>IFERROR(__xludf.DUMMYFUNCTION("GOOGLETRANSLATE(B1627,""id"",""en"")"),"['satisfying', 'meet', 'needs', 'telecommunications', '']")</f>
        <v>['satisfying', 'meet', 'needs', 'telecommunications', '']</v>
      </c>
      <c r="D1627" s="3">
        <v>4.0</v>
      </c>
    </row>
    <row r="1628" ht="15.75" customHeight="1">
      <c r="A1628" s="1">
        <v>1717.0</v>
      </c>
      <c r="B1628" s="3" t="s">
        <v>1614</v>
      </c>
      <c r="C1628" s="3" t="str">
        <f>IFERROR(__xludf.DUMMYFUNCTION("GOOGLETRANSLATE(B1628,""id"",""en"")"),"['Signal', 'Telkomsel', 'Severe', 'Bet', 'TRS', 'Expensive', 'Bad', 'Telkomsel', ""]")</f>
        <v>['Signal', 'Telkomsel', 'Severe', 'Bet', 'TRS', 'Expensive', 'Bad', 'Telkomsel', "]</v>
      </c>
      <c r="D1628" s="3">
        <v>1.0</v>
      </c>
    </row>
    <row r="1629" ht="15.75" customHeight="1">
      <c r="A1629" s="1">
        <v>1718.0</v>
      </c>
      <c r="B1629" s="3" t="s">
        <v>1615</v>
      </c>
      <c r="C1629" s="3" t="str">
        <f>IFERROR(__xludf.DUMMYFUNCTION("GOOGLETRANSLATE(B1629,""id"",""en"")"),"['', 'poor', 'regret', 'I', 'PKE', 'card', 'already', 'Not bad', 'network', 'pulp', 'disappointed', 'parahh', "" ]")</f>
        <v>['', 'poor', 'regret', 'I', 'PKE', 'card', 'already', 'Not bad', 'network', 'pulp', 'disappointed', 'parahh', " ]</v>
      </c>
      <c r="D1629" s="3">
        <v>1.0</v>
      </c>
    </row>
    <row r="1630" ht="15.75" customHeight="1">
      <c r="A1630" s="1">
        <v>1720.0</v>
      </c>
      <c r="B1630" s="3" t="s">
        <v>1616</v>
      </c>
      <c r="C1630" s="3" t="str">
        <f>IFERROR(__xludf.DUMMYFUNCTION("GOOGLETRANSLATE(B1630,""id"",""en"")"),"['apk', 'help', 'thank', 'love']")</f>
        <v>['apk', 'help', 'thank', 'love']</v>
      </c>
      <c r="D1630" s="3">
        <v>5.0</v>
      </c>
    </row>
    <row r="1631" ht="15.75" customHeight="1">
      <c r="A1631" s="1">
        <v>1721.0</v>
      </c>
      <c r="B1631" s="3" t="s">
        <v>1617</v>
      </c>
      <c r="C1631" s="3" t="str">
        <f>IFERROR(__xludf.DUMMYFUNCTION("GOOGLETRANSLATE(B1631,""id"",""en"")"),"['Help', 'pulse', 'one hundred', 'direct', 'kantel', 'please', 'fix']")</f>
        <v>['Help', 'pulse', 'one hundred', 'direct', 'kantel', 'please', 'fix']</v>
      </c>
      <c r="D1631" s="3">
        <v>1.0</v>
      </c>
    </row>
    <row r="1632" ht="15.75" customHeight="1">
      <c r="A1632" s="1">
        <v>1723.0</v>
      </c>
      <c r="B1632" s="3" t="s">
        <v>1618</v>
      </c>
      <c r="C1632" s="3" t="str">
        <f>IFERROR(__xludf.DUMMYFUNCTION("GOOGLETRANSLATE(B1632,""id"",""en"")"),"['Price', 'expensive', 'signal', 'cheap', 'Come', 'min']")</f>
        <v>['Price', 'expensive', 'signal', 'cheap', 'Come', 'min']</v>
      </c>
      <c r="D1632" s="3">
        <v>1.0</v>
      </c>
    </row>
    <row r="1633" ht="15.75" customHeight="1">
      <c r="A1633" s="1">
        <v>1724.0</v>
      </c>
      <c r="B1633" s="3" t="s">
        <v>1619</v>
      </c>
      <c r="C1633" s="3" t="str">
        <f>IFERROR(__xludf.DUMMYFUNCTION("GOOGLETRANSLATE(B1633,""id"",""en"")"),"['Can't', 'Bukak', 'Network', 'Normal', 'Please', ""]")</f>
        <v>['Can't', 'Bukak', 'Network', 'Normal', 'Please', "]</v>
      </c>
      <c r="D1633" s="3">
        <v>2.0</v>
      </c>
    </row>
    <row r="1634" ht="15.75" customHeight="1">
      <c r="A1634" s="1">
        <v>1725.0</v>
      </c>
      <c r="B1634" s="3" t="s">
        <v>1620</v>
      </c>
      <c r="C1634" s="3" t="str">
        <f>IFERROR(__xludf.DUMMYFUNCTION("GOOGLETRANSLATE(B1634,""id"",""en"")"),"['regretting', 'connection', 'internet', 'play', 'game', 'online', 'stable', 'youtube', 'Facebook', 'smooth', 'operator', 'play', ' Game ',' online ',' smooth ',' stable ',' Telkomsel ',' expensive ',' doang ',' ']")</f>
        <v>['regretting', 'connection', 'internet', 'play', 'game', 'online', 'stable', 'youtube', 'Facebook', 'smooth', 'operator', 'play', ' Game ',' online ',' smooth ',' stable ',' Telkomsel ',' expensive ',' doang ',' ']</v>
      </c>
      <c r="D1634" s="3">
        <v>1.0</v>
      </c>
    </row>
    <row r="1635" ht="15.75" customHeight="1">
      <c r="A1635" s="1">
        <v>1726.0</v>
      </c>
      <c r="B1635" s="3" t="s">
        <v>1621</v>
      </c>
      <c r="C1635" s="3" t="str">
        <f>IFERROR(__xludf.DUMMYFUNCTION("GOOGLETRANSLATE(B1635,""id"",""en"")"),"['Level', 'Quality', 'Network', 'ugly', '']")</f>
        <v>['Level', 'Quality', 'Network', 'ugly', '']</v>
      </c>
      <c r="D1635" s="3">
        <v>1.0</v>
      </c>
    </row>
    <row r="1636" ht="15.75" customHeight="1">
      <c r="A1636" s="1">
        <v>1727.0</v>
      </c>
      <c r="B1636" s="3" t="s">
        <v>1622</v>
      </c>
      <c r="C1636" s="3" t="str">
        <f>IFERROR(__xludf.DUMMYFUNCTION("GOOGLETRANSLATE(B1636,""id"",""en"")"),"['wkwkw', 'Ngakak', 'Telkom', 'Lolo', 'Network']")</f>
        <v>['wkwkw', 'Ngakak', 'Telkom', 'Lolo', 'Network']</v>
      </c>
      <c r="D1636" s="3">
        <v>1.0</v>
      </c>
    </row>
    <row r="1637" ht="15.75" customHeight="1">
      <c r="A1637" s="1">
        <v>1728.0</v>
      </c>
      <c r="B1637" s="3" t="s">
        <v>1623</v>
      </c>
      <c r="C1637" s="3" t="str">
        <f>IFERROR(__xludf.DUMMYFUNCTION("GOOGLETRANSLATE(B1637,""id"",""en"")"),"['Use', 'Telkomsel', 'Application', 'Delet', 'Try', 'Install', 'Times', 'Suceses', 'Install', 'Thaks', 'Explanation']")</f>
        <v>['Use', 'Telkomsel', 'Application', 'Delet', 'Try', 'Install', 'Times', 'Suceses', 'Install', 'Thaks', 'Explanation']</v>
      </c>
      <c r="D1637" s="3">
        <v>4.0</v>
      </c>
    </row>
    <row r="1638" ht="15.75" customHeight="1">
      <c r="A1638" s="1">
        <v>1729.0</v>
      </c>
      <c r="B1638" s="3" t="s">
        <v>1624</v>
      </c>
      <c r="C1638" s="3" t="str">
        <f>IFERROR(__xludf.DUMMYFUNCTION("GOOGLETRANSLATE(B1638,""id"",""en"")"),"['Easy', 'use']")</f>
        <v>['Easy', 'use']</v>
      </c>
      <c r="D1638" s="3">
        <v>5.0</v>
      </c>
    </row>
    <row r="1639" ht="15.75" customHeight="1">
      <c r="A1639" s="1">
        <v>1730.0</v>
      </c>
      <c r="B1639" s="3" t="s">
        <v>1625</v>
      </c>
      <c r="C1639" s="3" t="str">
        <f>IFERROR(__xludf.DUMMYFUNCTION("GOOGLETRANSLATE(B1639,""id"",""en"")"),"['like', 'really', 'with', 'Appsi', '']")</f>
        <v>['like', 'really', 'with', 'Appsi', '']</v>
      </c>
      <c r="D1639" s="3">
        <v>5.0</v>
      </c>
    </row>
    <row r="1640" ht="15.75" customHeight="1">
      <c r="A1640" s="1">
        <v>1731.0</v>
      </c>
      <c r="B1640" s="3" t="s">
        <v>1626</v>
      </c>
      <c r="C1640" s="3" t="str">
        <f>IFERROR(__xludf.DUMMYFUNCTION("GOOGLETRANSLATE(B1640,""id"",""en"")"),"['Simple', 'Praktiz']")</f>
        <v>['Simple', 'Praktiz']</v>
      </c>
      <c r="D1640" s="3">
        <v>4.0</v>
      </c>
    </row>
    <row r="1641" ht="15.75" customHeight="1">
      <c r="A1641" s="1">
        <v>1732.0</v>
      </c>
      <c r="B1641" s="3" t="s">
        <v>1627</v>
      </c>
      <c r="C1641" s="3" t="str">
        <f>IFERROR(__xludf.DUMMYFUNCTION("GOOGLETRANSLATE(B1641,""id"",""en"")"),"['Please', 'Adin', 'Features', 'Key', 'Credit', 'Cut', 'Credit', 'Internet', 'Hapi', ""]")</f>
        <v>['Please', 'Adin', 'Features', 'Key', 'Credit', 'Cut', 'Credit', 'Internet', 'Hapi', "]</v>
      </c>
      <c r="D1641" s="3">
        <v>1.0</v>
      </c>
    </row>
    <row r="1642" ht="15.75" customHeight="1">
      <c r="A1642" s="1">
        <v>1733.0</v>
      </c>
      <c r="B1642" s="3" t="s">
        <v>1628</v>
      </c>
      <c r="C1642" s="3" t="str">
        <f>IFERROR(__xludf.DUMMYFUNCTION("GOOGLETRANSLATE(B1642,""id"",""en"")"),"['Relogin', 'Use', 'SMS', 'Link', 'Valid', 'Pakak', 'Method', 'Very', 'Bad', ""]")</f>
        <v>['Relogin', 'Use', 'SMS', 'Link', 'Valid', 'Pakak', 'Method', 'Very', 'Bad', "]</v>
      </c>
      <c r="D1642" s="3">
        <v>1.0</v>
      </c>
    </row>
    <row r="1643" ht="15.75" customHeight="1">
      <c r="A1643" s="1">
        <v>1734.0</v>
      </c>
      <c r="B1643" s="3" t="s">
        <v>1629</v>
      </c>
      <c r="C1643" s="3" t="str">
        <f>IFERROR(__xludf.DUMMYFUNCTION("GOOGLETRANSLATE(B1643,""id"",""en"")"),"['Good', 'it', 'okay']")</f>
        <v>['Good', 'it', 'okay']</v>
      </c>
      <c r="D1643" s="3">
        <v>5.0</v>
      </c>
    </row>
    <row r="1644" ht="15.75" customHeight="1">
      <c r="A1644" s="1">
        <v>1735.0</v>
      </c>
      <c r="B1644" s="3" t="s">
        <v>1630</v>
      </c>
      <c r="C1644" s="3" t="str">
        <f>IFERROR(__xludf.DUMMYFUNCTION("GOOGLETRANSLATE(B1644,""id"",""en"")"),"['Update', 'NOT', 'Application', 'responds', 'Gosha', 'WTF', 'Telkom', ""]")</f>
        <v>['Update', 'NOT', 'Application', 'responds', 'Gosha', 'WTF', 'Telkom', "]</v>
      </c>
      <c r="D1644" s="3">
        <v>1.0</v>
      </c>
    </row>
    <row r="1645" ht="15.75" customHeight="1">
      <c r="A1645" s="1">
        <v>1736.0</v>
      </c>
      <c r="B1645" s="3" t="s">
        <v>1631</v>
      </c>
      <c r="C1645" s="3" t="str">
        <f>IFERROR(__xludf.DUMMYFUNCTION("GOOGLETRANSLATE(B1645,""id"",""en"")"),"['Voice', 'notification', 'annoying', 'Uda', 'Matiin', 'Tetep', 'On', 'Settings']")</f>
        <v>['Voice', 'notification', 'annoying', 'Uda', 'Matiin', 'Tetep', 'On', 'Settings']</v>
      </c>
      <c r="D1645" s="3">
        <v>1.0</v>
      </c>
    </row>
    <row r="1646" ht="15.75" customHeight="1">
      <c r="A1646" s="1">
        <v>1737.0</v>
      </c>
      <c r="B1646" s="3" t="s">
        <v>1632</v>
      </c>
      <c r="C1646" s="3" t="str">
        <f>IFERROR(__xludf.DUMMYFUNCTION("GOOGLETRANSLATE(B1646,""id"",""en"")"),"['My computer', 'Doang', 'expensive', 'network', 'ugly']")</f>
        <v>['My computer', 'Doang', 'expensive', 'network', 'ugly']</v>
      </c>
      <c r="D1646" s="3">
        <v>1.0</v>
      </c>
    </row>
    <row r="1647" ht="15.75" customHeight="1">
      <c r="A1647" s="1">
        <v>1738.0</v>
      </c>
      <c r="B1647" s="3" t="s">
        <v>1633</v>
      </c>
      <c r="C1647" s="3" t="str">
        <f>IFERROR(__xludf.DUMMYFUNCTION("GOOGLETRANSLATE(B1647,""id"",""en"")"),"['Telkomsel', 'times',' fill in ',' credit ',' enter ',' buy ',' pulse ',' enter ',' child ',' telkomsel ',' already ',' nge ',' lag ']")</f>
        <v>['Telkomsel', 'times',' fill in ',' credit ',' enter ',' buy ',' pulse ',' enter ',' child ',' telkomsel ',' already ',' nge ',' lag ']</v>
      </c>
      <c r="D1647" s="3">
        <v>1.0</v>
      </c>
    </row>
    <row r="1648" ht="15.75" customHeight="1">
      <c r="A1648" s="1">
        <v>1739.0</v>
      </c>
      <c r="B1648" s="3" t="s">
        <v>1634</v>
      </c>
      <c r="C1648" s="3" t="str">
        <f>IFERROR(__xludf.DUMMYFUNCTION("GOOGLETRANSLATE(B1648,""id"",""en"")"),"['business', 'prayer']")</f>
        <v>['business', 'prayer']</v>
      </c>
      <c r="D1648" s="3">
        <v>3.0</v>
      </c>
    </row>
    <row r="1649" ht="15.75" customHeight="1">
      <c r="A1649" s="1">
        <v>1740.0</v>
      </c>
      <c r="B1649" s="3" t="s">
        <v>1635</v>
      </c>
      <c r="C1649" s="3" t="str">
        <f>IFERROR(__xludf.DUMMYFUNCTION("GOOGLETRANSLATE(B1649,""id"",""en"")"),"['price', 'package', 'expensive', 'connection', 'sucks',' area ',' urban ',' cool ',' play ',' game ',' connect ',' signal ',' Waiting ',' sucks', '']")</f>
        <v>['price', 'package', 'expensive', 'connection', 'sucks',' area ',' urban ',' cool ',' play ',' game ',' connect ',' signal ',' Waiting ',' sucks', '']</v>
      </c>
      <c r="D1649" s="3">
        <v>1.0</v>
      </c>
    </row>
    <row r="1650" ht="15.75" customHeight="1">
      <c r="A1650" s="1">
        <v>1741.0</v>
      </c>
      <c r="B1650" s="3" t="s">
        <v>1636</v>
      </c>
      <c r="C1650" s="3" t="str">
        <f>IFERROR(__xludf.DUMMYFUNCTION("GOOGLETRANSLATE(B1650,""id"",""en"")"),"['Rating', 'down', 'dlu', 'stuck', 'application', 'open', 'abis', 'update', '']")</f>
        <v>['Rating', 'down', 'dlu', 'stuck', 'application', 'open', 'abis', 'update', '']</v>
      </c>
      <c r="D1650" s="3">
        <v>1.0</v>
      </c>
    </row>
    <row r="1651" ht="15.75" customHeight="1">
      <c r="A1651" s="1">
        <v>1742.0</v>
      </c>
      <c r="B1651" s="3" t="s">
        <v>1637</v>
      </c>
      <c r="C1651" s="3" t="str">
        <f>IFERROR(__xludf.DUMMYFUNCTION("GOOGLETRANSLATE(B1651,""id"",""en"")"),"['Good', 'level', 'LGI', 'Quality', 'Network', '']")</f>
        <v>['Good', 'level', 'LGI', 'Quality', 'Network', '']</v>
      </c>
      <c r="D1651" s="3">
        <v>4.0</v>
      </c>
    </row>
    <row r="1652" ht="15.75" customHeight="1">
      <c r="A1652" s="1">
        <v>1743.0</v>
      </c>
      <c r="B1652" s="3" t="s">
        <v>1638</v>
      </c>
      <c r="C1652" s="3" t="str">
        <f>IFERROR(__xludf.DUMMYFUNCTION("GOOGLETRANSLATE(B1652,""id"",""en"")"),"['Purchase', 'Package', 'Internet']")</f>
        <v>['Purchase', 'Package', 'Internet']</v>
      </c>
      <c r="D1652" s="3">
        <v>5.0</v>
      </c>
    </row>
    <row r="1653" ht="15.75" customHeight="1">
      <c r="A1653" s="1">
        <v>1744.0</v>
      </c>
      <c r="B1653" s="3" t="s">
        <v>1639</v>
      </c>
      <c r="C1653" s="3" t="str">
        <f>IFERROR(__xludf.DUMMYFUNCTION("GOOGLETRANSLATE(B1653,""id"",""en"")"),"['', 'hope', 'service', 'satisfying']")</f>
        <v>['', 'hope', 'service', 'satisfying']</v>
      </c>
      <c r="D1653" s="3">
        <v>3.0</v>
      </c>
    </row>
    <row r="1654" ht="15.75" customHeight="1">
      <c r="A1654" s="1">
        <v>1745.0</v>
      </c>
      <c r="B1654" s="3" t="s">
        <v>1640</v>
      </c>
      <c r="C1654" s="3" t="str">
        <f>IFERROR(__xludf.DUMMYFUNCTION("GOOGLETRANSLATE(B1654,""id"",""en"")"),"['UDH', 'Error', 'Open', 'Uninstall', 'Males', ""]")</f>
        <v>['UDH', 'Error', 'Open', 'Uninstall', 'Males', "]</v>
      </c>
      <c r="D1654" s="3">
        <v>1.0</v>
      </c>
    </row>
    <row r="1655" ht="15.75" customHeight="1">
      <c r="A1655" s="1">
        <v>1746.0</v>
      </c>
      <c r="B1655" s="3" t="s">
        <v>1641</v>
      </c>
      <c r="C1655" s="3" t="str">
        <f>IFERROR(__xludf.DUMMYFUNCTION("GOOGLETRANSLATE(B1655,""id"",""en"")"),"['makes it easier', 'Thank you', 'Telkom']")</f>
        <v>['makes it easier', 'Thank you', 'Telkom']</v>
      </c>
      <c r="D1655" s="3">
        <v>5.0</v>
      </c>
    </row>
    <row r="1656" ht="15.75" customHeight="1">
      <c r="A1656" s="1">
        <v>1747.0</v>
      </c>
      <c r="B1656" s="3" t="s">
        <v>1642</v>
      </c>
      <c r="C1656" s="3" t="str">
        <f>IFERROR(__xludf.DUMMYFUNCTION("GOOGLETRANSLATE(B1656,""id"",""en"")"),"['pulses', 'Sumpot', 'Choice', 'Unreg', 'Service', 'PDHAL', 'Weve', 'Subscriptions', 'Service', 'Auto', 'Sumpot', 'pulseku']")</f>
        <v>['pulses', 'Sumpot', 'Choice', 'Unreg', 'Service', 'PDHAL', 'Weve', 'Subscriptions', 'Service', 'Auto', 'Sumpot', 'pulseku']</v>
      </c>
      <c r="D1656" s="3">
        <v>1.0</v>
      </c>
    </row>
    <row r="1657" ht="15.75" customHeight="1">
      <c r="A1657" s="1">
        <v>1748.0</v>
      </c>
      <c r="B1657" s="3" t="s">
        <v>1643</v>
      </c>
      <c r="C1657" s="3" t="str">
        <f>IFERROR(__xludf.DUMMYFUNCTION("GOOGLETRANSLATE(B1657,""id"",""en"")"),"['Network', 'ugly', 'Telkomsel', 'garbage']")</f>
        <v>['Network', 'ugly', 'Telkomsel', 'garbage']</v>
      </c>
      <c r="D1657" s="3">
        <v>1.0</v>
      </c>
    </row>
    <row r="1658" ht="15.75" customHeight="1">
      <c r="A1658" s="1">
        <v>1749.0</v>
      </c>
      <c r="B1658" s="3" t="s">
        <v>1644</v>
      </c>
      <c r="C1658" s="3" t="str">
        <f>IFERROR(__xludf.DUMMYFUNCTION("GOOGLETRANSLATE(B1658,""id"",""en"")"),"['APK', 'ugly', 'Download', 'Raying']")</f>
        <v>['APK', 'ugly', 'Download', 'Raying']</v>
      </c>
      <c r="D1658" s="3">
        <v>1.0</v>
      </c>
    </row>
    <row r="1659" ht="15.75" customHeight="1">
      <c r="A1659" s="1">
        <v>1750.0</v>
      </c>
      <c r="B1659" s="3" t="s">
        <v>1645</v>
      </c>
      <c r="C1659" s="3" t="str">
        <f>IFERROR(__xludf.DUMMYFUNCTION("GOOGLETRANSLATE(B1659,""id"",""en"")"),"['Happy', 'Champion', 'Tennis', 'Group', 'Age', '']")</f>
        <v>['Happy', 'Champion', 'Tennis', 'Group', 'Age', '']</v>
      </c>
      <c r="D1659" s="3">
        <v>5.0</v>
      </c>
    </row>
    <row r="1660" ht="15.75" customHeight="1">
      <c r="A1660" s="1">
        <v>1751.0</v>
      </c>
      <c r="B1660" s="3" t="s">
        <v>1646</v>
      </c>
      <c r="C1660" s="3" t="str">
        <f>IFERROR(__xludf.DUMMYFUNCTION("GOOGLETRANSLATE(B1660,""id"",""en"")"),"['thank you', 'signal', 'price', 'cheap']")</f>
        <v>['thank you', 'signal', 'price', 'cheap']</v>
      </c>
      <c r="D1660" s="3">
        <v>5.0</v>
      </c>
    </row>
    <row r="1661" ht="15.75" customHeight="1">
      <c r="A1661" s="1">
        <v>1752.0</v>
      </c>
      <c r="B1661" s="3" t="s">
        <v>1647</v>
      </c>
      <c r="C1661" s="3" t="str">
        <f>IFERROR(__xludf.DUMMYFUNCTION("GOOGLETRANSLATE(B1661,""id"",""en"")"),"['Application', 'Heavy', 'Open', '']")</f>
        <v>['Application', 'Heavy', 'Open', '']</v>
      </c>
      <c r="D1661" s="3">
        <v>5.0</v>
      </c>
    </row>
    <row r="1662" ht="15.75" customHeight="1">
      <c r="A1662" s="1">
        <v>1753.0</v>
      </c>
      <c r="B1662" s="3" t="s">
        <v>1648</v>
      </c>
      <c r="C1662" s="3" t="str">
        <f>IFERROR(__xludf.DUMMYFUNCTION("GOOGLETRANSLATE(B1662,""id"",""en"")"),"['signal', 'bad', 'price', 'package', 'expensive', 'dri']")</f>
        <v>['signal', 'bad', 'price', 'package', 'expensive', 'dri']</v>
      </c>
      <c r="D1662" s="3">
        <v>1.0</v>
      </c>
    </row>
    <row r="1663" ht="15.75" customHeight="1">
      <c r="A1663" s="1">
        <v>1754.0</v>
      </c>
      <c r="B1663" s="3" t="s">
        <v>1649</v>
      </c>
      <c r="C1663" s="3" t="str">
        <f>IFERROR(__xludf.DUMMYFUNCTION("GOOGLETRANSLATE(B1663,""id"",""en"")"),"['service', 'Telkomsel', 'fast', 'transaction', 'signal', 'good', 'thank', 'love', 'Telkomsel', 'Jaya', 'Salam', 'Success',' ']")</f>
        <v>['service', 'Telkomsel', 'fast', 'transaction', 'signal', 'good', 'thank', 'love', 'Telkomsel', 'Jaya', 'Salam', 'Success',' ']</v>
      </c>
      <c r="D1663" s="3">
        <v>5.0</v>
      </c>
    </row>
    <row r="1664" ht="15.75" customHeight="1">
      <c r="A1664" s="1">
        <v>1755.0</v>
      </c>
      <c r="B1664" s="3" t="s">
        <v>1650</v>
      </c>
      <c r="C1664" s="3" t="str">
        <f>IFERROR(__xludf.DUMMYFUNCTION("GOOGLETRANSLATE(B1664,""id"",""en"")"),"['card', 'expensive', 'signal', 'cheap', 'sympathy', 'sympathetic', 'slow', 'helpless', '']")</f>
        <v>['card', 'expensive', 'signal', 'cheap', 'sympathy', 'sympathetic', 'slow', 'helpless', '']</v>
      </c>
      <c r="D1664" s="3">
        <v>1.0</v>
      </c>
    </row>
    <row r="1665" ht="15.75" customHeight="1">
      <c r="A1665" s="1">
        <v>1756.0</v>
      </c>
      <c r="B1665" s="3" t="s">
        <v>1651</v>
      </c>
      <c r="C1665" s="3" t="str">
        <f>IFERROR(__xludf.DUMMYFUNCTION("GOOGLETRANSLATE(B1665,""id"",""en"")"),"['suitable', 'easy', 'practical']")</f>
        <v>['suitable', 'easy', 'practical']</v>
      </c>
      <c r="D1665" s="3">
        <v>4.0</v>
      </c>
    </row>
    <row r="1666" ht="15.75" customHeight="1">
      <c r="A1666" s="1">
        <v>1757.0</v>
      </c>
      <c r="B1666" s="3" t="s">
        <v>1652</v>
      </c>
      <c r="C1666" s="3" t="str">
        <f>IFERROR(__xludf.DUMMYFUNCTION("GOOGLETRANSLATE(B1666,""id"",""en"")"),"['Please', 'repaired', 'service', 'no', 'buy', 'quota', 'internet', 'via', 'app', 'description', 'disruption', 'system', ' ',' friend ',' family ',' complain ',' via ',' twitter ',' no ',' solution ',' told ',' install ',' reset ',' app ',' tetep ' , 'no'"&amp;", '']")</f>
        <v>['Please', 'repaired', 'service', 'no', 'buy', 'quota', 'internet', 'via', 'app', 'description', 'disruption', 'system', ' ',' friend ',' family ',' complain ',' via ',' twitter ',' no ',' solution ',' told ',' install ',' reset ',' app ',' tetep ' , 'no', '']</v>
      </c>
      <c r="D1666" s="3">
        <v>1.0</v>
      </c>
    </row>
    <row r="1667" ht="15.75" customHeight="1">
      <c r="A1667" s="1">
        <v>1758.0</v>
      </c>
      <c r="B1667" s="3" t="s">
        <v>1653</v>
      </c>
      <c r="C1667" s="3" t="str">
        <f>IFERROR(__xludf.DUMMYFUNCTION("GOOGLETRANSLATE(B1667,""id"",""en"")"),"['Suggestion', 'Telkom', 'It's better', 'Switch', 'Telkom', 'Disorders', 'connection', '']")</f>
        <v>['Suggestion', 'Telkom', 'It's better', 'Switch', 'Telkom', 'Disorders', 'connection', '']</v>
      </c>
      <c r="D1667" s="3">
        <v>1.0</v>
      </c>
    </row>
    <row r="1668" ht="15.75" customHeight="1">
      <c r="A1668" s="1">
        <v>1759.0</v>
      </c>
      <c r="B1668" s="3" t="s">
        <v>1654</v>
      </c>
      <c r="C1668" s="3" t="str">
        <f>IFERROR(__xludf.DUMMYFUNCTION("GOOGLETRANSLATE(B1668,""id"",""en"")"),"['Increase', 'promo', 'yak']")</f>
        <v>['Increase', 'promo', 'yak']</v>
      </c>
      <c r="D1668" s="3">
        <v>5.0</v>
      </c>
    </row>
    <row r="1669" ht="15.75" customHeight="1">
      <c r="A1669" s="1">
        <v>1760.0</v>
      </c>
      <c r="B1669" s="3" t="s">
        <v>1655</v>
      </c>
      <c r="C1669" s="3" t="str">
        <f>IFERROR(__xludf.DUMMYFUNCTION("GOOGLETRANSLATE(B1669,""id"",""en"")"),"['update', 'difficult', 'open', 'lol', '']")</f>
        <v>['update', 'difficult', 'open', 'lol', '']</v>
      </c>
      <c r="D1669" s="3">
        <v>1.0</v>
      </c>
    </row>
    <row r="1670" ht="15.75" customHeight="1">
      <c r="A1670" s="1">
        <v>1761.0</v>
      </c>
      <c r="B1670" s="3" t="s">
        <v>1656</v>
      </c>
      <c r="C1670" s="3" t="str">
        <f>IFERROR(__xludf.DUMMYFUNCTION("GOOGLETRANSLATE(B1670,""id"",""en"")"),"['Telkomsel', 'Open', 'Upgrade', 'Upgrade', 'Opened', 'Please', 'Repaired', 'Application', ""]")</f>
        <v>['Telkomsel', 'Open', 'Upgrade', 'Upgrade', 'Opened', 'Please', 'Repaired', 'Application', "]</v>
      </c>
      <c r="D1670" s="3">
        <v>2.0</v>
      </c>
    </row>
    <row r="1671" ht="15.75" customHeight="1">
      <c r="A1671" s="1">
        <v>1762.0</v>
      </c>
      <c r="B1671" s="3" t="s">
        <v>1657</v>
      </c>
      <c r="C1671" s="3" t="str">
        <f>IFERROR(__xludf.DUMMYFUNCTION("GOOGLETRANSLATE(B1671,""id"",""en"")"),"['unlimited', 'satisfying', 'already', 'run out', 'quota', 'date', 'blm', 'run out']")</f>
        <v>['unlimited', 'satisfying', 'already', 'run out', 'quota', 'date', 'blm', 'run out']</v>
      </c>
      <c r="D1671" s="3">
        <v>3.0</v>
      </c>
    </row>
    <row r="1672" ht="15.75" customHeight="1">
      <c r="A1672" s="1">
        <v>1763.0</v>
      </c>
      <c r="B1672" s="3" t="s">
        <v>1658</v>
      </c>
      <c r="C1672" s="3" t="str">
        <f>IFERROR(__xludf.DUMMYFUNCTION("GOOGLETRANSLATE(B1672,""id"",""en"")"),"['Good', 'interesting']")</f>
        <v>['Good', 'interesting']</v>
      </c>
      <c r="D1672" s="3">
        <v>1.0</v>
      </c>
    </row>
    <row r="1673" ht="15.75" customHeight="1">
      <c r="A1673" s="1">
        <v>1764.0</v>
      </c>
      <c r="B1673" s="3" t="s">
        <v>1659</v>
      </c>
      <c r="C1673" s="3" t="str">
        <f>IFERROR(__xludf.DUMMYFUNCTION("GOOGLETRANSLATE(B1673,""id"",""en"")"),"['Applicationaaaaaa', 'Baguss', 'Bangetz']")</f>
        <v>['Applicationaaaaaa', 'Baguss', 'Bangetz']</v>
      </c>
      <c r="D1673" s="3">
        <v>5.0</v>
      </c>
    </row>
    <row r="1674" ht="15.75" customHeight="1">
      <c r="A1674" s="1">
        <v>1765.0</v>
      </c>
      <c r="B1674" s="3" t="s">
        <v>1660</v>
      </c>
      <c r="C1674" s="3" t="str">
        <f>IFERROR(__xludf.DUMMYFUNCTION("GOOGLETRANSLATE(B1674,""id"",""en"")"),"['Permedeem', 'Points', 'Daily', 'Check', 'Reward', 'Claim', 'Demioring', 'Kah', ""]")</f>
        <v>['Permedeem', 'Points', 'Daily', 'Check', 'Reward', 'Claim', 'Demioring', 'Kah', "]</v>
      </c>
      <c r="D1674" s="3">
        <v>1.0</v>
      </c>
    </row>
    <row r="1675" ht="15.75" customHeight="1">
      <c r="A1675" s="1">
        <v>1766.0</v>
      </c>
      <c r="B1675" s="3" t="s">
        <v>1661</v>
      </c>
      <c r="C1675" s="3" t="str">
        <f>IFERROR(__xludf.DUMMYFUNCTION("GOOGLETRANSLATE(B1675,""id"",""en"")"),"['Telkomsel', 'purchase', 'package', 'application']")</f>
        <v>['Telkomsel', 'purchase', 'package', 'application']</v>
      </c>
      <c r="D1675" s="3">
        <v>5.0</v>
      </c>
    </row>
    <row r="1676" ht="15.75" customHeight="1">
      <c r="A1676" s="1">
        <v>1767.0</v>
      </c>
      <c r="B1676" s="3" t="s">
        <v>1662</v>
      </c>
      <c r="C1676" s="3" t="str">
        <f>IFERROR(__xludf.DUMMYFUNCTION("GOOGLETRANSLATE(B1676,""id"",""en"")"),"['Severe', 'Telkomsel', 'Nge', 'game', 'signal', 'good', 'Kenceng', 'proof', 'right', 'play', 'game', 'signal', ' Like ',' ilang ',' Disappointed ',' Severe ',' ']")</f>
        <v>['Severe', 'Telkomsel', 'Nge', 'game', 'signal', 'good', 'Kenceng', 'proof', 'right', 'play', 'game', 'signal', ' Like ',' ilang ',' Disappointed ',' Severe ',' ']</v>
      </c>
      <c r="D1676" s="3">
        <v>1.0</v>
      </c>
    </row>
    <row r="1677" ht="15.75" customHeight="1">
      <c r="A1677" s="1">
        <v>1768.0</v>
      </c>
      <c r="B1677" s="3" t="s">
        <v>1663</v>
      </c>
      <c r="C1677" s="3" t="str">
        <f>IFERROR(__xludf.DUMMYFUNCTION("GOOGLETRANSLATE(B1677,""id"",""en"")"),"['card', 'Sultan', 'quota', 'expensive', 'signal', 'ugly', 'please', 'operator', 'Telkomsel', 'repaired', 'signal', 'smooth']")</f>
        <v>['card', 'Sultan', 'quota', 'expensive', 'signal', 'ugly', 'please', 'operator', 'Telkomsel', 'repaired', 'signal', 'smooth']</v>
      </c>
      <c r="D1677" s="3">
        <v>1.0</v>
      </c>
    </row>
    <row r="1678" ht="15.75" customHeight="1">
      <c r="A1678" s="1">
        <v>1769.0</v>
      </c>
      <c r="B1678" s="3" t="s">
        <v>1664</v>
      </c>
      <c r="C1678" s="3" t="str">
        <f>IFERROR(__xludf.DUMMYFUNCTION("GOOGLETRANSLATE(B1678,""id"",""en"")"),"['Good', 'apk', 'help', 'dlm', 'check', 'pulse', 'point', 'bonus', 'tsel', ""]")</f>
        <v>['Good', 'apk', 'help', 'dlm', 'check', 'pulse', 'point', 'bonus', 'tsel', "]</v>
      </c>
      <c r="D1678" s="3">
        <v>5.0</v>
      </c>
    </row>
    <row r="1679" ht="15.75" customHeight="1">
      <c r="A1679" s="1">
        <v>1770.0</v>
      </c>
      <c r="B1679" s="3" t="s">
        <v>1665</v>
      </c>
      <c r="C1679" s="3" t="str">
        <f>IFERROR(__xludf.DUMMYFUNCTION("GOOGLETRANSLATE(B1679,""id"",""en"")"),"['user', 'app', 'please', 'fix']")</f>
        <v>['user', 'app', 'please', 'fix']</v>
      </c>
      <c r="D1679" s="3">
        <v>1.0</v>
      </c>
    </row>
    <row r="1680" ht="15.75" customHeight="1">
      <c r="A1680" s="1">
        <v>1771.0</v>
      </c>
      <c r="B1680" s="3" t="s">
        <v>1666</v>
      </c>
      <c r="C1680" s="3" t="str">
        <f>IFERROR(__xludf.DUMMYFUNCTION("GOOGLETRANSLATE(B1680,""id"",""en"")"),"['Telkomsel', 'Update', 'Open', 'Pliss', 'Help']")</f>
        <v>['Telkomsel', 'Update', 'Open', 'Pliss', 'Help']</v>
      </c>
      <c r="D1680" s="3">
        <v>3.0</v>
      </c>
    </row>
    <row r="1681" ht="15.75" customHeight="1">
      <c r="A1681" s="1">
        <v>1772.0</v>
      </c>
      <c r="B1681" s="3" t="s">
        <v>1667</v>
      </c>
      <c r="C1681" s="3" t="str">
        <f>IFERROR(__xludf.DUMMYFUNCTION("GOOGLETRANSLATE(B1681,""id"",""en"")"),"['', 'cave', 'honest', 'signal', 'Telkom', 'slow', 'expensive', 'good', 'please', 'telkom', 'quality', 'signal', 'kek ',' Gini ',' small ',' price ',' Want ',' oath ',' signal ',' Telkom ',' bad ',' really ']")</f>
        <v>['', 'cave', 'honest', 'signal', 'Telkom', 'slow', 'expensive', 'good', 'please', 'telkom', 'quality', 'signal', 'kek ',' Gini ',' small ',' price ',' Want ',' oath ',' signal ',' Telkom ',' bad ',' really ']</v>
      </c>
      <c r="D1681" s="3">
        <v>1.0</v>
      </c>
    </row>
    <row r="1682" ht="15.75" customHeight="1">
      <c r="A1682" s="1">
        <v>1773.0</v>
      </c>
      <c r="B1682" s="3" t="s">
        <v>1668</v>
      </c>
      <c r="C1682" s="3" t="str">
        <f>IFERROR(__xludf.DUMMYFUNCTION("GOOGLETRANSLATE(B1682,""id"",""en"")"),"['Please', 'Fix', 'Buy', 'Package', 'UDH', 'Payment', 'Success',' Wait ',' Process', 'Enter', 'Package', 'Credit', ' Cut ',' Severe ']")</f>
        <v>['Please', 'Fix', 'Buy', 'Package', 'UDH', 'Payment', 'Success',' Wait ',' Process', 'Enter', 'Package', 'Credit', ' Cut ',' Severe ']</v>
      </c>
      <c r="D1682" s="3">
        <v>1.0</v>
      </c>
    </row>
    <row r="1683" ht="15.75" customHeight="1">
      <c r="A1683" s="1">
        <v>1774.0</v>
      </c>
      <c r="B1683" s="3" t="s">
        <v>1669</v>
      </c>
      <c r="C1683" s="3" t="str">
        <f>IFERROR(__xludf.DUMMYFUNCTION("GOOGLETRANSLATE(B1683,""id"",""en"")"),"['Good', 'Darling', 'Network', 'Telkomsel', 'Down', 'night']")</f>
        <v>['Good', 'Darling', 'Network', 'Telkomsel', 'Down', 'night']</v>
      </c>
      <c r="D1683" s="3">
        <v>5.0</v>
      </c>
    </row>
    <row r="1684" ht="15.75" customHeight="1">
      <c r="A1684" s="1">
        <v>1775.0</v>
      </c>
      <c r="B1684" s="3" t="s">
        <v>1670</v>
      </c>
      <c r="C1684" s="3" t="str">
        <f>IFERROR(__xludf.DUMMYFUNCTION("GOOGLETRANSLATE(B1684,""id"",""en"")"),"['company', 'country', 'decent', 'supported', 'supported', 'rating']")</f>
        <v>['company', 'country', 'decent', 'supported', 'supported', 'rating']</v>
      </c>
      <c r="D1684" s="3">
        <v>5.0</v>
      </c>
    </row>
    <row r="1685" ht="15.75" customHeight="1">
      <c r="A1685" s="1">
        <v>1776.0</v>
      </c>
      <c r="B1685" s="3" t="s">
        <v>1671</v>
      </c>
      <c r="C1685" s="3" t="str">
        <f>IFERROR(__xludf.DUMMYFUNCTION("GOOGLETRANSLATE(B1685,""id"",""en"")"),"['Application', 'Bangu', 'help']")</f>
        <v>['Application', 'Bangu', 'help']</v>
      </c>
      <c r="D1685" s="3">
        <v>5.0</v>
      </c>
    </row>
    <row r="1686" ht="15.75" customHeight="1">
      <c r="A1686" s="1">
        <v>1777.0</v>
      </c>
      <c r="B1686" s="3" t="s">
        <v>1672</v>
      </c>
      <c r="C1686" s="3" t="str">
        <f>IFERROR(__xludf.DUMMYFUNCTION("GOOGLETRANSLATE(B1686,""id"",""en"")"),"['Telkomsel', 'skrg', 'signal', 'internet', 'ugly', 'thinking', 'price', 'expensive', 'quality', 'ugly']")</f>
        <v>['Telkomsel', 'skrg', 'signal', 'internet', 'ugly', 'thinking', 'price', 'expensive', 'quality', 'ugly']</v>
      </c>
      <c r="D1686" s="3">
        <v>1.0</v>
      </c>
    </row>
    <row r="1687" ht="15.75" customHeight="1">
      <c r="A1687" s="1">
        <v>1778.0</v>
      </c>
      <c r="B1687" s="3" t="s">
        <v>1673</v>
      </c>
      <c r="C1687" s="3" t="str">
        <f>IFERROR(__xludf.DUMMYFUNCTION("GOOGLETRANSLATE(B1687,""id"",""en"")"),"['Telkomsel', 'knpa', 'difficult', 'opened', 'the application', '']")</f>
        <v>['Telkomsel', 'knpa', 'difficult', 'opened', 'the application', '']</v>
      </c>
      <c r="D1687" s="3">
        <v>5.0</v>
      </c>
    </row>
    <row r="1688" ht="15.75" customHeight="1">
      <c r="A1688" s="1">
        <v>1779.0</v>
      </c>
      <c r="B1688" s="3" t="s">
        <v>1674</v>
      </c>
      <c r="C1688" s="3" t="str">
        <f>IFERROR(__xludf.DUMMYFUNCTION("GOOGLETRANSLATE(B1688,""id"",""en"")"),"['Telkomsel', 'please', 'fix', 'network', 'kalimantan', 'signal', 'yesterday', 'ilang', 'ilang', 'dead', 'lights',' weather ',' JGA ',' good ',' signal ',' divergible ',' udh ',' that's', 'price', 'expensive', 'TPI', 'signal', 'ugly']")</f>
        <v>['Telkomsel', 'please', 'fix', 'network', 'kalimantan', 'signal', 'yesterday', 'ilang', 'ilang', 'dead', 'lights',' weather ',' JGA ',' good ',' signal ',' divergible ',' udh ',' that's', 'price', 'expensive', 'TPI', 'signal', 'ugly']</v>
      </c>
      <c r="D1688" s="3">
        <v>1.0</v>
      </c>
    </row>
    <row r="1689" ht="15.75" customHeight="1">
      <c r="A1689" s="1">
        <v>1780.0</v>
      </c>
      <c r="B1689" s="3" t="s">
        <v>1675</v>
      </c>
      <c r="C1689" s="3" t="str">
        <f>IFERROR(__xludf.DUMMYFUNCTION("GOOGLETRANSLATE(B1689,""id"",""en"")"),"['Star', 'Menilay']")</f>
        <v>['Star', 'Menilay']</v>
      </c>
      <c r="D1689" s="3">
        <v>5.0</v>
      </c>
    </row>
    <row r="1690" ht="15.75" customHeight="1">
      <c r="A1690" s="1">
        <v>1781.0</v>
      </c>
      <c r="B1690" s="3" t="s">
        <v>1676</v>
      </c>
      <c r="C1690" s="3" t="str">
        <f>IFERROR(__xludf.DUMMYFUNCTION("GOOGLETRANSLATE(B1690,""id"",""en"")"),"['Mantabbb', 'Not bad', 'promo']")</f>
        <v>['Mantabbb', 'Not bad', 'promo']</v>
      </c>
      <c r="D1690" s="3">
        <v>5.0</v>
      </c>
    </row>
    <row r="1691" ht="15.75" customHeight="1">
      <c r="A1691" s="1">
        <v>1783.0</v>
      </c>
      <c r="B1691" s="3" t="s">
        <v>1677</v>
      </c>
      <c r="C1691" s="3" t="str">
        <f>IFERROR(__xludf.DUMMYFUNCTION("GOOGLETRANSLATE(B1691,""id"",""en"")"),"['pulse', 'missing', 'goib', 'package', 'internet']")</f>
        <v>['pulse', 'missing', 'goib', 'package', 'internet']</v>
      </c>
      <c r="D1691" s="3">
        <v>1.0</v>
      </c>
    </row>
    <row r="1692" ht="15.75" customHeight="1">
      <c r="A1692" s="1">
        <v>1784.0</v>
      </c>
      <c r="B1692" s="3" t="s">
        <v>1678</v>
      </c>
      <c r="C1692" s="3" t="str">
        <f>IFERROR(__xludf.DUMMYFUNCTION("GOOGLETRANSLATE(B1692,""id"",""en"")"),"['Trunin', 'price', 'pket', 'sya', 'pnya', 'tmn', 'sya', 'cheap']")</f>
        <v>['Trunin', 'price', 'pket', 'sya', 'pnya', 'tmn', 'sya', 'cheap']</v>
      </c>
      <c r="D1692" s="3">
        <v>4.0</v>
      </c>
    </row>
    <row r="1693" ht="15.75" customHeight="1">
      <c r="A1693" s="1">
        <v>1785.0</v>
      </c>
      <c r="B1693" s="3" t="s">
        <v>1679</v>
      </c>
      <c r="C1693" s="3" t="str">
        <f>IFERROR(__xludf.DUMMYFUNCTION("GOOGLETRANSLATE(B1693,""id"",""en"")"),"['hover', 'signal', '']")</f>
        <v>['hover', 'signal', '']</v>
      </c>
      <c r="D1693" s="3">
        <v>1.0</v>
      </c>
    </row>
    <row r="1694" ht="15.75" customHeight="1">
      <c r="A1694" s="1">
        <v>1786.0</v>
      </c>
      <c r="B1694" s="3" t="s">
        <v>1680</v>
      </c>
      <c r="C1694" s="3" t="str">
        <f>IFERROR(__xludf.DUMMYFUNCTION("GOOGLETRANSLATE(B1694,""id"",""en"")"),"['Mending', 'card', 'card', 'singal', 'broke', 'quota', 'expensive', 'suggestion', 'telkomsel', 'singal', 'already', 'ngak', ' good']")</f>
        <v>['Mending', 'card', 'card', 'singal', 'broke', 'quota', 'expensive', 'suggestion', 'telkomsel', 'singal', 'already', 'ngak', ' good']</v>
      </c>
      <c r="D1694" s="3">
        <v>1.0</v>
      </c>
    </row>
    <row r="1695" ht="15.75" customHeight="1">
      <c r="A1695" s="1">
        <v>1787.0</v>
      </c>
      <c r="B1695" s="3" t="s">
        <v>1681</v>
      </c>
      <c r="C1695" s="3" t="str">
        <f>IFERROR(__xludf.DUMMYFUNCTION("GOOGLETRANSLATE(B1695,""id"",""en"")"),"['Complaints',' card ',' Hello ',' Hopefully ',' Telkomsel ',' Features', 'Card', 'Where', 'Trapped', 'Migration', 'Card', 'Hello', ' Harmed ',' Where ',' Telkomsel ',' Information ',' card ',' Hallo ',' returned ',' card ',' annoyed ',' disappointed ',' "&amp;"Telkomsel ']")</f>
        <v>['Complaints',' card ',' Hello ',' Hopefully ',' Telkomsel ',' Features', 'Card', 'Where', 'Trapped', 'Migration', 'Card', 'Hello', ' Harmed ',' Where ',' Telkomsel ',' Information ',' card ',' Hallo ',' returned ',' card ',' annoyed ',' disappointed ',' Telkomsel ']</v>
      </c>
      <c r="D1695" s="3">
        <v>1.0</v>
      </c>
    </row>
    <row r="1696" ht="15.75" customHeight="1">
      <c r="A1696" s="1">
        <v>1788.0</v>
      </c>
      <c r="B1696" s="3" t="s">
        <v>1682</v>
      </c>
      <c r="C1696" s="3" t="str">
        <f>IFERROR(__xludf.DUMMYFUNCTION("GOOGLETRANSLATE(B1696,""id"",""en"")"),"['Asik', '']")</f>
        <v>['Asik', '']</v>
      </c>
      <c r="D1696" s="3">
        <v>5.0</v>
      </c>
    </row>
    <row r="1697" ht="15.75" customHeight="1">
      <c r="A1697" s="1">
        <v>1789.0</v>
      </c>
      <c r="B1697" s="3" t="s">
        <v>1683</v>
      </c>
      <c r="C1697" s="3" t="str">
        <f>IFERROR(__xludf.DUMMYFUNCTION("GOOGLETRANSLATE(B1697,""id"",""en"")"),"['Select', 'package', 'like', 'Good', 'MyTelkomsel']")</f>
        <v>['Select', 'package', 'like', 'Good', 'MyTelkomsel']</v>
      </c>
      <c r="D1697" s="3">
        <v>5.0</v>
      </c>
    </row>
    <row r="1698" ht="15.75" customHeight="1">
      <c r="A1698" s="1">
        <v>1790.0</v>
      </c>
      <c r="B1698" s="3" t="s">
        <v>1684</v>
      </c>
      <c r="C1698" s="3" t="str">
        <f>IFERROR(__xludf.DUMMYFUNCTION("GOOGLETRANSLATE(B1698,""id"",""en"")"),"['thank you', 'MyTelkomsel', 'application', 'help', 'confusing', 'quota', 'internet', 'GB', '']")</f>
        <v>['thank you', 'MyTelkomsel', 'application', 'help', 'confusing', 'quota', 'internet', 'GB', '']</v>
      </c>
      <c r="D1698" s="3">
        <v>5.0</v>
      </c>
    </row>
    <row r="1699" ht="15.75" customHeight="1">
      <c r="A1699" s="1">
        <v>1791.0</v>
      </c>
      <c r="B1699" s="3" t="s">
        <v>1685</v>
      </c>
      <c r="C1699" s="3" t="str">
        <f>IFERROR(__xludf.DUMMYFUNCTION("GOOGLETRANSLATE(B1699,""id"",""en"")"),"['knpa', 'update', 'enter', 'Please', 'fix', 'min']")</f>
        <v>['knpa', 'update', 'enter', 'Please', 'fix', 'min']</v>
      </c>
      <c r="D1699" s="3">
        <v>1.0</v>
      </c>
    </row>
    <row r="1700" ht="15.75" customHeight="1">
      <c r="A1700" s="1">
        <v>1792.0</v>
      </c>
      <c r="B1700" s="3" t="s">
        <v>1686</v>
      </c>
      <c r="C1700" s="3" t="str">
        <f>IFERROR(__xludf.DUMMYFUNCTION("GOOGLETRANSLATE(B1700,""id"",""en"")"),"['Package', 'promo', 'GB', 'RB', 'pulse']")</f>
        <v>['Package', 'promo', 'GB', 'RB', 'pulse']</v>
      </c>
      <c r="D1700" s="3">
        <v>3.0</v>
      </c>
    </row>
    <row r="1701" ht="15.75" customHeight="1">
      <c r="A1701" s="1">
        <v>1793.0</v>
      </c>
      <c r="B1701" s="3" t="s">
        <v>1687</v>
      </c>
      <c r="C1701" s="3" t="str">
        <f>IFERROR(__xludf.DUMMYFUNCTION("GOOGLETRANSLATE(B1701,""id"",""en"")"),"['expensive', 'signal', 'ugly', 'severe']")</f>
        <v>['expensive', 'signal', 'ugly', 'severe']</v>
      </c>
      <c r="D1701" s="3">
        <v>1.0</v>
      </c>
    </row>
    <row r="1702" ht="15.75" customHeight="1">
      <c r="A1702" s="1">
        <v>1794.0</v>
      </c>
      <c r="B1702" s="3" t="s">
        <v>1688</v>
      </c>
      <c r="C1702" s="3" t="str">
        <f>IFERROR(__xludf.DUMMYFUNCTION("GOOGLETRANSLATE(B1702,""id"",""en"")"),"['Thank you', 'Telkomsel', 'service', 'satisfying', 'Aki', 'Love', 'Telkomsel']")</f>
        <v>['Thank you', 'Telkomsel', 'service', 'satisfying', 'Aki', 'Love', 'Telkomsel']</v>
      </c>
      <c r="D1702" s="3">
        <v>5.0</v>
      </c>
    </row>
    <row r="1703" ht="15.75" customHeight="1">
      <c r="A1703" s="1">
        <v>1795.0</v>
      </c>
      <c r="B1703" s="3" t="s">
        <v>1689</v>
      </c>
      <c r="C1703" s="3" t="str">
        <f>IFERROR(__xludf.DUMMYFUNCTION("GOOGLETRANSLATE(B1703,""id"",""en"")"),"['signal', 'like', 'ilang']")</f>
        <v>['signal', 'like', 'ilang']</v>
      </c>
      <c r="D1703" s="3">
        <v>1.0</v>
      </c>
    </row>
    <row r="1704" ht="15.75" customHeight="1">
      <c r="A1704" s="1">
        <v>1796.0</v>
      </c>
      <c r="B1704" s="3" t="s">
        <v>1690</v>
      </c>
      <c r="C1704" s="3" t="str">
        <f>IFERROR(__xludf.DUMMYFUNCTION("GOOGLETRANSLATE(B1704,""id"",""en"")"),"['quota', 'Multi', 'Media', 'Period', 'Used', 'GB', 'Signal', 'Cuman', 'KB', 'Solution', 'Telkomsel', 'Heague', ' ']")</f>
        <v>['quota', 'Multi', 'Media', 'Period', 'Used', 'GB', 'Signal', 'Cuman', 'KB', 'Solution', 'Telkomsel', 'Heague', ' ']</v>
      </c>
      <c r="D1704" s="3">
        <v>1.0</v>
      </c>
    </row>
    <row r="1705" ht="15.75" customHeight="1">
      <c r="A1705" s="1">
        <v>1797.0</v>
      </c>
      <c r="B1705" s="3" t="s">
        <v>1691</v>
      </c>
      <c r="C1705" s="3" t="str">
        <f>IFERROR(__xludf.DUMMYFUNCTION("GOOGLETRANSLATE(B1705,""id"",""en"")"),"['access', 'application', 'easy']")</f>
        <v>['access', 'application', 'easy']</v>
      </c>
      <c r="D1705" s="3">
        <v>5.0</v>
      </c>
    </row>
    <row r="1706" ht="15.75" customHeight="1">
      <c r="A1706" s="1">
        <v>1798.0</v>
      </c>
      <c r="B1706" s="3" t="s">
        <v>1692</v>
      </c>
      <c r="C1706" s="3" t="str">
        <f>IFERROR(__xludf.DUMMYFUNCTION("GOOGLETRANSLATE(B1706,""id"",""en"")"),"['Mare', 'quota', 'Rp', 'ilang', 'loss', 'oath']")</f>
        <v>['Mare', 'quota', 'Rp', 'ilang', 'loss', 'oath']</v>
      </c>
      <c r="D1706" s="3">
        <v>1.0</v>
      </c>
    </row>
    <row r="1707" ht="15.75" customHeight="1">
      <c r="A1707" s="1">
        <v>1799.0</v>
      </c>
      <c r="B1707" s="3" t="s">
        <v>1693</v>
      </c>
      <c r="C1707" s="3" t="str">
        <f>IFERROR(__xludf.DUMMYFUNCTION("GOOGLETRANSLATE(B1707,""id"",""en"")"),"['MyTelkomsel', 'easy', '']")</f>
        <v>['MyTelkomsel', 'easy', '']</v>
      </c>
      <c r="D1707" s="3">
        <v>5.0</v>
      </c>
    </row>
    <row r="1708" ht="15.75" customHeight="1">
      <c r="A1708" s="1">
        <v>1800.0</v>
      </c>
      <c r="B1708" s="3" t="s">
        <v>1694</v>
      </c>
      <c r="C1708" s="3" t="str">
        <f>IFERROR(__xludf.DUMMYFUNCTION("GOOGLETRANSLATE(B1708,""id"",""en"")"),"['Growing', 'Quality', 'Quantity', '']")</f>
        <v>['Growing', 'Quality', 'Quantity', '']</v>
      </c>
      <c r="D1708" s="3">
        <v>5.0</v>
      </c>
    </row>
    <row r="1709" ht="15.75" customHeight="1">
      <c r="A1709" s="1">
        <v>1801.0</v>
      </c>
      <c r="B1709" s="3" t="s">
        <v>1695</v>
      </c>
      <c r="C1709" s="3" t="str">
        <f>IFERROR(__xludf.DUMMYFUNCTION("GOOGLETRANSLATE(B1709,""id"",""en"")"),"['Good', 'best']")</f>
        <v>['Good', 'best']</v>
      </c>
      <c r="D1709" s="3">
        <v>5.0</v>
      </c>
    </row>
    <row r="1710" ht="15.75" customHeight="1">
      <c r="A1710" s="1">
        <v>1802.0</v>
      </c>
      <c r="B1710" s="3" t="s">
        <v>1696</v>
      </c>
      <c r="C1710" s="3" t="str">
        <f>IFERROR(__xludf.DUMMYFUNCTION("GOOGLETRANSLATE(B1710,""id"",""en"")"),"['kernnnnnn', 'tasty', 'promo']")</f>
        <v>['kernnnnnn', 'tasty', 'promo']</v>
      </c>
      <c r="D1710" s="3">
        <v>4.0</v>
      </c>
    </row>
    <row r="1711" ht="15.75" customHeight="1">
      <c r="A1711" s="1">
        <v>1805.0</v>
      </c>
      <c r="B1711" s="3" t="s">
        <v>1697</v>
      </c>
      <c r="C1711" s="3" t="str">
        <f>IFERROR(__xludf.DUMMYFUNCTION("GOOGLETRANSLATE(B1711,""id"",""en"")"),"['application', 'uninstall', 'metika', 'dinisntal', 'reset']")</f>
        <v>['application', 'uninstall', 'metika', 'dinisntal', 'reset']</v>
      </c>
      <c r="D1711" s="3">
        <v>1.0</v>
      </c>
    </row>
    <row r="1712" ht="15.75" customHeight="1">
      <c r="A1712" s="1">
        <v>1806.0</v>
      </c>
      <c r="B1712" s="3" t="s">
        <v>1698</v>
      </c>
      <c r="C1712" s="3" t="str">
        <f>IFERROR(__xludf.DUMMYFUNCTION("GOOGLETRANSLATE(B1712,""id"",""en"")"),"['', 'Telkomsel', 'Deh', 'Thanks', 'Telkomsel']")</f>
        <v>['', 'Telkomsel', 'Deh', 'Thanks', 'Telkomsel']</v>
      </c>
      <c r="D1712" s="3">
        <v>5.0</v>
      </c>
    </row>
    <row r="1713" ht="15.75" customHeight="1">
      <c r="A1713" s="1">
        <v>1807.0</v>
      </c>
      <c r="B1713" s="3" t="s">
        <v>1699</v>
      </c>
      <c r="C1713" s="3" t="str">
        <f>IFERROR(__xludf.DUMMYFUNCTION("GOOGLETRANSLATE(B1713,""id"",""en"")"),"['Feature', 'locking', 'use', 'pulse', 'internet', 'application', 'axis', 'net']")</f>
        <v>['Feature', 'locking', 'use', 'pulse', 'internet', 'application', 'axis', 'net']</v>
      </c>
      <c r="D1713" s="3">
        <v>2.0</v>
      </c>
    </row>
    <row r="1714" ht="15.75" customHeight="1">
      <c r="A1714" s="1">
        <v>1809.0</v>
      </c>
      <c r="B1714" s="3" t="s">
        <v>1700</v>
      </c>
      <c r="C1714" s="3" t="str">
        <f>IFERROR(__xludf.DUMMYFUNCTION("GOOGLETRANSLATE(B1714,""id"",""en"")"),"['Sis', 'Enter', 'Telkomsel', 'White', 'Screen']")</f>
        <v>['Sis', 'Enter', 'Telkomsel', 'White', 'Screen']</v>
      </c>
      <c r="D1714" s="3">
        <v>5.0</v>
      </c>
    </row>
    <row r="1715" ht="15.75" customHeight="1">
      <c r="A1715" s="1">
        <v>1810.0</v>
      </c>
      <c r="B1715" s="3" t="s">
        <v>1701</v>
      </c>
      <c r="C1715" s="3" t="str">
        <f>IFERROR(__xludf.DUMMYFUNCTION("GOOGLETRANSLATE(B1715,""id"",""en"")"),"['knapa', 'right', 'open', 'smooth', 'thank', 'notification', 'sms',' click ',' slow ',' bngt ',' then ',' close ',' App ',' ']")</f>
        <v>['knapa', 'right', 'open', 'smooth', 'thank', 'notification', 'sms',' click ',' slow ',' bngt ',' then ',' close ',' App ',' ']</v>
      </c>
      <c r="D1715" s="3">
        <v>1.0</v>
      </c>
    </row>
    <row r="1716" ht="15.75" customHeight="1">
      <c r="A1716" s="1">
        <v>1811.0</v>
      </c>
      <c r="B1716" s="3" t="s">
        <v>1702</v>
      </c>
      <c r="C1716" s="3" t="str">
        <f>IFERROR(__xludf.DUMMYFUNCTION("GOOGLETRANSLATE(B1716,""id"",""en"")"),"['Current', 'slow', 'Sorry', 'Ngabut', 'Best', 'Gift', 'special', 'hahaha']")</f>
        <v>['Current', 'slow', 'Sorry', 'Ngabut', 'Best', 'Gift', 'special', 'hahaha']</v>
      </c>
      <c r="D1716" s="3">
        <v>5.0</v>
      </c>
    </row>
    <row r="1717" ht="15.75" customHeight="1">
      <c r="A1717" s="1">
        <v>1812.0</v>
      </c>
      <c r="B1717" s="3" t="s">
        <v>1703</v>
      </c>
      <c r="C1717" s="3" t="str">
        <f>IFERROR(__xludf.DUMMYFUNCTION("GOOGLETRANSLATE(B1717,""id"",""en"")"),"['thank', 'love', 'accompany', 'many years', 'sometimes', 'trouble', 'ttp', 'good', 'deh', '']")</f>
        <v>['thank', 'love', 'accompany', 'many years', 'sometimes', 'trouble', 'ttp', 'good', 'deh', '']</v>
      </c>
      <c r="D1717" s="3">
        <v>5.0</v>
      </c>
    </row>
    <row r="1718" ht="15.75" customHeight="1">
      <c r="A1718" s="1">
        <v>1813.0</v>
      </c>
      <c r="B1718" s="3" t="s">
        <v>1704</v>
      </c>
      <c r="C1718" s="3" t="str">
        <f>IFERROR(__xludf.DUMMYFUNCTION("GOOGLETRANSLATE(B1718,""id"",""en"")"),"['Help', 'mkasih']")</f>
        <v>['Help', 'mkasih']</v>
      </c>
      <c r="D1718" s="3">
        <v>5.0</v>
      </c>
    </row>
    <row r="1719" ht="15.75" customHeight="1">
      <c r="A1719" s="1">
        <v>1814.0</v>
      </c>
      <c r="B1719" s="3" t="s">
        <v>1705</v>
      </c>
      <c r="C1719" s="3" t="str">
        <f>IFERROR(__xludf.DUMMYFUNCTION("GOOGLETRANSLATE(B1719,""id"",""en"")"),"['Application', 'BANGKE', 'Filled', 'Credit', 'ilang', 'Package', 'Quota', 'Failed', 'Terips', 'Credit', 'Lost', ""]")</f>
        <v>['Application', 'BANGKE', 'Filled', 'Credit', 'ilang', 'Package', 'Quota', 'Failed', 'Terips', 'Credit', 'Lost', "]</v>
      </c>
      <c r="D1719" s="3">
        <v>1.0</v>
      </c>
    </row>
    <row r="1720" ht="15.75" customHeight="1">
      <c r="A1720" s="1">
        <v>1815.0</v>
      </c>
      <c r="B1720" s="3" t="s">
        <v>1706</v>
      </c>
      <c r="C1720" s="3" t="str">
        <f>IFERROR(__xludf.DUMMYFUNCTION("GOOGLETRANSLATE(B1720,""id"",""en"")"),"['quota', 'unlimited', 'gamemaxs', 'used', 'play', 'pub', 'login', 'stay', 'quota', 'unlimited']")</f>
        <v>['quota', 'unlimited', 'gamemaxs', 'used', 'play', 'pub', 'login', 'stay', 'quota', 'unlimited']</v>
      </c>
      <c r="D1720" s="3">
        <v>1.0</v>
      </c>
    </row>
    <row r="1721" ht="15.75" customHeight="1">
      <c r="A1721" s="1">
        <v>1816.0</v>
      </c>
      <c r="B1721" s="3" t="s">
        <v>1707</v>
      </c>
      <c r="C1721" s="3" t="str">
        <f>IFERROR(__xludf.DUMMYFUNCTION("GOOGLETRANSLATE(B1721,""id"",""en"")"),"['signal', 'bad', 'play', 'game', 'fun']")</f>
        <v>['signal', 'bad', 'play', 'game', 'fun']</v>
      </c>
      <c r="D1721" s="3">
        <v>1.0</v>
      </c>
    </row>
    <row r="1722" ht="15.75" customHeight="1">
      <c r="A1722" s="1">
        <v>1817.0</v>
      </c>
      <c r="B1722" s="3" t="s">
        <v>1708</v>
      </c>
      <c r="C1722" s="3" t="str">
        <f>IFERROR(__xludf.DUMMYFUNCTION("GOOGLETRANSLATE(B1722,""id"",""en"")"),"['', 'Pay', 'expensive', 'error', 'signal', 'ilang']")</f>
        <v>['', 'Pay', 'expensive', 'error', 'signal', 'ilang']</v>
      </c>
      <c r="D1722" s="3">
        <v>1.0</v>
      </c>
    </row>
    <row r="1723" ht="15.75" customHeight="1">
      <c r="A1723" s="1">
        <v>1818.0</v>
      </c>
      <c r="B1723" s="3" t="s">
        <v>1709</v>
      </c>
      <c r="C1723" s="3" t="str">
        <f>IFERROR(__xludf.DUMMYFUNCTION("GOOGLETRANSLATE(B1723,""id"",""en"")"),"['Application', 'Bagu', 'Cool', '']")</f>
        <v>['Application', 'Bagu', 'Cool', '']</v>
      </c>
      <c r="D1723" s="3">
        <v>3.0</v>
      </c>
    </row>
    <row r="1724" ht="15.75" customHeight="1">
      <c r="A1724" s="1">
        <v>1819.0</v>
      </c>
      <c r="B1724" s="3" t="s">
        <v>1710</v>
      </c>
      <c r="C1724" s="3" t="str">
        <f>IFERROR(__xludf.DUMMYFUNCTION("GOOGLETRANSLATE(B1724,""id"",""en"")"),"['cave', 'play', 'War', 'Telkomsel', 'signal', 'red', 'green', 'already', 'expensive', 'ngeleg', 'cave', 'beat', ' Wall ',' crack ']")</f>
        <v>['cave', 'play', 'War', 'Telkomsel', 'signal', 'red', 'green', 'already', 'expensive', 'ngeleg', 'cave', 'beat', ' Wall ',' crack ']</v>
      </c>
      <c r="D1724" s="3">
        <v>1.0</v>
      </c>
    </row>
    <row r="1725" ht="15.75" customHeight="1">
      <c r="A1725" s="1">
        <v>1820.0</v>
      </c>
      <c r="B1725" s="3" t="s">
        <v>1711</v>
      </c>
      <c r="C1725" s="3" t="str">
        <f>IFERROR(__xludf.DUMMYFUNCTION("GOOGLETRANSLATE(B1725,""id"",""en"")"),"['application', 'good', 'transact', 'fast', 'safe', 'forward']")</f>
        <v>['application', 'good', 'transact', 'fast', 'safe', 'forward']</v>
      </c>
      <c r="D1725" s="3">
        <v>5.0</v>
      </c>
    </row>
    <row r="1726" ht="15.75" customHeight="1">
      <c r="A1726" s="1">
        <v>1821.0</v>
      </c>
      <c r="B1726" s="3" t="s">
        <v>1712</v>
      </c>
      <c r="C1726" s="3" t="str">
        <f>IFERROR(__xludf.DUMMYFUNCTION("GOOGLETRANSLATE(B1726,""id"",""en"")"),"['What', 'make', 'package', 'pulse', 'Sis', 'RB', 'Package', 'pulse', 'NGK', 'how', 'Makex']")</f>
        <v>['What', 'make', 'package', 'pulse', 'Sis', 'RB', 'Package', 'pulse', 'NGK', 'how', 'Makex']</v>
      </c>
      <c r="D1726" s="3">
        <v>5.0</v>
      </c>
    </row>
    <row r="1727" ht="15.75" customHeight="1">
      <c r="A1727" s="1">
        <v>1822.0</v>
      </c>
      <c r="B1727" s="3" t="s">
        <v>1713</v>
      </c>
      <c r="C1727" s="3" t="str">
        <f>IFERROR(__xludf.DUMMYFUNCTION("GOOGLETRANSLATE(B1727,""id"",""en"")"),"['Telkomsel', 'Bad', 'really', 'usage', 'quota', 'choose', 'quota', 'combo', 'magic', 'package', 'GB', 'GB', ' SOSMED ',' Plus', 'CCP', 'Call', 'SMS', 'PRNH', 'PKE', 'CPT', 'HBS', 'MNGGU', 'Right', 'Quota', 'Sosmed' , 'quota', 'sosmed', 'coakes',' purchas"&amp;"e ',' quota ',' main ',' ttp ',' access', 'google', 'smpe', 'no', 'udh', ' BRS ',' PKE ',' JRINGAN ',' slow ',' forgiveness', 'access',' commerce ',' googling ',' access', 'map', 'slow', 'then', 'DKSI' , 'Bonus', 'Rb', 'PMBlian', 'Credit', 'Sia', ""]")</f>
        <v>['Telkomsel', 'Bad', 'really', 'usage', 'quota', 'choose', 'quota', 'combo', 'magic', 'package', 'GB', 'GB', ' SOSMED ',' Plus', 'CCP', 'Call', 'SMS', 'PRNH', 'PKE', 'CPT', 'HBS', 'MNGGU', 'Right', 'Quota', 'Sosmed' , 'quota', 'sosmed', 'coakes',' purchase ',' quota ',' main ',' ttp ',' access', 'google', 'smpe', 'no', 'udh', ' BRS ',' PKE ',' JRINGAN ',' slow ',' forgiveness', 'access',' commerce ',' googling ',' access', 'map', 'slow', 'then', 'DKSI' , 'Bonus', 'Rb', 'PMBlian', 'Credit', 'Sia', "]</v>
      </c>
      <c r="D1727" s="3">
        <v>3.0</v>
      </c>
    </row>
    <row r="1728" ht="15.75" customHeight="1">
      <c r="A1728" s="1">
        <v>1823.0</v>
      </c>
      <c r="B1728" s="3" t="s">
        <v>1714</v>
      </c>
      <c r="C1728" s="3" t="str">
        <f>IFERROR(__xludf.DUMMYFUNCTION("GOOGLETRANSLATE(B1728,""id"",""en"")"),"['quota', 'expensive', 'network', 'slow']")</f>
        <v>['quota', 'expensive', 'network', 'slow']</v>
      </c>
      <c r="D1728" s="3">
        <v>4.0</v>
      </c>
    </row>
    <row r="1729" ht="15.75" customHeight="1">
      <c r="A1729" s="1">
        <v>1824.0</v>
      </c>
      <c r="B1729" s="3" t="s">
        <v>1715</v>
      </c>
      <c r="C1729" s="3" t="str">
        <f>IFERROR(__xludf.DUMMYFUNCTION("GOOGLETRANSLATE(B1729,""id"",""en"")"),"['Sushanss', 'Bnget', 'Dangan', 'Playkanan', 'Telkomsel', 'I hope', 'may', 'bnyak', 'promo', ""]")</f>
        <v>['Sushanss', 'Bnget', 'Dangan', 'Playkanan', 'Telkomsel', 'I hope', 'may', 'bnyak', 'promo', "]</v>
      </c>
      <c r="D1729" s="3">
        <v>5.0</v>
      </c>
    </row>
    <row r="1730" ht="15.75" customHeight="1">
      <c r="A1730" s="1">
        <v>1825.0</v>
      </c>
      <c r="B1730" s="3" t="s">
        <v>1716</v>
      </c>
      <c r="C1730" s="3" t="str">
        <f>IFERROR(__xludf.DUMMYFUNCTION("GOOGLETRANSLATE(B1730,""id"",""en"")"),"['Please', 'Application', 'Repaired', 'Buy', 'Package', 'Wait', 'Mnt']")</f>
        <v>['Please', 'Application', 'Repaired', 'Buy', 'Package', 'Wait', 'Mnt']</v>
      </c>
      <c r="D1730" s="3">
        <v>1.0</v>
      </c>
    </row>
    <row r="1731" ht="15.75" customHeight="1">
      <c r="A1731" s="1">
        <v>1826.0</v>
      </c>
      <c r="B1731" s="3" t="s">
        <v>1717</v>
      </c>
      <c r="C1731" s="3" t="str">
        <f>IFERROR(__xludf.DUMMYFUNCTION("GOOGLETRANSLATE(B1731,""id"",""en"")"),"['Provider', 'famous',' TPI ',' KOQ ',' Login ',' Difficult ',' Very ',' updated ',' Severe ',' Please ',' Repaired ',' System ',' ']")</f>
        <v>['Provider', 'famous',' TPI ',' KOQ ',' Login ',' Difficult ',' Very ',' updated ',' Severe ',' Please ',' Repaired ',' System ',' ']</v>
      </c>
      <c r="D1731" s="3">
        <v>1.0</v>
      </c>
    </row>
    <row r="1732" ht="15.75" customHeight="1">
      <c r="A1732" s="1">
        <v>1827.0</v>
      </c>
      <c r="B1732" s="3" t="s">
        <v>1718</v>
      </c>
      <c r="C1732" s="3" t="str">
        <f>IFERROR(__xludf.DUMMYFUNCTION("GOOGLETRANSLATE(B1732,""id"",""en"")"),"['Good', 'service']")</f>
        <v>['Good', 'service']</v>
      </c>
      <c r="D1732" s="3">
        <v>5.0</v>
      </c>
    </row>
    <row r="1733" ht="15.75" customHeight="1">
      <c r="A1733" s="1">
        <v>1828.0</v>
      </c>
      <c r="B1733" s="3" t="s">
        <v>1719</v>
      </c>
      <c r="C1733" s="3" t="str">
        <f>IFERROR(__xludf.DUMMYFUNCTION("GOOGLETRANSLATE(B1733,""id"",""en"")"),"['Skli', 'skli', 'love', 'pulse', 'kouta', 'bonus', 'donk', '']")</f>
        <v>['Skli', 'skli', 'love', 'pulse', 'kouta', 'bonus', 'donk', '']</v>
      </c>
      <c r="D1733" s="3">
        <v>5.0</v>
      </c>
    </row>
    <row r="1734" ht="15.75" customHeight="1">
      <c r="A1734" s="1">
        <v>1830.0</v>
      </c>
      <c r="B1734" s="3" t="s">
        <v>1720</v>
      </c>
      <c r="C1734" s="3" t="str">
        <f>IFERROR(__xludf.DUMMYFUNCTION("GOOGLETRANSLATE(B1734,""id"",""en"")"),"['times', 'buy', 'buy', 'the price', 'Nut "",' really ',' buy ',' piece ',' price ',' cheap ',' Thanks ',' Telkomsel ',' ']")</f>
        <v>['times', 'buy', 'buy', 'the price', 'Nut ",' really ',' buy ',' piece ',' price ',' cheap ',' Thanks ',' Telkomsel ',' ']</v>
      </c>
      <c r="D1734" s="3">
        <v>5.0</v>
      </c>
    </row>
    <row r="1735" ht="15.75" customHeight="1">
      <c r="A1735" s="1">
        <v>1831.0</v>
      </c>
      <c r="B1735" s="3" t="s">
        <v>1721</v>
      </c>
      <c r="C1735" s="3" t="str">
        <f>IFERROR(__xludf.DUMMYFUNCTION("GOOGLETRANSLATE(B1735,""id"",""en"")"),"['Signal', 'Severe', 'Drop', 'Tuk', 'Maen', 'Game', 'Online', 'Suitable', '']")</f>
        <v>['Signal', 'Severe', 'Drop', 'Tuk', 'Maen', 'Game', 'Online', 'Suitable', '']</v>
      </c>
      <c r="D1735" s="3">
        <v>1.0</v>
      </c>
    </row>
    <row r="1736" ht="15.75" customHeight="1">
      <c r="A1736" s="1">
        <v>1832.0</v>
      </c>
      <c r="B1736" s="3" t="s">
        <v>1722</v>
      </c>
      <c r="C1736" s="3" t="str">
        <f>IFERROR(__xludf.DUMMYFUNCTION("GOOGLETRANSLATE(B1736,""id"",""en"")"),"['Good', 'Switch', 'Card', 'Telkomsel']")</f>
        <v>['Good', 'Switch', 'Card', 'Telkomsel']</v>
      </c>
      <c r="D1736" s="3">
        <v>1.0</v>
      </c>
    </row>
    <row r="1737" ht="15.75" customHeight="1">
      <c r="A1737" s="1">
        <v>1833.0</v>
      </c>
      <c r="B1737" s="3" t="s">
        <v>1723</v>
      </c>
      <c r="C1737" s="3" t="str">
        <f>IFERROR(__xludf.DUMMYFUNCTION("GOOGLETRANSLATE(B1737,""id"",""en"")"),"['Star', 'Judge']")</f>
        <v>['Star', 'Judge']</v>
      </c>
      <c r="D1737" s="3">
        <v>5.0</v>
      </c>
    </row>
    <row r="1738" ht="15.75" customHeight="1">
      <c r="A1738" s="1">
        <v>1834.0</v>
      </c>
      <c r="B1738" s="3" t="s">
        <v>1724</v>
      </c>
      <c r="C1738" s="3" t="str">
        <f>IFERROR(__xludf.DUMMYFUNCTION("GOOGLETRANSLATE(B1738,""id"",""en"")"),"['Sorry', 'UDH', 'Connection', 'Network', 'ugly', 'Open', 'Instagram', 'Facebook', 'Please', 'Action', 'Continue', 'Package', ' Data ',' On ',' Live ',' Bentar ',' ']")</f>
        <v>['Sorry', 'UDH', 'Connection', 'Network', 'ugly', 'Open', 'Instagram', 'Facebook', 'Please', 'Action', 'Continue', 'Package', ' Data ',' On ',' Live ',' Bentar ',' ']</v>
      </c>
      <c r="D1738" s="3">
        <v>1.0</v>
      </c>
    </row>
    <row r="1739" ht="15.75" customHeight="1">
      <c r="A1739" s="1">
        <v>1835.0</v>
      </c>
      <c r="B1739" s="3" t="s">
        <v>1725</v>
      </c>
      <c r="C1739" s="3" t="str">
        <f>IFERROR(__xludf.DUMMYFUNCTION("GOOGLETRANSLATE(B1739,""id"",""en"")"),"['Help', 'easy', 'transact']")</f>
        <v>['Help', 'easy', 'transact']</v>
      </c>
      <c r="D1739" s="3">
        <v>5.0</v>
      </c>
    </row>
    <row r="1740" ht="15.75" customHeight="1">
      <c r="A1740" s="1">
        <v>1836.0</v>
      </c>
      <c r="B1740" s="3" t="s">
        <v>1726</v>
      </c>
      <c r="C1740" s="3" t="str">
        <f>IFERROR(__xludf.DUMMYFUNCTION("GOOGLETRANSLATE(B1740,""id"",""en"")"),"['signal', 'my place', '']")</f>
        <v>['signal', 'my place', '']</v>
      </c>
      <c r="D1740" s="3">
        <v>2.0</v>
      </c>
    </row>
    <row r="1741" ht="15.75" customHeight="1">
      <c r="A1741" s="1">
        <v>1839.0</v>
      </c>
      <c r="B1741" s="3" t="s">
        <v>1727</v>
      </c>
      <c r="C1741" s="3" t="str">
        <f>IFERROR(__xludf.DUMMYFUNCTION("GOOGLETRANSLATE(B1741,""id"",""en"")"),"['Network', 'Okay', 'Walauoun', 'Lined', '']")</f>
        <v>['Network', 'Okay', 'Walauoun', 'Lined', '']</v>
      </c>
      <c r="D1741" s="3">
        <v>5.0</v>
      </c>
    </row>
    <row r="1742" ht="15.75" customHeight="1">
      <c r="A1742" s="1">
        <v>1840.0</v>
      </c>
      <c r="B1742" s="3" t="s">
        <v>996</v>
      </c>
      <c r="C1742" s="3" t="str">
        <f>IFERROR(__xludf.DUMMYFUNCTION("GOOGLETRANSLATE(B1742,""id"",""en"")"),"['Application', 'Good', '']")</f>
        <v>['Application', 'Good', '']</v>
      </c>
      <c r="D1742" s="3">
        <v>5.0</v>
      </c>
    </row>
    <row r="1743" ht="15.75" customHeight="1">
      <c r="A1743" s="1">
        <v>1841.0</v>
      </c>
      <c r="B1743" s="3" t="s">
        <v>1728</v>
      </c>
      <c r="C1743" s="3" t="str">
        <f>IFERROR(__xludf.DUMMYFUNCTION("GOOGLETRANSLATE(B1743,""id"",""en"")"),"['', 'Thn', 'use', 'Telkomsel', 'Alhamdulillah', 'Satisfied', 'Keliferah', 'Mountain', 'Signal', 'Joss']")</f>
        <v>['', 'Thn', 'use', 'Telkomsel', 'Alhamdulillah', 'Satisfied', 'Keliferah', 'Mountain', 'Signal', 'Joss']</v>
      </c>
      <c r="D1743" s="3">
        <v>5.0</v>
      </c>
    </row>
    <row r="1744" ht="15.75" customHeight="1">
      <c r="A1744" s="1">
        <v>1843.0</v>
      </c>
      <c r="B1744" s="3" t="s">
        <v>1729</v>
      </c>
      <c r="C1744" s="3" t="str">
        <f>IFERROR(__xludf.DUMMYFUNCTION("GOOGLETRANSLATE(B1744,""id"",""en"")"),"['APK', 'Network', 'Telkomsel', 'Weak', 'Pelalawan', 'Riau', 'Play', 'Game', 'Lag', 'Network', 'Red', 'Yellow', ' Green ',' ATA ',' seconds', 'Emotion', 'Good', 'Indosat', ""]")</f>
        <v>['APK', 'Network', 'Telkomsel', 'Weak', 'Pelalawan', 'Riau', 'Play', 'Game', 'Lag', 'Network', 'Red', 'Yellow', ' Green ',' ATA ',' seconds', 'Emotion', 'Good', 'Indosat', "]</v>
      </c>
      <c r="D1744" s="3">
        <v>2.0</v>
      </c>
    </row>
    <row r="1745" ht="15.75" customHeight="1">
      <c r="A1745" s="1">
        <v>1844.0</v>
      </c>
      <c r="B1745" s="3" t="s">
        <v>1730</v>
      </c>
      <c r="C1745" s="3" t="str">
        <f>IFERROR(__xludf.DUMMYFUNCTION("GOOGLETRANSLATE(B1745,""id"",""en"")"),"['Good', 'makes it easy', '']")</f>
        <v>['Good', 'makes it easy', '']</v>
      </c>
      <c r="D1745" s="3">
        <v>4.0</v>
      </c>
    </row>
    <row r="1746" ht="15.75" customHeight="1">
      <c r="A1746" s="1">
        <v>1845.0</v>
      </c>
      <c r="B1746" s="3" t="s">
        <v>1731</v>
      </c>
      <c r="C1746" s="3" t="str">
        <f>IFERROR(__xludf.DUMMYFUNCTION("GOOGLETRANSLATE(B1746,""id"",""en"")"),"['Kecewe', 'price', 'package', 'internet', 'expensive', 'quota', 'internet', 'lost', 'quota', 'internet', 'skrng', 'gmna', ' disappointing ',' use ',' Telkomsel ']")</f>
        <v>['Kecewe', 'price', 'package', 'internet', 'expensive', 'quota', 'internet', 'lost', 'quota', 'internet', 'skrng', 'gmna', ' disappointing ',' use ',' Telkomsel ']</v>
      </c>
      <c r="D1746" s="3">
        <v>1.0</v>
      </c>
    </row>
    <row r="1747" ht="15.75" customHeight="1">
      <c r="A1747" s="1">
        <v>1846.0</v>
      </c>
      <c r="B1747" s="3" t="s">
        <v>1732</v>
      </c>
      <c r="C1747" s="3" t="str">
        <f>IFERROR(__xludf.DUMMYFUNCTION("GOOGLETRANSLATE(B1747,""id"",""en"")"),"['loyal', 'application', 'Telkomsel', 'updated', 'zonk', 'disappointed', 'heavy', 'screen', 'white', 'kayak', 'paper', 'photo', ' Copy ',' ']")</f>
        <v>['loyal', 'application', 'Telkomsel', 'updated', 'zonk', 'disappointed', 'heavy', 'screen', 'white', 'kayak', 'paper', 'photo', ' Copy ',' ']</v>
      </c>
      <c r="D1747" s="3">
        <v>1.0</v>
      </c>
    </row>
    <row r="1748" ht="15.75" customHeight="1">
      <c r="A1748" s="1">
        <v>1847.0</v>
      </c>
      <c r="B1748" s="3" t="s">
        <v>1733</v>
      </c>
      <c r="C1748" s="3" t="str">
        <f>IFERROR(__xludf.DUMMYFUNCTION("GOOGLETRANSLATE(B1748,""id"",""en"")"),"['easy', 'understood', 'help', 'users']")</f>
        <v>['easy', 'understood', 'help', 'users']</v>
      </c>
      <c r="D1748" s="3">
        <v>5.0</v>
      </c>
    </row>
    <row r="1749" ht="15.75" customHeight="1">
      <c r="A1749" s="1">
        <v>1848.0</v>
      </c>
      <c r="B1749" s="3" t="s">
        <v>1734</v>
      </c>
      <c r="C1749" s="3" t="str">
        <f>IFERROR(__xludf.DUMMYFUNCTION("GOOGLETRANSLATE(B1749,""id"",""en"")"),"['Package', 'number', 'Different', 'Different', 'Customer', 'Package', 'expensive', 'number', 'brother', 'please', 'flatten']")</f>
        <v>['Package', 'number', 'Different', 'Different', 'Customer', 'Package', 'expensive', 'number', 'brother', 'please', 'flatten']</v>
      </c>
      <c r="D1749" s="3">
        <v>5.0</v>
      </c>
    </row>
    <row r="1750" ht="15.75" customHeight="1">
      <c r="A1750" s="1">
        <v>1849.0</v>
      </c>
      <c r="B1750" s="3" t="s">
        <v>1735</v>
      </c>
      <c r="C1750" s="3" t="str">
        <f>IFERROR(__xludf.DUMMYFUNCTION("GOOGLETRANSLATE(B1750,""id"",""en"")"),"['Please', 'Increase', 'Jripping', 'Tsel', 'here', 'Network', 'Ancur', '']")</f>
        <v>['Please', 'Increase', 'Jripping', 'Tsel', 'here', 'Network', 'Ancur', '']</v>
      </c>
      <c r="D1750" s="3">
        <v>1.0</v>
      </c>
    </row>
    <row r="1751" ht="15.75" customHeight="1">
      <c r="A1751" s="1">
        <v>1850.0</v>
      </c>
      <c r="B1751" s="3" t="s">
        <v>1736</v>
      </c>
      <c r="C1751" s="3" t="str">
        <f>IFERROR(__xludf.DUMMYFUNCTION("GOOGLETRANSLATE(B1751,""id"",""en"")"),"['', 'operational', 'service', 'Helping', 'Area', 'Thanks', 'Telkomsel', '']")</f>
        <v>['', 'operational', 'service', 'Helping', 'Area', 'Thanks', 'Telkomsel', '']</v>
      </c>
      <c r="D1751" s="3">
        <v>5.0</v>
      </c>
    </row>
    <row r="1752" ht="15.75" customHeight="1">
      <c r="A1752" s="1">
        <v>1851.0</v>
      </c>
      <c r="B1752" s="3" t="s">
        <v>1737</v>
      </c>
      <c r="C1752" s="3" t="str">
        <f>IFERROR(__xludf.DUMMYFUNCTION("GOOGLETRANSLATE(B1752,""id"",""en"")"),"['Points', 'Fill', 'Credit', 'Customer', 'Service']")</f>
        <v>['Points', 'Fill', 'Credit', 'Customer', 'Service']</v>
      </c>
      <c r="D1752" s="3">
        <v>1.0</v>
      </c>
    </row>
    <row r="1753" ht="15.75" customHeight="1">
      <c r="A1753" s="1">
        <v>1852.0</v>
      </c>
      <c r="B1753" s="3" t="s">
        <v>1738</v>
      </c>
      <c r="C1753" s="3" t="str">
        <f>IFERROR(__xludf.DUMMYFUNCTION("GOOGLETRANSLATE(B1753,""id"",""en"")"),"['Telkomsel', 'Dear', 'please', 'fix', 'borrow', 'credit', 'emergency', 'notification', 'until', 'times',' contents', 'pulses',' Cut ',' pay ',' debt ',' already ',' times', 'until', 'times',' take ',' borrow ',' credit ',' emergency ',' try ',' borrow ' "&amp;", 'Direct', 'Maen', 'Cut', 'User', 'Telkomsel', 'Thank you']")</f>
        <v>['Telkomsel', 'Dear', 'please', 'fix', 'borrow', 'credit', 'emergency', 'notification', 'until', 'times',' contents', 'pulses',' Cut ',' pay ',' debt ',' already ',' times', 'until', 'times',' take ',' borrow ',' credit ',' emergency ',' try ',' borrow ' , 'Direct', 'Maen', 'Cut', 'User', 'Telkomsel', 'Thank you']</v>
      </c>
      <c r="D1753" s="3">
        <v>2.0</v>
      </c>
    </row>
    <row r="1754" ht="15.75" customHeight="1">
      <c r="A1754" s="1">
        <v>1853.0</v>
      </c>
      <c r="B1754" s="3" t="s">
        <v>1739</v>
      </c>
      <c r="C1754" s="3" t="str">
        <f>IFERROR(__xludf.DUMMYFUNCTION("GOOGLETRANSLATE(B1754,""id"",""en"")"),"['price', 'exorbitant', 'quality', 'network', 'good', 'quality', 'network', 'customize', 'price', '']")</f>
        <v>['price', 'exorbitant', 'quality', 'network', 'good', 'quality', 'network', 'customize', 'price', '']</v>
      </c>
      <c r="D1754" s="3">
        <v>2.0</v>
      </c>
    </row>
    <row r="1755" ht="15.75" customHeight="1">
      <c r="A1755" s="1">
        <v>1854.0</v>
      </c>
      <c r="B1755" s="3" t="s">
        <v>1740</v>
      </c>
      <c r="C1755" s="3" t="str">
        <f>IFERROR(__xludf.DUMMYFUNCTION("GOOGLETRANSLATE(B1755,""id"",""en"")"),"['Quality', 'signal', 'Increase', 'price', 'expensive', 'signal', 'threat']")</f>
        <v>['Quality', 'signal', 'Increase', 'price', 'expensive', 'signal', 'threat']</v>
      </c>
      <c r="D1755" s="3">
        <v>4.0</v>
      </c>
    </row>
    <row r="1756" ht="15.75" customHeight="1">
      <c r="A1756" s="1">
        <v>1855.0</v>
      </c>
      <c r="B1756" s="3" t="s">
        <v>1741</v>
      </c>
      <c r="C1756" s="3" t="str">
        <f>IFERROR(__xludf.DUMMYFUNCTION("GOOGLETRANSLATE(B1756,""id"",""en"")"),"['APK', 'bgs']")</f>
        <v>['APK', 'bgs']</v>
      </c>
      <c r="D1756" s="3">
        <v>4.0</v>
      </c>
    </row>
    <row r="1757" ht="15.75" customHeight="1">
      <c r="A1757" s="1">
        <v>1856.0</v>
      </c>
      <c r="B1757" s="3" t="s">
        <v>1742</v>
      </c>
      <c r="C1757" s="3" t="str">
        <f>IFERROR(__xludf.DUMMYFUNCTION("GOOGLETRANSLATE(B1757,""id"",""en"")"),"['', 'Telkomsel', 'kren']")</f>
        <v>['', 'Telkomsel', 'kren']</v>
      </c>
      <c r="D1757" s="3">
        <v>5.0</v>
      </c>
    </row>
    <row r="1758" ht="15.75" customHeight="1">
      <c r="A1758" s="1">
        <v>1857.0</v>
      </c>
      <c r="B1758" s="3" t="s">
        <v>1743</v>
      </c>
      <c r="C1758" s="3" t="str">
        <f>IFERROR(__xludf.DUMMYFUNCTION("GOOGLETRANSLATE(B1758,""id"",""en"")"),"['Help', 'application', 'like', 'closed']")</f>
        <v>['Help', 'application', 'like', 'closed']</v>
      </c>
      <c r="D1758" s="3">
        <v>5.0</v>
      </c>
    </row>
    <row r="1759" ht="15.75" customHeight="1">
      <c r="A1759" s="1">
        <v>1858.0</v>
      </c>
      <c r="B1759" s="3" t="s">
        <v>1744</v>
      </c>
      <c r="C1759" s="3" t="str">
        <f>IFERROR(__xludf.DUMMYFUNCTION("GOOGLETRANSLATE(B1759,""id"",""en"")"),"['Nukar', 'PON', 'Redan', 'Sapapani', 'Points', 'Hangus', 'Disappointed', '']")</f>
        <v>['Nukar', 'PON', 'Redan', 'Sapapani', 'Points', 'Hangus', 'Disappointed', '']</v>
      </c>
      <c r="D1759" s="3">
        <v>5.0</v>
      </c>
    </row>
    <row r="1760" ht="15.75" customHeight="1">
      <c r="A1760" s="1">
        <v>1859.0</v>
      </c>
      <c r="B1760" s="3" t="s">
        <v>1745</v>
      </c>
      <c r="C1760" s="3" t="str">
        <f>IFERROR(__xludf.DUMMYFUNCTION("GOOGLETRANSLATE(B1760,""id"",""en"")"),"['Sayank', 'happy', 'used', 'application']")</f>
        <v>['Sayank', 'happy', 'used', 'application']</v>
      </c>
      <c r="D1760" s="3">
        <v>5.0</v>
      </c>
    </row>
    <row r="1761" ht="15.75" customHeight="1">
      <c r="A1761" s="1">
        <v>1860.0</v>
      </c>
      <c r="B1761" s="3" t="s">
        <v>1746</v>
      </c>
      <c r="C1761" s="3" t="str">
        <f>IFERROR(__xludf.DUMMYFUNCTION("GOOGLETRANSLATE(B1761,""id"",""en"")"),"['Network', 'smooth', 'storm']")</f>
        <v>['Network', 'smooth', 'storm']</v>
      </c>
      <c r="D1761" s="3">
        <v>5.0</v>
      </c>
    </row>
    <row r="1762" ht="15.75" customHeight="1">
      <c r="A1762" s="1">
        <v>1861.0</v>
      </c>
      <c r="B1762" s="3" t="s">
        <v>685</v>
      </c>
      <c r="C1762" s="3" t="str">
        <f>IFERROR(__xludf.DUMMYFUNCTION("GOOGLETRANSLATE(B1762,""id"",""en"")"),"['Cool', 'application']")</f>
        <v>['Cool', 'application']</v>
      </c>
      <c r="D1762" s="3">
        <v>5.0</v>
      </c>
    </row>
    <row r="1763" ht="15.75" customHeight="1">
      <c r="A1763" s="1">
        <v>1862.0</v>
      </c>
      <c r="B1763" s="3" t="s">
        <v>1747</v>
      </c>
      <c r="C1763" s="3" t="str">
        <f>IFERROR(__xludf.DUMMYFUNCTION("GOOGLETRANSLATE(B1763,""id"",""en"")"),"['Applikasih', 'steady']")</f>
        <v>['Applikasih', 'steady']</v>
      </c>
      <c r="D1763" s="3">
        <v>5.0</v>
      </c>
    </row>
    <row r="1764" ht="15.75" customHeight="1">
      <c r="A1764" s="1">
        <v>1863.0</v>
      </c>
      <c r="B1764" s="3" t="s">
        <v>1748</v>
      </c>
      <c r="C1764" s="3" t="str">
        <f>IFERROR(__xludf.DUMMYFUNCTION("GOOGLETRANSLATE(B1764,""id"",""en"")"),"['regret', 'buy', 'kouta', 'udh', 'expensive', 'network', 'badkkkk', 'cave', 'buy']")</f>
        <v>['regret', 'buy', 'kouta', 'udh', 'expensive', 'network', 'badkkkk', 'cave', 'buy']</v>
      </c>
      <c r="D1764" s="3">
        <v>1.0</v>
      </c>
    </row>
    <row r="1765" ht="15.75" customHeight="1">
      <c r="A1765" s="1">
        <v>1864.0</v>
      </c>
      <c r="B1765" s="3" t="s">
        <v>1749</v>
      </c>
      <c r="C1765" s="3" t="str">
        <f>IFERROR(__xludf.DUMMYFUNCTION("GOOGLETRANSLATE(B1765,""id"",""en"")"),"['', 'just', 'please', 'internet']")</f>
        <v>['', 'just', 'please', 'internet']</v>
      </c>
      <c r="D1765" s="3">
        <v>5.0</v>
      </c>
    </row>
    <row r="1766" ht="15.75" customHeight="1">
      <c r="A1766" s="1">
        <v>1865.0</v>
      </c>
      <c r="B1766" s="3" t="s">
        <v>1750</v>
      </c>
      <c r="C1766" s="3" t="str">
        <f>IFERROR(__xludf.DUMMYFUNCTION("GOOGLETRANSLATE(B1766,""id"",""en"")"),"['Tsel', 'times', 'disappointed', 'point', '']")</f>
        <v>['Tsel', 'times', 'disappointed', 'point', '']</v>
      </c>
      <c r="D1766" s="3">
        <v>1.0</v>
      </c>
    </row>
    <row r="1767" ht="15.75" customHeight="1">
      <c r="A1767" s="1">
        <v>1866.0</v>
      </c>
      <c r="B1767" s="3" t="s">
        <v>1751</v>
      </c>
      <c r="C1767" s="3" t="str">
        <f>IFERROR(__xludf.DUMMYFUNCTION("GOOGLETRANSLATE(B1767,""id"",""en"")"),"['Application', 'Telkomsel', 'Good', 'Karna', 'Purchase', 'Credit', 'Cheap', 'Fast', 'Anyway', 'MantaaaAppppppp', '']")</f>
        <v>['Application', 'Telkomsel', 'Good', 'Karna', 'Purchase', 'Credit', 'Cheap', 'Fast', 'Anyway', 'MantaaaAppppppp', '']</v>
      </c>
      <c r="D1767" s="3">
        <v>5.0</v>
      </c>
    </row>
    <row r="1768" ht="15.75" customHeight="1">
      <c r="A1768" s="1">
        <v>1867.0</v>
      </c>
      <c r="B1768" s="3" t="s">
        <v>1752</v>
      </c>
      <c r="C1768" s="3" t="str">
        <f>IFERROR(__xludf.DUMMYFUNCTION("GOOGLETRANSLATE(B1768,""id"",""en"")"),"['Easy', 'hoax']")</f>
        <v>['Easy', 'hoax']</v>
      </c>
      <c r="D1768" s="3">
        <v>5.0</v>
      </c>
    </row>
    <row r="1769" ht="15.75" customHeight="1">
      <c r="A1769" s="1">
        <v>1868.0</v>
      </c>
      <c r="B1769" s="3" t="s">
        <v>1753</v>
      </c>
      <c r="C1769" s="3" t="str">
        <f>IFERROR(__xludf.DUMMYFUNCTION("GOOGLETRANSLATE(B1769,""id"",""en"")"),"['Severe', 'Telkomsel', 'Kek', 'Tay', 'expensive', 'price', 'pulse', 'quota', 'network', 'ugly', 'Telkomsel', 'mah', ' good ',' really ',' kayak ',' gini ',' try ',' visit ',' right ',' ber ',' play ',' game ',' online ',' ending ',' down ' , 'MS', 'MS', "&amp;"'Litu', 'Sampe', 'Judgment', 'The network', 'Mending', 'Price', 'Dinurunin', 'Network', 'Next "",' Current ',' Jaya ',' Main ',' Game ',' Online ',' Price ',' Cheap ',' Kayak ',' Telkomsel ',' Disight ',' Society ', ""]")</f>
        <v>['Severe', 'Telkomsel', 'Kek', 'Tay', 'expensive', 'price', 'pulse', 'quota', 'network', 'ugly', 'Telkomsel', 'mah', ' good ',' really ',' kayak ',' gini ',' try ',' visit ',' right ',' ber ',' play ',' game ',' online ',' ending ',' down ' , 'MS', 'MS', 'Litu', 'Sampe', 'Judgment', 'The network', 'Mending', 'Price', 'Dinurunin', 'Network', 'Next ",' Current ',' Jaya ',' Main ',' Game ',' Online ',' Price ',' Cheap ',' Kayak ',' Telkomsel ',' Disight ',' Society ', "]</v>
      </c>
      <c r="D1769" s="3">
        <v>1.0</v>
      </c>
    </row>
    <row r="1770" ht="15.75" customHeight="1">
      <c r="A1770" s="1">
        <v>1870.0</v>
      </c>
      <c r="B1770" s="3" t="s">
        <v>1754</v>
      </c>
      <c r="C1770" s="3" t="str">
        <f>IFERROR(__xludf.DUMMYFUNCTION("GOOGLETRANSLATE(B1770,""id"",""en"")"),"['', 'Telkomsel', 'Jaya']")</f>
        <v>['', 'Telkomsel', 'Jaya']</v>
      </c>
      <c r="D1770" s="3">
        <v>5.0</v>
      </c>
    </row>
    <row r="1771" ht="15.75" customHeight="1">
      <c r="A1771" s="1">
        <v>1871.0</v>
      </c>
      <c r="B1771" s="3" t="s">
        <v>1755</v>
      </c>
      <c r="C1771" s="3" t="str">
        <f>IFERROR(__xludf.DUMMYFUNCTION("GOOGLETRANSLATE(B1771,""id"",""en"")"),"['', 'buy', 'package', 'katany', 'disorder', 'system', 'update', '']")</f>
        <v>['', 'buy', 'package', 'katany', 'disorder', 'system', 'update', '']</v>
      </c>
      <c r="D1771" s="3">
        <v>1.0</v>
      </c>
    </row>
    <row r="1772" ht="15.75" customHeight="1">
      <c r="A1772" s="1">
        <v>1872.0</v>
      </c>
      <c r="B1772" s="3" t="s">
        <v>1756</v>
      </c>
      <c r="C1772" s="3" t="str">
        <f>IFERROR(__xludf.DUMMYFUNCTION("GOOGLETRANSLATE(B1772,""id"",""en"")"),"['Telkomsel', 'quality', 'signal', 'bad', '']")</f>
        <v>['Telkomsel', 'quality', 'signal', 'bad', '']</v>
      </c>
      <c r="D1772" s="3">
        <v>1.0</v>
      </c>
    </row>
    <row r="1773" ht="15.75" customHeight="1">
      <c r="A1773" s="1">
        <v>1873.0</v>
      </c>
      <c r="B1773" s="3" t="s">
        <v>1757</v>
      </c>
      <c r="C1773" s="3" t="str">
        <f>IFERROR(__xludf.DUMMYFUNCTION("GOOGLETRANSLATE(B1773,""id"",""en"")"),"['Please', 'Update', 'Android', '']")</f>
        <v>['Please', 'Update', 'Android', '']</v>
      </c>
      <c r="D1773" s="3">
        <v>4.0</v>
      </c>
    </row>
    <row r="1774" ht="15.75" customHeight="1">
      <c r="A1774" s="1">
        <v>1874.0</v>
      </c>
      <c r="B1774" s="3" t="s">
        <v>1758</v>
      </c>
      <c r="C1774" s="3" t="str">
        <f>IFERROR(__xludf.DUMMYFUNCTION("GOOGLETRANSLATE(B1774,""id"",""en"")"),"['Enhanced', 'strength', 'signal', 'customer', 'loyal', 'use', 'times']")</f>
        <v>['Enhanced', 'strength', 'signal', 'customer', 'loyal', 'use', 'times']</v>
      </c>
      <c r="D1774" s="3">
        <v>5.0</v>
      </c>
    </row>
    <row r="1775" ht="15.75" customHeight="1">
      <c r="A1775" s="1">
        <v>1875.0</v>
      </c>
      <c r="B1775" s="3" t="s">
        <v>1759</v>
      </c>
      <c r="C1775" s="3" t="str">
        <f>IFERROR(__xludf.DUMMYFUNCTION("GOOGLETRANSLATE(B1775,""id"",""en"")"),"['like', 'bangaaaattttt']")</f>
        <v>['like', 'bangaaaattttt']</v>
      </c>
      <c r="D1775" s="3">
        <v>5.0</v>
      </c>
    </row>
    <row r="1776" ht="15.75" customHeight="1">
      <c r="A1776" s="1">
        <v>1876.0</v>
      </c>
      <c r="B1776" s="3" t="s">
        <v>152</v>
      </c>
      <c r="C1776" s="3" t="str">
        <f>IFERROR(__xludf.DUMMYFUNCTION("GOOGLETRANSLATE(B1776,""id"",""en"")"),"['slow connection']")</f>
        <v>['slow connection']</v>
      </c>
      <c r="D1776" s="3">
        <v>5.0</v>
      </c>
    </row>
    <row r="1777" ht="15.75" customHeight="1">
      <c r="A1777" s="1">
        <v>1877.0</v>
      </c>
      <c r="B1777" s="3" t="s">
        <v>1760</v>
      </c>
      <c r="C1777" s="3" t="str">
        <f>IFERROR(__xludf.DUMMYFUNCTION("GOOGLETRANSLATE(B1777,""id"",""en"")"),"['Mantab', 'It's easy', 'really']")</f>
        <v>['Mantab', 'It's easy', 'really']</v>
      </c>
      <c r="D1777" s="3">
        <v>5.0</v>
      </c>
    </row>
    <row r="1778" ht="15.75" customHeight="1">
      <c r="A1778" s="1">
        <v>1878.0</v>
      </c>
      <c r="B1778" s="3" t="s">
        <v>1761</v>
      </c>
      <c r="C1778" s="3" t="str">
        <f>IFERROR(__xludf.DUMMYFUNCTION("GOOGLETRANSLATE(B1778,""id"",""en"")"),"['easy', 'hopefully', 'promo', 'cheap']")</f>
        <v>['easy', 'hopefully', 'promo', 'cheap']</v>
      </c>
      <c r="D1778" s="3">
        <v>5.0</v>
      </c>
    </row>
    <row r="1779" ht="15.75" customHeight="1">
      <c r="A1779" s="1">
        <v>1879.0</v>
      </c>
      <c r="B1779" s="3" t="s">
        <v>1762</v>
      </c>
      <c r="C1779" s="3" t="str">
        <f>IFERROR(__xludf.DUMMYFUNCTION("GOOGLETRANSLATE(B1779,""id"",""en"")"),"['complain', 'admin', 'no', 'application', 'purchase', 'package', 'combo', 'application', 'denotified', 'buy', 'pulse', 'application', ' Use ',' Tomorrow ',' Delay ',' Delay ']")</f>
        <v>['complain', 'admin', 'no', 'application', 'purchase', 'package', 'combo', 'application', 'denotified', 'buy', 'pulse', 'application', ' Use ',' Tomorrow ',' Delay ',' Delay ']</v>
      </c>
      <c r="D1779" s="3">
        <v>1.0</v>
      </c>
    </row>
    <row r="1780" ht="15.75" customHeight="1">
      <c r="A1780" s="1">
        <v>1880.0</v>
      </c>
      <c r="B1780" s="3" t="s">
        <v>1763</v>
      </c>
      <c r="C1780" s="3" t="str">
        <f>IFERROR(__xludf.DUMMYFUNCTION("GOOGLETRANSLATE(B1780,""id"",""en"")"),"['fill', 'pulse', 'data', 'easy']")</f>
        <v>['fill', 'pulse', 'data', 'easy']</v>
      </c>
      <c r="D1780" s="3">
        <v>5.0</v>
      </c>
    </row>
    <row r="1781" ht="15.75" customHeight="1">
      <c r="A1781" s="1">
        <v>1881.0</v>
      </c>
      <c r="B1781" s="3" t="s">
        <v>1764</v>
      </c>
      <c r="C1781" s="3" t="str">
        <f>IFERROR(__xludf.DUMMYFUNCTION("GOOGLETRANSLATE(B1781,""id"",""en"")"),"['Exchange', 'points', 'Ktanya', 'Please', 'Sorry', 'System', 'Busy']")</f>
        <v>['Exchange', 'points', 'Ktanya', 'Please', 'Sorry', 'System', 'Busy']</v>
      </c>
      <c r="D1781" s="3">
        <v>2.0</v>
      </c>
    </row>
    <row r="1782" ht="15.75" customHeight="1">
      <c r="A1782" s="1">
        <v>1882.0</v>
      </c>
      <c r="B1782" s="3" t="s">
        <v>1765</v>
      </c>
      <c r="C1782" s="3" t="str">
        <f>IFERROR(__xludf.DUMMYFUNCTION("GOOGLETRANSLATE(B1782,""id"",""en"")"),"['already', 'signal', 'ugly', 'pretentious',' sell ',' expensive ',' idiot ',' emang ',' product ',' Telkomsel ',' already ',' pulses', ' Sumpot ',' quota ',' ngak ',' fix ',' as soon as possible ',' prayer ',' factory ',' Telkomsel ',' bankrupt ',' aamii"&amp;"n ', ""]")</f>
        <v>['already', 'signal', 'ugly', 'pretentious',' sell ',' expensive ',' idiot ',' emang ',' product ',' Telkomsel ',' already ',' pulses', ' Sumpot ',' quota ',' ngak ',' fix ',' as soon as possible ',' prayer ',' factory ',' Telkomsel ',' bankrupt ',' aamiin ', "]</v>
      </c>
      <c r="D1782" s="3">
        <v>1.0</v>
      </c>
    </row>
    <row r="1783" ht="15.75" customHeight="1">
      <c r="A1783" s="1">
        <v>1883.0</v>
      </c>
      <c r="B1783" s="3" t="s">
        <v>1766</v>
      </c>
      <c r="C1783" s="3" t="str">
        <f>IFERROR(__xludf.DUMMYFUNCTION("GOOGLETRANSLATE(B1783,""id"",""en"")"),"['application', 'cheats', 'useful', 'customer', '']")</f>
        <v>['application', 'cheats', 'useful', 'customer', '']</v>
      </c>
      <c r="D1783" s="3">
        <v>1.0</v>
      </c>
    </row>
    <row r="1784" ht="15.75" customHeight="1">
      <c r="A1784" s="1">
        <v>1884.0</v>
      </c>
      <c r="B1784" s="3" t="s">
        <v>1767</v>
      </c>
      <c r="C1784" s="3" t="str">
        <f>IFERROR(__xludf.DUMMYFUNCTION("GOOGLETRANSLATE(B1784,""id"",""en"")"),"['Baguus', 'bnget', 'tolkmsel']")</f>
        <v>['Baguus', 'bnget', 'tolkmsel']</v>
      </c>
      <c r="D1784" s="3">
        <v>5.0</v>
      </c>
    </row>
    <row r="1785" ht="15.75" customHeight="1">
      <c r="A1785" s="1">
        <v>1885.0</v>
      </c>
      <c r="B1785" s="3" t="s">
        <v>1768</v>
      </c>
      <c r="C1785" s="3" t="str">
        <f>IFERROR(__xludf.DUMMYFUNCTION("GOOGLETRANSLATE(B1785,""id"",""en"")"),"['signal', 'difficult', 'area', 'Mesuji']")</f>
        <v>['signal', 'difficult', 'area', 'Mesuji']</v>
      </c>
      <c r="D1785" s="3">
        <v>5.0</v>
      </c>
    </row>
    <row r="1786" ht="15.75" customHeight="1">
      <c r="A1786" s="1">
        <v>1886.0</v>
      </c>
      <c r="B1786" s="3" t="s">
        <v>1769</v>
      </c>
      <c r="C1786" s="3" t="str">
        <f>IFERROR(__xludf.DUMMYFUNCTION("GOOGLETRANSLATE(B1786,""id"",""en"")"),"['signal', 'ugly', 'severe', 'price', 'expensive', 'electricity', 'dead', 'signal', 'follow', 'lost', 'gabisa', 'please', ' Fix ',' expensive ',' kog ',' lose ',' cheap ',' ']")</f>
        <v>['signal', 'ugly', 'severe', 'price', 'expensive', 'electricity', 'dead', 'signal', 'follow', 'lost', 'gabisa', 'please', ' Fix ',' expensive ',' kog ',' lose ',' cheap ',' ']</v>
      </c>
      <c r="D1786" s="3">
        <v>1.0</v>
      </c>
    </row>
    <row r="1787" ht="15.75" customHeight="1">
      <c r="A1787" s="1">
        <v>1887.0</v>
      </c>
      <c r="B1787" s="3" t="s">
        <v>1770</v>
      </c>
      <c r="C1787" s="3" t="str">
        <f>IFERROR(__xludf.DUMMYFUNCTION("GOOGLETRANSLATE(B1787,""id"",""en"")"),"['Price', 'expensive', 'quality', 'signal', 'sesui', 'already', 'card', 'tsel', 'network', 'slow', 'ngegame', 'gbis',' It's time ',' Switch ',' card ',' neighbor ']")</f>
        <v>['Price', 'expensive', 'quality', 'signal', 'sesui', 'already', 'card', 'tsel', 'network', 'slow', 'ngegame', 'gbis',' It's time ',' Switch ',' card ',' neighbor ']</v>
      </c>
      <c r="D1787" s="3">
        <v>1.0</v>
      </c>
    </row>
    <row r="1788" ht="15.75" customHeight="1">
      <c r="A1788" s="1">
        <v>1888.0</v>
      </c>
      <c r="B1788" s="3" t="s">
        <v>1771</v>
      </c>
      <c r="C1788" s="3" t="str">
        <f>IFERROR(__xludf.DUMMYFUNCTION("GOOGLETRANSLATE(B1788,""id"",""en"")"),"['users', 'Telkomsel', 'signal', 'Telkomsel', 'stable', 'signal', 'smooth']")</f>
        <v>['users', 'Telkomsel', 'signal', 'Telkomsel', 'stable', 'signal', 'smooth']</v>
      </c>
      <c r="D1788" s="3">
        <v>2.0</v>
      </c>
    </row>
    <row r="1789" ht="15.75" customHeight="1">
      <c r="A1789" s="1">
        <v>1889.0</v>
      </c>
      <c r="B1789" s="3" t="s">
        <v>1772</v>
      </c>
      <c r="C1789" s="3" t="str">
        <f>IFERROR(__xludf.DUMMYFUNCTION("GOOGLETRANSLATE(B1789,""id"",""en"")"),"['My APK', 'Good', 'really']")</f>
        <v>['My APK', 'Good', 'really']</v>
      </c>
      <c r="D1789" s="3">
        <v>4.0</v>
      </c>
    </row>
    <row r="1790" ht="15.75" customHeight="1">
      <c r="A1790" s="1">
        <v>1890.0</v>
      </c>
      <c r="B1790" s="3" t="s">
        <v>1773</v>
      </c>
      <c r="C1790" s="3" t="str">
        <f>IFERROR(__xludf.DUMMYFUNCTION("GOOGLETRANSLATE(B1790,""id"",""en"")"),"['Telkomsel', 'expensive', 'quality', 'network', 'fast', 'fast', 'dizziness',' slow ',' severe ',' little ',' disorder ',' improvement ',' expensive ',' salute ',' NDA ',' Network ',' Telkomsel ']")</f>
        <v>['Telkomsel', 'expensive', 'quality', 'network', 'fast', 'fast', 'dizziness',' slow ',' severe ',' little ',' disorder ',' improvement ',' expensive ',' salute ',' NDA ',' Network ',' Telkomsel ']</v>
      </c>
      <c r="D1790" s="3">
        <v>1.0</v>
      </c>
    </row>
    <row r="1791" ht="15.75" customHeight="1">
      <c r="A1791" s="1">
        <v>1891.0</v>
      </c>
      <c r="B1791" s="3" t="s">
        <v>1774</v>
      </c>
      <c r="C1791" s="3" t="str">
        <f>IFERROR(__xludf.DUMMYFUNCTION("GOOGLETRANSLATE(B1791,""id"",""en"")"),"['signal', 'good', 'darling', 'price', 'expensive']")</f>
        <v>['signal', 'good', 'darling', 'price', 'expensive']</v>
      </c>
      <c r="D1791" s="3">
        <v>4.0</v>
      </c>
    </row>
    <row r="1792" ht="15.75" customHeight="1">
      <c r="A1792" s="1">
        <v>1892.0</v>
      </c>
      <c r="B1792" s="3" t="s">
        <v>1775</v>
      </c>
      <c r="C1792" s="3" t="str">
        <f>IFERROR(__xludf.DUMMYFUNCTION("GOOGLETRANSLATE(B1792,""id"",""en"")"),"['Yes', '']")</f>
        <v>['Yes', '']</v>
      </c>
      <c r="D1792" s="3">
        <v>5.0</v>
      </c>
    </row>
    <row r="1793" ht="15.75" customHeight="1">
      <c r="A1793" s="1">
        <v>1893.0</v>
      </c>
      <c r="B1793" s="3" t="s">
        <v>1776</v>
      </c>
      <c r="C1793" s="3" t="str">
        <f>IFERROR(__xludf.DUMMYFUNCTION("GOOGLETRANSLATE(B1793,""id"",""en"")"),"['', 'Good', 'Application']")</f>
        <v>['', 'Good', 'Application']</v>
      </c>
      <c r="D1793" s="3">
        <v>1.0</v>
      </c>
    </row>
    <row r="1794" ht="15.75" customHeight="1">
      <c r="A1794" s="1">
        <v>1894.0</v>
      </c>
      <c r="B1794" s="3" t="s">
        <v>1777</v>
      </c>
      <c r="C1794" s="3" t="str">
        <f>IFERROR(__xludf.DUMMYFUNCTION("GOOGLETRANSLATE(B1794,""id"",""en"")"),"['Application', 'Recomended', 'Hopefully', 'Success', 'San', 'Moving']")</f>
        <v>['Application', 'Recomended', 'Hopefully', 'Success', 'San', 'Moving']</v>
      </c>
      <c r="D1794" s="3">
        <v>5.0</v>
      </c>
    </row>
    <row r="1795" ht="15.75" customHeight="1">
      <c r="A1795" s="1">
        <v>1895.0</v>
      </c>
      <c r="B1795" s="3" t="s">
        <v>1778</v>
      </c>
      <c r="C1795" s="3" t="str">
        <f>IFERROR(__xludf.DUMMYFUNCTION("GOOGLETRANSLATE(B1795,""id"",""en"")"),"['Star', 'Commander', 'Pass', 'Test', 'Test']")</f>
        <v>['Star', 'Commander', 'Pass', 'Test', 'Test']</v>
      </c>
      <c r="D1795" s="3">
        <v>4.0</v>
      </c>
    </row>
    <row r="1796" ht="15.75" customHeight="1">
      <c r="A1796" s="1">
        <v>1896.0</v>
      </c>
      <c r="B1796" s="3" t="s">
        <v>1779</v>
      </c>
      <c r="C1796" s="3" t="str">
        <f>IFERROR(__xludf.DUMMYFUNCTION("GOOGLETRANSLATE(B1796,""id"",""en"")"),"['Price', 'Kouta', 'Internet', 'Free', 'Price', 'Expensive', 'Pay', 'Employee']")</f>
        <v>['Price', 'Kouta', 'Internet', 'Free', 'Price', 'Expensive', 'Pay', 'Employee']</v>
      </c>
      <c r="D1796" s="3">
        <v>1.0</v>
      </c>
    </row>
    <row r="1797" ht="15.75" customHeight="1">
      <c r="A1797" s="1">
        <v>1897.0</v>
      </c>
      <c r="B1797" s="3" t="s">
        <v>1780</v>
      </c>
      <c r="C1797" s="3" t="str">
        <f>IFERROR(__xludf.DUMMYFUNCTION("GOOGLETRANSLATE(B1797,""id"",""en"")"),"['Satisfied', 'card', 'Telkomsel', 'network', 'signal', 'ckp', 'good', 'smooth']")</f>
        <v>['Satisfied', 'card', 'Telkomsel', 'network', 'signal', 'ckp', 'good', 'smooth']</v>
      </c>
      <c r="D1797" s="3">
        <v>3.0</v>
      </c>
    </row>
    <row r="1798" ht="15.75" customHeight="1">
      <c r="A1798" s="1">
        <v>1898.0</v>
      </c>
      <c r="B1798" s="3" t="s">
        <v>1781</v>
      </c>
      <c r="C1798" s="3" t="str">
        <f>IFERROR(__xludf.DUMMYFUNCTION("GOOGLETRANSLATE(B1798,""id"",""en"")"),"['satisfying', 'help']")</f>
        <v>['satisfying', 'help']</v>
      </c>
      <c r="D1798" s="3">
        <v>5.0</v>
      </c>
    </row>
    <row r="1799" ht="15.75" customHeight="1">
      <c r="A1799" s="1">
        <v>1899.0</v>
      </c>
      <c r="B1799" s="3" t="s">
        <v>1782</v>
      </c>
      <c r="C1799" s="3" t="str">
        <f>IFERROR(__xludf.DUMMYFUNCTION("GOOGLETRANSLATE(B1799,""id"",""en"")"),"['network']")</f>
        <v>['network']</v>
      </c>
      <c r="D1799" s="3">
        <v>1.0</v>
      </c>
    </row>
    <row r="1800" ht="15.75" customHeight="1">
      <c r="A1800" s="1">
        <v>1900.0</v>
      </c>
      <c r="B1800" s="3" t="s">
        <v>1783</v>
      </c>
      <c r="C1800" s="3" t="str">
        <f>IFERROR(__xludf.DUMMYFUNCTION("GOOGLETRANSLATE(B1800,""id"",""en"")"),"['ask', 'how', 'buy', 'pulse']")</f>
        <v>['ask', 'how', 'buy', 'pulse']</v>
      </c>
      <c r="D1800" s="3">
        <v>4.0</v>
      </c>
    </row>
    <row r="1801" ht="15.75" customHeight="1">
      <c r="A1801" s="1">
        <v>1901.0</v>
      </c>
      <c r="B1801" s="3" t="s">
        <v>1784</v>
      </c>
      <c r="C1801" s="3" t="str">
        <f>IFERROR(__xludf.DUMMYFUNCTION("GOOGLETRANSLATE(B1801,""id"",""en"")"),"['User', 'Network', 'Telkomsel', 'Disappointed', 'Quality', 'Network', 'Telkomsel', 'Bad', 'Access',' Internet ',' Learning ',' Play ',' Games', 'Online', 'Streaming', 'Slalu', 'Constrained', 'Network', 'Please', 'Fix', 'Quality', 'Network', 'Region', 'Re"&amp;"gion', 'Pali' , 'Sumsel']")</f>
        <v>['User', 'Network', 'Telkomsel', 'Disappointed', 'Quality', 'Network', 'Telkomsel', 'Bad', 'Access',' Internet ',' Learning ',' Play ',' Games', 'Online', 'Streaming', 'Slalu', 'Constrained', 'Network', 'Please', 'Fix', 'Quality', 'Network', 'Region', 'Region', 'Pali' , 'Sumsel']</v>
      </c>
      <c r="D1801" s="3">
        <v>1.0</v>
      </c>
    </row>
    <row r="1802" ht="15.75" customHeight="1">
      <c r="A1802" s="1">
        <v>1902.0</v>
      </c>
      <c r="B1802" s="3" t="s">
        <v>1785</v>
      </c>
      <c r="C1802" s="3" t="str">
        <f>IFERROR(__xludf.DUMMYFUNCTION("GOOGLETRANSLATE(B1802,""id"",""en"")"),"['price', 'package', 'cheap', 'kah', 'the application', 'good']")</f>
        <v>['price', 'package', 'cheap', 'kah', 'the application', 'good']</v>
      </c>
      <c r="D1802" s="3">
        <v>5.0</v>
      </c>
    </row>
    <row r="1803" ht="15.75" customHeight="1">
      <c r="A1803" s="1">
        <v>1903.0</v>
      </c>
      <c r="B1803" s="3" t="s">
        <v>1786</v>
      </c>
      <c r="C1803" s="3" t="str">
        <f>IFERROR(__xludf.DUMMYFUNCTION("GOOGLETRANSLATE(B1803,""id"",""en"")"),"['beginner', '']")</f>
        <v>['beginner', '']</v>
      </c>
      <c r="D1803" s="3">
        <v>5.0</v>
      </c>
    </row>
    <row r="1804" ht="15.75" customHeight="1">
      <c r="A1804" s="1">
        <v>1904.0</v>
      </c>
      <c r="B1804" s="3" t="s">
        <v>1787</v>
      </c>
      <c r="C1804" s="3" t="str">
        <f>IFERROR(__xludf.DUMMYFUNCTION("GOOGLETRANSLATE(B1804,""id"",""en"")"),"['Gatau', 'Telkomsel', 'Mahalll']")</f>
        <v>['Gatau', 'Telkomsel', 'Mahalll']</v>
      </c>
      <c r="D1804" s="3">
        <v>2.0</v>
      </c>
    </row>
    <row r="1805" ht="15.75" customHeight="1">
      <c r="A1805" s="1">
        <v>1905.0</v>
      </c>
      <c r="B1805" s="3" t="s">
        <v>1788</v>
      </c>
      <c r="C1805" s="3" t="str">
        <f>IFERROR(__xludf.DUMMYFUNCTION("GOOGLETRANSLATE(B1805,""id"",""en"")"),"['Good', 'top', 'can', 'star', ""]")</f>
        <v>['Good', 'top', 'can', 'star', "]</v>
      </c>
      <c r="D1805" s="3">
        <v>5.0</v>
      </c>
    </row>
    <row r="1806" ht="15.75" customHeight="1">
      <c r="A1806" s="1">
        <v>1906.0</v>
      </c>
      <c r="B1806" s="3" t="s">
        <v>1789</v>
      </c>
      <c r="C1806" s="3" t="str">
        <f>IFERROR(__xludf.DUMMYFUNCTION("GOOGLETRANSLATE(B1806,""id"",""en"")"),"['update', 'expensive', 'package']")</f>
        <v>['update', 'expensive', 'package']</v>
      </c>
      <c r="D1806" s="3">
        <v>1.0</v>
      </c>
    </row>
    <row r="1807" ht="15.75" customHeight="1">
      <c r="A1807" s="1">
        <v>1907.0</v>
      </c>
      <c r="B1807" s="3" t="s">
        <v>1790</v>
      </c>
      <c r="C1807" s="3" t="str">
        <f>IFERROR(__xludf.DUMMYFUNCTION("GOOGLETRANSLATE(B1807,""id"",""en"")"),"['Lemot', 'expensive']")</f>
        <v>['Lemot', 'expensive']</v>
      </c>
      <c r="D1807" s="3">
        <v>1.0</v>
      </c>
    </row>
    <row r="1808" ht="15.75" customHeight="1">
      <c r="A1808" s="1">
        <v>1908.0</v>
      </c>
      <c r="B1808" s="3" t="s">
        <v>1791</v>
      </c>
      <c r="C1808" s="3" t="str">
        <f>IFERROR(__xludf.DUMMYFUNCTION("GOOGLETRANSLATE(B1808,""id"",""en"")"),"['Blm', 'opinion', 'try']")</f>
        <v>['Blm', 'opinion', 'try']</v>
      </c>
      <c r="D1808" s="3">
        <v>5.0</v>
      </c>
    </row>
    <row r="1809" ht="15.75" customHeight="1">
      <c r="A1809" s="1">
        <v>1909.0</v>
      </c>
      <c r="B1809" s="3" t="s">
        <v>1792</v>
      </c>
      <c r="C1809" s="3" t="str">
        <f>IFERROR(__xludf.DUMMYFUNCTION("GOOGLETRANSLATE(B1809,""id"",""en"")"),"['bwli', 'package', 'package', 'enter', 'pulse', 'chick', 'silver', 'ask', 'stlh', 'ask', 'package', 'missing', ' It looks', 'cell', 'giman', 'ampe', 'skrg', 'blm', 'entry']")</f>
        <v>['bwli', 'package', 'package', 'enter', 'pulse', 'chick', 'silver', 'ask', 'stlh', 'ask', 'package', 'missing', ' It looks', 'cell', 'giman', 'ampe', 'skrg', 'blm', 'entry']</v>
      </c>
      <c r="D1809" s="3">
        <v>1.0</v>
      </c>
    </row>
    <row r="1810" ht="15.75" customHeight="1">
      <c r="A1810" s="1">
        <v>1910.0</v>
      </c>
      <c r="B1810" s="3" t="s">
        <v>1793</v>
      </c>
      <c r="C1810" s="3" t="str">
        <f>IFERROR(__xludf.DUMMYFUNCTION("GOOGLETRANSLATE(B1810,""id"",""en"")"),"['use', 'application', 'Maytekomsel', 'happy', 'easy']")</f>
        <v>['use', 'application', 'Maytekomsel', 'happy', 'easy']</v>
      </c>
      <c r="D1810" s="3">
        <v>1.0</v>
      </c>
    </row>
    <row r="1811" ht="15.75" customHeight="1">
      <c r="A1811" s="1">
        <v>1911.0</v>
      </c>
      <c r="B1811" s="3" t="s">
        <v>1794</v>
      </c>
      <c r="C1811" s="3" t="str">
        <f>IFERROR(__xludf.DUMMYFUNCTION("GOOGLETRANSLATE(B1811,""id"",""en"")"),"['apk', 'broken', 'see', 'minutes', 'minutes', 'jaw', 'or', 'gmn', ""]")</f>
        <v>['apk', 'broken', 'see', 'minutes', 'minutes', 'jaw', 'or', 'gmn', "]</v>
      </c>
      <c r="D1811" s="3">
        <v>1.0</v>
      </c>
    </row>
    <row r="1812" ht="15.75" customHeight="1">
      <c r="A1812" s="1">
        <v>1912.0</v>
      </c>
      <c r="B1812" s="3" t="s">
        <v>1795</v>
      </c>
      <c r="C1812" s="3" t="str">
        <f>IFERROR(__xludf.DUMMYFUNCTION("GOOGLETRANSLATE(B1812,""id"",""en"")"),"['signal', 'slow', 'according to', 'high school', 'price', 'suggestion', 'mnding', 'like', 'nyimpen', 'pulse', 'kdng', 'pulse', ' Like ',' Abis']")</f>
        <v>['signal', 'slow', 'according to', 'high school', 'price', 'suggestion', 'mnding', 'like', 'nyimpen', 'pulse', 'kdng', 'pulse', ' Like ',' Abis']</v>
      </c>
      <c r="D1812" s="3">
        <v>1.0</v>
      </c>
    </row>
    <row r="1813" ht="15.75" customHeight="1">
      <c r="A1813" s="1">
        <v>1913.0</v>
      </c>
      <c r="B1813" s="3" t="s">
        <v>1796</v>
      </c>
      <c r="C1813" s="3" t="str">
        <f>IFERROR(__xludf.DUMMYFUNCTION("GOOGLETRANSLATE(B1813,""id"",""en"")"),"['signal', 'expensive', 'monopoly', 'please', 'considered', 'price', 'quota', 'tralalu', 'ignited', 'thx']")</f>
        <v>['signal', 'expensive', 'monopoly', 'please', 'considered', 'price', 'quota', 'tralalu', 'ignited', 'thx']</v>
      </c>
      <c r="D1813" s="3">
        <v>2.0</v>
      </c>
    </row>
    <row r="1814" ht="15.75" customHeight="1">
      <c r="A1814" s="1">
        <v>1914.0</v>
      </c>
      <c r="B1814" s="3" t="s">
        <v>1797</v>
      </c>
      <c r="C1814" s="3" t="str">
        <f>IFERROR(__xludf.DUMMYFUNCTION("GOOGLETRANSLATE(B1814,""id"",""en"")"),"['', 'Village', 'Bolongsong', 'Baureno', 'Siyala', 'Bad', 'Sorry', 'Info', 'Fix', '']")</f>
        <v>['', 'Village', 'Bolongsong', 'Baureno', 'Siyala', 'Bad', 'Sorry', 'Info', 'Fix', '']</v>
      </c>
      <c r="D1814" s="3">
        <v>4.0</v>
      </c>
    </row>
    <row r="1815" ht="15.75" customHeight="1">
      <c r="A1815" s="1">
        <v>1915.0</v>
      </c>
      <c r="B1815" s="3" t="s">
        <v>1798</v>
      </c>
      <c r="C1815" s="3" t="str">
        <f>IFERROR(__xludf.DUMMYFUNCTION("GOOGLETRANSLATE(B1815,""id"",""en"")"),"['buy', 'card', 'rich', 'wife', 'model', 'type', 'package', 'Different', 'Jauuh']")</f>
        <v>['buy', 'card', 'rich', 'wife', 'model', 'type', 'package', 'Different', 'Jauuh']</v>
      </c>
      <c r="D1815" s="3">
        <v>1.0</v>
      </c>
    </row>
    <row r="1816" ht="15.75" customHeight="1">
      <c r="A1816" s="1">
        <v>1916.0</v>
      </c>
      <c r="B1816" s="3" t="s">
        <v>1799</v>
      </c>
      <c r="C1816" s="3" t="str">
        <f>IFERROR(__xludf.DUMMYFUNCTION("GOOGLETRANSLATE(B1816,""id"",""en"")"),"['Satisfied', 'Service', 'Telkomsel', 'Suggestions', 'Daily', 'Daily', 'Check', ""]")</f>
        <v>['Satisfied', 'Service', 'Telkomsel', 'Suggestions', 'Daily', 'Daily', 'Check', "]</v>
      </c>
      <c r="D1816" s="3">
        <v>5.0</v>
      </c>
    </row>
    <row r="1817" ht="15.75" customHeight="1">
      <c r="A1817" s="1">
        <v>1917.0</v>
      </c>
      <c r="B1817" s="3" t="s">
        <v>1352</v>
      </c>
      <c r="C1817" s="3" t="str">
        <f>IFERROR(__xludf.DUMMYFUNCTION("GOOGLETRANSLATE(B1817,""id"",""en"")"),"['']")</f>
        <v>['']</v>
      </c>
      <c r="D1817" s="3">
        <v>3.0</v>
      </c>
    </row>
    <row r="1818" ht="15.75" customHeight="1">
      <c r="A1818" s="1">
        <v>1918.0</v>
      </c>
      <c r="B1818" s="3" t="s">
        <v>1800</v>
      </c>
      <c r="C1818" s="3" t="str">
        <f>IFERROR(__xludf.DUMMYFUNCTION("GOOGLETRANSLATE(B1818,""id"",""en"")"),"['', 'Telkomsel', 'Good', '']")</f>
        <v>['', 'Telkomsel', 'Good', '']</v>
      </c>
      <c r="D1818" s="3">
        <v>4.0</v>
      </c>
    </row>
    <row r="1819" ht="15.75" customHeight="1">
      <c r="A1819" s="1">
        <v>1919.0</v>
      </c>
      <c r="B1819" s="3" t="s">
        <v>1801</v>
      </c>
      <c r="C1819" s="3" t="str">
        <f>IFERROR(__xludf.DUMMYFUNCTION("GOOGLETRANSLATE(B1819,""id"",""en"")"),"['steady', 'application']")</f>
        <v>['steady', 'application']</v>
      </c>
      <c r="D1819" s="3">
        <v>5.0</v>
      </c>
    </row>
    <row r="1820" ht="15.75" customHeight="1">
      <c r="A1820" s="1">
        <v>1920.0</v>
      </c>
      <c r="B1820" s="3" t="s">
        <v>1802</v>
      </c>
      <c r="C1820" s="3" t="str">
        <f>IFERROR(__xludf.DUMMYFUNCTION("GOOGLETRANSLATE(B1820,""id"",""en"")"),"['Keep', 'Best']")</f>
        <v>['Keep', 'Best']</v>
      </c>
      <c r="D1820" s="3">
        <v>5.0</v>
      </c>
    </row>
    <row r="1821" ht="15.75" customHeight="1">
      <c r="A1821" s="1">
        <v>1921.0</v>
      </c>
      <c r="B1821" s="3" t="s">
        <v>1803</v>
      </c>
      <c r="C1821" s="3" t="str">
        <f>IFERROR(__xludf.DUMMYFUNCTION("GOOGLETRANSLATE(B1821,""id"",""en"")"),"['Good', 'help', 'application', 'Telkomsel']")</f>
        <v>['Good', 'help', 'application', 'Telkomsel']</v>
      </c>
      <c r="D1821" s="3">
        <v>5.0</v>
      </c>
    </row>
    <row r="1822" ht="15.75" customHeight="1">
      <c r="A1822" s="1">
        <v>1922.0</v>
      </c>
      <c r="B1822" s="3" t="s">
        <v>1804</v>
      </c>
      <c r="C1822" s="3" t="str">
        <f>IFERROR(__xludf.DUMMYFUNCTION("GOOGLETRANSLATE(B1822,""id"",""en"")"),"['Contents', 'Credit', 'Cut', 'Pulses', 'Package', 'Telkomsel', 'Ngak', ""]")</f>
        <v>['Contents', 'Credit', 'Cut', 'Pulses', 'Package', 'Telkomsel', 'Ngak', "]</v>
      </c>
      <c r="D1822" s="3">
        <v>1.0</v>
      </c>
    </row>
    <row r="1823" ht="15.75" customHeight="1">
      <c r="A1823" s="1">
        <v>1923.0</v>
      </c>
      <c r="B1823" s="3" t="s">
        <v>1805</v>
      </c>
      <c r="C1823" s="3" t="str">
        <f>IFERROR(__xludf.DUMMYFUNCTION("GOOGLETRANSLATE(B1823,""id"",""en"")"),"['Severe', 'really', 'updated', 'opened', 'application', 'Telkomsel', 'right', 'claim', 'gift', 'dayly', 'check', 'lgi', ' Please, 'admin']")</f>
        <v>['Severe', 'really', 'updated', 'opened', 'application', 'Telkomsel', 'right', 'claim', 'gift', 'dayly', 'check', 'lgi', ' Please, 'admin']</v>
      </c>
      <c r="D1823" s="3">
        <v>1.0</v>
      </c>
    </row>
    <row r="1824" ht="15.75" customHeight="1">
      <c r="A1824" s="1">
        <v>1924.0</v>
      </c>
      <c r="B1824" s="3" t="s">
        <v>1806</v>
      </c>
      <c r="C1824" s="3" t="str">
        <f>IFERROR(__xludf.DUMMYFUNCTION("GOOGLETRANSLATE(B1824,""id"",""en"")"),"['Hopefully', 'cheap', 'net']")</f>
        <v>['Hopefully', 'cheap', 'net']</v>
      </c>
      <c r="D1824" s="3">
        <v>5.0</v>
      </c>
    </row>
    <row r="1825" ht="15.75" customHeight="1">
      <c r="A1825" s="1">
        <v>1925.0</v>
      </c>
      <c r="B1825" s="3" t="s">
        <v>1807</v>
      </c>
      <c r="C1825" s="3" t="str">
        <f>IFERROR(__xludf.DUMMYFUNCTION("GOOGLETRANSLATE(B1825,""id"",""en"")"),"['ugly', 'application', 'Telkomsel', 'squeezing', 'expensive', 'buy']")</f>
        <v>['ugly', 'application', 'Telkomsel', 'squeezing', 'expensive', 'buy']</v>
      </c>
      <c r="D1825" s="3">
        <v>1.0</v>
      </c>
    </row>
    <row r="1826" ht="15.75" customHeight="1">
      <c r="A1826" s="1">
        <v>1926.0</v>
      </c>
      <c r="B1826" s="3" t="s">
        <v>1808</v>
      </c>
      <c r="C1826" s="3" t="str">
        <f>IFERROR(__xludf.DUMMYFUNCTION("GOOGLETRANSLATE(B1826,""id"",""en"")"),"['WOW', 'Wear', 'Access',' Internet ',' Non ',' Quota ',' Quota ',' Congratulations', 'Congratulations',' Success', 'Eat', ' money ',' right ',' person ',' ']")</f>
        <v>['WOW', 'Wear', 'Access',' Internet ',' Non ',' Quota ',' Quota ',' Congratulations', 'Congratulations',' Success', 'Eat', ' money ',' right ',' person ',' ']</v>
      </c>
      <c r="D1826" s="3">
        <v>1.0</v>
      </c>
    </row>
    <row r="1827" ht="15.75" customHeight="1">
      <c r="A1827" s="1">
        <v>1927.0</v>
      </c>
      <c r="B1827" s="3" t="s">
        <v>1809</v>
      </c>
      <c r="C1827" s="3" t="str">
        <f>IFERROR(__xludf.DUMMYFUNCTION("GOOGLETRANSLATE(B1827,""id"",""en"")"),"['chek', 'ber', 'hmpir', 'finished', 'eehh', 'turn', 'stay', 'dapt', 'quota', 'mlh', 'change', 'chek', ' php ',' doang ',' ama ',' telkomsel ',' drpd ',' ngeselin ',' kuhangkap ',' lngsng ',' apk ',' telkomselnya ',' blessing ',' phpein ',' fortune ' , 'p"&amp;"erson', '']")</f>
        <v>['chek', 'ber', 'hmpir', 'finished', 'eehh', 'turn', 'stay', 'dapt', 'quota', 'mlh', 'change', 'chek', ' php ',' doang ',' ama ',' telkomsel ',' drpd ',' ngeselin ',' kuhangkap ',' lngsng ',' apk ',' telkomselnya ',' blessing ',' phpein ',' fortune ' , 'person', '']</v>
      </c>
      <c r="D1827" s="3">
        <v>1.0</v>
      </c>
    </row>
    <row r="1828" ht="15.75" customHeight="1">
      <c r="A1828" s="1">
        <v>1928.0</v>
      </c>
      <c r="B1828" s="3" t="s">
        <v>1810</v>
      </c>
      <c r="C1828" s="3" t="str">
        <f>IFERROR(__xludf.DUMMYFUNCTION("GOOGLETRANSLATE(B1828,""id"",""en"")"),"['Help', 'ALII', 'Application', 'Check', 'Promo']")</f>
        <v>['Help', 'ALII', 'Application', 'Check', 'Promo']</v>
      </c>
      <c r="D1828" s="3">
        <v>4.0</v>
      </c>
    </row>
    <row r="1829" ht="15.75" customHeight="1">
      <c r="A1829" s="1">
        <v>1929.0</v>
      </c>
      <c r="B1829" s="3" t="s">
        <v>1811</v>
      </c>
      <c r="C1829" s="3" t="str">
        <f>IFERROR(__xludf.DUMMYFUNCTION("GOOGLETRANSLATE(B1829,""id"",""en"")"),"['Good', 'just', 'darling', 'signal', 'sympathy', 'network', 'difficult', 'signal']")</f>
        <v>['Good', 'just', 'darling', 'signal', 'sympathy', 'network', 'difficult', 'signal']</v>
      </c>
      <c r="D1829" s="3">
        <v>4.0</v>
      </c>
    </row>
    <row r="1830" ht="15.75" customHeight="1">
      <c r="A1830" s="1">
        <v>1931.0</v>
      </c>
      <c r="B1830" s="3" t="s">
        <v>1812</v>
      </c>
      <c r="C1830" s="3" t="str">
        <f>IFERROR(__xludf.DUMMYFUNCTION("GOOGLETRANSLATE(B1830,""id"",""en"")"),"['bad', 'upset', 'contents',' pulse ',' application ',' mobile ',' banking ',' according to ',' nominal ',' price ',' contents', 'pulses',' thousand ',' entry ',' number ',' thousand ',' according to ',' contents', 'thousand', 'trick', 'application', 'MyT"&amp;"elkomsel', 'comment', 'uda', 'hold' , 'Application', 'Tipu', 'contents',' pulse ',' thousand ',' match ',' entry ',' package ',' tlefon ',' after ',' mala ',' pulses', ' finished']")</f>
        <v>['bad', 'upset', 'contents',' pulse ',' application ',' mobile ',' banking ',' according to ',' nominal ',' price ',' contents', 'pulses',' thousand ',' entry ',' number ',' thousand ',' according to ',' contents', 'thousand', 'trick', 'application', 'MyTelkomsel', 'comment', 'uda', 'hold' , 'Application', 'Tipu', 'contents',' pulse ',' thousand ',' match ',' entry ',' package ',' tlefon ',' after ',' mala ',' pulses', ' finished']</v>
      </c>
      <c r="D1830" s="3">
        <v>1.0</v>
      </c>
    </row>
    <row r="1831" ht="15.75" customHeight="1">
      <c r="A1831" s="1">
        <v>1932.0</v>
      </c>
      <c r="B1831" s="3" t="s">
        <v>1813</v>
      </c>
      <c r="C1831" s="3" t="str">
        <f>IFERROR(__xludf.DUMMYFUNCTION("GOOGLETRANSLATE(B1831,""id"",""en"")"),"['Install', 'Download', 'Install', 'Fail', 'Memory', 'Full', 'RAM', 'Full', 'Delete', 'Cache', 'Delete', 'Update', ' Google ',' Play ',' Store ',' Etc. ',' FAILURE ',' Install ',' Buy ',' Package ',' Application ',' Install ', ""]")</f>
        <v>['Install', 'Download', 'Install', 'Fail', 'Memory', 'Full', 'RAM', 'Full', 'Delete', 'Cache', 'Delete', 'Update', ' Google ',' Play ',' Store ',' Etc. ',' FAILURE ',' Install ',' Buy ',' Package ',' Application ',' Install ', "]</v>
      </c>
      <c r="D1831" s="3">
        <v>1.0</v>
      </c>
    </row>
    <row r="1832" ht="15.75" customHeight="1">
      <c r="A1832" s="1">
        <v>1933.0</v>
      </c>
      <c r="B1832" s="3" t="s">
        <v>1814</v>
      </c>
      <c r="C1832" s="3" t="str">
        <f>IFERROR(__xludf.DUMMYFUNCTION("GOOGLETRANSLATE(B1832,""id"",""en"")"),"['min', 'week', 'yesterday', 'slow', 'everybody', 'Nge', 'game', 'ping it', 'down', 'influence', 'yaa', 'exposed', ' Rain ',' Please ',' Fix ',' Thank you ', ""]")</f>
        <v>['min', 'week', 'yesterday', 'slow', 'everybody', 'Nge', 'game', 'ping it', 'down', 'influence', 'yaa', 'exposed', ' Rain ',' Please ',' Fix ',' Thank you ', "]</v>
      </c>
      <c r="D1832" s="3">
        <v>1.0</v>
      </c>
    </row>
    <row r="1833" ht="15.75" customHeight="1">
      <c r="A1833" s="1">
        <v>1935.0</v>
      </c>
      <c r="B1833" s="3" t="s">
        <v>1815</v>
      </c>
      <c r="C1833" s="3" t="str">
        <f>IFERROR(__xludf.DUMMYFUNCTION("GOOGLETRANSLATE(B1833,""id"",""en"")"),"['love', 'package', 'promo', 'cheap', 'unlimited', 'admin']")</f>
        <v>['love', 'package', 'promo', 'cheap', 'unlimited', 'admin']</v>
      </c>
      <c r="D1833" s="3">
        <v>5.0</v>
      </c>
    </row>
    <row r="1834" ht="15.75" customHeight="1">
      <c r="A1834" s="1">
        <v>1936.0</v>
      </c>
      <c r="B1834" s="3" t="s">
        <v>1435</v>
      </c>
      <c r="C1834" s="3" t="str">
        <f>IFERROR(__xludf.DUMMYFUNCTION("GOOGLETRANSLATE(B1834,""id"",""en"")"),"['help', '']")</f>
        <v>['help', '']</v>
      </c>
      <c r="D1834" s="3">
        <v>5.0</v>
      </c>
    </row>
    <row r="1835" ht="15.75" customHeight="1">
      <c r="A1835" s="1">
        <v>1937.0</v>
      </c>
      <c r="B1835" s="3" t="s">
        <v>1816</v>
      </c>
      <c r="C1835" s="3" t="str">
        <f>IFERROR(__xludf.DUMMYFUNCTION("GOOGLETRANSLATE(B1835,""id"",""en"")"),"['application', 'profitable', 'please', 'purchase', 'quota', 'expensive', 'perman', 'price', 'thanks', ""]")</f>
        <v>['application', 'profitable', 'please', 'purchase', 'quota', 'expensive', 'perman', 'price', 'thanks', "]</v>
      </c>
      <c r="D1835" s="3">
        <v>5.0</v>
      </c>
    </row>
    <row r="1836" ht="15.75" customHeight="1">
      <c r="A1836" s="1">
        <v>1938.0</v>
      </c>
      <c r="B1836" s="3" t="s">
        <v>1817</v>
      </c>
      <c r="C1836" s="3" t="str">
        <f>IFERROR(__xludf.DUMMYFUNCTION("GOOGLETRANSLATE(B1836,""id"",""en"")"),"['France', 'Date', 'Plus', 'Loading', '']")</f>
        <v>['France', 'Date', 'Plus', 'Loading', '']</v>
      </c>
      <c r="D1836" s="3">
        <v>4.0</v>
      </c>
    </row>
    <row r="1837" ht="15.75" customHeight="1">
      <c r="A1837" s="1">
        <v>1939.0</v>
      </c>
      <c r="B1837" s="3" t="s">
        <v>1818</v>
      </c>
      <c r="C1837" s="3" t="str">
        <f>IFERROR(__xludf.DUMMYFUNCTION("GOOGLETRANSLATE(B1837,""id"",""en"")"),"['internet', 'slow', 'lose', 'operator', 'cheap', 'tree', 'network', 'internet', 'good', ""]")</f>
        <v>['internet', 'slow', 'lose', 'operator', 'cheap', 'tree', 'network', 'internet', 'good', "]</v>
      </c>
      <c r="D1837" s="3">
        <v>1.0</v>
      </c>
    </row>
    <row r="1838" ht="15.75" customHeight="1">
      <c r="A1838" s="1">
        <v>1940.0</v>
      </c>
      <c r="B1838" s="3" t="s">
        <v>1819</v>
      </c>
      <c r="C1838" s="3" t="str">
        <f>IFERROR(__xludf.DUMMYFUNCTION("GOOGLETRANSLATE(B1838,""id"",""en"")"),"['tdinya', 'udh', 'ksh', 'star', 'down', 'deh', 'skrg', 'star', 'udh', 'bbrpa', 'yrs',' pke ',' Telkomsel ',' LMA ',' JDI ',' Bagus', 'BLI', 'PKET', 'Combo', 'sick', 'unlimited', 'Dri', 'price', 'dlu', 'msh' , 'Rb', 'smpe', 'skrg', 'price', 'rb', 'jdi', '"&amp;"beloved', 'bli', 'pulses',' jdi ',' lazy ',' Telkomsel ',' Fix ',' Price ',' ']")</f>
        <v>['tdinya', 'udh', 'ksh', 'star', 'down', 'deh', 'skrg', 'star', 'udh', 'bbrpa', 'yrs',' pke ',' Telkomsel ',' LMA ',' JDI ',' Bagus', 'BLI', 'PKET', 'Combo', 'sick', 'unlimited', 'Dri', 'price', 'dlu', 'msh' , 'Rb', 'smpe', 'skrg', 'price', 'rb', 'jdi', 'beloved', 'bli', 'pulses',' jdi ',' lazy ',' Telkomsel ',' Fix ',' Price ',' ']</v>
      </c>
      <c r="D1838" s="3">
        <v>3.0</v>
      </c>
    </row>
    <row r="1839" ht="15.75" customHeight="1">
      <c r="A1839" s="1">
        <v>1941.0</v>
      </c>
      <c r="B1839" s="3" t="s">
        <v>1820</v>
      </c>
      <c r="C1839" s="3" t="str">
        <f>IFERROR(__xludf.DUMMYFUNCTION("GOOGLETRANSLATE(B1839,""id"",""en"")"),"['Najis', 'really', 'card', 'Telkomsel', 'here', 'kacrut', 'already', 'that's', 'package', 'expensive', '']")</f>
        <v>['Najis', 'really', 'card', 'Telkomsel', 'here', 'kacrut', 'already', 'that's', 'package', 'expensive', '']</v>
      </c>
      <c r="D1839" s="3">
        <v>1.0</v>
      </c>
    </row>
    <row r="1840" ht="15.75" customHeight="1">
      <c r="A1840" s="1">
        <v>1942.0</v>
      </c>
      <c r="B1840" s="3" t="s">
        <v>1821</v>
      </c>
      <c r="C1840" s="3" t="str">
        <f>IFERROR(__xludf.DUMMYFUNCTION("GOOGLETRANSLATE(B1840,""id"",""en"")"),"['hard', 'times', 'opened', 'repeated', 'reset', 'no', 'open']")</f>
        <v>['hard', 'times', 'opened', 'repeated', 'reset', 'no', 'open']</v>
      </c>
      <c r="D1840" s="3">
        <v>1.0</v>
      </c>
    </row>
    <row r="1841" ht="15.75" customHeight="1">
      <c r="A1841" s="1">
        <v>1943.0</v>
      </c>
      <c r="B1841" s="3" t="s">
        <v>1822</v>
      </c>
      <c r="C1841" s="3" t="str">
        <f>IFERROR(__xludf.DUMMYFUNCTION("GOOGLETRANSLATE(B1841,""id"",""en"")"),"['Kasi', 'signal', 'Telkomsel', 'ugly', 'diarea', 'Java', 'East']")</f>
        <v>['Kasi', 'signal', 'Telkomsel', 'ugly', 'diarea', 'Java', 'East']</v>
      </c>
      <c r="D1841" s="3">
        <v>3.0</v>
      </c>
    </row>
    <row r="1842" ht="15.75" customHeight="1">
      <c r="A1842" s="1">
        <v>1944.0</v>
      </c>
      <c r="B1842" s="3" t="s">
        <v>1823</v>
      </c>
      <c r="C1842" s="3" t="str">
        <f>IFERROR(__xludf.DUMMYFUNCTION("GOOGLETRANSLATE(B1842,""id"",""en"")"),"['Star', 'Quality', 'Application']")</f>
        <v>['Star', 'Quality', 'Application']</v>
      </c>
      <c r="D1842" s="3">
        <v>3.0</v>
      </c>
    </row>
    <row r="1843" ht="15.75" customHeight="1">
      <c r="A1843" s="1">
        <v>1945.0</v>
      </c>
      <c r="B1843" s="3" t="s">
        <v>1824</v>
      </c>
      <c r="C1843" s="3" t="str">
        <f>IFERROR(__xludf.DUMMYFUNCTION("GOOGLETRANSLATE(B1843,""id"",""en"")"),"['price', 'kouta', 'doang', 'expensive', 'signal', 'ugly', 'stay', 'jakarta', 'interior', '']")</f>
        <v>['price', 'kouta', 'doang', 'expensive', 'signal', 'ugly', 'stay', 'jakarta', 'interior', '']</v>
      </c>
      <c r="D1843" s="3">
        <v>1.0</v>
      </c>
    </row>
    <row r="1844" ht="15.75" customHeight="1">
      <c r="A1844" s="1">
        <v>1946.0</v>
      </c>
      <c r="B1844" s="3" t="s">
        <v>1825</v>
      </c>
      <c r="C1844" s="3" t="str">
        <f>IFERROR(__xludf.DUMMYFUNCTION("GOOGLETRANSLATE(B1844,""id"",""en"")"),"['Lemot', 'forgiveness', 'application', 'contents', 'package', 'esmosi', 'somya']")</f>
        <v>['Lemot', 'forgiveness', 'application', 'contents', 'package', 'esmosi', 'somya']</v>
      </c>
      <c r="D1844" s="3">
        <v>1.0</v>
      </c>
    </row>
    <row r="1845" ht="15.75" customHeight="1">
      <c r="A1845" s="1">
        <v>1947.0</v>
      </c>
      <c r="B1845" s="3" t="s">
        <v>1826</v>
      </c>
      <c r="C1845" s="3" t="str">
        <f>IFERROR(__xludf.DUMMYFUNCTION("GOOGLETRANSLATE(B1845,""id"",""en"")"),"['Easy', 'Ribet', 'Success', 'Telkomsel', '']")</f>
        <v>['Easy', 'Ribet', 'Success', 'Telkomsel', '']</v>
      </c>
      <c r="D1845" s="3">
        <v>5.0</v>
      </c>
    </row>
    <row r="1846" ht="15.75" customHeight="1">
      <c r="A1846" s="1">
        <v>1948.0</v>
      </c>
      <c r="B1846" s="3" t="s">
        <v>1827</v>
      </c>
      <c r="C1846" s="3" t="str">
        <f>IFERROR(__xludf.DUMMYFUNCTION("GOOGLETRANSLATE(B1846,""id"",""en"")"),"['Combo', 'Sakti', 'Limited', 'Mna']")</f>
        <v>['Combo', 'Sakti', 'Limited', 'Mna']</v>
      </c>
      <c r="D1846" s="3">
        <v>1.0</v>
      </c>
    </row>
    <row r="1847" ht="15.75" customHeight="1">
      <c r="A1847" s="1">
        <v>1949.0</v>
      </c>
      <c r="B1847" s="3" t="s">
        <v>1828</v>
      </c>
      <c r="C1847" s="3" t="str">
        <f>IFERROR(__xludf.DUMMYFUNCTION("GOOGLETRANSLATE(B1847,""id"",""en"")"),"['like', 'number', 'his account']")</f>
        <v>['like', 'number', 'his account']</v>
      </c>
      <c r="D1847" s="3">
        <v>4.0</v>
      </c>
    </row>
    <row r="1848" ht="15.75" customHeight="1">
      <c r="A1848" s="1">
        <v>1950.0</v>
      </c>
      <c r="B1848" s="3" t="s">
        <v>1829</v>
      </c>
      <c r="C1848" s="3" t="str">
        <f>IFERROR(__xludf.DUMMYFUNCTION("GOOGLETRANSLATE(B1848,""id"",""en"")"),"['buy', 'package']")</f>
        <v>['buy', 'package']</v>
      </c>
      <c r="D1848" s="3">
        <v>5.0</v>
      </c>
    </row>
    <row r="1849" ht="15.75" customHeight="1">
      <c r="A1849" s="1">
        <v>1951.0</v>
      </c>
      <c r="B1849" s="3" t="s">
        <v>1830</v>
      </c>
      <c r="C1849" s="3" t="str">
        <f>IFERROR(__xludf.DUMMYFUNCTION("GOOGLETRANSLATE(B1849,""id"",""en"")"),"['love', 'star', 'please', 'fix', 'buy', 'package', 'difficult', 'forgiveness',' already ',' managed ',' buy ',' package ',' Credit ',' EREP ',' ']")</f>
        <v>['love', 'star', 'please', 'fix', 'buy', 'package', 'difficult', 'forgiveness',' already ',' managed ',' buy ',' package ',' Credit ',' EREP ',' ']</v>
      </c>
      <c r="D1849" s="3">
        <v>5.0</v>
      </c>
    </row>
    <row r="1850" ht="15.75" customHeight="1">
      <c r="A1850" s="1">
        <v>1952.0</v>
      </c>
      <c r="B1850" s="3" t="s">
        <v>1831</v>
      </c>
      <c r="C1850" s="3" t="str">
        <f>IFERROR(__xludf.DUMMYFUNCTION("GOOGLETRANSLATE(B1850,""id"",""en"")"),"['Connect', 'MyTelkomsel', 'Description', 'Update', 'Link', 'Link', 'Version', 'Latest', 'Please', 'Acquired', 'Continue']")</f>
        <v>['Connect', 'MyTelkomsel', 'Description', 'Update', 'Link', 'Link', 'Version', 'Latest', 'Please', 'Acquired', 'Continue']</v>
      </c>
      <c r="D1850" s="3">
        <v>1.0</v>
      </c>
    </row>
    <row r="1851" ht="15.75" customHeight="1">
      <c r="A1851" s="1">
        <v>1953.0</v>
      </c>
      <c r="B1851" s="3" t="s">
        <v>1832</v>
      </c>
      <c r="C1851" s="3" t="str">
        <f>IFERROR(__xludf.DUMMYFUNCTION("GOOGLETRANSLATE(B1851,""id"",""en"")"),"['expensive', 'ueee']")</f>
        <v>['expensive', 'ueee']</v>
      </c>
      <c r="D1851" s="3">
        <v>1.0</v>
      </c>
    </row>
    <row r="1852" ht="15.75" customHeight="1">
      <c r="A1852" s="1">
        <v>1954.0</v>
      </c>
      <c r="B1852" s="3" t="s">
        <v>1833</v>
      </c>
      <c r="C1852" s="3" t="str">
        <f>IFERROR(__xludf.DUMMYFUNCTION("GOOGLETRANSLATE(B1852,""id"",""en"")"),"['Telkomsel', 'disruption', 'quota', 'all', 'GB', 'quota', 'locally', 'GB', 'quota', 'local', 'area', 'registration', ' Overnight ',' yes', 'beg', 'explanation']")</f>
        <v>['Telkomsel', 'disruption', 'quota', 'all', 'GB', 'quota', 'locally', 'GB', 'quota', 'local', 'area', 'registration', ' Overnight ',' yes', 'beg', 'explanation']</v>
      </c>
      <c r="D1852" s="3">
        <v>3.0</v>
      </c>
    </row>
    <row r="1853" ht="15.75" customHeight="1">
      <c r="A1853" s="1">
        <v>1955.0</v>
      </c>
      <c r="B1853" s="3" t="s">
        <v>286</v>
      </c>
      <c r="C1853" s="3" t="str">
        <f>IFERROR(__xludf.DUMMYFUNCTION("GOOGLETRANSLATE(B1853,""id"",""en"")"),"['good']")</f>
        <v>['good']</v>
      </c>
      <c r="D1853" s="3">
        <v>5.0</v>
      </c>
    </row>
    <row r="1854" ht="15.75" customHeight="1">
      <c r="A1854" s="1">
        <v>1956.0</v>
      </c>
      <c r="B1854" s="3" t="s">
        <v>1834</v>
      </c>
      <c r="C1854" s="3" t="str">
        <f>IFERROR(__xludf.DUMMYFUNCTION("GOOGLETRANSLATE(B1854,""id"",""en"")"),"['Service', 'maximum', 'cheap']")</f>
        <v>['Service', 'maximum', 'cheap']</v>
      </c>
      <c r="D1854" s="3">
        <v>5.0</v>
      </c>
    </row>
    <row r="1855" ht="15.75" customHeight="1">
      <c r="A1855" s="1">
        <v>1957.0</v>
      </c>
      <c r="B1855" s="3" t="s">
        <v>1835</v>
      </c>
      <c r="C1855" s="3" t="str">
        <f>IFERROR(__xludf.DUMMYFUNCTION("GOOGLETRANSLATE(B1855,""id"",""en"")"),"['Bgus', 'application', '']")</f>
        <v>['Bgus', 'application', '']</v>
      </c>
      <c r="D1855" s="3">
        <v>4.0</v>
      </c>
    </row>
    <row r="1856" ht="15.75" customHeight="1">
      <c r="A1856" s="1">
        <v>1958.0</v>
      </c>
      <c r="B1856" s="3" t="s">
        <v>1836</v>
      </c>
      <c r="C1856" s="3" t="str">
        <f>IFERROR(__xludf.DUMMYFUNCTION("GOOGLETRANSLATE(B1856,""id"",""en"")"),"['Telkomsel', 'signal', 'already', 'Bagu', 'Pliss', 'Aktippin', 'quota', 'emergency']")</f>
        <v>['Telkomsel', 'signal', 'already', 'Bagu', 'Pliss', 'Aktippin', 'quota', 'emergency']</v>
      </c>
      <c r="D1856" s="3">
        <v>3.0</v>
      </c>
    </row>
    <row r="1857" ht="15.75" customHeight="1">
      <c r="A1857" s="1">
        <v>1959.0</v>
      </c>
      <c r="B1857" s="3" t="s">
        <v>1837</v>
      </c>
      <c r="C1857" s="3" t="str">
        <f>IFERROR(__xludf.DUMMYFUNCTION("GOOGLETRANSLATE(B1857,""id"",""en"")"),"['Application', 'help', ""]")</f>
        <v>['Application', 'help', "]</v>
      </c>
      <c r="D1857" s="3">
        <v>5.0</v>
      </c>
    </row>
    <row r="1858" ht="15.75" customHeight="1">
      <c r="A1858" s="1">
        <v>1960.0</v>
      </c>
      <c r="B1858" s="3" t="s">
        <v>1838</v>
      </c>
      <c r="C1858" s="3" t="str">
        <f>IFERROR(__xludf.DUMMYFUNCTION("GOOGLETRANSLATE(B1858,""id"",""en"")"),"['fast', 'process']")</f>
        <v>['fast', 'process']</v>
      </c>
      <c r="D1858" s="3">
        <v>5.0</v>
      </c>
    </row>
    <row r="1859" ht="15.75" customHeight="1">
      <c r="A1859" s="1">
        <v>1961.0</v>
      </c>
      <c r="B1859" s="3" t="s">
        <v>1839</v>
      </c>
      <c r="C1859" s="3" t="str">
        <f>IFERROR(__xludf.DUMMYFUNCTION("GOOGLETRANSLATE(B1859,""id"",""en"")"),"['opened', 'SMS', 'Link', 'just']")</f>
        <v>['opened', 'SMS', 'Link', 'just']</v>
      </c>
      <c r="D1859" s="3">
        <v>3.0</v>
      </c>
    </row>
    <row r="1860" ht="15.75" customHeight="1">
      <c r="A1860" s="1">
        <v>1962.0</v>
      </c>
      <c r="B1860" s="3" t="s">
        <v>1840</v>
      </c>
      <c r="C1860" s="3" t="str">
        <f>IFERROR(__xludf.DUMMYFUNCTION("GOOGLETRANSLATE(B1860,""id"",""en"")"),"['bonus']")</f>
        <v>['bonus']</v>
      </c>
      <c r="D1860" s="3">
        <v>4.0</v>
      </c>
    </row>
    <row r="1861" ht="15.75" customHeight="1">
      <c r="A1861" s="1">
        <v>1963.0</v>
      </c>
      <c r="B1861" s="3" t="s">
        <v>1841</v>
      </c>
      <c r="C1861" s="3" t="str">
        <f>IFERROR(__xludf.DUMMYFUNCTION("GOOGLETRANSLATE(B1861,""id"",""en"")"),"['Helpful', 'buy', 'quota', 'home', 'emergency', 'promo']")</f>
        <v>['Helpful', 'buy', 'quota', 'home', 'emergency', 'promo']</v>
      </c>
      <c r="D1861" s="3">
        <v>5.0</v>
      </c>
    </row>
    <row r="1862" ht="15.75" customHeight="1">
      <c r="A1862" s="1">
        <v>1964.0</v>
      </c>
      <c r="B1862" s="3" t="s">
        <v>1537</v>
      </c>
      <c r="C1862" s="3" t="str">
        <f>IFERROR(__xludf.DUMMYFUNCTION("GOOGLETRANSLATE(B1862,""id"",""en"")"),"['expensive', '']")</f>
        <v>['expensive', '']</v>
      </c>
      <c r="D1862" s="3">
        <v>1.0</v>
      </c>
    </row>
    <row r="1863" ht="15.75" customHeight="1">
      <c r="A1863" s="1">
        <v>1965.0</v>
      </c>
      <c r="B1863" s="3" t="s">
        <v>1842</v>
      </c>
      <c r="C1863" s="3" t="str">
        <f>IFERROR(__xludf.DUMMYFUNCTION("GOOGLETRANSLATE(B1863,""id"",""en"")"),"['Papua', 'network', 'Telkomsel', 'Papua', 'inland', 'ugly', 'signal', 'missing', 'online', 'use', 'wifi', ""]")</f>
        <v>['Papua', 'network', 'Telkomsel', 'Papua', 'inland', 'ugly', 'signal', 'missing', 'online', 'use', 'wifi', "]</v>
      </c>
      <c r="D1863" s="3">
        <v>1.0</v>
      </c>
    </row>
    <row r="1864" ht="15.75" customHeight="1">
      <c r="A1864" s="1">
        <v>1966.0</v>
      </c>
      <c r="B1864" s="3" t="s">
        <v>1843</v>
      </c>
      <c r="C1864" s="3" t="str">
        <f>IFERROR(__xludf.DUMMYFUNCTION("GOOGLETRANSLATE(B1864,""id"",""en"")"),"['TLG', 'EASY', 'GREEN', 'PACKA']")</f>
        <v>['TLG', 'EASY', 'GREEN', 'PACKA']</v>
      </c>
      <c r="D1864" s="3">
        <v>4.0</v>
      </c>
    </row>
    <row r="1865" ht="15.75" customHeight="1">
      <c r="A1865" s="1">
        <v>1967.0</v>
      </c>
      <c r="B1865" s="3" t="s">
        <v>547</v>
      </c>
      <c r="C1865" s="3" t="str">
        <f>IFERROR(__xludf.DUMMYFUNCTION("GOOGLETRANSLATE(B1865,""id"",""en"")"),"['difficult', 'entry']")</f>
        <v>['difficult', 'entry']</v>
      </c>
      <c r="D1865" s="3">
        <v>1.0</v>
      </c>
    </row>
    <row r="1866" ht="15.75" customHeight="1">
      <c r="A1866" s="1">
        <v>1968.0</v>
      </c>
      <c r="B1866" s="3" t="s">
        <v>1844</v>
      </c>
      <c r="C1866" s="3" t="str">
        <f>IFERROR(__xludf.DUMMYFUNCTION("GOOGLETRANSLATE(B1866,""id"",""en"")"),"['Love', 'Aza']")</f>
        <v>['Love', 'Aza']</v>
      </c>
      <c r="D1866" s="3">
        <v>3.0</v>
      </c>
    </row>
    <row r="1867" ht="15.75" customHeight="1">
      <c r="A1867" s="1">
        <v>1969.0</v>
      </c>
      <c r="B1867" s="3" t="s">
        <v>1845</v>
      </c>
      <c r="C1867" s="3" t="str">
        <f>IFERROR(__xludf.DUMMYFUNCTION("GOOGLETRANSLATE(B1867,""id"",""en"")"),"['Take', 'Bonus', 'Check', 'Success', 'Sorry', '']")</f>
        <v>['Take', 'Bonus', 'Check', 'Success', 'Sorry', '']</v>
      </c>
      <c r="D1867" s="3">
        <v>3.0</v>
      </c>
    </row>
    <row r="1868" ht="15.75" customHeight="1">
      <c r="A1868" s="1">
        <v>1970.0</v>
      </c>
      <c r="B1868" s="3" t="s">
        <v>1846</v>
      </c>
      <c r="C1868" s="3" t="str">
        <f>IFERROR(__xludf.DUMMYFUNCTION("GOOGLETRANSLATE(B1868,""id"",""en"")"),"['good', 'tingal', 'select', 'packetan']")</f>
        <v>['good', 'tingal', 'select', 'packetan']</v>
      </c>
      <c r="D1868" s="3">
        <v>5.0</v>
      </c>
    </row>
    <row r="1869" ht="15.75" customHeight="1">
      <c r="A1869" s="1">
        <v>1971.0</v>
      </c>
      <c r="B1869" s="3" t="s">
        <v>1847</v>
      </c>
      <c r="C1869" s="3" t="str">
        <f>IFERROR(__xludf.DUMMYFUNCTION("GOOGLETRANSLATE(B1869,""id"",""en"")"),"['Redem', 'his pants', 'system', 'busy', 'gabisa']")</f>
        <v>['Redem', 'his pants', 'system', 'busy', 'gabisa']</v>
      </c>
      <c r="D1869" s="3">
        <v>5.0</v>
      </c>
    </row>
    <row r="1870" ht="15.75" customHeight="1">
      <c r="A1870" s="1">
        <v>1972.0</v>
      </c>
      <c r="B1870" s="3" t="s">
        <v>1848</v>
      </c>
      <c r="C1870" s="3" t="str">
        <f>IFERROR(__xludf.DUMMYFUNCTION("GOOGLETRANSLATE(B1870,""id"",""en"")"),"['Increases', 'Network', 'remote', '']")</f>
        <v>['Increases', 'Network', 'remote', '']</v>
      </c>
      <c r="D1870" s="3">
        <v>5.0</v>
      </c>
    </row>
    <row r="1871" ht="15.75" customHeight="1">
      <c r="A1871" s="1">
        <v>1973.0</v>
      </c>
      <c r="B1871" s="3" t="s">
        <v>1849</v>
      </c>
      <c r="C1871" s="3" t="str">
        <f>IFERROR(__xludf.DUMMYFUNCTION("GOOGLETRANSLATE(B1871,""id"",""en"")"),"['Bintang', 'Disappointed', 'Trying', 'Indeed', 'Usually', 'Give', 'Sorry', 'Doank', 'Rates',' Ditelkomsel ',' Expensive ',' Looooh ',' ']")</f>
        <v>['Bintang', 'Disappointed', 'Trying', 'Indeed', 'Usually', 'Give', 'Sorry', 'Doank', 'Rates',' Ditelkomsel ',' Expensive ',' Looooh ',' ']</v>
      </c>
      <c r="D1871" s="3">
        <v>1.0</v>
      </c>
    </row>
    <row r="1872" ht="15.75" customHeight="1">
      <c r="A1872" s="1">
        <v>1974.0</v>
      </c>
      <c r="B1872" s="3" t="s">
        <v>1850</v>
      </c>
      <c r="C1872" s="3" t="str">
        <f>IFERROR(__xludf.DUMMYFUNCTION("GOOGLETRANSLATE(B1872,""id"",""en"")"),"['Open', 'Telkomsel', '']")</f>
        <v>['Open', 'Telkomsel', '']</v>
      </c>
      <c r="D1872" s="3">
        <v>3.0</v>
      </c>
    </row>
    <row r="1873" ht="15.75" customHeight="1">
      <c r="A1873" s="1">
        <v>1975.0</v>
      </c>
      <c r="B1873" s="3" t="s">
        <v>1851</v>
      </c>
      <c r="C1873" s="3" t="str">
        <f>IFERROR(__xludf.DUMMYFUNCTION("GOOGLETRANSLATE(B1873,""id"",""en"")"),"['Good', 'knp', 'purchase', 'package', 'different', 'price', 'sympathy']")</f>
        <v>['Good', 'knp', 'purchase', 'package', 'different', 'price', 'sympathy']</v>
      </c>
      <c r="D1873" s="3">
        <v>5.0</v>
      </c>
    </row>
    <row r="1874" ht="15.75" customHeight="1">
      <c r="A1874" s="1">
        <v>1976.0</v>
      </c>
      <c r="B1874" s="3" t="s">
        <v>1852</v>
      </c>
      <c r="C1874" s="3" t="str">
        <f>IFERROR(__xludf.DUMMYFUNCTION("GOOGLETRANSLATE(B1874,""id"",""en"")"),"['Disappointed', 'Telkomsel', 'Network', 'Sousal', 'Weak', 'Disappointed', '']")</f>
        <v>['Disappointed', 'Telkomsel', 'Network', 'Sousal', 'Weak', 'Disappointed', '']</v>
      </c>
      <c r="D1874" s="3">
        <v>1.0</v>
      </c>
    </row>
    <row r="1875" ht="15.75" customHeight="1">
      <c r="A1875" s="1">
        <v>1977.0</v>
      </c>
      <c r="B1875" s="3" t="s">
        <v>1853</v>
      </c>
      <c r="C1875" s="3" t="str">
        <f>IFERROR(__xludf.DUMMYFUNCTION("GOOGLETRANSLATE(B1875,""id"",""en"")"),"['signal', 'good', 'signal', 'strong']")</f>
        <v>['signal', 'good', 'signal', 'strong']</v>
      </c>
      <c r="D1875" s="3">
        <v>2.0</v>
      </c>
    </row>
    <row r="1876" ht="15.75" customHeight="1">
      <c r="A1876" s="1">
        <v>1978.0</v>
      </c>
      <c r="B1876" s="3" t="s">
        <v>1854</v>
      </c>
      <c r="C1876" s="3" t="str">
        <f>IFERROR(__xludf.DUMMYFUNCTION("GOOGLETRANSLATE(B1876,""id"",""en"")"),"['difficult', 'open']")</f>
        <v>['difficult', 'open']</v>
      </c>
      <c r="D1876" s="3">
        <v>2.0</v>
      </c>
    </row>
    <row r="1877" ht="15.75" customHeight="1">
      <c r="A1877" s="1">
        <v>1979.0</v>
      </c>
      <c r="B1877" s="3" t="s">
        <v>1855</v>
      </c>
      <c r="C1877" s="3" t="str">
        <f>IFERROR(__xludf.DUMMYFUNCTION("GOOGLETRANSLATE(B1877,""id"",""en"")"),"['star']")</f>
        <v>['star']</v>
      </c>
      <c r="D1877" s="3">
        <v>4.0</v>
      </c>
    </row>
    <row r="1878" ht="15.75" customHeight="1">
      <c r="A1878" s="1">
        <v>1980.0</v>
      </c>
      <c r="B1878" s="3" t="s">
        <v>1856</v>
      </c>
      <c r="C1878" s="3" t="str">
        <f>IFERROR(__xludf.DUMMYFUNCTION("GOOGLETRANSLATE(B1878,""id"",""en"")"),"['Help', 'at the time', 'need']")</f>
        <v>['Help', 'at the time', 'need']</v>
      </c>
      <c r="D1878" s="3">
        <v>4.0</v>
      </c>
    </row>
    <row r="1879" ht="15.75" customHeight="1">
      <c r="A1879" s="1">
        <v>1981.0</v>
      </c>
      <c r="B1879" s="3" t="s">
        <v>1857</v>
      </c>
      <c r="C1879" s="3" t="str">
        <f>IFERROR(__xludf.DUMMYFUNCTION("GOOGLETRANSLATE(B1879,""id"",""en"")"),"['like']")</f>
        <v>['like']</v>
      </c>
      <c r="D1879" s="3">
        <v>5.0</v>
      </c>
    </row>
    <row r="1880" ht="15.75" customHeight="1">
      <c r="A1880" s="1">
        <v>1982.0</v>
      </c>
      <c r="B1880" s="3" t="s">
        <v>1858</v>
      </c>
      <c r="C1880" s="3" t="str">
        <f>IFERROR(__xludf.DUMMYFUNCTION("GOOGLETRANSLATE(B1880,""id"",""en"")"),"['', 'Fortunately', 'buy', 'package', 'Telkomsel', 'class',' BUMN ',' Signal ',' plump ',' Severe ',' Gaada ',' great ',' Modalin ',' Upgrade ',' Service ',' Upgrade ',' Life ',' Lagging ',' Company ',' Country ',' Wedus', 'Vendor', 'yes',' million ',' co"&amp;"mmunity ', 'Indonesia', 'use', 'Telkomsel', 'buy', 'package', 'minimal', 'thousand', 'gabisa', 'good', 'quality', 'network', 'idiot']")</f>
        <v>['', 'Fortunately', 'buy', 'package', 'Telkomsel', 'class',' BUMN ',' Signal ',' plump ',' Severe ',' Gaada ',' great ',' Modalin ',' Upgrade ',' Service ',' Upgrade ',' Life ',' Lagging ',' Company ',' Country ',' Wedus', 'Vendor', 'yes',' million ',' community ', 'Indonesia', 'use', 'Telkomsel', 'buy', 'package', 'minimal', 'thousand', 'gabisa', 'good', 'quality', 'network', 'idiot']</v>
      </c>
      <c r="D1880" s="3">
        <v>1.0</v>
      </c>
    </row>
    <row r="1881" ht="15.75" customHeight="1">
      <c r="A1881" s="1">
        <v>1983.0</v>
      </c>
      <c r="B1881" s="3" t="s">
        <v>1859</v>
      </c>
      <c r="C1881" s="3" t="str">
        <f>IFERROR(__xludf.DUMMYFUNCTION("GOOGLETRANSLATE(B1881,""id"",""en"")"),"['Non', 'package', 'just', 'getting', 'cut', 'funny', 'times', 'DRTD', 'package', 'cut it']")</f>
        <v>['Non', 'package', 'just', 'getting', 'cut', 'funny', 'times', 'DRTD', 'package', 'cut it']</v>
      </c>
      <c r="D1881" s="3">
        <v>1.0</v>
      </c>
    </row>
    <row r="1882" ht="15.75" customHeight="1">
      <c r="A1882" s="1">
        <v>1984.0</v>
      </c>
      <c r="B1882" s="3" t="s">
        <v>1860</v>
      </c>
      <c r="C1882" s="3" t="str">
        <f>IFERROR(__xludf.DUMMYFUNCTION("GOOGLETRANSLATE(B1882,""id"",""en"")"),"['application', 'krg', 'friendly', 'user', 'hrg', 'package', 'lbh', 'expensive', 'competitor', '']")</f>
        <v>['application', 'krg', 'friendly', 'user', 'hrg', 'package', 'lbh', 'expensive', 'competitor', '']</v>
      </c>
      <c r="D1882" s="3">
        <v>2.0</v>
      </c>
    </row>
    <row r="1883" ht="15.75" customHeight="1">
      <c r="A1883" s="1">
        <v>1985.0</v>
      </c>
      <c r="B1883" s="3" t="s">
        <v>1861</v>
      </c>
      <c r="C1883" s="3" t="str">
        <f>IFERROR(__xludf.DUMMYFUNCTION("GOOGLETRANSLATE(B1883,""id"",""en"")"),"['buy', 'package', 'internet', 'smile']")</f>
        <v>['buy', 'package', 'internet', 'smile']</v>
      </c>
      <c r="D1883" s="3">
        <v>5.0</v>
      </c>
    </row>
    <row r="1884" ht="15.75" customHeight="1">
      <c r="A1884" s="1">
        <v>1986.0</v>
      </c>
      <c r="B1884" s="3" t="s">
        <v>1862</v>
      </c>
      <c r="C1884" s="3" t="str">
        <f>IFERROR(__xludf.DUMMYFUNCTION("GOOGLETRANSLATE(B1884,""id"",""en"")"),"['Telkomsel', 'quota', 'expensive', 'cheap', 'little', 'ngeta', '']")</f>
        <v>['Telkomsel', 'quota', 'expensive', 'cheap', 'little', 'ngeta', '']</v>
      </c>
      <c r="D1884" s="3">
        <v>1.0</v>
      </c>
    </row>
    <row r="1885" ht="15.75" customHeight="1">
      <c r="A1885" s="1">
        <v>1987.0</v>
      </c>
      <c r="B1885" s="3" t="s">
        <v>1863</v>
      </c>
      <c r="C1885" s="3" t="str">
        <f>IFERROR(__xludf.DUMMYFUNCTION("GOOGLETRANSLATE(B1885,""id"",""en"")"),"['Satisfied', 'simple', 'easy', 'Points']")</f>
        <v>['Satisfied', 'simple', 'easy', 'Points']</v>
      </c>
      <c r="D1885" s="3">
        <v>5.0</v>
      </c>
    </row>
    <row r="1886" ht="15.75" customHeight="1">
      <c r="A1886" s="1">
        <v>1988.0</v>
      </c>
      <c r="B1886" s="3" t="s">
        <v>1864</v>
      </c>
      <c r="C1886" s="3" t="str">
        <f>IFERROR(__xludf.DUMMYFUNCTION("GOOGLETRANSLATE(B1886,""id"",""en"")"),"['package', 'internet', 'expensive', 'network', 'good', 'good', '']")</f>
        <v>['package', 'internet', 'expensive', 'network', 'good', 'good', '']</v>
      </c>
      <c r="D1886" s="3">
        <v>1.0</v>
      </c>
    </row>
    <row r="1887" ht="15.75" customHeight="1">
      <c r="A1887" s="1">
        <v>1989.0</v>
      </c>
      <c r="B1887" s="3" t="s">
        <v>1865</v>
      </c>
      <c r="C1887" s="3" t="str">
        <f>IFERROR(__xludf.DUMMYFUNCTION("GOOGLETRANSLATE(B1887,""id"",""en"")"),"['disappointing', 'buy', 'Package', 'Unlimited', 'YouTube', 'Tetep', 'Kekepe', 'Quota', 'Main', 'Credit', 'Out', 'Starts',' turn ',' Veronika ',' answer ',' confirm ',' according to ',' reality ',' please ',' Telkomsel ',' Dear ',' fix ',' buy ',' pulse '"&amp;",' money ' , '']")</f>
        <v>['disappointing', 'buy', 'Package', 'Unlimited', 'YouTube', 'Tetep', 'Kekepe', 'Quota', 'Main', 'Credit', 'Out', 'Starts',' turn ',' Veronika ',' answer ',' confirm ',' according to ',' reality ',' please ',' Telkomsel ',' Dear ',' fix ',' buy ',' pulse ',' money ' , '']</v>
      </c>
      <c r="D1887" s="3">
        <v>1.0</v>
      </c>
    </row>
    <row r="1888" ht="15.75" customHeight="1">
      <c r="A1888" s="1">
        <v>1990.0</v>
      </c>
      <c r="B1888" s="3" t="s">
        <v>1866</v>
      </c>
      <c r="C1888" s="3" t="str">
        <f>IFERROR(__xludf.DUMMYFUNCTION("GOOGLETRANSLATE(B1888,""id"",""en"")"),"['present', '']")</f>
        <v>['present', '']</v>
      </c>
      <c r="D1888" s="3">
        <v>5.0</v>
      </c>
    </row>
    <row r="1889" ht="15.75" customHeight="1">
      <c r="A1889" s="1">
        <v>1991.0</v>
      </c>
      <c r="B1889" s="3" t="s">
        <v>1867</v>
      </c>
      <c r="C1889" s="3" t="str">
        <f>IFERROR(__xludf.DUMMYFUNCTION("GOOGLETRANSLATE(B1889,""id"",""en"")"),"['Please', 'at the level', 'network', 'trim']")</f>
        <v>['Please', 'at the level', 'network', 'trim']</v>
      </c>
      <c r="D1889" s="3">
        <v>5.0</v>
      </c>
    </row>
    <row r="1890" ht="15.75" customHeight="1">
      <c r="A1890" s="1">
        <v>1992.0</v>
      </c>
      <c r="B1890" s="3" t="s">
        <v>1868</v>
      </c>
      <c r="C1890" s="3" t="str">
        <f>IFERROR(__xludf.DUMMYFUNCTION("GOOGLETRANSLATE(B1890,""id"",""en"")"),"['Current', 'Jaya', 'Continue', '']")</f>
        <v>['Current', 'Jaya', 'Continue', '']</v>
      </c>
      <c r="D1890" s="3">
        <v>5.0</v>
      </c>
    </row>
    <row r="1891" ht="15.75" customHeight="1">
      <c r="A1891" s="1">
        <v>1993.0</v>
      </c>
      <c r="B1891" s="3" t="s">
        <v>1869</v>
      </c>
      <c r="C1891" s="3" t="str">
        <f>IFERROR(__xludf.DUMMYFUNCTION("GOOGLETRANSLATE(B1891,""id"",""en"")"),"['Sip', 'quota', 'data', 'cheap']")</f>
        <v>['Sip', 'quota', 'data', 'cheap']</v>
      </c>
      <c r="D1891" s="3">
        <v>5.0</v>
      </c>
    </row>
    <row r="1892" ht="15.75" customHeight="1">
      <c r="A1892" s="1">
        <v>1994.0</v>
      </c>
      <c r="B1892" s="3" t="s">
        <v>1870</v>
      </c>
      <c r="C1892" s="3" t="str">
        <f>IFERROR(__xludf.DUMMYFUNCTION("GOOGLETRANSLATE(B1892,""id"",""en"")"),"['Nga', 'gift', 'quota', 'registrar', 'poor', 'APK', 'Kere']")</f>
        <v>['Nga', 'gift', 'quota', 'registrar', 'poor', 'APK', 'Kere']</v>
      </c>
      <c r="D1892" s="3">
        <v>1.0</v>
      </c>
    </row>
    <row r="1893" ht="15.75" customHeight="1">
      <c r="A1893" s="1">
        <v>1995.0</v>
      </c>
      <c r="B1893" s="3" t="s">
        <v>1871</v>
      </c>
      <c r="C1893" s="3" t="str">
        <f>IFERROR(__xludf.DUMMYFUNCTION("GOOGLETRANSLATE(B1893,""id"",""en"")"),"['Package', 'Combo', 'Sakti', 'knapa', 'ilangin']")</f>
        <v>['Package', 'Combo', 'Sakti', 'knapa', 'ilangin']</v>
      </c>
      <c r="D1893" s="3">
        <v>1.0</v>
      </c>
    </row>
    <row r="1894" ht="15.75" customHeight="1">
      <c r="A1894" s="1">
        <v>1997.0</v>
      </c>
      <c r="B1894" s="3" t="s">
        <v>1872</v>
      </c>
      <c r="C1894" s="3" t="str">
        <f>IFERROR(__xludf.DUMMYFUNCTION("GOOGLETRANSLATE(B1894,""id"",""en"")"),"['Network', 'already', 'steady', 'package', 'expensive']")</f>
        <v>['Network', 'already', 'steady', 'package', 'expensive']</v>
      </c>
      <c r="D1894" s="3">
        <v>3.0</v>
      </c>
    </row>
    <row r="1895" ht="15.75" customHeight="1">
      <c r="A1895" s="1">
        <v>1998.0</v>
      </c>
      <c r="B1895" s="3" t="s">
        <v>1873</v>
      </c>
      <c r="C1895" s="3" t="str">
        <f>IFERROR(__xludf.DUMMYFUNCTION("GOOGLETRANSLATE(B1895,""id"",""en"")"),"['Service', 'as good', 'offered', 'buy', 'package', 'internet', 'click', 'notification', 'processed', 'lost', 'menu', 'package', ' internet ',' moved ',' provider ']")</f>
        <v>['Service', 'as good', 'offered', 'buy', 'package', 'internet', 'click', 'notification', 'processed', 'lost', 'menu', 'package', ' internet ',' moved ',' provider ']</v>
      </c>
      <c r="D1895" s="3">
        <v>1.0</v>
      </c>
    </row>
    <row r="1896" ht="15.75" customHeight="1">
      <c r="A1896" s="1">
        <v>1999.0</v>
      </c>
      <c r="B1896" s="3" t="s">
        <v>1874</v>
      </c>
      <c r="C1896" s="3" t="str">
        <f>IFERROR(__xludf.DUMMYFUNCTION("GOOGLETRANSLATE(B1896,""id"",""en"")"),"['use', 'the card', 'expensive', 'god', 'please', 'lighten', 'price', 'package', 'quota', 'card', 'user', 'bang', ' Pulse ',' Cut ',' Quota ',' Already ',' Registered ',' Telkom ',' Scrolling ',' Fill ',' Wallet ', ""]")</f>
        <v>['use', 'the card', 'expensive', 'god', 'please', 'lighten', 'price', 'package', 'quota', 'card', 'user', 'bang', ' Pulse ',' Cut ',' Quota ',' Already ',' Registered ',' Telkom ',' Scrolling ',' Fill ',' Wallet ', "]</v>
      </c>
      <c r="D1896" s="3">
        <v>1.0</v>
      </c>
    </row>
    <row r="1897" ht="15.75" customHeight="1">
      <c r="A1897" s="1">
        <v>2001.0</v>
      </c>
      <c r="B1897" s="3" t="s">
        <v>1875</v>
      </c>
      <c r="C1897" s="3" t="str">
        <f>IFERROR(__xludf.DUMMYFUNCTION("GOOGLETRANSLATE(B1897,""id"",""en"")"),"['Good', 'easy', 'hopefully', 'package', 'combony', 'fair', 'deh']")</f>
        <v>['Good', 'easy', 'hopefully', 'package', 'combony', 'fair', 'deh']</v>
      </c>
      <c r="D1897" s="3">
        <v>2.0</v>
      </c>
    </row>
    <row r="1898" ht="15.75" customHeight="1">
      <c r="A1898" s="1">
        <v>2002.0</v>
      </c>
      <c r="B1898" s="3" t="s">
        <v>1876</v>
      </c>
      <c r="C1898" s="3" t="str">
        <f>IFERROR(__xludf.DUMMYFUNCTION("GOOGLETRANSLATE(B1898,""id"",""en"")"),"['Shirts',' Event ',' Ngilak ',' just ',' BLI ',' Package ',' Data ',' Point ',' Have ',' Pay ',' Then ',' Contents', ' pulses', 'then', 'points',' enter ',' right ',' tuker ',' package ',' data ',' mlah ',' sorry ',' leftover ',' pulse ',' mader ' , 'Pak"&amp;"merrr', 'MEN', '']")</f>
        <v>['Shirts',' Event ',' Ngilak ',' just ',' BLI ',' Package ',' Data ',' Point ',' Have ',' Pay ',' Then ',' Contents', ' pulses', 'then', 'points',' enter ',' right ',' tuker ',' package ',' data ',' mlah ',' sorry ',' leftover ',' pulse ',' mader ' , 'Pakmerrr', 'MEN', '']</v>
      </c>
      <c r="D1898" s="3">
        <v>1.0</v>
      </c>
    </row>
    <row r="1899" ht="15.75" customHeight="1">
      <c r="A1899" s="1">
        <v>2003.0</v>
      </c>
      <c r="B1899" s="3" t="s">
        <v>1877</v>
      </c>
      <c r="C1899" s="3" t="str">
        <f>IFERROR(__xludf.DUMMYFUNCTION("GOOGLETRANSLATE(B1899,""id"",""en"")"),"['The application', 'SNGT', 'mnguntungkn', 'Slain', 'promo', 'mrh', 'mndptkn', 'ksmptn', 'mndptkn', 'hdiah', ""]")</f>
        <v>['The application', 'SNGT', 'mnguntungkn', 'Slain', 'promo', 'mrh', 'mndptkn', 'ksmptn', 'mndptkn', 'hdiah', "]</v>
      </c>
      <c r="D1899" s="3">
        <v>5.0</v>
      </c>
    </row>
    <row r="1900" ht="15.75" customHeight="1">
      <c r="A1900" s="1">
        <v>2004.0</v>
      </c>
      <c r="B1900" s="3" t="s">
        <v>1878</v>
      </c>
      <c r="C1900" s="3" t="str">
        <f>IFERROR(__xludf.DUMMYFUNCTION("GOOGLETRANSLATE(B1900,""id"",""en"")"),"['apk', 'nyak', 'bikes']")</f>
        <v>['apk', 'nyak', 'bikes']</v>
      </c>
      <c r="D1900" s="3">
        <v>5.0</v>
      </c>
    </row>
    <row r="1901" ht="15.75" customHeight="1">
      <c r="A1901" s="1">
        <v>2005.0</v>
      </c>
      <c r="B1901" s="3" t="s">
        <v>1879</v>
      </c>
      <c r="C1901" s="3" t="str">
        <f>IFERROR(__xludf.DUMMYFUNCTION("GOOGLETRANSLATE(B1901,""id"",""en"")"),"['Thank you', 'Telkomsel', 'package', 'expensive', 'times',' card ',' slow ',' expensive ',' price ',' I think ',' package ',' expensive ',' I bought ',' use ',' brain ',' slow ',' expensive ',' package ',' useful ',' loss', 'devil', 'luck', 'devil', 'pak"&amp;"ek', 'your brain' , '']")</f>
        <v>['Thank you', 'Telkomsel', 'package', 'expensive', 'times',' card ',' slow ',' expensive ',' price ',' I think ',' package ',' expensive ',' I bought ',' use ',' brain ',' slow ',' expensive ',' package ',' useful ',' loss', 'devil', 'luck', 'devil', 'pakek', 'your brain' , '']</v>
      </c>
      <c r="D1901" s="3">
        <v>1.0</v>
      </c>
    </row>
    <row r="1902" ht="15.75" customHeight="1">
      <c r="A1902" s="1">
        <v>2006.0</v>
      </c>
      <c r="B1902" s="3" t="s">
        <v>1880</v>
      </c>
      <c r="C1902" s="3" t="str">
        <f>IFERROR(__xludf.DUMMYFUNCTION("GOOGLETRANSLATE(B1902,""id"",""en"")"),"['Network', 'like', 'ilang', 'sudden', 'call', 'operator', 'answer', 'so', 'mulu', 'bored', 'repair', 'special', ' Lampung ',' North ',' Please ',' Fix ',' Fast ',' Gini ',' Move ',' Perdana ',' Thank you ']")</f>
        <v>['Network', 'like', 'ilang', 'sudden', 'call', 'operator', 'answer', 'so', 'mulu', 'bored', 'repair', 'special', ' Lampung ',' North ',' Please ',' Fix ',' Fast ',' Gini ',' Move ',' Perdana ',' Thank you ']</v>
      </c>
      <c r="D1902" s="3">
        <v>1.0</v>
      </c>
    </row>
    <row r="1903" ht="15.75" customHeight="1">
      <c r="A1903" s="1">
        <v>2007.0</v>
      </c>
      <c r="B1903" s="3" t="s">
        <v>1881</v>
      </c>
      <c r="C1903" s="3" t="str">
        <f>IFERROR(__xludf.DUMMYFUNCTION("GOOGLETRANSLATE(B1903,""id"",""en"")"),"['buy', 'package', 'internet', 'expensive', 'expensive', 'network', 'slow', 'kayak', 'taik', 'used', 'quota', 'kesallll', ' ']")</f>
        <v>['buy', 'package', 'internet', 'expensive', 'expensive', 'network', 'slow', 'kayak', 'taik', 'used', 'quota', 'kesallll', ' ']</v>
      </c>
      <c r="D1903" s="3">
        <v>1.0</v>
      </c>
    </row>
    <row r="1904" ht="15.75" customHeight="1">
      <c r="A1904" s="1">
        <v>2008.0</v>
      </c>
      <c r="B1904" s="3" t="s">
        <v>1882</v>
      </c>
      <c r="C1904" s="3" t="str">
        <f>IFERROR(__xludf.DUMMYFUNCTION("GOOGLETRANSLATE(B1904,""id"",""en"")"),"['Paketan', 'Super', 'expensive', 'ehh', 'buy', 'quota', 'direct', 'slow', 'severe', 'cave', 'suggest', 'mending', ' close ',' company ',' gegara ',' cave ',' destroyed ',' play ',' game ',' company ',' best-selling ',' bangs', 'wtf', '']")</f>
        <v>['Paketan', 'Super', 'expensive', 'ehh', 'buy', 'quota', 'direct', 'slow', 'severe', 'cave', 'suggest', 'mending', ' close ',' company ',' gegara ',' cave ',' destroyed ',' play ',' game ',' company ',' best-selling ',' bangs', 'wtf', '']</v>
      </c>
      <c r="D1904" s="3">
        <v>1.0</v>
      </c>
    </row>
    <row r="1905" ht="15.75" customHeight="1">
      <c r="A1905" s="1">
        <v>2009.0</v>
      </c>
      <c r="B1905" s="3" t="s">
        <v>1883</v>
      </c>
      <c r="C1905" s="3" t="str">
        <f>IFERROR(__xludf.DUMMYFUNCTION("GOOGLETRANSLATE(B1905,""id"",""en"")"),"['Masok', 'Tuo', 'APL', 'Manep']")</f>
        <v>['Masok', 'Tuo', 'APL', 'Manep']</v>
      </c>
      <c r="D1905" s="3">
        <v>5.0</v>
      </c>
    </row>
    <row r="1906" ht="15.75" customHeight="1">
      <c r="A1906" s="1">
        <v>2010.0</v>
      </c>
      <c r="B1906" s="3" t="s">
        <v>1884</v>
      </c>
      <c r="C1906" s="3" t="str">
        <f>IFERROR(__xludf.DUMMYFUNCTION("GOOGLETRANSLATE(B1906,""id"",""en"")"),"['APK', 'good', 'really']")</f>
        <v>['APK', 'good', 'really']</v>
      </c>
      <c r="D1906" s="3">
        <v>5.0</v>
      </c>
    </row>
    <row r="1907" ht="15.75" customHeight="1">
      <c r="A1907" s="1">
        <v>2011.0</v>
      </c>
      <c r="B1907" s="3" t="s">
        <v>1885</v>
      </c>
      <c r="C1907" s="3" t="str">
        <f>IFERROR(__xludf.DUMMYFUNCTION("GOOGLETRANSLATE(B1907,""id"",""en"")"),"['price', 'relative', 'expensive', 'sometimes', 'network', 'slow']")</f>
        <v>['price', 'relative', 'expensive', 'sometimes', 'network', 'slow']</v>
      </c>
      <c r="D1907" s="3">
        <v>1.0</v>
      </c>
    </row>
    <row r="1908" ht="15.75" customHeight="1">
      <c r="A1908" s="1">
        <v>2012.0</v>
      </c>
      <c r="B1908" s="3" t="s">
        <v>1886</v>
      </c>
      <c r="C1908" s="3" t="str">
        <f>IFERROR(__xludf.DUMMYFUNCTION("GOOGLETRANSLATE(B1908,""id"",""en"")"),"['Kaish', 'cave', 'free']")</f>
        <v>['Kaish', 'cave', 'free']</v>
      </c>
      <c r="D1908" s="3">
        <v>4.0</v>
      </c>
    </row>
    <row r="1909" ht="15.75" customHeight="1">
      <c r="A1909" s="1">
        <v>2013.0</v>
      </c>
      <c r="B1909" s="3" t="s">
        <v>1887</v>
      </c>
      <c r="C1909" s="3" t="str">
        <f>IFERROR(__xludf.DUMMYFUNCTION("GOOGLETRANSLATE(B1909,""id"",""en"")"),"['Telkomsel', 'heart', 'hope', 'TTAP', 'Jaya']")</f>
        <v>['Telkomsel', 'heart', 'hope', 'TTAP', 'Jaya']</v>
      </c>
      <c r="D1909" s="3">
        <v>5.0</v>
      </c>
    </row>
    <row r="1910" ht="15.75" customHeight="1">
      <c r="A1910" s="1">
        <v>2014.0</v>
      </c>
      <c r="B1910" s="3" t="s">
        <v>1888</v>
      </c>
      <c r="C1910" s="3" t="str">
        <f>IFERROR(__xludf.DUMMYFUNCTION("GOOGLETRANSLATE(B1910,""id"",""en"")"),"['Help', 'Thank you', ""]")</f>
        <v>['Help', 'Thank you', "]</v>
      </c>
      <c r="D1910" s="3">
        <v>4.0</v>
      </c>
    </row>
    <row r="1911" ht="15.75" customHeight="1">
      <c r="A1911" s="1">
        <v>2015.0</v>
      </c>
      <c r="B1911" s="3" t="s">
        <v>1889</v>
      </c>
      <c r="C1911" s="3" t="str">
        <f>IFERROR(__xludf.DUMMYFUNCTION("GOOGLETRANSLATE(B1911,""id"",""en"")"),"['idiot', 'package', 'doang', 'expensive', 'signal', 'slow']")</f>
        <v>['idiot', 'package', 'doang', 'expensive', 'signal', 'slow']</v>
      </c>
      <c r="D1911" s="3">
        <v>1.0</v>
      </c>
    </row>
    <row r="1912" ht="15.75" customHeight="1">
      <c r="A1912" s="1">
        <v>2016.0</v>
      </c>
      <c r="B1912" s="3" t="s">
        <v>1890</v>
      </c>
      <c r="C1912" s="3" t="str">
        <f>IFERROR(__xludf.DUMMYFUNCTION("GOOGLETRANSLATE(B1912,""id"",""en"")"),"['Knpa', 'malem', 'malem', 'lag', 'ajgggggg', 'mentang', 'malem', 'week', 'lag', 'bet', 'dahhhhhhhhhhhhhhhhhhhhhhhhhhhhhhhhhhhhhhhhhhhhhhhhhhhhhhhhhhhhhhhhh")</f>
        <v>['Knpa', 'malem', 'malem', 'lag', 'ajgggggg', 'mentang', 'malem', 'week', 'lag', 'bet', 'dahhhhhhhhhhhhhhhhhhhhhhhhhhhhhhhhhhhhhhhhhhhhhhhhhhhhhhhhhhhhhhhhh</v>
      </c>
      <c r="D1912" s="3">
        <v>1.0</v>
      </c>
    </row>
    <row r="1913" ht="15.75" customHeight="1">
      <c r="A1913" s="1">
        <v>2017.0</v>
      </c>
      <c r="B1913" s="3" t="s">
        <v>1891</v>
      </c>
      <c r="C1913" s="3" t="str">
        <f>IFERROR(__xludf.DUMMYFUNCTION("GOOGLETRANSLATE(B1913,""id"",""en"")"),"['Cheerful', 'Rb', 'Failed', 'Min', 'Disable']")</f>
        <v>['Cheerful', 'Rb', 'Failed', 'Min', 'Disable']</v>
      </c>
      <c r="D1913" s="3">
        <v>2.0</v>
      </c>
    </row>
    <row r="1914" ht="15.75" customHeight="1">
      <c r="A1914" s="1">
        <v>2018.0</v>
      </c>
      <c r="B1914" s="3" t="s">
        <v>1892</v>
      </c>
      <c r="C1914" s="3" t="str">
        <f>IFERROR(__xludf.DUMMYFUNCTION("GOOGLETRANSLATE(B1914,""id"",""en"")"),"['Satisfied', 'Telkomsel', 'tauety', 'slow', 'promo', 'bonus', 'multiply']")</f>
        <v>['Satisfied', 'Telkomsel', 'tauety', 'slow', 'promo', 'bonus', 'multiply']</v>
      </c>
      <c r="D1914" s="3">
        <v>5.0</v>
      </c>
    </row>
    <row r="1915" ht="15.75" customHeight="1">
      <c r="A1915" s="1">
        <v>2019.0</v>
      </c>
      <c r="B1915" s="3" t="s">
        <v>1893</v>
      </c>
      <c r="C1915" s="3" t="str">
        <f>IFERROR(__xludf.DUMMYFUNCTION("GOOGLETRANSLATE(B1915,""id"",""en"")"),"['Bismillah', 'wanted', 'mubil', 'tdak', 'driving']")</f>
        <v>['Bismillah', 'wanted', 'mubil', 'tdak', 'driving']</v>
      </c>
      <c r="D1915" s="3">
        <v>5.0</v>
      </c>
    </row>
    <row r="1916" ht="15.75" customHeight="1">
      <c r="A1916" s="1">
        <v>2021.0</v>
      </c>
      <c r="B1916" s="3" t="s">
        <v>1894</v>
      </c>
      <c r="C1916" s="3" t="str">
        <f>IFERROR(__xludf.DUMMYFUNCTION("GOOGLETRANSLATE(B1916,""id"",""en"")"),"['Kasi', 'suggestion', 'network', 'like', 'down', 'mending', 'collapsed', 'price', 'kouta', 'expensive', 'buy', 'kouta', ' quality ',' network ',' like ',' down ',' ']")</f>
        <v>['Kasi', 'suggestion', 'network', 'like', 'down', 'mending', 'collapsed', 'price', 'kouta', 'expensive', 'buy', 'kouta', ' quality ',' network ',' like ',' down ',' ']</v>
      </c>
      <c r="D1916" s="3">
        <v>1.0</v>
      </c>
    </row>
    <row r="1917" ht="15.75" customHeight="1">
      <c r="A1917" s="1">
        <v>2022.0</v>
      </c>
      <c r="B1917" s="3" t="s">
        <v>1895</v>
      </c>
      <c r="C1917" s="3" t="str">
        <f>IFERROR(__xludf.DUMMYFUNCTION("GOOGLETRANSLATE(B1917,""id"",""en"")"),"['Thank you', 'Internet', 'Free', 'Telkomsel']")</f>
        <v>['Thank you', 'Internet', 'Free', 'Telkomsel']</v>
      </c>
      <c r="D1917" s="3">
        <v>5.0</v>
      </c>
    </row>
    <row r="1918" ht="15.75" customHeight="1">
      <c r="A1918" s="1">
        <v>2023.0</v>
      </c>
      <c r="B1918" s="3" t="s">
        <v>1896</v>
      </c>
      <c r="C1918" s="3" t="str">
        <f>IFERROR(__xludf.DUMMYFUNCTION("GOOGLETRANSLATE(B1918,""id"",""en"")"),"['Love', 'Star', 'GMN', 'The application', 'petrified']")</f>
        <v>['Love', 'Star', 'GMN', 'The application', 'petrified']</v>
      </c>
      <c r="D1918" s="3">
        <v>4.0</v>
      </c>
    </row>
    <row r="1919" ht="15.75" customHeight="1">
      <c r="A1919" s="1">
        <v>2024.0</v>
      </c>
      <c r="B1919" s="3" t="s">
        <v>1897</v>
      </c>
      <c r="C1919" s="3" t="str">
        <f>IFERROR(__xludf.DUMMYFUNCTION("GOOGLETRANSLATE(B1919,""id"",""en"")"),"['signal', 'Astaghfirullah', ""]")</f>
        <v>['signal', 'Astaghfirullah', "]</v>
      </c>
      <c r="D1919" s="3">
        <v>1.0</v>
      </c>
    </row>
    <row r="1920" ht="15.75" customHeight="1">
      <c r="A1920" s="1">
        <v>2025.0</v>
      </c>
      <c r="B1920" s="3" t="s">
        <v>1898</v>
      </c>
      <c r="C1920" s="3" t="str">
        <f>IFERROR(__xludf.DUMMYFUNCTION("GOOGLETRANSLATE(B1920,""id"",""en"")"),"['Device', 'ALAlu', 'Force', 'Stop', 'Kah', 'Access', 'Fix', 'please']")</f>
        <v>['Device', 'ALAlu', 'Force', 'Stop', 'Kah', 'Access', 'Fix', 'please']</v>
      </c>
      <c r="D1920" s="3">
        <v>1.0</v>
      </c>
    </row>
    <row r="1921" ht="15.75" customHeight="1">
      <c r="A1921" s="1">
        <v>2026.0</v>
      </c>
      <c r="B1921" s="3" t="s">
        <v>1899</v>
      </c>
      <c r="C1921" s="3" t="str">
        <f>IFERROR(__xludf.DUMMYFUNCTION("GOOGLETRANSLATE(B1921,""id"",""en"")"),"['Please', 'signal', 'Telkomsel', 'bad', ""]")</f>
        <v>['Please', 'signal', 'Telkomsel', 'bad', "]</v>
      </c>
      <c r="D1921" s="3">
        <v>1.0</v>
      </c>
    </row>
    <row r="1922" ht="15.75" customHeight="1">
      <c r="A1922" s="1">
        <v>2027.0</v>
      </c>
      <c r="B1922" s="3" t="s">
        <v>1900</v>
      </c>
      <c r="C1922" s="3" t="str">
        <f>IFERROR(__xludf.DUMMYFUNCTION("GOOGLETRANSLATE(B1922,""id"",""en"")"),"['quota', 'pretentious', 'pretentious', 'expensive', 'network', 'guard']")</f>
        <v>['quota', 'pretentious', 'pretentious', 'expensive', 'network', 'guard']</v>
      </c>
      <c r="D1922" s="3">
        <v>1.0</v>
      </c>
    </row>
    <row r="1923" ht="15.75" customHeight="1">
      <c r="A1923" s="1">
        <v>2028.0</v>
      </c>
      <c r="B1923" s="3" t="s">
        <v>1901</v>
      </c>
      <c r="C1923" s="3" t="str">
        <f>IFERROR(__xludf.DUMMYFUNCTION("GOOGLETRANSLATE(B1923,""id"",""en"")"),"['App', 'makes it easier', 'purchase', 'package', 'pulse']")</f>
        <v>['App', 'makes it easier', 'purchase', 'package', 'pulse']</v>
      </c>
      <c r="D1923" s="3">
        <v>5.0</v>
      </c>
    </row>
    <row r="1924" ht="15.75" customHeight="1">
      <c r="A1924" s="1">
        <v>2029.0</v>
      </c>
      <c r="B1924" s="3" t="s">
        <v>1902</v>
      </c>
      <c r="C1924" s="3" t="str">
        <f>IFERROR(__xludf.DUMMYFUNCTION("GOOGLETRANSLATE(B1924,""id"",""en"")"),"['Telkomsel', 'ing', 'expensive', 'lemotttttt', 'Telkomsel', 'poor', 'child', 'baby']")</f>
        <v>['Telkomsel', 'ing', 'expensive', 'lemotttttt', 'Telkomsel', 'poor', 'child', 'baby']</v>
      </c>
      <c r="D1924" s="3">
        <v>1.0</v>
      </c>
    </row>
    <row r="1925" ht="15.75" customHeight="1">
      <c r="A1925" s="1">
        <v>2030.0</v>
      </c>
      <c r="B1925" s="3" t="s">
        <v>1903</v>
      </c>
      <c r="C1925" s="3" t="str">
        <f>IFERROR(__xludf.DUMMYFUNCTION("GOOGLETRANSLATE(B1925,""id"",""en"")"),"['Woy', 'Telkomsel', 'quota', 'contents',' run out ',' rates', 'normal', 'see', 'youtube', 'broke', 'send', 'video', ' skrg ',' good ',' smartfren ',' good ',' klu ',' star ',' star ',' minus', 'love', '']")</f>
        <v>['Woy', 'Telkomsel', 'quota', 'contents',' run out ',' rates', 'normal', 'see', 'youtube', 'broke', 'send', 'video', ' skrg ',' good ',' smartfren ',' good ',' klu ',' star ',' star ',' minus', 'love', '']</v>
      </c>
      <c r="D1925" s="3">
        <v>1.0</v>
      </c>
    </row>
    <row r="1926" ht="15.75" customHeight="1">
      <c r="A1926" s="1">
        <v>2031.0</v>
      </c>
      <c r="B1926" s="3" t="s">
        <v>1904</v>
      </c>
      <c r="C1926" s="3" t="str">
        <f>IFERROR(__xludf.DUMMYFUNCTION("GOOGLETRANSLATE(B1926,""id"",""en"")"),"['Update', 'Android', 'Application', 'Lost', 'Install']")</f>
        <v>['Update', 'Android', 'Application', 'Lost', 'Install']</v>
      </c>
      <c r="D1926" s="3">
        <v>1.0</v>
      </c>
    </row>
    <row r="1927" ht="15.75" customHeight="1">
      <c r="A1927" s="1">
        <v>2032.0</v>
      </c>
      <c r="B1927" s="3" t="s">
        <v>1905</v>
      </c>
      <c r="C1927" s="3" t="str">
        <f>IFERROR(__xludf.DUMMYFUNCTION("GOOGLETRANSLATE(B1927,""id"",""en"")"),"['Opened', 'blank', 'APK']")</f>
        <v>['Opened', 'blank', 'APK']</v>
      </c>
      <c r="D1927" s="3">
        <v>1.0</v>
      </c>
    </row>
    <row r="1928" ht="15.75" customHeight="1">
      <c r="A1928" s="1">
        <v>2033.0</v>
      </c>
      <c r="B1928" s="3" t="s">
        <v>1906</v>
      </c>
      <c r="C1928" s="3" t="str">
        <f>IFERROR(__xludf.DUMMYFUNCTION("GOOGLETRANSLATE(B1928,""id"",""en"")"),"['send', 'sms', 'annoying']")</f>
        <v>['send', 'sms', 'annoying']</v>
      </c>
      <c r="D1928" s="3">
        <v>2.0</v>
      </c>
    </row>
    <row r="1929" ht="15.75" customHeight="1">
      <c r="A1929" s="1">
        <v>2034.0</v>
      </c>
      <c r="B1929" s="3" t="s">
        <v>1907</v>
      </c>
      <c r="C1929" s="3" t="str">
        <f>IFERROR(__xludf.DUMMYFUNCTION("GOOGLETRANSLATE(B1929,""id"",""en"")"),"['Credit', 'like', 'truncated', 'NGK', 'Reduced', 'Credit', 'NGK']")</f>
        <v>['Credit', 'like', 'truncated', 'NGK', 'Reduced', 'Credit', 'NGK']</v>
      </c>
      <c r="D1929" s="3">
        <v>1.0</v>
      </c>
    </row>
    <row r="1930" ht="15.75" customHeight="1">
      <c r="A1930" s="1">
        <v>2035.0</v>
      </c>
      <c r="B1930" s="3" t="s">
        <v>1908</v>
      </c>
      <c r="C1930" s="3" t="str">
        <f>IFERROR(__xludf.DUMMYFUNCTION("GOOGLETRANSLATE(B1930,""id"",""en"")"),"['Application', 'promo', 'package', 'expensive', 'lgi', 'ease', 'klau', 'download']")</f>
        <v>['Application', 'promo', 'package', 'expensive', 'lgi', 'ease', 'klau', 'download']</v>
      </c>
      <c r="D1930" s="3">
        <v>1.0</v>
      </c>
    </row>
    <row r="1931" ht="15.75" customHeight="1">
      <c r="A1931" s="1">
        <v>2036.0</v>
      </c>
      <c r="B1931" s="3" t="s">
        <v>1909</v>
      </c>
      <c r="C1931" s="3" t="str">
        <f>IFERROR(__xludf.DUMMYFUNCTION("GOOGLETRANSLATE(B1931,""id"",""en"")"),"['bnyakin', 'promo', 'quota', 'min']")</f>
        <v>['bnyakin', 'promo', 'quota', 'min']</v>
      </c>
      <c r="D1931" s="3">
        <v>5.0</v>
      </c>
    </row>
    <row r="1932" ht="15.75" customHeight="1">
      <c r="A1932" s="1">
        <v>2037.0</v>
      </c>
      <c r="B1932" s="3" t="s">
        <v>1910</v>
      </c>
      <c r="C1932" s="3" t="str">
        <f>IFERROR(__xludf.DUMMYFUNCTION("GOOGLETRANSLATE(B1932,""id"",""en"")"),"['APK', 'Simple', 'really', 'buy', 'Package', 'Ribet', '']")</f>
        <v>['APK', 'Simple', 'really', 'buy', 'Package', 'Ribet', '']</v>
      </c>
      <c r="D1932" s="3">
        <v>5.0</v>
      </c>
    </row>
    <row r="1933" ht="15.75" customHeight="1">
      <c r="A1933" s="1">
        <v>2038.0</v>
      </c>
      <c r="B1933" s="3" t="s">
        <v>1911</v>
      </c>
      <c r="C1933" s="3" t="str">
        <f>IFERROR(__xludf.DUMMYFUNCTION("GOOGLETRANSLATE(B1933,""id"",""en"")"),"['package', 'data', 'expensive']")</f>
        <v>['package', 'data', 'expensive']</v>
      </c>
      <c r="D1933" s="3">
        <v>3.0</v>
      </c>
    </row>
    <row r="1934" ht="15.75" customHeight="1">
      <c r="A1934" s="1">
        <v>2039.0</v>
      </c>
      <c r="B1934" s="3" t="s">
        <v>1912</v>
      </c>
      <c r="C1934" s="3" t="str">
        <f>IFERROR(__xludf.DUMMYFUNCTION("GOOGLETRANSLATE(B1934,""id"",""en"")"),"['Telkom', 'signal', 'ugly', '']")</f>
        <v>['Telkom', 'signal', 'ugly', '']</v>
      </c>
      <c r="D1934" s="3">
        <v>1.0</v>
      </c>
    </row>
    <row r="1935" ht="15.75" customHeight="1">
      <c r="A1935" s="1">
        <v>2040.0</v>
      </c>
      <c r="B1935" s="3" t="s">
        <v>1913</v>
      </c>
      <c r="C1935" s="3" t="str">
        <f>IFERROR(__xludf.DUMMYFUNCTION("GOOGLETRANSLATE(B1935,""id"",""en"")"),"['', 'package', 'price', 'expensive', 'signal', 'stable', 'ngeta']")</f>
        <v>['', 'package', 'price', 'expensive', 'signal', 'stable', 'ngeta']</v>
      </c>
      <c r="D1935" s="3">
        <v>1.0</v>
      </c>
    </row>
    <row r="1936" ht="15.75" customHeight="1">
      <c r="A1936" s="1">
        <v>2041.0</v>
      </c>
      <c r="B1936" s="3" t="s">
        <v>1914</v>
      </c>
      <c r="C1936" s="3" t="str">
        <f>IFERROR(__xludf.DUMMYFUNCTION("GOOGLETRANSLATE(B1936,""id"",""en"")"),"['poor', 'buy', 'package', 'unlimited', 'youtube', 'a week', 'opened']")</f>
        <v>['poor', 'buy', 'package', 'unlimited', 'youtube', 'a week', 'opened']</v>
      </c>
      <c r="D1936" s="3">
        <v>1.0</v>
      </c>
    </row>
    <row r="1937" ht="15.75" customHeight="1">
      <c r="A1937" s="1">
        <v>2042.0</v>
      </c>
      <c r="B1937" s="3" t="s">
        <v>1915</v>
      </c>
      <c r="C1937" s="3" t="str">
        <f>IFERROR(__xludf.DUMMYFUNCTION("GOOGLETRANSLATE(B1937,""id"",""en"")"),"['Thank you', 'Telkomsel', 'Easy', 'Check', 'Package']")</f>
        <v>['Thank you', 'Telkomsel', 'Easy', 'Check', 'Package']</v>
      </c>
      <c r="D1937" s="3">
        <v>5.0</v>
      </c>
    </row>
    <row r="1938" ht="15.75" customHeight="1">
      <c r="A1938" s="1">
        <v>2043.0</v>
      </c>
      <c r="B1938" s="3" t="s">
        <v>1916</v>
      </c>
      <c r="C1938" s="3" t="str">
        <f>IFERROR(__xludf.DUMMYFUNCTION("GOOGLETRANSLATE(B1938,""id"",""en"")"),"['Delicious', 'darling', 'expensive', 'package']")</f>
        <v>['Delicious', 'darling', 'expensive', 'package']</v>
      </c>
      <c r="D1938" s="3">
        <v>4.0</v>
      </c>
    </row>
    <row r="1939" ht="15.75" customHeight="1">
      <c r="A1939" s="1">
        <v>2044.0</v>
      </c>
      <c r="B1939" s="3" t="s">
        <v>1917</v>
      </c>
      <c r="C1939" s="3" t="str">
        <f>IFERROR(__xludf.DUMMYFUNCTION("GOOGLETRANSLATE(B1939,""id"",""en"")"),"['signal', 'Wonogiri', 'ugly', 'really', 'disconnected']")</f>
        <v>['signal', 'Wonogiri', 'ugly', 'really', 'disconnected']</v>
      </c>
      <c r="D1939" s="3">
        <v>5.0</v>
      </c>
    </row>
    <row r="1940" ht="15.75" customHeight="1">
      <c r="A1940" s="1">
        <v>2045.0</v>
      </c>
      <c r="B1940" s="3" t="s">
        <v>1918</v>
      </c>
      <c r="C1940" s="3" t="str">
        <f>IFERROR(__xludf.DUMMYFUNCTION("GOOGLETRANSLATE(B1940,""id"",""en"")"),"['Signal', 'Severe', '']")</f>
        <v>['Signal', 'Severe', '']</v>
      </c>
      <c r="D1940" s="3">
        <v>1.0</v>
      </c>
    </row>
    <row r="1941" ht="15.75" customHeight="1">
      <c r="A1941" s="1">
        <v>2046.0</v>
      </c>
      <c r="B1941" s="3" t="s">
        <v>1919</v>
      </c>
      <c r="C1941" s="3" t="str">
        <f>IFERROR(__xludf.DUMMYFUNCTION("GOOGLETRANSLATE(B1941,""id"",""en"")"),"['Service', 'Telkomsel', 'Improved', 'Harahap', 'Increases', ""]")</f>
        <v>['Service', 'Telkomsel', 'Improved', 'Harahap', 'Increases', "]</v>
      </c>
      <c r="D1941" s="3">
        <v>5.0</v>
      </c>
    </row>
    <row r="1942" ht="15.75" customHeight="1">
      <c r="A1942" s="1">
        <v>2047.0</v>
      </c>
      <c r="B1942" s="3" t="s">
        <v>1920</v>
      </c>
      <c r="C1942" s="3" t="str">
        <f>IFERROR(__xludf.DUMMYFUNCTION("GOOGLETRANSLATE(B1942,""id"",""en"")"),"['Lemot', 'bro']")</f>
        <v>['Lemot', 'bro']</v>
      </c>
      <c r="D1942" s="3">
        <v>1.0</v>
      </c>
    </row>
    <row r="1943" ht="15.75" customHeight="1">
      <c r="A1943" s="1">
        <v>2048.0</v>
      </c>
      <c r="B1943" s="3" t="s">
        <v>1921</v>
      </c>
      <c r="C1943" s="3" t="str">
        <f>IFERROR(__xludf.DUMMYFUNCTION("GOOGLETRANSLATE(B1943,""id"",""en"")"),"['', 'Network', 'Bener', 'Napa', 'Tabok', 'face', 'already', 'quota', 'expensive', 'network', 'BURIK', 'emang', 'pigs' ']")</f>
        <v>['', 'Network', 'Bener', 'Napa', 'Tabok', 'face', 'already', 'quota', 'expensive', 'network', 'BURIK', 'emang', 'pigs' ']</v>
      </c>
      <c r="D1943" s="3">
        <v>1.0</v>
      </c>
    </row>
    <row r="1944" ht="15.75" customHeight="1">
      <c r="A1944" s="1">
        <v>2049.0</v>
      </c>
      <c r="B1944" s="3" t="s">
        <v>1922</v>
      </c>
      <c r="C1944" s="3" t="str">
        <f>IFERROR(__xludf.DUMMYFUNCTION("GOOGLETRANSLATE(B1944,""id"",""en"")"),"['Forward', 'Terips', 'Telkomsel']")</f>
        <v>['Forward', 'Terips', 'Telkomsel']</v>
      </c>
      <c r="D1944" s="3">
        <v>5.0</v>
      </c>
    </row>
    <row r="1945" ht="15.75" customHeight="1">
      <c r="A1945" s="1">
        <v>2050.0</v>
      </c>
      <c r="B1945" s="3" t="s">
        <v>1923</v>
      </c>
      <c r="C1945" s="3" t="str">
        <f>IFERROR(__xludf.DUMMYFUNCTION("GOOGLETRANSLATE(B1945,""id"",""en"")"),"['Application', 'Yesterday', 'Open', 'please', 'repay', 'idh', 'update', 'thank', 'love']")</f>
        <v>['Application', 'Yesterday', 'Open', 'please', 'repay', 'idh', 'update', 'thank', 'love']</v>
      </c>
      <c r="D1945" s="3">
        <v>1.0</v>
      </c>
    </row>
    <row r="1946" ht="15.75" customHeight="1">
      <c r="A1946" s="1">
        <v>2051.0</v>
      </c>
      <c r="B1946" s="3" t="s">
        <v>1924</v>
      </c>
      <c r="C1946" s="3" t="str">
        <f>IFERROR(__xludf.DUMMYFUNCTION("GOOGLETRANSLATE(B1946,""id"",""en"")"),"['Network', 'Telkomsel', 'Severe', 'really', 'Sidoarjo', 'then', '']")</f>
        <v>['Network', 'Telkomsel', 'Severe', 'really', 'Sidoarjo', 'then', '']</v>
      </c>
      <c r="D1946" s="3">
        <v>4.0</v>
      </c>
    </row>
    <row r="1947" ht="15.75" customHeight="1">
      <c r="A1947" s="1">
        <v>2052.0</v>
      </c>
      <c r="B1947" s="3" t="s">
        <v>1925</v>
      </c>
      <c r="C1947" s="3" t="str">
        <f>IFERROR(__xludf.DUMMYFUNCTION("GOOGLETRANSLATE(B1947,""id"",""en"")"),"['Change', 'Card', 'Telkomsel', 'Bad', 'Quality', 'Package', 'Internet', 'Sakti', 'Sia', 'Sia', 'keuang', 'Mending', ' Provider ',' next door ',' good ',' network ',' remote ',' rather than ',' symbol ',' red ']")</f>
        <v>['Change', 'Card', 'Telkomsel', 'Bad', 'Quality', 'Package', 'Internet', 'Sakti', 'Sia', 'Sia', 'keuang', 'Mending', ' Provider ',' next door ',' good ',' network ',' remote ',' rather than ',' symbol ',' red ']</v>
      </c>
      <c r="D1947" s="3">
        <v>1.0</v>
      </c>
    </row>
    <row r="1948" ht="15.75" customHeight="1">
      <c r="A1948" s="1">
        <v>2053.0</v>
      </c>
      <c r="B1948" s="3" t="s">
        <v>1926</v>
      </c>
      <c r="C1948" s="3" t="str">
        <f>IFERROR(__xludf.DUMMYFUNCTION("GOOGLETRANSLATE(B1948,""id"",""en"")"),"['already', 'BNYK', 'enthusiasts',' level ',' quality ',' network ',' kelen ',' bnyk ',' enthusiasts', 'peburuk', 'quality', 'network', ' Customers', 'loyal', 'disappointed', 'network', 'kelen', ""]")</f>
        <v>['already', 'BNYK', 'enthusiasts',' level ',' quality ',' network ',' kelen ',' bnyk ',' enthusiasts', 'peburuk', 'quality', 'network', ' Customers', 'loyal', 'disappointed', 'network', 'kelen', "]</v>
      </c>
      <c r="D1948" s="3">
        <v>1.0</v>
      </c>
    </row>
    <row r="1949" ht="15.75" customHeight="1">
      <c r="A1949" s="1">
        <v>2054.0</v>
      </c>
      <c r="B1949" s="3" t="s">
        <v>1927</v>
      </c>
      <c r="C1949" s="3" t="str">
        <f>IFERROR(__xludf.DUMMYFUNCTION("GOOGLETRANSLATE(B1949,""id"",""en"")"),"['Nge', 'prank']")</f>
        <v>['Nge', 'prank']</v>
      </c>
      <c r="D1949" s="3">
        <v>1.0</v>
      </c>
    </row>
    <row r="1950" ht="15.75" customHeight="1">
      <c r="A1950" s="1">
        <v>2055.0</v>
      </c>
      <c r="B1950" s="3" t="s">
        <v>1928</v>
      </c>
      <c r="C1950" s="3" t="str">
        <f>IFERROR(__xludf.DUMMYFUNCTION("GOOGLETRANSLATE(B1950,""id"",""en"")"),"['Telkomtol', 'telkomnyet', 'signal', 'slow', 'kek', 'conch', 'quota', 'expensive', 'exorbitant']")</f>
        <v>['Telkomtol', 'telkomnyet', 'signal', 'slow', 'kek', 'conch', 'quota', 'expensive', 'exorbitant']</v>
      </c>
      <c r="D1950" s="3">
        <v>1.0</v>
      </c>
    </row>
    <row r="1951" ht="15.75" customHeight="1">
      <c r="A1951" s="1">
        <v>2056.0</v>
      </c>
      <c r="B1951" s="3" t="s">
        <v>1929</v>
      </c>
      <c r="C1951" s="3" t="str">
        <f>IFERROR(__xludf.DUMMYFUNCTION("GOOGLETRANSLATE(B1951,""id"",""en"")"),"['Bad', 'Bngtt', 'bad', 'clock', 'malem', 'difficult', 'clock', 'up', 'smooth', 'noon', 'Telkomsel', 'ugly', ' Bngtt ',' oath ',' emotion ',' wanted ',' waste ',' card ',' replace ',' reset ',' already ',' kapok ']")</f>
        <v>['Bad', 'Bngtt', 'bad', 'clock', 'malem', 'difficult', 'clock', 'up', 'smooth', 'noon', 'Telkomsel', 'ugly', ' Bngtt ',' oath ',' emotion ',' wanted ',' waste ',' card ',' replace ',' reset ',' already ',' kapok ']</v>
      </c>
      <c r="D1951" s="3">
        <v>1.0</v>
      </c>
    </row>
    <row r="1952" ht="15.75" customHeight="1">
      <c r="A1952" s="1">
        <v>2057.0</v>
      </c>
      <c r="B1952" s="3" t="s">
        <v>1930</v>
      </c>
      <c r="C1952" s="3" t="str">
        <f>IFERROR(__xludf.DUMMYFUNCTION("GOOGLETRANSLATE(B1952,""id"",""en"")"),"['Not bad', 'good', 'help']")</f>
        <v>['Not bad', 'good', 'help']</v>
      </c>
      <c r="D1952" s="3">
        <v>3.0</v>
      </c>
    </row>
    <row r="1953" ht="15.75" customHeight="1">
      <c r="A1953" s="1">
        <v>2058.0</v>
      </c>
      <c r="B1953" s="3" t="s">
        <v>1931</v>
      </c>
      <c r="C1953" s="3" t="str">
        <f>IFERROR(__xludf.DUMMYFUNCTION("GOOGLETRANSLATE(B1953,""id"",""en"")"),"['Fix', 'Network', 'Searching', 'Task', 'Difficult']")</f>
        <v>['Fix', 'Network', 'Searching', 'Task', 'Difficult']</v>
      </c>
      <c r="D1953" s="3">
        <v>1.0</v>
      </c>
    </row>
    <row r="1954" ht="15.75" customHeight="1">
      <c r="A1954" s="1">
        <v>2059.0</v>
      </c>
      <c r="B1954" s="3" t="s">
        <v>1932</v>
      </c>
      <c r="C1954" s="3" t="str">
        <f>IFERROR(__xludf.DUMMYFUNCTION("GOOGLETRANSLATE(B1954,""id"",""en"")"),"['Promo', 'package']")</f>
        <v>['Promo', 'package']</v>
      </c>
      <c r="D1954" s="3">
        <v>4.0</v>
      </c>
    </row>
    <row r="1955" ht="15.75" customHeight="1">
      <c r="A1955" s="1">
        <v>2060.0</v>
      </c>
      <c r="B1955" s="3" t="s">
        <v>1933</v>
      </c>
      <c r="C1955" s="3" t="str">
        <f>IFERROR(__xludf.DUMMYFUNCTION("GOOGLETRANSLATE(B1955,""id"",""en"")"),"['Bagus', 'BGTTT', 'Hurry', 'Download', 'also', '']")</f>
        <v>['Bagus', 'BGTTT', 'Hurry', 'Download', 'also', '']</v>
      </c>
      <c r="D1955" s="3">
        <v>5.0</v>
      </c>
    </row>
    <row r="1956" ht="15.75" customHeight="1">
      <c r="A1956" s="1">
        <v>2061.0</v>
      </c>
      <c r="B1956" s="3" t="s">
        <v>1934</v>
      </c>
      <c r="C1956" s="3" t="str">
        <f>IFERROR(__xludf.DUMMYFUNCTION("GOOGLETRANSLATE(B1956,""id"",""en"")"),"['Telkomsel', 'promo', 'package', 'Jgaa', 'expensive', 'ad', 'doang', 'good', 'mna', 'network', 'ugly', 'severe', ' Lgii ',' ']")</f>
        <v>['Telkomsel', 'promo', 'package', 'Jgaa', 'expensive', 'ad', 'doang', 'good', 'mna', 'network', 'ugly', 'severe', ' Lgii ',' ']</v>
      </c>
      <c r="D1956" s="3">
        <v>1.0</v>
      </c>
    </row>
    <row r="1957" ht="15.75" customHeight="1">
      <c r="A1957" s="1">
        <v>2062.0</v>
      </c>
      <c r="B1957" s="3" t="s">
        <v>1935</v>
      </c>
      <c r="C1957" s="3" t="str">
        <f>IFERROR(__xludf.DUMMYFUNCTION("GOOGLETRANSLATE(B1957,""id"",""en"")"),"['expensive', 'doang', 'price', 'package', 'drizzle', 'little', 'direct', 'lag', 'buffring', 'please', 'repair', 'lgi', ' Customers', 'Satisfied', '']")</f>
        <v>['expensive', 'doang', 'price', 'package', 'drizzle', 'little', 'direct', 'lag', 'buffring', 'please', 'repair', 'lgi', ' Customers', 'Satisfied', '']</v>
      </c>
      <c r="D1957" s="3">
        <v>1.0</v>
      </c>
    </row>
    <row r="1958" ht="15.75" customHeight="1">
      <c r="A1958" s="1">
        <v>2063.0</v>
      </c>
      <c r="B1958" s="3" t="s">
        <v>1936</v>
      </c>
      <c r="C1958" s="3" t="str">
        <f>IFERROR(__xludf.DUMMYFUNCTION("GOOGLETRANSLATE(B1958,""id"",""en"")"),"['steady', 'sip', 'satisfied']")</f>
        <v>['steady', 'sip', 'satisfied']</v>
      </c>
      <c r="D1958" s="3">
        <v>5.0</v>
      </c>
    </row>
    <row r="1959" ht="15.75" customHeight="1">
      <c r="A1959" s="1">
        <v>2064.0</v>
      </c>
      <c r="B1959" s="3" t="s">
        <v>1937</v>
      </c>
      <c r="C1959" s="3" t="str">
        <f>IFERROR(__xludf.DUMMYFUNCTION("GOOGLETRANSLATE(B1959,""id"",""en"")"),"['expensive', 'slow', 'kyak', 'conch', 'play', 'game', 'nyampah']")</f>
        <v>['expensive', 'slow', 'kyak', 'conch', 'play', 'game', 'nyampah']</v>
      </c>
      <c r="D1959" s="3">
        <v>1.0</v>
      </c>
    </row>
    <row r="1960" ht="15.75" customHeight="1">
      <c r="A1960" s="1">
        <v>2065.0</v>
      </c>
      <c r="B1960" s="3" t="s">
        <v>1938</v>
      </c>
      <c r="C1960" s="3" t="str">
        <f>IFERROR(__xludf.DUMMYFUNCTION("GOOGLETRANSLATE(B1960,""id"",""en"")"),"['Addin', 'Package', 'Internet', 'Full', 'Quota', 'Main', 'Increase', '']")</f>
        <v>['Addin', 'Package', 'Internet', 'Full', 'Quota', 'Main', 'Increase', '']</v>
      </c>
      <c r="D1960" s="3">
        <v>5.0</v>
      </c>
    </row>
    <row r="1961" ht="15.75" customHeight="1">
      <c r="A1961" s="1">
        <v>2066.0</v>
      </c>
      <c r="B1961" s="3" t="s">
        <v>1939</v>
      </c>
      <c r="C1961" s="3" t="str">
        <f>IFERROR(__xludf.DUMMYFUNCTION("GOOGLETRANSLATE(B1961,""id"",""en"")"),"['Kcewa', 'Paketan', 'Masii', 'Knp', 'Pulse', 'Ikt', 'Sumpot', 'Internet', '']")</f>
        <v>['Kcewa', 'Paketan', 'Masii', 'Knp', 'Pulse', 'Ikt', 'Sumpot', 'Internet', '']</v>
      </c>
      <c r="D1961" s="3">
        <v>1.0</v>
      </c>
    </row>
    <row r="1962" ht="15.75" customHeight="1">
      <c r="A1962" s="1">
        <v>2067.0</v>
      </c>
      <c r="B1962" s="3" t="s">
        <v>1940</v>
      </c>
      <c r="C1962" s="3" t="str">
        <f>IFERROR(__xludf.DUMMYFUNCTION("GOOGLETRANSLATE(B1962,""id"",""en"")"),"['Network', 'Good', '']")</f>
        <v>['Network', 'Good', '']</v>
      </c>
      <c r="D1962" s="3">
        <v>5.0</v>
      </c>
    </row>
    <row r="1963" ht="15.75" customHeight="1">
      <c r="A1963" s="1">
        <v>2068.0</v>
      </c>
      <c r="B1963" s="3" t="s">
        <v>1941</v>
      </c>
      <c r="C1963" s="3" t="str">
        <f>IFERROR(__xludf.DUMMYFUNCTION("GOOGLETRANSLATE(B1963,""id"",""en"")"),"['goood', 'expensive']")</f>
        <v>['goood', 'expensive']</v>
      </c>
      <c r="D1963" s="3">
        <v>5.0</v>
      </c>
    </row>
    <row r="1964" ht="15.75" customHeight="1">
      <c r="A1964" s="1">
        <v>2069.0</v>
      </c>
      <c r="B1964" s="3" t="s">
        <v>1942</v>
      </c>
      <c r="C1964" s="3" t="str">
        <f>IFERROR(__xludf.DUMMYFUNCTION("GOOGLETRANSLATE(B1964,""id"",""en"")"),"['promo', 'cheap', 'festive', 'boss']")</f>
        <v>['promo', 'cheap', 'festive', 'boss']</v>
      </c>
      <c r="D1964" s="3">
        <v>4.0</v>
      </c>
    </row>
    <row r="1965" ht="15.75" customHeight="1">
      <c r="A1965" s="1">
        <v>2070.0</v>
      </c>
      <c r="B1965" s="3" t="s">
        <v>1943</v>
      </c>
      <c r="C1965" s="3" t="str">
        <f>IFERROR(__xludf.DUMMYFUNCTION("GOOGLETRANSLATE(B1965,""id"",""en"")"),"['', 'Network', 'signal']")</f>
        <v>['', 'Network', 'signal']</v>
      </c>
      <c r="D1965" s="3">
        <v>5.0</v>
      </c>
    </row>
    <row r="1966" ht="15.75" customHeight="1">
      <c r="A1966" s="1">
        <v>2071.0</v>
      </c>
      <c r="B1966" s="3" t="s">
        <v>1944</v>
      </c>
      <c r="C1966" s="3" t="str">
        <f>IFERROR(__xludf.DUMMYFUNCTION("GOOGLETRANSLATE(B1966,""id"",""en"")"),"['crazy', 'chaotic', 'expensive', 'doang', 'quality', 'chaotic', 'network', 'sometimes',' severe ',' play ',' game ',' lose ',' Tri ',' already ',' cheap ',' Quality ',' Not bad ',' Disappointed ',' I ',' sympathy ',' already ',' Sinih ',' chaotic ',' fix"&amp;" ',' me ' , 'Change', 'card', '']")</f>
        <v>['crazy', 'chaotic', 'expensive', 'doang', 'quality', 'chaotic', 'network', 'sometimes',' severe ',' play ',' game ',' lose ',' Tri ',' already ',' cheap ',' Quality ',' Not bad ',' Disappointed ',' I ',' sympathy ',' already ',' Sinih ',' chaotic ',' fix ',' me ' , 'Change', 'card', '']</v>
      </c>
      <c r="D1966" s="3">
        <v>1.0</v>
      </c>
    </row>
    <row r="1967" ht="15.75" customHeight="1">
      <c r="A1967" s="1">
        <v>2072.0</v>
      </c>
      <c r="B1967" s="3" t="s">
        <v>1945</v>
      </c>
      <c r="C1967" s="3" t="str">
        <f>IFERROR(__xludf.DUMMYFUNCTION("GOOGLETRANSLATE(B1967,""id"",""en"")"),"['Hopefully', 'Lacar', 'MyTelkosel']")</f>
        <v>['Hopefully', 'Lacar', 'MyTelkosel']</v>
      </c>
      <c r="D1967" s="3">
        <v>5.0</v>
      </c>
    </row>
    <row r="1968" ht="15.75" customHeight="1">
      <c r="A1968" s="1">
        <v>2073.0</v>
      </c>
      <c r="B1968" s="3" t="s">
        <v>1946</v>
      </c>
      <c r="C1968" s="3" t="str">
        <f>IFERROR(__xludf.DUMMYFUNCTION("GOOGLETRANSLATE(B1968,""id"",""en"")"),"['Telkomsel', 'satisfying', 'customers', 'here', 'signal', 'internet', 'bad', 'bankrupt', 'kah', 'Telkomsel', ""]")</f>
        <v>['Telkomsel', 'satisfying', 'customers', 'here', 'signal', 'internet', 'bad', 'bankrupt', 'kah', 'Telkomsel', "]</v>
      </c>
      <c r="D1968" s="3">
        <v>1.0</v>
      </c>
    </row>
    <row r="1969" ht="15.75" customHeight="1">
      <c r="A1969" s="1">
        <v>2074.0</v>
      </c>
      <c r="B1969" s="3" t="s">
        <v>1947</v>
      </c>
      <c r="C1969" s="3" t="str">
        <f>IFERROR(__xludf.DUMMYFUNCTION("GOOGLETRANSLATE(B1969,""id"",""en"")"),"['Switch', 'Points']")</f>
        <v>['Switch', 'Points']</v>
      </c>
      <c r="D1969" s="3">
        <v>1.0</v>
      </c>
    </row>
    <row r="1970" ht="15.75" customHeight="1">
      <c r="A1970" s="1">
        <v>2076.0</v>
      </c>
      <c r="B1970" s="3" t="s">
        <v>1948</v>
      </c>
      <c r="C1970" s="3" t="str">
        <f>IFERROR(__xludf.DUMMYFUNCTION("GOOGLETRANSLATE(B1970,""id"",""en"")"),"['Application', 'White', 'Error']")</f>
        <v>['Application', 'White', 'Error']</v>
      </c>
      <c r="D1970" s="3">
        <v>1.0</v>
      </c>
    </row>
    <row r="1971" ht="15.75" customHeight="1">
      <c r="A1971" s="1">
        <v>2077.0</v>
      </c>
      <c r="B1971" s="3" t="s">
        <v>1949</v>
      </c>
      <c r="C1971" s="3" t="str">
        <f>IFERROR(__xludf.DUMMYFUNCTION("GOOGLETRANSLATE(B1971,""id"",""en"")"),"['signal', 'game', 'lag', 'severe', 'rain', 'lost', 'signal', 'Telkomsel', 'already', 'quota', 'expensive', 'signal', ' ugly ',' really ',' proud ',' hah ',' dahh ',' Telkomsel ', ""]")</f>
        <v>['signal', 'game', 'lag', 'severe', 'rain', 'lost', 'signal', 'Telkomsel', 'already', 'quota', 'expensive', 'signal', ' ugly ',' really ',' proud ',' hah ',' dahh ',' Telkomsel ', "]</v>
      </c>
      <c r="D1971" s="3">
        <v>1.0</v>
      </c>
    </row>
    <row r="1972" ht="15.75" customHeight="1">
      <c r="A1972" s="1">
        <v>2078.0</v>
      </c>
      <c r="B1972" s="3" t="s">
        <v>1950</v>
      </c>
      <c r="C1972" s="3" t="str">
        <f>IFERROR(__xludf.DUMMYFUNCTION("GOOGLETRANSLATE(B1972,""id"",""en"")"),"['expensive', 'really', 'quota']")</f>
        <v>['expensive', 'really', 'quota']</v>
      </c>
      <c r="D1972" s="3">
        <v>4.0</v>
      </c>
    </row>
    <row r="1973" ht="15.75" customHeight="1">
      <c r="A1973" s="1">
        <v>2079.0</v>
      </c>
      <c r="B1973" s="3" t="s">
        <v>1951</v>
      </c>
      <c r="C1973" s="3" t="str">
        <f>IFERROR(__xludf.DUMMYFUNCTION("GOOGLETRANSLATE(B1973,""id"",""en"")"),"['info', 'exchange', 'point', 'pulse']")</f>
        <v>['info', 'exchange', 'point', 'pulse']</v>
      </c>
      <c r="D1973" s="3">
        <v>5.0</v>
      </c>
    </row>
    <row r="1974" ht="15.75" customHeight="1">
      <c r="A1974" s="1">
        <v>2080.0</v>
      </c>
      <c r="B1974" s="3" t="s">
        <v>1952</v>
      </c>
      <c r="C1974" s="3" t="str">
        <f>IFERROR(__xludf.DUMMYFUNCTION("GOOGLETRANSLATE(B1974,""id"",""en"")"),"['Asline', 'wanted', 'star', 'ISO', 'SALE', 'Signal', 'Telkom', 'Ngelag', 'Play', 'Game', 'Please', 'Fix', ' Signal ',' Telkom ',' ']")</f>
        <v>['Asline', 'wanted', 'star', 'ISO', 'SALE', 'Signal', 'Telkom', 'Ngelag', 'Play', 'Game', 'Please', 'Fix', ' Signal ',' Telkom ',' ']</v>
      </c>
      <c r="D1974" s="3">
        <v>1.0</v>
      </c>
    </row>
    <row r="1975" ht="15.75" customHeight="1">
      <c r="A1975" s="1">
        <v>2081.0</v>
      </c>
      <c r="B1975" s="3" t="s">
        <v>1953</v>
      </c>
      <c r="C1975" s="3" t="str">
        <f>IFERROR(__xludf.DUMMYFUNCTION("GOOGLETRANSLATE(B1975,""id"",""en"")"),"['devastating', 'check', 'pulse', 'check', 'package', 'cheap', 'etc.', 'complicated', 'first', 'devastating']")</f>
        <v>['devastating', 'check', 'pulse', 'check', 'package', 'cheap', 'etc.', 'complicated', 'first', 'devastating']</v>
      </c>
      <c r="D1975" s="3">
        <v>5.0</v>
      </c>
    </row>
    <row r="1976" ht="15.75" customHeight="1">
      <c r="A1976" s="1">
        <v>2082.0</v>
      </c>
      <c r="B1976" s="3" t="s">
        <v>1954</v>
      </c>
      <c r="C1976" s="3" t="str">
        <f>IFERROR(__xludf.DUMMYFUNCTION("GOOGLETRANSLATE(B1976,""id"",""en"")"),"['buy', 'package', 'emang', 'sell', 'credit', 'think', 'buy', 'suck', 'nggk', 'tmpt', 'no', 'pulses',' Credit ',' Pay ',' RP ',' Njir ',' ']")</f>
        <v>['buy', 'package', 'emang', 'sell', 'credit', 'think', 'buy', 'suck', 'nggk', 'tmpt', 'no', 'pulses',' Credit ',' Pay ',' RP ',' Njir ',' ']</v>
      </c>
      <c r="D1976" s="3">
        <v>1.0</v>
      </c>
    </row>
    <row r="1977" ht="15.75" customHeight="1">
      <c r="A1977" s="1">
        <v>2084.0</v>
      </c>
      <c r="B1977" s="3" t="s">
        <v>1955</v>
      </c>
      <c r="C1977" s="3" t="str">
        <f>IFERROR(__xludf.DUMMYFUNCTION("GOOGLETRANSLATE(B1977,""id"",""en"")"),"['sympathy', 'signal', 'strong', 'kayak', 'comfortable', 'pakek', 'semipati', 'play', 'game', 'please', 'fix', 'admin', ' Comfort ',' Penaggan ',' Donk ']")</f>
        <v>['sympathy', 'signal', 'strong', 'kayak', 'comfortable', 'pakek', 'semipati', 'play', 'game', 'please', 'fix', 'admin', ' Comfort ',' Penaggan ',' Donk ']</v>
      </c>
      <c r="D1977" s="3">
        <v>3.0</v>
      </c>
    </row>
    <row r="1978" ht="15.75" customHeight="1">
      <c r="A1978" s="1">
        <v>2085.0</v>
      </c>
      <c r="B1978" s="3" t="s">
        <v>1956</v>
      </c>
      <c r="C1978" s="3" t="str">
        <f>IFERROR(__xludf.DUMMYFUNCTION("GOOGLETRANSLATE(B1978,""id"",""en"")"),"['Please', 'Network', 'Region', 'Wanajaya', 'Wanasari', 'Cibitung', 'Bagusin', 'Min', 'WFH', 'Online', 'Darean', 'Increases',' quality ',' package ',' expensive ',' bought ',' segini ',' service ',' ']")</f>
        <v>['Please', 'Network', 'Region', 'Wanajaya', 'Wanasari', 'Cibitung', 'Bagusin', 'Min', 'WFH', 'Online', 'Darean', 'Increases',' quality ',' package ',' expensive ',' bought ',' segini ',' service ',' ']</v>
      </c>
      <c r="D1978" s="3">
        <v>1.0</v>
      </c>
    </row>
    <row r="1979" ht="15.75" customHeight="1">
      <c r="A1979" s="1">
        <v>2086.0</v>
      </c>
      <c r="B1979" s="3" t="s">
        <v>1957</v>
      </c>
      <c r="C1979" s="3" t="str">
        <f>IFERROR(__xludf.DUMMYFUNCTION("GOOGLETRANSLATE(B1979,""id"",""en"")"),"['Starts', 'Slalu', 'Love', 'Best', 'Telkomsel']")</f>
        <v>['Starts', 'Slalu', 'Love', 'Best', 'Telkomsel']</v>
      </c>
      <c r="D1979" s="3">
        <v>4.0</v>
      </c>
    </row>
    <row r="1980" ht="15.75" customHeight="1">
      <c r="A1980" s="1">
        <v>2087.0</v>
      </c>
      <c r="B1980" s="3" t="s">
        <v>1958</v>
      </c>
      <c r="C1980" s="3" t="str">
        <f>IFERROR(__xludf.DUMMYFUNCTION("GOOGLETRANSLATE(B1980,""id"",""en"")"),"['Disappointed', 'Telkomsel', 'Package', 'Game', 'Gunain', 'Buy', 'Expensive', 'Mending', 'Switch', 'Card', 'Next to', '']")</f>
        <v>['Disappointed', 'Telkomsel', 'Package', 'Game', 'Gunain', 'Buy', 'Expensive', 'Mending', 'Switch', 'Card', 'Next to', '']</v>
      </c>
      <c r="D1980" s="3">
        <v>1.0</v>
      </c>
    </row>
    <row r="1981" ht="15.75" customHeight="1">
      <c r="A1981" s="1">
        <v>2088.0</v>
      </c>
      <c r="B1981" s="3" t="s">
        <v>1959</v>
      </c>
      <c r="C1981" s="3" t="str">
        <f>IFERROR(__xludf.DUMMYFUNCTION("GOOGLETRANSLATE(B1981,""id"",""en"")"),"['Trima', 'love', 'Telkomsel']")</f>
        <v>['Trima', 'love', 'Telkomsel']</v>
      </c>
      <c r="D1981" s="3">
        <v>5.0</v>
      </c>
    </row>
    <row r="1982" ht="15.75" customHeight="1">
      <c r="A1982" s="1">
        <v>2089.0</v>
      </c>
      <c r="B1982" s="3" t="s">
        <v>1960</v>
      </c>
      <c r="C1982" s="3" t="str">
        <f>IFERROR(__xludf.DUMMYFUNCTION("GOOGLETRANSLATE(B1982,""id"",""en"")"),"['slow', 'say', 'network', 'sad', 'zoom', 'like']")</f>
        <v>['slow', 'say', 'network', 'sad', 'zoom', 'like']</v>
      </c>
      <c r="D1982" s="3">
        <v>4.0</v>
      </c>
    </row>
    <row r="1983" ht="15.75" customHeight="1">
      <c r="A1983" s="1">
        <v>2090.0</v>
      </c>
      <c r="B1983" s="3" t="s">
        <v>1961</v>
      </c>
      <c r="C1983" s="3" t="str">
        <f>IFERROR(__xludf.DUMMYFUNCTION("GOOGLETRANSLATE(B1983,""id"",""en"")"),"['signal', 'bar', 'disconect', 'location', 'city', '']")</f>
        <v>['signal', 'bar', 'disconect', 'location', 'city', '']</v>
      </c>
      <c r="D1983" s="3">
        <v>1.0</v>
      </c>
    </row>
    <row r="1984" ht="15.75" customHeight="1">
      <c r="A1984" s="1">
        <v>2091.0</v>
      </c>
      <c r="B1984" s="3" t="s">
        <v>1962</v>
      </c>
      <c r="C1984" s="3" t="str">
        <f>IFERROR(__xludf.DUMMYFUNCTION("GOOGLETRANSLATE(B1984,""id"",""en"")"),"['signal', 'satisfied', 'strong', 'card', 'sympathy']")</f>
        <v>['signal', 'satisfied', 'strong', 'card', 'sympathy']</v>
      </c>
      <c r="D1984" s="3">
        <v>5.0</v>
      </c>
    </row>
    <row r="1985" ht="15.75" customHeight="1">
      <c r="A1985" s="1">
        <v>2092.0</v>
      </c>
      <c r="B1985" s="3" t="s">
        <v>1963</v>
      </c>
      <c r="C1985" s="3" t="str">
        <f>IFERROR(__xludf.DUMMYFUNCTION("GOOGLETRANSLATE(B1985,""id"",""en"")"),"['Error', 'Nge', 'Buggg', 'Please', 'Repair', 'Min']")</f>
        <v>['Error', 'Nge', 'Buggg', 'Please', 'Repair', 'Min']</v>
      </c>
      <c r="D1985" s="3">
        <v>1.0</v>
      </c>
    </row>
    <row r="1986" ht="15.75" customHeight="1">
      <c r="A1986" s="1">
        <v>2093.0</v>
      </c>
      <c r="B1986" s="3" t="s">
        <v>1964</v>
      </c>
      <c r="C1986" s="3" t="str">
        <f>IFERROR(__xludf.DUMMYFUNCTION("GOOGLETRANSLATE(B1986,""id"",""en"")"),"['expensive', 'doang', 'signal', 'mah', 'already', 'trusted', 'mending', 'laen', 'signal', 'stable', 'severe', 'right', ' repair', '']")</f>
        <v>['expensive', 'doang', 'signal', 'mah', 'already', 'trusted', 'mending', 'laen', 'signal', 'stable', 'severe', 'right', ' repair', '']</v>
      </c>
      <c r="D1986" s="3">
        <v>1.0</v>
      </c>
    </row>
    <row r="1987" ht="15.75" customHeight="1">
      <c r="A1987" s="1">
        <v>2094.0</v>
      </c>
      <c r="B1987" s="3" t="s">
        <v>1965</v>
      </c>
      <c r="C1987" s="3" t="str">
        <f>IFERROR(__xludf.DUMMYFUNCTION("GOOGLETRANSLATE(B1987,""id"",""en"")"),"['GMNA', 'Telkomsel', 'Good', 'Ngilak', 'little', 'ad', 'see', 'tasty', 'cave', 'buy', 'quota', 'signal', ' Kya ',' gini ',' difficult ',' see ',' gmna ',' please ',' pity ',' bang ', ""]")</f>
        <v>['GMNA', 'Telkomsel', 'Good', 'Ngilak', 'little', 'ad', 'see', 'tasty', 'cave', 'buy', 'quota', 'signal', ' Kya ',' gini ',' difficult ',' see ',' gmna ',' please ',' pity ',' bang ', "]</v>
      </c>
      <c r="D1987" s="3">
        <v>1.0</v>
      </c>
    </row>
    <row r="1988" ht="15.75" customHeight="1">
      <c r="A1988" s="1">
        <v>2095.0</v>
      </c>
      <c r="B1988" s="3" t="s">
        <v>1966</v>
      </c>
      <c r="C1988" s="3" t="str">
        <f>IFERROR(__xludf.DUMMYFUNCTION("GOOGLETRANSLATE(B1988,""id"",""en"")"),"['Access', 'Easy', 'Select', 'Select', 'Package']")</f>
        <v>['Access', 'Easy', 'Select', 'Select', 'Package']</v>
      </c>
      <c r="D1988" s="3">
        <v>5.0</v>
      </c>
    </row>
    <row r="1989" ht="15.75" customHeight="1">
      <c r="A1989" s="1">
        <v>2096.0</v>
      </c>
      <c r="B1989" s="3" t="s">
        <v>1967</v>
      </c>
      <c r="C1989" s="3" t="str">
        <f>IFERROR(__xludf.DUMMYFUNCTION("GOOGLETRANSLATE(B1989,""id"",""en"")"),"['disappointing', 'network', 'Telkomsel', 'Error', 'disappointing', '']")</f>
        <v>['disappointing', 'network', 'Telkomsel', 'Error', 'disappointing', '']</v>
      </c>
      <c r="D1989" s="3">
        <v>1.0</v>
      </c>
    </row>
    <row r="1990" ht="15.75" customHeight="1">
      <c r="A1990" s="1">
        <v>2097.0</v>
      </c>
      <c r="B1990" s="3" t="s">
        <v>1968</v>
      </c>
      <c r="C1990" s="3" t="str">
        <f>IFERROR(__xludf.DUMMYFUNCTION("GOOGLETRANSLATE(B1990,""id"",""en"")"),"['Please', 'buy', 'pulse', 'method', 'payment', 'discharge', 'card', 'credit', 'rich', 'neighbor', 'next door', 'thank you']")</f>
        <v>['Please', 'buy', 'pulse', 'method', 'payment', 'discharge', 'card', 'credit', 'rich', 'neighbor', 'next door', 'thank you']</v>
      </c>
      <c r="D1990" s="3">
        <v>3.0</v>
      </c>
    </row>
    <row r="1991" ht="15.75" customHeight="1">
      <c r="A1991" s="1">
        <v>2098.0</v>
      </c>
      <c r="B1991" s="3" t="s">
        <v>1969</v>
      </c>
      <c r="C1991" s="3" t="str">
        <f>IFERROR(__xludf.DUMMYFUNCTION("GOOGLETRANSLATE(B1991,""id"",""en"")"),"['Application', 'Tekomsel', 'Open', 'TTEP', 'Love', 'Bintang', 'Please', 'Fix', 'Application', 'Thank you']")</f>
        <v>['Application', 'Tekomsel', 'Open', 'TTEP', 'Love', 'Bintang', 'Please', 'Fix', 'Application', 'Thank you']</v>
      </c>
      <c r="D1991" s="3">
        <v>5.0</v>
      </c>
    </row>
    <row r="1992" ht="15.75" customHeight="1">
      <c r="A1992" s="1">
        <v>2099.0</v>
      </c>
      <c r="B1992" s="3" t="s">
        <v>1970</v>
      </c>
      <c r="C1992" s="3" t="str">
        <f>IFERROR(__xludf.DUMMYFUNCTION("GOOGLETRANSLATE(B1992,""id"",""en"")"),"['steady', 'times', 'bah']")</f>
        <v>['steady', 'times', 'bah']</v>
      </c>
      <c r="D1992" s="3">
        <v>5.0</v>
      </c>
    </row>
    <row r="1993" ht="15.75" customHeight="1">
      <c r="A1993" s="1">
        <v>2100.0</v>
      </c>
      <c r="B1993" s="3" t="s">
        <v>1971</v>
      </c>
      <c r="C1993" s="3" t="str">
        <f>IFERROR(__xludf.DUMMYFUNCTION("GOOGLETRANSLATE(B1993,""id"",""en"")"),"['just', 'use', 'Telkomsel', 'already', 'comfortable', 'use', 'Telkomsel', 'AHIR', 'Telkomsel', 'ganguan', 'network', 'please', ' Telkomsel ',' Restore ',' atmosphere ',' Network ',' ']")</f>
        <v>['just', 'use', 'Telkomsel', 'already', 'comfortable', 'use', 'Telkomsel', 'AHIR', 'Telkomsel', 'ganguan', 'network', 'please', ' Telkomsel ',' Restore ',' atmosphere ',' Network ',' ']</v>
      </c>
      <c r="D1993" s="3">
        <v>1.0</v>
      </c>
    </row>
    <row r="1994" ht="15.75" customHeight="1">
      <c r="A1994" s="1">
        <v>2101.0</v>
      </c>
      <c r="B1994" s="3" t="s">
        <v>1972</v>
      </c>
      <c r="C1994" s="3" t="str">
        <f>IFERROR(__xludf.DUMMYFUNCTION("GOOGLETRANSLATE(B1994,""id"",""en"")"),"['complicated']")</f>
        <v>['complicated']</v>
      </c>
      <c r="D1994" s="3">
        <v>1.0</v>
      </c>
    </row>
    <row r="1995" ht="15.75" customHeight="1">
      <c r="A1995" s="1">
        <v>2102.0</v>
      </c>
      <c r="B1995" s="3" t="s">
        <v>1973</v>
      </c>
      <c r="C1995" s="3" t="str">
        <f>IFERROR(__xludf.DUMMYFUNCTION("GOOGLETRANSLATE(B1995,""id"",""en"")"),"['Signal', 'Telkomsel', 'Area', 'Pekanbaru', 'Severe', 'Disconnect', 'Connect', 'Disconnect', 'Connect']")</f>
        <v>['Signal', 'Telkomsel', 'Area', 'Pekanbaru', 'Severe', 'Disconnect', 'Connect', 'Disconnect', 'Connect']</v>
      </c>
      <c r="D1995" s="3">
        <v>1.0</v>
      </c>
    </row>
    <row r="1996" ht="15.75" customHeight="1">
      <c r="A1996" s="1">
        <v>2103.0</v>
      </c>
      <c r="B1996" s="3" t="s">
        <v>1974</v>
      </c>
      <c r="C1996" s="3" t="str">
        <f>IFERROR(__xludf.DUMMYFUNCTION("GOOGLETRANSLATE(B1996,""id"",""en"")"),"['mantappp', 'the application', 'help']")</f>
        <v>['mantappp', 'the application', 'help']</v>
      </c>
      <c r="D1996" s="3">
        <v>5.0</v>
      </c>
    </row>
    <row r="1997" ht="15.75" customHeight="1">
      <c r="A1997" s="1">
        <v>2105.0</v>
      </c>
      <c r="B1997" s="3" t="s">
        <v>1975</v>
      </c>
      <c r="C1997" s="3" t="str">
        <f>IFERROR(__xludf.DUMMYFUNCTION("GOOGLETRANSLATE(B1997,""id"",""en"")"),"['Benerin', 'Disruption', 'Sousal', 'Rich', 'Wednesday', 'Experience', 'Disorders',' Benerin ',' Benerin ',' Benerin ',' As soon as', 'disturbing', ' process', 'Learning', 'slow', 'really']")</f>
        <v>['Benerin', 'Disruption', 'Sousal', 'Rich', 'Wednesday', 'Experience', 'Disorders',' Benerin ',' Benerin ',' Benerin ',' As soon as', 'disturbing', ' process', 'Learning', 'slow', 'really']</v>
      </c>
      <c r="D1997" s="3">
        <v>1.0</v>
      </c>
    </row>
    <row r="1998" ht="15.75" customHeight="1">
      <c r="A1998" s="1">
        <v>2106.0</v>
      </c>
      <c r="B1998" s="3" t="s">
        <v>1976</v>
      </c>
      <c r="C1998" s="3" t="str">
        <f>IFERROR(__xludf.DUMMYFUNCTION("GOOGLETRANSLATE(B1998,""id"",""en"")"),"['easy', 'pke', 'application']")</f>
        <v>['easy', 'pke', 'application']</v>
      </c>
      <c r="D1998" s="3">
        <v>5.0</v>
      </c>
    </row>
    <row r="1999" ht="15.75" customHeight="1">
      <c r="A1999" s="1">
        <v>2107.0</v>
      </c>
      <c r="B1999" s="3" t="s">
        <v>1977</v>
      </c>
      <c r="C1999" s="3" t="str">
        <f>IFERROR(__xludf.DUMMYFUNCTION("GOOGLETRANSLATE(B1999,""id"",""en"")"),"['Telkomsel', 'Network', 'Severe', 'Leet', 'Good', 'Use', '']")</f>
        <v>['Telkomsel', 'Network', 'Severe', 'Leet', 'Good', 'Use', '']</v>
      </c>
      <c r="D1999" s="3">
        <v>1.0</v>
      </c>
    </row>
    <row r="2000" ht="15.75" customHeight="1">
      <c r="A2000" s="1">
        <v>2108.0</v>
      </c>
      <c r="B2000" s="3" t="s">
        <v>1978</v>
      </c>
      <c r="C2000" s="3" t="str">
        <f>IFERROR(__xludf.DUMMYFUNCTION("GOOGLETRANSLATE(B2000,""id"",""en"")"),"['plliss', 'pulse', 'shocks', 'already', 'a week', 'pdhl', 'already', 'buy', 'quota', 'please', 'Telkomsel', 'responsible']")</f>
        <v>['plliss', 'pulse', 'shocks', 'already', 'a week', 'pdhl', 'already', 'buy', 'quota', 'please', 'Telkomsel', 'responsible']</v>
      </c>
      <c r="D2000" s="3">
        <v>1.0</v>
      </c>
    </row>
    <row r="2001" ht="15.75" customHeight="1">
      <c r="A2001" s="1">
        <v>2109.0</v>
      </c>
      <c r="B2001" s="3" t="s">
        <v>1979</v>
      </c>
      <c r="C2001" s="3" t="str">
        <f>IFERROR(__xludf.DUMMYFUNCTION("GOOGLETRANSLATE(B2001,""id"",""en"")"),"['contents',' plsa ',' ksdot ',' then ',' woy ',' slalu ',' can ',' sms', 'mold', 'pulse', 'emergency', 'pdal', ' Prnah ',' followed ',' grocery ',' intenet ',' pkai ',' wifi ',' contents', 'plsung', 'lngsung', ""]")</f>
        <v>['contents',' plsa ',' ksdot ',' then ',' woy ',' slalu ',' can ',' sms', 'mold', 'pulse', 'emergency', 'pdal', ' Prnah ',' followed ',' grocery ',' intenet ',' pkai ',' wifi ',' contents', 'plsung', 'lngsung', "]</v>
      </c>
      <c r="D2001" s="3">
        <v>1.0</v>
      </c>
    </row>
    <row r="2002" ht="15.75" customHeight="1">
      <c r="A2002" s="1">
        <v>2110.0</v>
      </c>
      <c r="B2002" s="3" t="s">
        <v>1980</v>
      </c>
      <c r="C2002" s="3" t="str">
        <f>IFERROR(__xludf.DUMMYFUNCTION("GOOGLETRANSLATE(B2002,""id"",""en"")"),"['Telkomsel', 'slow', 'pay', 'expensive']")</f>
        <v>['Telkomsel', 'slow', 'pay', 'expensive']</v>
      </c>
      <c r="D2002" s="3">
        <v>1.0</v>
      </c>
    </row>
    <row r="2003" ht="15.75" customHeight="1">
      <c r="A2003" s="1">
        <v>2111.0</v>
      </c>
      <c r="B2003" s="3" t="s">
        <v>1981</v>
      </c>
      <c r="C2003" s="3" t="str">
        <f>IFERROR(__xludf.DUMMYFUNCTION("GOOGLETRANSLATE(B2003,""id"",""en"")"),"['Credit', 'Cutting', 'Use', 'SMS', 'Access', 'Internet', 'Rates', 'Non', 'Package', 'WiFi', 'Thank "",' Points ',' Daily ',' check ',' poor ']")</f>
        <v>['Credit', 'Cutting', 'Use', 'SMS', 'Access', 'Internet', 'Rates', 'Non', 'Package', 'WiFi', 'Thank ",' Points ',' Daily ',' check ',' poor ']</v>
      </c>
      <c r="D2003" s="3">
        <v>1.0</v>
      </c>
    </row>
    <row r="2004" ht="15.75" customHeight="1">
      <c r="A2004" s="1">
        <v>2112.0</v>
      </c>
      <c r="B2004" s="3" t="s">
        <v>1982</v>
      </c>
      <c r="C2004" s="3" t="str">
        <f>IFERROR(__xludf.DUMMYFUNCTION("GOOGLETRANSLATE(B2004,""id"",""en"")"),"['Amazing', 'Telkomsel', 'signal', 'quality', '']")</f>
        <v>['Amazing', 'Telkomsel', 'signal', 'quality', '']</v>
      </c>
      <c r="D2004" s="3">
        <v>1.0</v>
      </c>
    </row>
    <row r="2005" ht="15.75" customHeight="1">
      <c r="A2005" s="1">
        <v>2113.0</v>
      </c>
      <c r="B2005" s="3" t="s">
        <v>1983</v>
      </c>
      <c r="C2005" s="3" t="str">
        <f>IFERROR(__xludf.DUMMYFUNCTION("GOOGLETRANSLATE(B2005,""id"",""en"")"),"['Please', 'fix', 'signal', 'area', 'plg', 'area', 'alang', 'wide', 'week', 'signal', 'stem', 'work', ' related ',' signal ',' hampered ']")</f>
        <v>['Please', 'fix', 'signal', 'area', 'plg', 'area', 'alang', 'wide', 'week', 'signal', 'stem', 'work', ' related ',' signal ',' hampered ']</v>
      </c>
      <c r="D2005" s="3">
        <v>2.0</v>
      </c>
    </row>
    <row r="2006" ht="15.75" customHeight="1">
      <c r="A2006" s="1">
        <v>2114.0</v>
      </c>
      <c r="B2006" s="3" t="s">
        <v>1984</v>
      </c>
      <c r="C2006" s="3" t="str">
        <f>IFERROR(__xludf.DUMMYFUNCTION("GOOGLETRANSLATE(B2006,""id"",""en"")"),"['Blm', 'free', 'quota', 'friend', 'user', 'telkom']")</f>
        <v>['Blm', 'free', 'quota', 'friend', 'user', 'telkom']</v>
      </c>
      <c r="D2006" s="3">
        <v>3.0</v>
      </c>
    </row>
    <row r="2007" ht="15.75" customHeight="1">
      <c r="A2007" s="1">
        <v>2115.0</v>
      </c>
      <c r="B2007" s="3" t="s">
        <v>1985</v>
      </c>
      <c r="C2007" s="3" t="str">
        <f>IFERROR(__xludf.DUMMYFUNCTION("GOOGLETRANSLATE(B2007,""id"",""en"")"),"['Easy', 'access']")</f>
        <v>['Easy', 'access']</v>
      </c>
      <c r="D2007" s="3">
        <v>5.0</v>
      </c>
    </row>
    <row r="2008" ht="15.75" customHeight="1">
      <c r="A2008" s="1">
        <v>2116.0</v>
      </c>
      <c r="B2008" s="3" t="s">
        <v>1986</v>
      </c>
      <c r="C2008" s="3" t="str">
        <f>IFERROR(__xludf.DUMMYFUNCTION("GOOGLETRANSLATE(B2008,""id"",""en"")"),"['Actually', 'gave', 'star', 'just', 'signal', 'sometimes',' missing ',' disappointed ',' Telkomsel ',' already ',' quota ',' expensive ',' signal ',' equivalent ',' price ',' cheap ',' quota ',' package ',' data ',' buy ',' expensive ',' expensive ',' si"&amp;"gnal ',' kayak ',' gini ' , 'disappointed', '']")</f>
        <v>['Actually', 'gave', 'star', 'just', 'signal', 'sometimes',' missing ',' disappointed ',' Telkomsel ',' already ',' quota ',' expensive ',' signal ',' equivalent ',' price ',' cheap ',' quota ',' package ',' data ',' buy ',' expensive ',' expensive ',' signal ',' kayak ',' gini ' , 'disappointed', '']</v>
      </c>
      <c r="D2008" s="3">
        <v>1.0</v>
      </c>
    </row>
    <row r="2009" ht="15.75" customHeight="1">
      <c r="A2009" s="1">
        <v>2117.0</v>
      </c>
      <c r="B2009" s="3" t="s">
        <v>1987</v>
      </c>
      <c r="C2009" s="3" t="str">
        <f>IFERROR(__xludf.DUMMYFUNCTION("GOOGLETRANSLATE(B2009,""id"",""en"")"),"['Network', 'Good', 'Closed', 'Ngerugin', 'People', 'User']")</f>
        <v>['Network', 'Good', 'Closed', 'Ngerugin', 'People', 'User']</v>
      </c>
      <c r="D2009" s="3">
        <v>1.0</v>
      </c>
    </row>
    <row r="2010" ht="15.75" customHeight="1">
      <c r="A2010" s="1">
        <v>2118.0</v>
      </c>
      <c r="B2010" s="3" t="s">
        <v>1988</v>
      </c>
      <c r="C2010" s="3" t="str">
        <f>IFERROR(__xludf.DUMMYFUNCTION("GOOGLETRANSLATE(B2010,""id"",""en"")"),"['Love', 'Bintang', 'Bgus', 'Bru', 'ksih', 'star']")</f>
        <v>['Love', 'Bintang', 'Bgus', 'Bru', 'ksih', 'star']</v>
      </c>
      <c r="D2010" s="3">
        <v>1.0</v>
      </c>
    </row>
    <row r="2011" ht="15.75" customHeight="1">
      <c r="A2011" s="1">
        <v>2119.0</v>
      </c>
      <c r="B2011" s="3" t="s">
        <v>1989</v>
      </c>
      <c r="C2011" s="3" t="str">
        <f>IFERROR(__xludf.DUMMYFUNCTION("GOOGLETRANSLATE(B2011,""id"",""en"")"),"['Telkomsel', 'Severe', 'Times', 'Buy', 'Package', 'Internet', 'Signal', 'ilang', 'Nilagan', 'Credit', 'Out', ""]")</f>
        <v>['Telkomsel', 'Severe', 'Times', 'Buy', 'Package', 'Internet', 'Signal', 'ilang', 'Nilagan', 'Credit', 'Out', "]</v>
      </c>
      <c r="D2011" s="3">
        <v>1.0</v>
      </c>
    </row>
    <row r="2012" ht="15.75" customHeight="1">
      <c r="A2012" s="1">
        <v>2120.0</v>
      </c>
      <c r="B2012" s="3" t="s">
        <v>1990</v>
      </c>
      <c r="C2012" s="3" t="str">
        <f>IFERROR(__xludf.DUMMYFUNCTION("GOOGLETRANSLATE(B2012,""id"",""en"")"),"['Application', 'Teremot', 'Move', 'Yellow', 'Deh', 'Updated', 'Canal', '']")</f>
        <v>['Application', 'Teremot', 'Move', 'Yellow', 'Deh', 'Updated', 'Canal', '']</v>
      </c>
      <c r="D2012" s="3">
        <v>1.0</v>
      </c>
    </row>
    <row r="2013" ht="15.75" customHeight="1">
      <c r="A2013" s="1">
        <v>2121.0</v>
      </c>
      <c r="B2013" s="3" t="s">
        <v>1991</v>
      </c>
      <c r="C2013" s="3" t="str">
        <f>IFERROR(__xludf.DUMMYFUNCTION("GOOGLETRANSLATE(B2013,""id"",""en"")"),"['Help', 'buy', 'package', 'check', 'pulse', 'package', 'internet']")</f>
        <v>['Help', 'buy', 'package', 'check', 'pulse', 'package', 'internet']</v>
      </c>
      <c r="D2013" s="3">
        <v>5.0</v>
      </c>
    </row>
    <row r="2014" ht="15.75" customHeight="1">
      <c r="A2014" s="1">
        <v>2122.0</v>
      </c>
      <c r="B2014" s="3" t="s">
        <v>1992</v>
      </c>
      <c r="C2014" s="3" t="str">
        <f>IFERROR(__xludf.DUMMYFUNCTION("GOOGLETRANSLATE(B2014,""id"",""en"")"),"['Promotion', 'Lonely', '']")</f>
        <v>['Promotion', 'Lonely', '']</v>
      </c>
      <c r="D2014" s="3">
        <v>2.0</v>
      </c>
    </row>
    <row r="2015" ht="15.75" customHeight="1">
      <c r="A2015" s="1">
        <v>2123.0</v>
      </c>
      <c r="B2015" s="3" t="s">
        <v>1993</v>
      </c>
      <c r="C2015" s="3" t="str">
        <f>IFERROR(__xludf.DUMMYFUNCTION("GOOGLETRANSLATE(B2015,""id"",""en"")"),"['Severe', 'signal', 'gnti', 'card', 'complaints',' already ',' response ',' package ',' expensive ',' keuang ',' vain ',' vain ',' Want ',' Fortunately ',' You ',' Telkomsel ',' Network ',' Repaired ']")</f>
        <v>['Severe', 'signal', 'gnti', 'card', 'complaints',' already ',' response ',' package ',' expensive ',' keuang ',' vain ',' vain ',' Want ',' Fortunately ',' You ',' Telkomsel ',' Network ',' Repaired ']</v>
      </c>
      <c r="D2015" s="3">
        <v>1.0</v>
      </c>
    </row>
    <row r="2016" ht="15.75" customHeight="1">
      <c r="A2016" s="1">
        <v>2124.0</v>
      </c>
      <c r="B2016" s="3" t="s">
        <v>1994</v>
      </c>
      <c r="C2016" s="3" t="str">
        <f>IFERROR(__xludf.DUMMYFUNCTION("GOOGLETRANSLATE(B2016,""id"",""en"")"),"['Please', 'The network', 'Increases',' NTT ',' Sell ',' Katu ',' Package ',' Credit ',' Network ',' Rich ',' Nggk ',' Bangat ',' network ',' Telkomsel ',' bgtu ',' package ',' data ',' expensive ',' network ',' nggk ']")</f>
        <v>['Please', 'The network', 'Increases',' NTT ',' Sell ',' Katu ',' Package ',' Credit ',' Network ',' Rich ',' Nggk ',' Bangat ',' network ',' Telkomsel ',' bgtu ',' package ',' data ',' expensive ',' network ',' nggk ']</v>
      </c>
      <c r="D2016" s="3">
        <v>1.0</v>
      </c>
    </row>
    <row r="2017" ht="15.75" customHeight="1">
      <c r="A2017" s="1">
        <v>2125.0</v>
      </c>
      <c r="B2017" s="3" t="s">
        <v>1995</v>
      </c>
      <c r="C2017" s="3" t="str">
        <f>IFERROR(__xludf.DUMMYFUNCTION("GOOGLETRANSLATE(B2017,""id"",""en"")"),"['parahhh', 'buy', 'pulse', 'worth', 'packaged', 'package', 'cheerful', 'GB', 'a week', 'bbrpa', 'hour', 'package', ' Full ',' Notif ',' SMS ',' Internet ',' BBADA ',' Minutes', 'Notif', 'RB', 'Internet', 'Where', 'Credit', 'Package', 'Cheers' , 'Informat"&amp;"ion', 'difference', 'quota', 'ration']")</f>
        <v>['parahhh', 'buy', 'pulse', 'worth', 'packaged', 'package', 'cheerful', 'GB', 'a week', 'bbrpa', 'hour', 'package', ' Full ',' Notif ',' SMS ',' Internet ',' BBADA ',' Minutes', 'Notif', 'RB', 'Internet', 'Where', 'Credit', 'Package', 'Cheers' , 'Information', 'difference', 'quota', 'ration']</v>
      </c>
      <c r="D2017" s="3">
        <v>1.0</v>
      </c>
    </row>
    <row r="2018" ht="15.75" customHeight="1">
      <c r="A2018" s="1">
        <v>2126.0</v>
      </c>
      <c r="B2018" s="3" t="s">
        <v>1996</v>
      </c>
      <c r="C2018" s="3" t="str">
        <f>IFERROR(__xludf.DUMMYFUNCTION("GOOGLETRANSLATE(B2018,""id"",""en"")"),"['Android', 'Download', 'Application', 'Update', '']")</f>
        <v>['Android', 'Download', 'Application', 'Update', '']</v>
      </c>
      <c r="D2018" s="3">
        <v>1.0</v>
      </c>
    </row>
    <row r="2019" ht="15.75" customHeight="1">
      <c r="A2019" s="1">
        <v>2128.0</v>
      </c>
      <c r="B2019" s="3" t="s">
        <v>1997</v>
      </c>
      <c r="C2019" s="3" t="str">
        <f>IFERROR(__xludf.DUMMYFUNCTION("GOOGLETRANSLATE(B2019,""id"",""en"")"),"['Price', 'Package', 'Internet', 'TLG', 'Lower', 'Consumers', 'Setia', 'Telkomsel', ""]")</f>
        <v>['Price', 'Package', 'Internet', 'TLG', 'Lower', 'Consumers', 'Setia', 'Telkomsel', "]</v>
      </c>
      <c r="D2019" s="3">
        <v>4.0</v>
      </c>
    </row>
    <row r="2020" ht="15.75" customHeight="1">
      <c r="A2020" s="1">
        <v>2129.0</v>
      </c>
      <c r="B2020" s="3" t="s">
        <v>1998</v>
      </c>
      <c r="C2020" s="3" t="str">
        <f>IFERROR(__xludf.DUMMYFUNCTION("GOOGLETRANSLATE(B2020,""id"",""en"")"),"['Telkomsel', 'Nge', 'lag', 'mabar', 'hotspot', 'smart', 'fren']")</f>
        <v>['Telkomsel', 'Nge', 'lag', 'mabar', 'hotspot', 'smart', 'fren']</v>
      </c>
      <c r="D2020" s="3">
        <v>1.0</v>
      </c>
    </row>
    <row r="2021" ht="15.75" customHeight="1">
      <c r="A2021" s="1">
        <v>2130.0</v>
      </c>
      <c r="B2021" s="3" t="s">
        <v>1999</v>
      </c>
      <c r="C2021" s="3" t="str">
        <f>IFERROR(__xludf.DUMMYFUNCTION("GOOGLETRANSLATE(B2021,""id"",""en"")"),"['Please', 'network', 'repaired', 'play', 'game', 'online', 'difficult', 'forgiveness', 'signal', ""]")</f>
        <v>['Please', 'network', 'repaired', 'play', 'game', 'online', 'difficult', 'forgiveness', 'signal', "]</v>
      </c>
      <c r="D2021" s="3">
        <v>5.0</v>
      </c>
    </row>
    <row r="2022" ht="15.75" customHeight="1">
      <c r="A2022" s="1">
        <v>2131.0</v>
      </c>
      <c r="B2022" s="3" t="s">
        <v>2000</v>
      </c>
      <c r="C2022" s="3" t="str">
        <f>IFERROR(__xludf.DUMMYFUNCTION("GOOGLETRANSLATE(B2022,""id"",""en"")"),"['quota', 'local', 'boarding', 'distance', 'meter', 'telkom', 'provider', 'expensive', 'waiter', 'bad']")</f>
        <v>['quota', 'local', 'boarding', 'distance', 'meter', 'telkom', 'provider', 'expensive', 'waiter', 'bad']</v>
      </c>
      <c r="D2022" s="3">
        <v>1.0</v>
      </c>
    </row>
    <row r="2023" ht="15.75" customHeight="1">
      <c r="A2023" s="1">
        <v>2132.0</v>
      </c>
      <c r="B2023" s="3" t="s">
        <v>2001</v>
      </c>
      <c r="C2023" s="3" t="str">
        <f>IFERROR(__xludf.DUMMYFUNCTION("GOOGLETRANSLATE(B2023,""id"",""en"")"),"['Telkom', 'rotten', 'abis',' gnti ',' commissioner ',' update ',' newest ',' rotten ',' gnti ',' indosat ',' rather than ',' telkom ',' rotten']")</f>
        <v>['Telkom', 'rotten', 'abis',' gnti ',' commissioner ',' update ',' newest ',' rotten ',' gnti ',' indosat ',' rather than ',' telkom ',' rotten']</v>
      </c>
      <c r="D2023" s="3">
        <v>1.0</v>
      </c>
    </row>
    <row r="2024" ht="15.75" customHeight="1">
      <c r="A2024" s="1">
        <v>2133.0</v>
      </c>
      <c r="B2024" s="3" t="s">
        <v>2002</v>
      </c>
      <c r="C2024" s="3" t="str">
        <f>IFERROR(__xludf.DUMMYFUNCTION("GOOGLETRANSLATE(B2024,""id"",""en"")"),"['Sya', 'Hello', 'Package', 'Internet', 'Leet', 'Skli', 'Hah', 'Lawak', 'Skli', '']")</f>
        <v>['Sya', 'Hello', 'Package', 'Internet', 'Leet', 'Skli', 'Hah', 'Lawak', 'Skli', '']</v>
      </c>
      <c r="D2024" s="3">
        <v>1.0</v>
      </c>
    </row>
    <row r="2025" ht="15.75" customHeight="1">
      <c r="A2025" s="1">
        <v>2134.0</v>
      </c>
      <c r="B2025" s="3" t="s">
        <v>2003</v>
      </c>
      <c r="C2025" s="3" t="str">
        <f>IFERROR(__xludf.DUMMYFUNCTION("GOOGLETRANSLATE(B2025,""id"",""en"")"),"['user', 'interface', 'bad', 'comfortable', 'complains',' network ',' service ',' bad ',' submitted ',' bot ',' serving ',' quality ',' network ',' bad ',' APK ',' network ',' service ',' just ',' regarding ',' natural ',' Telkomsel ',' caring ']")</f>
        <v>['user', 'interface', 'bad', 'comfortable', 'complains',' network ',' service ',' bad ',' submitted ',' bot ',' serving ',' quality ',' network ',' bad ',' APK ',' network ',' service ',' just ',' regarding ',' natural ',' Telkomsel ',' caring ']</v>
      </c>
      <c r="D2025" s="3">
        <v>1.0</v>
      </c>
    </row>
    <row r="2026" ht="15.75" customHeight="1">
      <c r="A2026" s="1">
        <v>2135.0</v>
      </c>
      <c r="B2026" s="3" t="s">
        <v>2004</v>
      </c>
      <c r="C2026" s="3" t="str">
        <f>IFERROR(__xludf.DUMMYFUNCTION("GOOGLETRANSLATE(B2026,""id"",""en"")"),"['', 'Happy', 'Very', 'Pliss',' Telkomsel ',' Fix ',' Karna ',' Sigyal ',' strange ',' TPI ',' love ',' star ',' Telkomsel ',' already ',' nemenin ',' era ',' please ',' Selawain ',' Doang ', ""]")</f>
        <v>['', 'Happy', 'Very', 'Pliss',' Telkomsel ',' Fix ',' Karna ',' Sigyal ',' strange ',' TPI ',' love ',' star ',' Telkomsel ',' already ',' nemenin ',' era ',' please ',' Selawain ',' Doang ', "]</v>
      </c>
      <c r="D2026" s="3">
        <v>5.0</v>
      </c>
    </row>
    <row r="2027" ht="15.75" customHeight="1">
      <c r="A2027" s="1">
        <v>2136.0</v>
      </c>
      <c r="B2027" s="3" t="s">
        <v>2005</v>
      </c>
      <c r="C2027" s="3" t="str">
        <f>IFERROR(__xludf.DUMMYFUNCTION("GOOGLETRANSLATE(B2027,""id"",""en"")"),"['Customer', 'card', 'Hello', 'enter', 'Disney', 'told', 'Pay', 'contribution', 'annoyed']")</f>
        <v>['Customer', 'card', 'Hello', 'enter', 'Disney', 'told', 'Pay', 'contribution', 'annoyed']</v>
      </c>
      <c r="D2027" s="3">
        <v>2.0</v>
      </c>
    </row>
    <row r="2028" ht="15.75" customHeight="1">
      <c r="A2028" s="1">
        <v>2137.0</v>
      </c>
      <c r="B2028" s="3" t="s">
        <v>2006</v>
      </c>
      <c r="C2028" s="3" t="str">
        <f>IFERROR(__xludf.DUMMYFUNCTION("GOOGLETRANSLATE(B2028,""id"",""en"")"),"['Handed out', 'screen', 'press', 'the application', '']")</f>
        <v>['Handed out', 'screen', 'press', 'the application', '']</v>
      </c>
      <c r="D2028" s="3">
        <v>1.0</v>
      </c>
    </row>
    <row r="2029" ht="15.75" customHeight="1">
      <c r="A2029" s="1">
        <v>2139.0</v>
      </c>
      <c r="B2029" s="3" t="s">
        <v>2007</v>
      </c>
      <c r="C2029" s="3" t="str">
        <f>IFERROR(__xludf.DUMMYFUNCTION("GOOGLETRANSLATE(B2029,""id"",""en"")"),"['Suitable', 'Unfortunately', 'Package', 'Local', '']")</f>
        <v>['Suitable', 'Unfortunately', 'Package', 'Local', '']</v>
      </c>
      <c r="D2029" s="3">
        <v>5.0</v>
      </c>
    </row>
    <row r="2030" ht="15.75" customHeight="1">
      <c r="A2030" s="1">
        <v>2140.0</v>
      </c>
      <c r="B2030" s="3" t="s">
        <v>2008</v>
      </c>
      <c r="C2030" s="3" t="str">
        <f>IFERROR(__xludf.DUMMYFUNCTION("GOOGLETRANSLATE(B2030,""id"",""en"")"),"['petrified', 'Thanks', 'Telkomsel']")</f>
        <v>['petrified', 'Thanks', 'Telkomsel']</v>
      </c>
      <c r="D2030" s="3">
        <v>5.0</v>
      </c>
    </row>
    <row r="2031" ht="15.75" customHeight="1">
      <c r="A2031" s="1">
        <v>2141.0</v>
      </c>
      <c r="B2031" s="3" t="s">
        <v>2009</v>
      </c>
      <c r="C2031" s="3" t="str">
        <f>IFERROR(__xludf.DUMMYFUNCTION("GOOGLETRANSLATE(B2031,""id"",""en"")"),"['Enk']")</f>
        <v>['Enk']</v>
      </c>
      <c r="D2031" s="3">
        <v>2.0</v>
      </c>
    </row>
    <row r="2032" ht="15.75" customHeight="1">
      <c r="A2032" s="1">
        <v>2142.0</v>
      </c>
      <c r="B2032" s="3" t="s">
        <v>2010</v>
      </c>
      <c r="C2032" s="3" t="str">
        <f>IFERROR(__xludf.DUMMYFUNCTION("GOOGLETRANSLATE(B2032,""id"",""en"")"),"['Dear', 'Telkomsel', 'please', 'package', 'internet', 'cheap', 'signal', 'stable']")</f>
        <v>['Dear', 'Telkomsel', 'please', 'package', 'internet', 'cheap', 'signal', 'stable']</v>
      </c>
      <c r="D2032" s="3">
        <v>1.0</v>
      </c>
    </row>
    <row r="2033" ht="15.75" customHeight="1">
      <c r="A2033" s="1">
        <v>2143.0</v>
      </c>
      <c r="B2033" s="3" t="s">
        <v>2011</v>
      </c>
      <c r="C2033" s="3" t="str">
        <f>IFERROR(__xludf.DUMMYFUNCTION("GOOGLETRANSLATE(B2033,""id"",""en"")"),"['Telkomsel', 'play', 'game', 'lag', 'signal', 'sometimes',' apk ',' tiktok ',' etc. ',' stable ',' right ',' use ',' Ngeegame ',' signal ',' Direct ',' Drop ',' ']")</f>
        <v>['Telkomsel', 'play', 'game', 'lag', 'signal', 'sometimes',' apk ',' tiktok ',' etc. ',' stable ',' right ',' use ',' Ngeegame ',' signal ',' Direct ',' Drop ',' ']</v>
      </c>
      <c r="D2033" s="3">
        <v>1.0</v>
      </c>
    </row>
    <row r="2034" ht="15.75" customHeight="1">
      <c r="A2034" s="1">
        <v>2144.0</v>
      </c>
      <c r="B2034" s="3" t="s">
        <v>2012</v>
      </c>
      <c r="C2034" s="3" t="str">
        <f>IFERROR(__xludf.DUMMYFUNCTION("GOOGLETRANSLATE(B2034,""id"",""en"")"),"['', 'star', 'star', 'ntar', 'big', 'ndase', 'package', 'price', 'expensive', 'quality', 'network', 'sangat', 'sangat ',' Bad ',' Open ',' Story ',' Muser ',' Play ',' Game ',' Apartun ',' Signal ',' Red ',' A Week ',' Mulu ',' Seburuk ', 'Network', 'prov"&amp;"ider', 'famous', 'bangssattttt', 'dlblock', 'asuuu', ""]")</f>
        <v>['', 'star', 'star', 'ntar', 'big', 'ndase', 'package', 'price', 'expensive', 'quality', 'network', 'sangat', 'sangat ',' Bad ',' Open ',' Story ',' Muser ',' Play ',' Game ',' Apartun ',' Signal ',' Red ',' A Week ',' Mulu ',' Seburuk ', 'Network', 'provider', 'famous', 'bangssattttt', 'dlblock', 'asuuu', "]</v>
      </c>
      <c r="D2034" s="3">
        <v>5.0</v>
      </c>
    </row>
    <row r="2035" ht="15.75" customHeight="1">
      <c r="A2035" s="1">
        <v>2145.0</v>
      </c>
      <c r="B2035" s="3" t="s">
        <v>2013</v>
      </c>
      <c r="C2035" s="3" t="str">
        <f>IFERROR(__xludf.DUMMYFUNCTION("GOOGLETRANSLATE(B2035,""id"",""en"")"),"['fix', 'network', 'internet', 'bad', 'customers',' Telkomsel ',' complain ',' network ',' internet ',' really ',' disappointed ',' Telkomsel ',' ugly ',' network ',' internet ',' ']")</f>
        <v>['fix', 'network', 'internet', 'bad', 'customers',' Telkomsel ',' complain ',' network ',' internet ',' really ',' disappointed ',' Telkomsel ',' ugly ',' network ',' internet ',' ']</v>
      </c>
      <c r="D2035" s="3">
        <v>1.0</v>
      </c>
    </row>
    <row r="2036" ht="15.75" customHeight="1">
      <c r="A2036" s="1">
        <v>2146.0</v>
      </c>
      <c r="B2036" s="3" t="s">
        <v>2014</v>
      </c>
      <c r="C2036" s="3" t="str">
        <f>IFERROR(__xludf.DUMMYFUNCTION("GOOGLETRANSLATE(B2036,""id"",""en"")"),"['sympathy', 'responsible', 'pulse', 'enter', 'charging', 'pulse', 'application', 'funds',' eat ',' money ',' haram ',' right ',' people ',' eat ']")</f>
        <v>['sympathy', 'responsible', 'pulse', 'enter', 'charging', 'pulse', 'application', 'funds',' eat ',' money ',' haram ',' right ',' people ',' eat ']</v>
      </c>
      <c r="D2036" s="3">
        <v>1.0</v>
      </c>
    </row>
    <row r="2037" ht="15.75" customHeight="1">
      <c r="A2037" s="1">
        <v>2147.0</v>
      </c>
      <c r="B2037" s="3" t="s">
        <v>2015</v>
      </c>
      <c r="C2037" s="3" t="str">
        <f>IFERROR(__xludf.DUMMYFUNCTION("GOOGLETRANSLATE(B2037,""id"",""en"")"),"['Disappointed', 'Network', 'Telkomsel', 'Region', 'Bener', 'Severe', 'Telkomsel', 'Region', 'Gresik', 'Menganti', 'Domas',' Severe ',' Severe ',' Severe ',' Severe ',' Polll ',' ']")</f>
        <v>['Disappointed', 'Network', 'Telkomsel', 'Region', 'Bener', 'Severe', 'Telkomsel', 'Region', 'Gresik', 'Menganti', 'Domas',' Severe ',' Severe ',' Severe ',' Severe ',' Polll ',' ']</v>
      </c>
      <c r="D2037" s="3">
        <v>5.0</v>
      </c>
    </row>
    <row r="2038" ht="15.75" customHeight="1">
      <c r="A2038" s="1">
        <v>2148.0</v>
      </c>
      <c r="B2038" s="3" t="s">
        <v>2016</v>
      </c>
      <c r="C2038" s="3" t="str">
        <f>IFERROR(__xludf.DUMMYFUNCTION("GOOGLETRANSLATE(B2038,""id"",""en"")"),"['update', 'the latest', 'picture', 'open', '']")</f>
        <v>['update', 'the latest', 'picture', 'open', '']</v>
      </c>
      <c r="D2038" s="3">
        <v>1.0</v>
      </c>
    </row>
    <row r="2039" ht="15.75" customHeight="1">
      <c r="A2039" s="1">
        <v>2149.0</v>
      </c>
      <c r="B2039" s="3" t="s">
        <v>2017</v>
      </c>
      <c r="C2039" s="3" t="str">
        <f>IFERROR(__xludf.DUMMYFUNCTION("GOOGLETRANSLATE(B2039,""id"",""en"")"),"['', 'Bintang', 'Coal', 'Try', 'APL', 'See', 'Promo', 'Cheap', '']")</f>
        <v>['', 'Bintang', 'Coal', 'Try', 'APL', 'See', 'Promo', 'Cheap', '']</v>
      </c>
      <c r="D2039" s="3">
        <v>4.0</v>
      </c>
    </row>
    <row r="2040" ht="15.75" customHeight="1">
      <c r="A2040" s="1">
        <v>2150.0</v>
      </c>
      <c r="B2040" s="3" t="s">
        <v>2018</v>
      </c>
      <c r="C2040" s="3" t="str">
        <f>IFERROR(__xludf.DUMMYFUNCTION("GOOGLETRANSLATE(B2040,""id"",""en"")"),"['Telkomsel', 'easy', 'hopefully', 'help']")</f>
        <v>['Telkomsel', 'easy', 'hopefully', 'help']</v>
      </c>
      <c r="D2040" s="3">
        <v>4.0</v>
      </c>
    </row>
    <row r="2041" ht="15.75" customHeight="1">
      <c r="A2041" s="1">
        <v>2151.0</v>
      </c>
      <c r="B2041" s="3" t="s">
        <v>2019</v>
      </c>
      <c r="C2041" s="3" t="str">
        <f>IFERROR(__xludf.DUMMYFUNCTION("GOOGLETRANSLATE(B2041,""id"",""en"")"),"['signal', 'good']")</f>
        <v>['signal', 'good']</v>
      </c>
      <c r="D2041" s="3">
        <v>2.0</v>
      </c>
    </row>
    <row r="2042" ht="15.75" customHeight="1">
      <c r="A2042" s="1">
        <v>2152.0</v>
      </c>
      <c r="B2042" s="3" t="s">
        <v>2020</v>
      </c>
      <c r="C2042" s="3" t="str">
        <f>IFERROR(__xludf.DUMMYFUNCTION("GOOGLETRANSLATE(B2042,""id"",""en"")"),"['package', 'expensive', 'network', 'difficult', 'pulse', 'missing', 'transaction', 'pulses', '']")</f>
        <v>['package', 'expensive', 'network', 'difficult', 'pulse', 'missing', 'transaction', 'pulses', '']</v>
      </c>
      <c r="D2042" s="3">
        <v>1.0</v>
      </c>
    </row>
    <row r="2043" ht="15.75" customHeight="1">
      <c r="A2043" s="1">
        <v>2153.0</v>
      </c>
      <c r="B2043" s="3" t="s">
        <v>2021</v>
      </c>
      <c r="C2043" s="3" t="str">
        <f>IFERROR(__xludf.DUMMYFUNCTION("GOOGLETRANSLATE(B2043,""id"",""en"")"),"['expensive', 'card', 'Menag', 'Different', 'price']")</f>
        <v>['expensive', 'card', 'Menag', 'Different', 'price']</v>
      </c>
      <c r="D2043" s="3">
        <v>2.0</v>
      </c>
    </row>
    <row r="2044" ht="15.75" customHeight="1">
      <c r="A2044" s="1">
        <v>2154.0</v>
      </c>
      <c r="B2044" s="3" t="s">
        <v>2022</v>
      </c>
      <c r="C2044" s="3" t="str">
        <f>IFERROR(__xludf.DUMMYFUNCTION("GOOGLETRANSLATE(B2044,""id"",""en"")"),"['Congratulations', 'slow', 'Hope', 'fast', 'fix', 'performance', 'connection']")</f>
        <v>['Congratulations', 'slow', 'Hope', 'fast', 'fix', 'performance', 'connection']</v>
      </c>
      <c r="D2044" s="3">
        <v>5.0</v>
      </c>
    </row>
    <row r="2045" ht="15.75" customHeight="1">
      <c r="A2045" s="1">
        <v>2155.0</v>
      </c>
      <c r="B2045" s="3" t="s">
        <v>2023</v>
      </c>
      <c r="C2045" s="3" t="str">
        <f>IFERROR(__xludf.DUMMYFUNCTION("GOOGLETRANSLATE(B2045,""id"",""en"")"),"['Network', 'kntle']")</f>
        <v>['Network', 'kntle']</v>
      </c>
      <c r="D2045" s="3">
        <v>1.0</v>
      </c>
    </row>
    <row r="2046" ht="15.75" customHeight="1">
      <c r="A2046" s="1">
        <v>2156.0</v>
      </c>
      <c r="B2046" s="3" t="s">
        <v>2024</v>
      </c>
      <c r="C2046" s="3" t="str">
        <f>IFERROR(__xludf.DUMMYFUNCTION("GOOGLETRANSLATE(B2046,""id"",""en"")"),"['Wonder', 'Telkomsel', 'JLAS', 'Open', 'Facebook', 'quota', 'Bginin', 'directionin', 'package', 'emergency', 'gimna', 'SLH', ' PNCET ',' package ',' emergency ',' Facebook ',' getting ',' credit ',' rb ',' crazy ',' forced ',' bner ',' search ',' money '"&amp;",' Luu ' , 'ihh', 'gedeg', 'gwe', 'card', 'Telkomsel', 'package', '']")</f>
        <v>['Wonder', 'Telkomsel', 'JLAS', 'Open', 'Facebook', 'quota', 'Bginin', 'directionin', 'package', 'emergency', 'gimna', 'SLH', ' PNCET ',' package ',' emergency ',' Facebook ',' getting ',' credit ',' rb ',' crazy ',' forced ',' bner ',' search ',' money ',' Luu ' , 'ihh', 'gedeg', 'gwe', 'card', 'Telkomsel', 'package', '']</v>
      </c>
      <c r="D2046" s="3">
        <v>1.0</v>
      </c>
    </row>
    <row r="2047" ht="15.75" customHeight="1">
      <c r="A2047" s="1">
        <v>2157.0</v>
      </c>
      <c r="B2047" s="3" t="s">
        <v>2025</v>
      </c>
      <c r="C2047" s="3" t="str">
        <f>IFERROR(__xludf.DUMMYFUNCTION("GOOGLETRANSLATE(B2047,""id"",""en"")"),"['Locking', 'pulse', 'Telkomsel', 'prone', 'missing', 'pulse']")</f>
        <v>['Locking', 'pulse', 'Telkomsel', 'prone', 'missing', 'pulse']</v>
      </c>
      <c r="D2047" s="3">
        <v>1.0</v>
      </c>
    </row>
    <row r="2048" ht="15.75" customHeight="1">
      <c r="A2048" s="1">
        <v>2158.0</v>
      </c>
      <c r="B2048" s="3" t="s">
        <v>2026</v>
      </c>
      <c r="C2048" s="3" t="str">
        <f>IFERROR(__xludf.DUMMYFUNCTION("GOOGLETRANSLATE(B2048,""id"",""en"")"),"['Paketannya', 'expensive', 'balance', 'quality', 'signal', 'season', 'rainy', 'ilang', 'signal']")</f>
        <v>['Paketannya', 'expensive', 'balance', 'quality', 'signal', 'season', 'rainy', 'ilang', 'signal']</v>
      </c>
      <c r="D2048" s="3">
        <v>1.0</v>
      </c>
    </row>
    <row r="2049" ht="15.75" customHeight="1">
      <c r="A2049" s="1">
        <v>2159.0</v>
      </c>
      <c r="B2049" s="3" t="s">
        <v>2027</v>
      </c>
      <c r="C2049" s="3" t="str">
        <f>IFERROR(__xludf.DUMMYFUNCTION("GOOGLETRANSLATE(B2049,""id"",""en"")"),"['Samgat', 'Help', 'Thank you', 'Telkomsel']")</f>
        <v>['Samgat', 'Help', 'Thank you', 'Telkomsel']</v>
      </c>
      <c r="D2049" s="3">
        <v>5.0</v>
      </c>
    </row>
    <row r="2050" ht="15.75" customHeight="1">
      <c r="A2050" s="1">
        <v>2160.0</v>
      </c>
      <c r="B2050" s="3" t="s">
        <v>2028</v>
      </c>
      <c r="C2050" s="3" t="str">
        <f>IFERROR(__xludf.DUMMYFUNCTION("GOOGLETRANSLATE(B2050,""id"",""en"")"),"['Choice', 'Package', 'Not bad', 'expensive']")</f>
        <v>['Choice', 'Package', 'Not bad', 'expensive']</v>
      </c>
      <c r="D2050" s="3">
        <v>5.0</v>
      </c>
    </row>
    <row r="2051" ht="15.75" customHeight="1">
      <c r="A2051" s="1">
        <v>2161.0</v>
      </c>
      <c r="B2051" s="3" t="s">
        <v>2029</v>
      </c>
      <c r="C2051" s="3" t="str">
        <f>IFERROR(__xludf.DUMMYFUNCTION("GOOGLETRANSLATE(B2051,""id"",""en"")"),"['Reduce', 'Star', 'Skarang', 'Nether', 'ugly', 'Doang', 'Internet', 'Chat', 'Veronika', 'Muter', 'Muter', 'Doang', ' Please, 'Network', 'Fix', 'Blum', 'Network', 'Best']")</f>
        <v>['Reduce', 'Star', 'Skarang', 'Nether', 'ugly', 'Doang', 'Internet', 'Chat', 'Veronika', 'Muter', 'Muter', 'Doang', ' Please, 'Network', 'Fix', 'Blum', 'Network', 'Best']</v>
      </c>
      <c r="D2051" s="3">
        <v>1.0</v>
      </c>
    </row>
    <row r="2052" ht="15.75" customHeight="1">
      <c r="A2052" s="1">
        <v>2162.0</v>
      </c>
      <c r="B2052" s="3" t="s">
        <v>2030</v>
      </c>
      <c r="C2052" s="3" t="str">
        <f>IFERROR(__xludf.DUMMYFUNCTION("GOOGLETRANSLATE(B2052,""id"",""en"")"),"['Telkomsel', 'might', 'Lma', 'might', 'JLEK', 'Plyananny', 'PLNGGAN', 'Fill', 'Quota', 'Combo', 'Sakti', 'Unlimeteed', ' Quota ',' Dibbi ',' Kuita ',' Internet ',' Quota ',' Multimedia ',' Quota ',' Multimedia ',' Trmsuk ',' Chat ',' Music ',' Game ',' S"&amp;"osmed ' , 'Open', 'YouTube', 'play', 'Game', 'DPOTHOW', 'quota', 'internet', 'all', 'quota', 'internet', 'hbis',' bru ',' Dipcha ',' quota ',' multimediany ',' TPI ',' dngn ',' speed ',' kbps', 'bsa', 'bsa', 'update', 'application', 'playstore', 'klian' ,"&amp;" 'LMBT', 'SKLI', 'Loading', 'ckup', 'tricriness', 'pkai', 'quota', 'Telkomsel', '']")</f>
        <v>['Telkomsel', 'might', 'Lma', 'might', 'JLEK', 'Plyananny', 'PLNGGAN', 'Fill', 'Quota', 'Combo', 'Sakti', 'Unlimeteed', ' Quota ',' Dibbi ',' Kuita ',' Internet ',' Quota ',' Multimedia ',' Quota ',' Multimedia ',' Trmsuk ',' Chat ',' Music ',' Game ',' Sosmed ' , 'Open', 'YouTube', 'play', 'Game', 'DPOTHOW', 'quota', 'internet', 'all', 'quota', 'internet', 'hbis',' bru ',' Dipcha ',' quota ',' multimediany ',' TPI ',' dngn ',' speed ',' kbps', 'bsa', 'bsa', 'update', 'application', 'playstore', 'klian' , 'LMBT', 'SKLI', 'Loading', 'ckup', 'tricriness', 'pkai', 'quota', 'Telkomsel', '']</v>
      </c>
      <c r="D2052" s="3">
        <v>1.0</v>
      </c>
    </row>
    <row r="2053" ht="15.75" customHeight="1">
      <c r="A2053" s="1">
        <v>2163.0</v>
      </c>
      <c r="B2053" s="3" t="s">
        <v>2031</v>
      </c>
      <c r="C2053" s="3" t="str">
        <f>IFERROR(__xludf.DUMMYFUNCTION("GOOGLETRANSLATE(B2053,""id"",""en"")"),"['improvement', 'network']")</f>
        <v>['improvement', 'network']</v>
      </c>
      <c r="D2053" s="3">
        <v>3.0</v>
      </c>
    </row>
    <row r="2054" ht="15.75" customHeight="1">
      <c r="A2054" s="1">
        <v>2164.0</v>
      </c>
      <c r="B2054" s="3" t="s">
        <v>2032</v>
      </c>
      <c r="C2054" s="3" t="str">
        <f>IFERROR(__xludf.DUMMYFUNCTION("GOOGLETRANSLATE(B2054,""id"",""en"")"),"['Easy', 'quata', 'cheap', 'melatisan', '']")</f>
        <v>['Easy', 'quata', 'cheap', 'melatisan', '']</v>
      </c>
      <c r="D2054" s="3">
        <v>5.0</v>
      </c>
    </row>
    <row r="2055" ht="15.75" customHeight="1">
      <c r="A2055" s="1">
        <v>2165.0</v>
      </c>
      <c r="B2055" s="3" t="s">
        <v>2033</v>
      </c>
      <c r="C2055" s="3" t="str">
        <f>IFERROR(__xludf.DUMMYFUNCTION("GOOGLETRANSLATE(B2055,""id"",""en"")"),"['Contents', 'pulse', 'direct', 'suck', 'install', 'package', 'data', 'card', 'sympathy', 'hmm', 'pepahh']")</f>
        <v>['Contents', 'pulse', 'direct', 'suck', 'install', 'package', 'data', 'card', 'sympathy', 'hmm', 'pepahh']</v>
      </c>
      <c r="D2055" s="3">
        <v>1.0</v>
      </c>
    </row>
    <row r="2056" ht="15.75" customHeight="1">
      <c r="A2056" s="1">
        <v>2166.0</v>
      </c>
      <c r="B2056" s="3" t="s">
        <v>2034</v>
      </c>
      <c r="C2056" s="3" t="str">
        <f>IFERROR(__xludf.DUMMYFUNCTION("GOOGLETRANSLATE(B2056,""id"",""en"")"),"['Sangatta', 'satisfying', ""]")</f>
        <v>['Sangatta', 'satisfying', "]</v>
      </c>
      <c r="D2056" s="3">
        <v>5.0</v>
      </c>
    </row>
    <row r="2057" ht="15.75" customHeight="1">
      <c r="A2057" s="1">
        <v>2167.0</v>
      </c>
      <c r="B2057" s="3" t="s">
        <v>2035</v>
      </c>
      <c r="C2057" s="3" t="str">
        <f>IFERROR(__xludf.DUMMYFUNCTION("GOOGLETRANSLATE(B2057,""id"",""en"")"),"['Crazy', 'Telkomsel', 'UDH', 'Price', 'Package', 'Data', 'Rise', 'Package', 'Cave', 'Buy', 'Bener', 'Bener', ' Operators', 'Initocated', 'Kaga', 'Give', 'Discount', 'Bonus',' Enjoyed ',' User ',' Kaga ',' Buy ',' Package ',' Data ',' Telkomsel ' , 'cave'"&amp;", 'change', 'card']")</f>
        <v>['Crazy', 'Telkomsel', 'UDH', 'Price', 'Package', 'Data', 'Rise', 'Package', 'Cave', 'Buy', 'Bener', 'Bener', ' Operators', 'Initocated', 'Kaga', 'Give', 'Discount', 'Bonus',' Enjoyed ',' User ',' Kaga ',' Buy ',' Package ',' Data ',' Telkomsel ' , 'cave', 'change', 'card']</v>
      </c>
      <c r="D2057" s="3">
        <v>1.0</v>
      </c>
    </row>
    <row r="2058" ht="15.75" customHeight="1">
      <c r="A2058" s="1">
        <v>2168.0</v>
      </c>
      <c r="B2058" s="3" t="s">
        <v>2036</v>
      </c>
      <c r="C2058" s="3" t="str">
        <f>IFERROR(__xludf.DUMMYFUNCTION("GOOGLETRANSLATE(B2058,""id"",""en"")"),"['Koq', 'price', '']")</f>
        <v>['Koq', 'price', '']</v>
      </c>
      <c r="D2058" s="3">
        <v>4.0</v>
      </c>
    </row>
    <row r="2059" ht="15.75" customHeight="1">
      <c r="A2059" s="1">
        <v>2169.0</v>
      </c>
      <c r="B2059" s="3" t="s">
        <v>2037</v>
      </c>
      <c r="C2059" s="3" t="str">
        <f>IFERROR(__xludf.DUMMYFUNCTION("GOOGLETRANSLATE(B2059,""id"",""en"")"),"['Telkomsel', 'enthusiasm', 'best', 'success', 'Telkomsel', 'changed', 'enthusiasm']")</f>
        <v>['Telkomsel', 'enthusiasm', 'best', 'success', 'Telkomsel', 'changed', 'enthusiasm']</v>
      </c>
      <c r="D2059" s="3">
        <v>5.0</v>
      </c>
    </row>
    <row r="2060" ht="15.75" customHeight="1">
      <c r="A2060" s="1">
        <v>2171.0</v>
      </c>
      <c r="B2060" s="3" t="s">
        <v>2038</v>
      </c>
      <c r="C2060" s="3" t="str">
        <f>IFERROR(__xludf.DUMMYFUNCTION("GOOGLETRANSLATE(B2060,""id"",""en"")"),"['Satisfied', 'Application', 'Telkomsel', 'Promoan', 'Fill', 'Package', 'Internet']")</f>
        <v>['Satisfied', 'Application', 'Telkomsel', 'Promoan', 'Fill', 'Package', 'Internet']</v>
      </c>
      <c r="D2060" s="3">
        <v>5.0</v>
      </c>
    </row>
    <row r="2061" ht="15.75" customHeight="1">
      <c r="A2061" s="1">
        <v>2172.0</v>
      </c>
      <c r="B2061" s="3" t="s">
        <v>2039</v>
      </c>
      <c r="C2061" s="3" t="str">
        <f>IFERROR(__xludf.DUMMYFUNCTION("GOOGLETRANSLATE(B2061,""id"",""en"")"),"['application', 'okay', 'network', 'slow', 'really', 'cileungsi', 'area', 'alley', 'doang', 'slow', 'really']")</f>
        <v>['application', 'okay', 'network', 'slow', 'really', 'cileungsi', 'area', 'alley', 'doang', 'slow', 'really']</v>
      </c>
      <c r="D2061" s="3">
        <v>5.0</v>
      </c>
    </row>
    <row r="2062" ht="15.75" customHeight="1">
      <c r="A2062" s="1">
        <v>2173.0</v>
      </c>
      <c r="B2062" s="3" t="s">
        <v>2040</v>
      </c>
      <c r="C2062" s="3" t="str">
        <f>IFERROR(__xludf.DUMMYFUNCTION("GOOGLETRANSLATE(B2062,""id"",""en"")"),"['buy', 'quota', 'Gigamax', 'kesalllll', ""]")</f>
        <v>['buy', 'quota', 'Gigamax', 'kesalllll', "]</v>
      </c>
      <c r="D2062" s="3">
        <v>1.0</v>
      </c>
    </row>
    <row r="2063" ht="15.75" customHeight="1">
      <c r="A2063" s="1">
        <v>2174.0</v>
      </c>
      <c r="B2063" s="3" t="s">
        <v>2041</v>
      </c>
      <c r="C2063" s="3" t="str">
        <f>IFERROR(__xludf.DUMMYFUNCTION("GOOGLETRANSLATE(B2063,""id"",""en"")"),"['Bad', 'heavy', 'NOT']")</f>
        <v>['Bad', 'heavy', 'NOT']</v>
      </c>
      <c r="D2063" s="3">
        <v>1.0</v>
      </c>
    </row>
    <row r="2064" ht="15.75" customHeight="1">
      <c r="A2064" s="1">
        <v>2175.0</v>
      </c>
      <c r="B2064" s="3" t="s">
        <v>2042</v>
      </c>
      <c r="C2064" s="3" t="str">
        <f>IFERROR(__xludf.DUMMYFUNCTION("GOOGLETRANSLATE(B2064,""id"",""en"")"),"['expensive', 'wasteful', 'mending', 'axis', 'cheap', 'save', '']")</f>
        <v>['expensive', 'wasteful', 'mending', 'axis', 'cheap', 'save', '']</v>
      </c>
      <c r="D2064" s="3">
        <v>1.0</v>
      </c>
    </row>
    <row r="2065" ht="15.75" customHeight="1">
      <c r="A2065" s="1">
        <v>2176.0</v>
      </c>
      <c r="B2065" s="3" t="s">
        <v>2043</v>
      </c>
      <c r="C2065" s="3" t="str">
        <f>IFERROR(__xludf.DUMMYFUNCTION("GOOGLETRANSLATE(B2065,""id"",""en"")"),"['Good', 'bangetttttttttttttttttttttttttttttttttt', 'steady']")</f>
        <v>['Good', 'bangetttttttttttttttttttttttttttttttttt', 'steady']</v>
      </c>
      <c r="D2065" s="3">
        <v>1.0</v>
      </c>
    </row>
    <row r="2066" ht="15.75" customHeight="1">
      <c r="A2066" s="1">
        <v>2177.0</v>
      </c>
      <c r="B2066" s="3" t="s">
        <v>2044</v>
      </c>
      <c r="C2066" s="3" t="str">
        <f>IFERROR(__xludf.DUMMYFUNCTION("GOOGLETRANSLATE(B2066,""id"",""en"")"),"['okay', '']")</f>
        <v>['okay', '']</v>
      </c>
      <c r="D2066" s="3">
        <v>5.0</v>
      </c>
    </row>
    <row r="2067" ht="15.75" customHeight="1">
      <c r="A2067" s="1">
        <v>2178.0</v>
      </c>
      <c r="B2067" s="3" t="s">
        <v>2045</v>
      </c>
      <c r="C2067" s="3" t="str">
        <f>IFERROR(__xludf.DUMMYFUNCTION("GOOGLETRANSLATE(B2067,""id"",""en"")"),"['What', 'update', 'blank', 'appears', 'blank', 'please', 'fix']")</f>
        <v>['What', 'update', 'blank', 'appears', 'blank', 'please', 'fix']</v>
      </c>
      <c r="D2067" s="3">
        <v>1.0</v>
      </c>
    </row>
    <row r="2068" ht="15.75" customHeight="1">
      <c r="A2068" s="1">
        <v>2179.0</v>
      </c>
      <c r="B2068" s="3" t="s">
        <v>2046</v>
      </c>
      <c r="C2068" s="3" t="str">
        <f>IFERROR(__xludf.DUMMYFUNCTION("GOOGLETRANSLATE(B2068,""id"",""en"")"),"['Please', 'Signal', 'Fix', 'Live', 'Tangerang', 'TPI', 'Snyal', 'Telkomsel', 'Lamban', 'Appeal', 'Providor', 'Maen', ' games', 'online', 'quality', 'gini']")</f>
        <v>['Please', 'Signal', 'Fix', 'Live', 'Tangerang', 'TPI', 'Snyal', 'Telkomsel', 'Lamban', 'Appeal', 'Providor', 'Maen', ' games', 'online', 'quality', 'gini']</v>
      </c>
      <c r="D2068" s="3">
        <v>1.0</v>
      </c>
    </row>
    <row r="2069" ht="15.75" customHeight="1">
      <c r="A2069" s="1">
        <v>2181.0</v>
      </c>
      <c r="B2069" s="3" t="s">
        <v>2047</v>
      </c>
      <c r="C2069" s="3" t="str">
        <f>IFERROR(__xludf.DUMMYFUNCTION("GOOGLETRANSLATE(B2069,""id"",""en"")"),"['Telkomsel', 'expensive', 'tissue', 'tidam', 'stabill', 'tasty', 'Telkomsel', 'expensive', ""]")</f>
        <v>['Telkomsel', 'expensive', 'tissue', 'tidam', 'stabill', 'tasty', 'Telkomsel', 'expensive', "]</v>
      </c>
      <c r="D2069" s="3">
        <v>1.0</v>
      </c>
    </row>
    <row r="2070" ht="15.75" customHeight="1">
      <c r="A2070" s="1">
        <v>2182.0</v>
      </c>
      <c r="B2070" s="3" t="s">
        <v>2048</v>
      </c>
      <c r="C2070" s="3" t="str">
        <f>IFERROR(__xludf.DUMMYFUNCTION("GOOGLETRANSLATE(B2070,""id"",""en"")"),"['signal', 'please', 'repaired', 'thank you']")</f>
        <v>['signal', 'please', 'repaired', 'thank you']</v>
      </c>
      <c r="D2070" s="3">
        <v>4.0</v>
      </c>
    </row>
    <row r="2071" ht="15.75" customHeight="1">
      <c r="A2071" s="1">
        <v>2183.0</v>
      </c>
      <c r="B2071" s="3" t="s">
        <v>2049</v>
      </c>
      <c r="C2071" s="3" t="str">
        <f>IFERROR(__xludf.DUMMYFUNCTION("GOOGLETRANSLATE(B2071,""id"",""en"")"),"['', 'star', 'repeat', 'times', 'install', 'no', 'conect']")</f>
        <v>['', 'star', 'repeat', 'times', 'install', 'no', 'conect']</v>
      </c>
      <c r="D2071" s="3">
        <v>1.0</v>
      </c>
    </row>
    <row r="2072" ht="15.75" customHeight="1">
      <c r="A2072" s="1">
        <v>2184.0</v>
      </c>
      <c r="B2072" s="3" t="s">
        <v>2050</v>
      </c>
      <c r="C2072" s="3" t="str">
        <f>IFERROR(__xludf.DUMMYFUNCTION("GOOGLETRANSLATE(B2072,""id"",""en"")"),"['Network', 'trashhhh']")</f>
        <v>['Network', 'trashhhh']</v>
      </c>
      <c r="D2072" s="3">
        <v>1.0</v>
      </c>
    </row>
    <row r="2073" ht="15.75" customHeight="1">
      <c r="A2073" s="1">
        <v>2185.0</v>
      </c>
      <c r="B2073" s="3" t="s">
        <v>2051</v>
      </c>
      <c r="C2073" s="3" t="str">
        <f>IFERROR(__xludf.DUMMYFUNCTION("GOOGLETRANSLATE(B2073,""id"",""en"")"),"['CPT', 'Abis', 'Internet']")</f>
        <v>['CPT', 'Abis', 'Internet']</v>
      </c>
      <c r="D2073" s="3">
        <v>2.0</v>
      </c>
    </row>
    <row r="2074" ht="15.75" customHeight="1">
      <c r="A2074" s="1">
        <v>2186.0</v>
      </c>
      <c r="B2074" s="3" t="s">
        <v>2052</v>
      </c>
      <c r="C2074" s="3" t="str">
        <f>IFERROR(__xludf.DUMMYFUNCTION("GOOGLETRANSLATE(B2074,""id"",""en"")"),"['Severe', 'COK', 'Network', 'Telecommunications', 'Indonesia', 'Bad']")</f>
        <v>['Severe', 'COK', 'Network', 'Telecommunications', 'Indonesia', 'Bad']</v>
      </c>
      <c r="D2074" s="3">
        <v>1.0</v>
      </c>
    </row>
    <row r="2075" ht="15.75" customHeight="1">
      <c r="A2075" s="1">
        <v>2187.0</v>
      </c>
      <c r="B2075" s="3" t="s">
        <v>2053</v>
      </c>
      <c r="C2075" s="3" t="str">
        <f>IFERROR(__xludf.DUMMYFUNCTION("GOOGLETRANSLATE(B2075,""id"",""en"")"),"['response', 'fast', 'application']")</f>
        <v>['response', 'fast', 'application']</v>
      </c>
      <c r="D2075" s="3">
        <v>5.0</v>
      </c>
    </row>
    <row r="2076" ht="15.75" customHeight="1">
      <c r="A2076" s="1">
        <v>2188.0</v>
      </c>
      <c r="B2076" s="3" t="s">
        <v>2054</v>
      </c>
      <c r="C2076" s="3" t="str">
        <f>IFERROR(__xludf.DUMMYFUNCTION("GOOGLETRANSLATE(B2076,""id"",""en"")"),"['Buy', 'Package', 'Combo', 'Sakti', 'Price', 'RB', 'Sinyal', 'Severe', 'Slow', 'Lemot', 'Meangen', 'Ngecewain', ' Customers', 'already', 'many years',' make ',' Telkomsel ',' parahh ',' ']")</f>
        <v>['Buy', 'Package', 'Combo', 'Sakti', 'Price', 'RB', 'Sinyal', 'Severe', 'Slow', 'Lemot', 'Meangen', 'Ngecewain', ' Customers', 'already', 'many years',' make ',' Telkomsel ',' parahh ',' ']</v>
      </c>
      <c r="D2076" s="3">
        <v>1.0</v>
      </c>
    </row>
    <row r="2077" ht="15.75" customHeight="1">
      <c r="A2077" s="1">
        <v>2189.0</v>
      </c>
      <c r="B2077" s="3" t="s">
        <v>2055</v>
      </c>
      <c r="C2077" s="3" t="str">
        <f>IFERROR(__xludf.DUMMYFUNCTION("GOOGLETRANSLATE(B2077,""id"",""en"")"),"['Telkomsel', 'quota', 'expensive', 'network', 'ugly']")</f>
        <v>['Telkomsel', 'quota', 'expensive', 'network', 'ugly']</v>
      </c>
      <c r="D2077" s="3">
        <v>1.0</v>
      </c>
    </row>
    <row r="2078" ht="15.75" customHeight="1">
      <c r="A2078" s="1">
        <v>2190.0</v>
      </c>
      <c r="B2078" s="3" t="s">
        <v>2056</v>
      </c>
      <c r="C2078" s="3" t="str">
        <f>IFERROR(__xludf.DUMMYFUNCTION("GOOGLETRANSLATE(B2078,""id"",""en"")"),"['Signal', 'stable', 'like', 'lost', 'quota', 'Telkomsel', 'ugly', 'really', 'please', 'fix', 'region', 'Jabar', ' Special ',' Subang ',' Gini ',' Mending ',' Change ',' Provider ']")</f>
        <v>['Signal', 'stable', 'like', 'lost', 'quota', 'Telkomsel', 'ugly', 'really', 'please', 'fix', 'region', 'Jabar', ' Special ',' Subang ',' Gini ',' Mending ',' Change ',' Provider ']</v>
      </c>
      <c r="D2078" s="3">
        <v>1.0</v>
      </c>
    </row>
    <row r="2079" ht="15.75" customHeight="1">
      <c r="A2079" s="1">
        <v>2192.0</v>
      </c>
      <c r="B2079" s="3" t="s">
        <v>2057</v>
      </c>
      <c r="C2079" s="3" t="str">
        <f>IFERROR(__xludf.DUMMYFUNCTION("GOOGLETRANSLATE(B2079,""id"",""en"")"),"['Sebel', 'like', 'pending', 'download', 'APK', 'Loading', 'TRS', 'Ampe', 'BBRPA', 'Move', 'Dehh', 'Yaaa', ' Byeee ']")</f>
        <v>['Sebel', 'like', 'pending', 'download', 'APK', 'Loading', 'TRS', 'Ampe', 'BBRPA', 'Move', 'Dehh', 'Yaaa', ' Byeee ']</v>
      </c>
      <c r="D2079" s="3">
        <v>1.0</v>
      </c>
    </row>
    <row r="2080" ht="15.75" customHeight="1">
      <c r="A2080" s="1">
        <v>2193.0</v>
      </c>
      <c r="B2080" s="3" t="s">
        <v>2058</v>
      </c>
      <c r="C2080" s="3" t="str">
        <f>IFERROR(__xludf.DUMMYFUNCTION("GOOGLETRANSLATE(B2080,""id"",""en"")"),"['Promo', 'multiptenizes', ""]")</f>
        <v>['Promo', 'multiptenizes', "]</v>
      </c>
      <c r="D2080" s="3">
        <v>5.0</v>
      </c>
    </row>
    <row r="2081" ht="15.75" customHeight="1">
      <c r="A2081" s="1">
        <v>2194.0</v>
      </c>
      <c r="B2081" s="3" t="s">
        <v>2059</v>
      </c>
      <c r="C2081" s="3" t="str">
        <f>IFERROR(__xludf.DUMMYFUNCTION("GOOGLETRANSLATE(B2081,""id"",""en"")"),"['Love', 'discount', 'package', 'data', 'admin']")</f>
        <v>['Love', 'discount', 'package', 'data', 'admin']</v>
      </c>
      <c r="D2081" s="3">
        <v>5.0</v>
      </c>
    </row>
    <row r="2082" ht="15.75" customHeight="1">
      <c r="A2082" s="1">
        <v>2195.0</v>
      </c>
      <c r="B2082" s="3" t="s">
        <v>2060</v>
      </c>
      <c r="C2082" s="3" t="str">
        <f>IFERROR(__xludf.DUMMYFUNCTION("GOOGLETRANSLATE(B2082,""id"",""en"")"),"['It's easy', 'megisi', 'pulse', 'quota', '']")</f>
        <v>['It's easy', 'megisi', 'pulse', 'quota', '']</v>
      </c>
      <c r="D2082" s="3">
        <v>3.0</v>
      </c>
    </row>
    <row r="2083" ht="15.75" customHeight="1">
      <c r="A2083" s="1">
        <v>2196.0</v>
      </c>
      <c r="B2083" s="3" t="s">
        <v>2061</v>
      </c>
      <c r="C2083" s="3" t="str">
        <f>IFERROR(__xludf.DUMMYFUNCTION("GOOGLETRANSLATE(B2083,""id"",""en"")"),"['Telkomsel', 'especially', 'Region', 'Lampung', 'Timur', 'City', 'Sukadana', 'Village', 'Sukadana', 'Ilir', 'Disright', 'his Oenun', ' Please, 'Operator', 'Fix', 'The Network', 'Fake', 'Jarigan', 'Bad', 'NGK', 'Setabil', ""]")</f>
        <v>['Telkomsel', 'especially', 'Region', 'Lampung', 'Timur', 'City', 'Sukadana', 'Village', 'Sukadana', 'Ilir', 'Disright', 'his Oenun', ' Please, 'Operator', 'Fix', 'The Network', 'Fake', 'Jarigan', 'Bad', 'NGK', 'Setabil', "]</v>
      </c>
      <c r="D2083" s="3">
        <v>1.0</v>
      </c>
    </row>
    <row r="2084" ht="15.75" customHeight="1">
      <c r="A2084" s="1">
        <v>2197.0</v>
      </c>
      <c r="B2084" s="3" t="s">
        <v>902</v>
      </c>
      <c r="C2084" s="3" t="str">
        <f>IFERROR(__xludf.DUMMYFUNCTION("GOOGLETRANSLATE(B2084,""id"",""en"")"),"['best']")</f>
        <v>['best']</v>
      </c>
      <c r="D2084" s="3">
        <v>5.0</v>
      </c>
    </row>
    <row r="2085" ht="15.75" customHeight="1">
      <c r="A2085" s="1">
        <v>2198.0</v>
      </c>
      <c r="B2085" s="3" t="s">
        <v>2062</v>
      </c>
      <c r="C2085" s="3" t="str">
        <f>IFERROR(__xludf.DUMMYFUNCTION("GOOGLETRANSLATE(B2085,""id"",""en"")"),"['poor', 'application', 'open', 'how', 'peke', '']")</f>
        <v>['poor', 'application', 'open', 'how', 'peke', '']</v>
      </c>
      <c r="D2085" s="3">
        <v>2.0</v>
      </c>
    </row>
    <row r="2086" ht="15.75" customHeight="1">
      <c r="A2086" s="1">
        <v>2200.0</v>
      </c>
      <c r="B2086" s="3" t="s">
        <v>2063</v>
      </c>
      <c r="C2086" s="3" t="str">
        <f>IFERROR(__xludf.DUMMYFUNCTION("GOOGLETRANSLATE(B2086,""id"",""en"")"),"['Application', 'Facilitates', 'Thank you', 'Telkomsel']")</f>
        <v>['Application', 'Facilitates', 'Thank you', 'Telkomsel']</v>
      </c>
      <c r="D2086" s="3">
        <v>5.0</v>
      </c>
    </row>
    <row r="2087" ht="15.75" customHeight="1">
      <c r="A2087" s="1">
        <v>2201.0</v>
      </c>
      <c r="B2087" s="3" t="s">
        <v>2064</v>
      </c>
      <c r="C2087" s="3" t="str">
        <f>IFERROR(__xludf.DUMMYFUNCTION("GOOGLETRANSLATE(B2087,""id"",""en"")"),"['Love', 'bonus']")</f>
        <v>['Love', 'bonus']</v>
      </c>
      <c r="D2087" s="3">
        <v>5.0</v>
      </c>
    </row>
    <row r="2088" ht="15.75" customHeight="1">
      <c r="A2088" s="1">
        <v>2202.0</v>
      </c>
      <c r="B2088" s="3" t="s">
        <v>2065</v>
      </c>
      <c r="C2088" s="3" t="str">
        <f>IFERROR(__xludf.DUMMYFUNCTION("GOOGLETRANSLATE(B2088,""id"",""en"")"),"['Pliss', 'Telkomsel', 'woooy', 'disorder', 'mulu', 'siiii', 'ahhh', 'quota', 'expensive', 'network', 'gajelas']")</f>
        <v>['Pliss', 'Telkomsel', 'woooy', 'disorder', 'mulu', 'siiii', 'ahhh', 'quota', 'expensive', 'network', 'gajelas']</v>
      </c>
      <c r="D2088" s="3">
        <v>1.0</v>
      </c>
    </row>
    <row r="2089" ht="15.75" customHeight="1">
      <c r="A2089" s="1">
        <v>2203.0</v>
      </c>
      <c r="B2089" s="3" t="s">
        <v>2066</v>
      </c>
      <c r="C2089" s="3" t="str">
        <f>IFERROR(__xludf.DUMMYFUNCTION("GOOGLETRANSLATE(B2089,""id"",""en"")"),"['network', 'Telkomsel', 'My place', 'stable', 'sometimes', 'disorder', 'stable']")</f>
        <v>['network', 'Telkomsel', 'My place', 'stable', 'sometimes', 'disorder', 'stable']</v>
      </c>
      <c r="D2089" s="3">
        <v>5.0</v>
      </c>
    </row>
    <row r="2090" ht="15.75" customHeight="1">
      <c r="A2090" s="1">
        <v>2204.0</v>
      </c>
      <c r="B2090" s="3" t="s">
        <v>2067</v>
      </c>
      <c r="C2090" s="3" t="str">
        <f>IFERROR(__xludf.DUMMYFUNCTION("GOOGLETRANSLATE(B2090,""id"",""en"")"),"['Telkomsel', 'The network', 'disrupted', 'Severe', 'really', 'all day', 'no', 'access', 'internet', '']")</f>
        <v>['Telkomsel', 'The network', 'disrupted', 'Severe', 'really', 'all day', 'no', 'access', 'internet', '']</v>
      </c>
      <c r="D2090" s="3">
        <v>1.0</v>
      </c>
    </row>
    <row r="2091" ht="15.75" customHeight="1">
      <c r="A2091" s="1">
        <v>2205.0</v>
      </c>
      <c r="B2091" s="3" t="s">
        <v>2068</v>
      </c>
      <c r="C2091" s="3" t="str">
        <f>IFERROR(__xludf.DUMMYFUNCTION("GOOGLETRANSLATE(B2091,""id"",""en"")"),"['Date', 'November', 'App', 'Telkomsel', 'Displays', 'whitescreen', 'Install', 'reset', 'app', 'result']")</f>
        <v>['Date', 'November', 'App', 'Telkomsel', 'Displays', 'whitescreen', 'Install', 'reset', 'app', 'result']</v>
      </c>
      <c r="D2091" s="3">
        <v>1.0</v>
      </c>
    </row>
    <row r="2092" ht="15.75" customHeight="1">
      <c r="A2092" s="1">
        <v>2206.0</v>
      </c>
      <c r="B2092" s="3" t="s">
        <v>2069</v>
      </c>
      <c r="C2092" s="3" t="str">
        <f>IFERROR(__xludf.DUMMYFUNCTION("GOOGLETRANSLATE(B2092,""id"",""en"")"),"['expensive', 'Nge', 'lag']")</f>
        <v>['expensive', 'Nge', 'lag']</v>
      </c>
      <c r="D2092" s="3">
        <v>1.0</v>
      </c>
    </row>
    <row r="2093" ht="15.75" customHeight="1">
      <c r="A2093" s="1">
        <v>2207.0</v>
      </c>
      <c r="B2093" s="3" t="s">
        <v>2070</v>
      </c>
      <c r="C2093" s="3" t="str">
        <f>IFERROR(__xludf.DUMMYFUNCTION("GOOGLETRANSLATE(B2093,""id"",""en"")"),"['CEIN', 'everyday', 'dapt', 'pls', 'free', 'like', 'APK']")</f>
        <v>['CEIN', 'everyday', 'dapt', 'pls', 'free', 'like', 'APK']</v>
      </c>
      <c r="D2093" s="3">
        <v>5.0</v>
      </c>
    </row>
    <row r="2094" ht="15.75" customHeight="1">
      <c r="A2094" s="1">
        <v>2209.0</v>
      </c>
      <c r="B2094" s="3" t="s">
        <v>2071</v>
      </c>
      <c r="C2094" s="3" t="str">
        <f>IFERROR(__xludf.DUMMYFUNCTION("GOOGLETRANSLATE(B2094,""id"",""en"")"),"['Good', 'checked', 'pulse', 'quota', 'easy', 'buy', 'package', 'easy', 'unfortunately', 'no', 'like', 'bet', ' ama ',' change ',' price ',' quota ',' just ',' increased ',' tetep ',' no ',' good ',' price ',' buy ',' pulse ',' auto ' , 'drift', 'quota', "&amp;"'night', 'add', ""]")</f>
        <v>['Good', 'checked', 'pulse', 'quota', 'easy', 'buy', 'package', 'easy', 'unfortunately', 'no', 'like', 'bet', ' ama ',' change ',' price ',' quota ',' just ',' increased ',' tetep ',' no ',' good ',' price ',' buy ',' pulse ',' auto ' , 'drift', 'quota', 'night', 'add', "]</v>
      </c>
      <c r="D2094" s="3">
        <v>3.0</v>
      </c>
    </row>
    <row r="2095" ht="15.75" customHeight="1">
      <c r="A2095" s="1">
        <v>2210.0</v>
      </c>
      <c r="B2095" s="3" t="s">
        <v>2072</v>
      </c>
      <c r="C2095" s="3" t="str">
        <f>IFERROR(__xludf.DUMMYFUNCTION("GOOGLETRANSLATE(B2095,""id"",""en"")"),"['Telkomsel', 'Heart', 'Where', 'Network']")</f>
        <v>['Telkomsel', 'Heart', 'Where', 'Network']</v>
      </c>
      <c r="D2095" s="3">
        <v>5.0</v>
      </c>
    </row>
    <row r="2096" ht="15.75" customHeight="1">
      <c r="A2096" s="1">
        <v>2211.0</v>
      </c>
      <c r="B2096" s="3" t="s">
        <v>2073</v>
      </c>
      <c r="C2096" s="3" t="str">
        <f>IFERROR(__xludf.DUMMYFUNCTION("GOOGLETRANSLATE(B2096,""id"",""en"")"),"['buy', 'package', 'yaa', 'writing', 'sorry', 'disorder', 'system', 'already', 'try', 'many', 'tetep', ""]")</f>
        <v>['buy', 'package', 'yaa', 'writing', 'sorry', 'disorder', 'system', 'already', 'try', 'many', 'tetep', "]</v>
      </c>
      <c r="D2096" s="3">
        <v>3.0</v>
      </c>
    </row>
    <row r="2097" ht="15.75" customHeight="1">
      <c r="A2097" s="1">
        <v>2212.0</v>
      </c>
      <c r="B2097" s="3" t="s">
        <v>2074</v>
      </c>
      <c r="C2097" s="3" t="str">
        <f>IFERROR(__xludf.DUMMYFUNCTION("GOOGLETRANSLATE(B2097,""id"",""en"")"),"['Telkomsel', 'Dihati']")</f>
        <v>['Telkomsel', 'Dihati']</v>
      </c>
      <c r="D2097" s="3">
        <v>5.0</v>
      </c>
    </row>
    <row r="2098" ht="15.75" customHeight="1">
      <c r="A2098" s="1">
        <v>2213.0</v>
      </c>
      <c r="B2098" s="3" t="s">
        <v>2075</v>
      </c>
      <c r="C2098" s="3" t="str">
        <f>IFERROR(__xludf.DUMMYFUNCTION("GOOGLETRANSLATE(B2098,""id"",""en"")"),"['knpa', 'open', 'apk', 'telkom', 'cell', 'error', ""]")</f>
        <v>['knpa', 'open', 'apk', 'telkom', 'cell', 'error', "]</v>
      </c>
      <c r="D2098" s="3">
        <v>4.0</v>
      </c>
    </row>
    <row r="2099" ht="15.75" customHeight="1">
      <c r="A2099" s="1">
        <v>2214.0</v>
      </c>
      <c r="B2099" s="3" t="s">
        <v>2076</v>
      </c>
      <c r="C2099" s="3" t="str">
        <f>IFERROR(__xludf.DUMMYFUNCTION("GOOGLETRANSLATE(B2099,""id"",""en"")"),"['Season', 'Telkomsel', 'ngak', 'strength', 'signal']")</f>
        <v>['Season', 'Telkomsel', 'ngak', 'strength', 'signal']</v>
      </c>
      <c r="D2099" s="3">
        <v>1.0</v>
      </c>
    </row>
    <row r="2100" ht="15.75" customHeight="1">
      <c r="A2100" s="1">
        <v>2215.0</v>
      </c>
      <c r="B2100" s="3" t="s">
        <v>2077</v>
      </c>
      <c r="C2100" s="3" t="str">
        <f>IFERROR(__xludf.DUMMYFUNCTION("GOOGLETRANSLATE(B2100,""id"",""en"")"),"['Update', 'Open', 'pulp', 'times', 'check', 'leftover', 'GB']")</f>
        <v>['Update', 'Open', 'pulp', 'times', 'check', 'leftover', 'GB']</v>
      </c>
      <c r="D2100" s="3">
        <v>1.0</v>
      </c>
    </row>
    <row r="2101" ht="15.75" customHeight="1">
      <c r="A2101" s="1">
        <v>2216.0</v>
      </c>
      <c r="B2101" s="3" t="s">
        <v>2078</v>
      </c>
      <c r="C2101" s="3" t="str">
        <f>IFERROR(__xludf.DUMMYFUNCTION("GOOGLETRANSLATE(B2101,""id"",""en"")"),"['happy', 'use', 'application', 'Telkomsel']")</f>
        <v>['happy', 'use', 'application', 'Telkomsel']</v>
      </c>
      <c r="D2101" s="3">
        <v>5.0</v>
      </c>
    </row>
    <row r="2102" ht="15.75" customHeight="1">
      <c r="A2102" s="1">
        <v>2217.0</v>
      </c>
      <c r="B2102" s="3" t="s">
        <v>2079</v>
      </c>
      <c r="C2102" s="3" t="str">
        <f>IFERROR(__xludf.DUMMYFUNCTION("GOOGLETRANSLATE(B2102,""id"",""en"")"),"['expensive', 'crazy', 'minutes', 'run out', '']")</f>
        <v>['expensive', 'crazy', 'minutes', 'run out', '']</v>
      </c>
      <c r="D2102" s="3">
        <v>1.0</v>
      </c>
    </row>
    <row r="2103" ht="15.75" customHeight="1">
      <c r="A2103" s="1">
        <v>2218.0</v>
      </c>
      <c r="B2103" s="3" t="s">
        <v>2080</v>
      </c>
      <c r="C2103" s="3" t="str">
        <f>IFERROR(__xludf.DUMMYFUNCTION("GOOGLETRANSLATE(B2103,""id"",""en"")"),"['Klu', 'Package', 'Unlimited', 'Medsos', '']")</f>
        <v>['Klu', 'Package', 'Unlimited', 'Medsos', '']</v>
      </c>
      <c r="D2103" s="3">
        <v>5.0</v>
      </c>
    </row>
    <row r="2104" ht="15.75" customHeight="1">
      <c r="A2104" s="1">
        <v>2219.0</v>
      </c>
      <c r="B2104" s="3" t="s">
        <v>2081</v>
      </c>
      <c r="C2104" s="3" t="str">
        <f>IFERROR(__xludf.DUMMYFUNCTION("GOOGLETRANSLATE(B2104,""id"",""en"")"),"['apk', 'slow', 'Please', 'Telkomsel', 'speed', 'goverty', 'star']")</f>
        <v>['apk', 'slow', 'Please', 'Telkomsel', 'speed', 'goverty', 'star']</v>
      </c>
      <c r="D2104" s="3">
        <v>3.0</v>
      </c>
    </row>
    <row r="2105" ht="15.75" customHeight="1">
      <c r="A2105" s="1">
        <v>2220.0</v>
      </c>
      <c r="B2105" s="3" t="s">
        <v>2082</v>
      </c>
      <c r="C2105" s="3" t="str">
        <f>IFERROR(__xludf.DUMMYFUNCTION("GOOGLETRANSLATE(B2105,""id"",""en"")"),"['pulse', 'fooling', 'bulk']")</f>
        <v>['pulse', 'fooling', 'bulk']</v>
      </c>
      <c r="D2105" s="3">
        <v>1.0</v>
      </c>
    </row>
    <row r="2106" ht="15.75" customHeight="1">
      <c r="A2106" s="1">
        <v>2221.0</v>
      </c>
      <c r="B2106" s="3" t="s">
        <v>1308</v>
      </c>
      <c r="C2106" s="3" t="str">
        <f>IFERROR(__xludf.DUMMYFUNCTION("GOOGLETRANSLATE(B2106,""id"",""en"")"),"['Application', 'Help']")</f>
        <v>['Application', 'Help']</v>
      </c>
      <c r="D2106" s="3">
        <v>5.0</v>
      </c>
    </row>
    <row r="2107" ht="15.75" customHeight="1">
      <c r="A2107" s="1">
        <v>2222.0</v>
      </c>
      <c r="B2107" s="3" t="s">
        <v>2083</v>
      </c>
      <c r="C2107" s="3" t="str">
        <f>IFERROR(__xludf.DUMMYFUNCTION("GOOGLETRANSLATE(B2107,""id"",""en"")"),"['mmm', '']")</f>
        <v>['mmm', '']</v>
      </c>
      <c r="D2107" s="3">
        <v>1.0</v>
      </c>
    </row>
    <row r="2108" ht="15.75" customHeight="1">
      <c r="A2108" s="1">
        <v>2223.0</v>
      </c>
      <c r="B2108" s="3" t="s">
        <v>2084</v>
      </c>
      <c r="C2108" s="3" t="str">
        <f>IFERROR(__xludf.DUMMYFUNCTION("GOOGLETRANSLATE(B2108,""id"",""en"")"),"['The application', 'already', 'update', 'ehhh', 'open', 'alternating', 'try', 'result', ""]")</f>
        <v>['The application', 'already', 'update', 'ehhh', 'open', 'alternating', 'try', 'result', "]</v>
      </c>
      <c r="D2108" s="3">
        <v>1.0</v>
      </c>
    </row>
    <row r="2109" ht="15.75" customHeight="1">
      <c r="A2109" s="1">
        <v>2224.0</v>
      </c>
      <c r="B2109" s="3" t="s">
        <v>2085</v>
      </c>
      <c r="C2109" s="3" t="str">
        <f>IFERROR(__xludf.DUMMYFUNCTION("GOOGLETRANSLATE(B2109,""id"",""en"")"),"['Damn', 'enter', 'asw', 'MLS', 'APL', 'enter', 'bother', '']")</f>
        <v>['Damn', 'enter', 'asw', 'MLS', 'APL', 'enter', 'bother', '']</v>
      </c>
      <c r="D2109" s="3">
        <v>1.0</v>
      </c>
    </row>
    <row r="2110" ht="15.75" customHeight="1">
      <c r="A2110" s="1">
        <v>2225.0</v>
      </c>
      <c r="B2110" s="3" t="s">
        <v>2086</v>
      </c>
      <c r="C2110" s="3" t="str">
        <f>IFERROR(__xludf.DUMMYFUNCTION("GOOGLETRANSLATE(B2110,""id"",""en"")"),"['finished', 'yaaa', 'network', 'bbrp', 'times',' kerin ',' solution ',' satisfying ',' price ',' internet ',' expensive ',' TPI ',' according to ',' Customer ',' Get ',' Skrg ',' APL ',' Open ',' Telkomsel ',' Pliis', 'Poor', 'Customer', 'Muuuu', 'Area',"&amp;" 'Urban' , 'poor', ""]")</f>
        <v>['finished', 'yaaa', 'network', 'bbrp', 'times',' kerin ',' solution ',' satisfying ',' price ',' internet ',' expensive ',' TPI ',' according to ',' Customer ',' Get ',' Skrg ',' APL ',' Open ',' Telkomsel ',' Pliis', 'Poor', 'Customer', 'Muuuu', 'Area', 'Urban' , 'poor', "]</v>
      </c>
      <c r="D2110" s="3">
        <v>2.0</v>
      </c>
    </row>
    <row r="2111" ht="15.75" customHeight="1">
      <c r="A2111" s="1">
        <v>2226.0</v>
      </c>
      <c r="B2111" s="3" t="s">
        <v>2087</v>
      </c>
      <c r="C2111" s="3" t="str">
        <f>IFERROR(__xludf.DUMMYFUNCTION("GOOGLETRANSLATE(B2111,""id"",""en"")"),"['Nomer', 'Mobile', 'On', 'Telfon', 'Sometimes',' Sometimes', 'France', 'Difficult', 'Telfon', 'Please', 'Check', 'HandPhone', ' ']")</f>
        <v>['Nomer', 'Mobile', 'On', 'Telfon', 'Sometimes',' Sometimes', 'France', 'Difficult', 'Telfon', 'Please', 'Check', 'HandPhone', ' ']</v>
      </c>
      <c r="D2111" s="3">
        <v>2.0</v>
      </c>
    </row>
    <row r="2112" ht="15.75" customHeight="1">
      <c r="A2112" s="1">
        <v>2227.0</v>
      </c>
      <c r="B2112" s="3" t="s">
        <v>2088</v>
      </c>
      <c r="C2112" s="3" t="str">
        <f>IFERROR(__xludf.DUMMYFUNCTION("GOOGLETRANSLATE(B2112,""id"",""en"")"),"['quota', 'pling', 'expensive', 'network', 'ugly', 'bnget', 'disappointed']")</f>
        <v>['quota', 'pling', 'expensive', 'network', 'ugly', 'bnget', 'disappointed']</v>
      </c>
      <c r="D2112" s="3">
        <v>1.0</v>
      </c>
    </row>
    <row r="2113" ht="15.75" customHeight="1">
      <c r="A2113" s="1">
        <v>2228.0</v>
      </c>
      <c r="B2113" s="3" t="s">
        <v>2089</v>
      </c>
      <c r="C2113" s="3" t="str">
        <f>IFERROR(__xludf.DUMMYFUNCTION("GOOGLETRANSLATE(B2113,""id"",""en"")"),"['signal', 'strong', 'good']")</f>
        <v>['signal', 'strong', 'good']</v>
      </c>
      <c r="D2113" s="3">
        <v>5.0</v>
      </c>
    </row>
    <row r="2114" ht="15.75" customHeight="1">
      <c r="A2114" s="1">
        <v>2229.0</v>
      </c>
      <c r="B2114" s="3" t="s">
        <v>2090</v>
      </c>
      <c r="C2114" s="3" t="str">
        <f>IFERROR(__xludf.DUMMYFUNCTION("GOOGLETRANSLATE(B2114,""id"",""en"")"),"['Telkomsel', 'best']")</f>
        <v>['Telkomsel', 'best']</v>
      </c>
      <c r="D2114" s="3">
        <v>5.0</v>
      </c>
    </row>
    <row r="2115" ht="15.75" customHeight="1">
      <c r="A2115" s="1">
        <v>2230.0</v>
      </c>
      <c r="B2115" s="3" t="s">
        <v>2091</v>
      </c>
      <c r="C2115" s="3" t="str">
        <f>IFERROR(__xludf.DUMMYFUNCTION("GOOGLETRANSLATE(B2115,""id"",""en"")"),"['', 'Cape', 'oath', 'rich', 'gini', 'signal', 'severe', 'lag', 'mulu', ""]")</f>
        <v>['', 'Cape', 'oath', 'rich', 'gini', 'signal', 'severe', 'lag', 'mulu', "]</v>
      </c>
      <c r="D2115" s="3">
        <v>1.0</v>
      </c>
    </row>
    <row r="2116" ht="15.75" customHeight="1">
      <c r="A2116" s="1">
        <v>2231.0</v>
      </c>
      <c r="B2116" s="3" t="s">
        <v>2092</v>
      </c>
      <c r="C2116" s="3" t="str">
        <f>IFERROR(__xludf.DUMMYFUNCTION("GOOGLETRANSLATE(B2116,""id"",""en"")"),"['Disappointed', 'Ama', 'Telkomsel', 'intention', 'buy', 'package', 'quota', 'pulses', 'ilang', ""]")</f>
        <v>['Disappointed', 'Ama', 'Telkomsel', 'intention', 'buy', 'package', 'quota', 'pulses', 'ilang', "]</v>
      </c>
      <c r="D2116" s="3">
        <v>1.0</v>
      </c>
    </row>
    <row r="2117" ht="15.75" customHeight="1">
      <c r="A2117" s="1">
        <v>2232.0</v>
      </c>
      <c r="B2117" s="3" t="s">
        <v>2093</v>
      </c>
      <c r="C2117" s="3" t="str">
        <f>IFERROR(__xludf.DUMMYFUNCTION("GOOGLETRANSLATE(B2117,""id"",""en"")"),"['', 'Network', 'The', 'Worst', 'Ever', 'Sad', 'comparable', 'price', 'Not bad', 'expensive', 'test', 'patience', 'Telkomsel ']")</f>
        <v>['', 'Network', 'The', 'Worst', 'Ever', 'Sad', 'comparable', 'price', 'Not bad', 'expensive', 'test', 'patience', 'Telkomsel ']</v>
      </c>
      <c r="D2117" s="3">
        <v>1.0</v>
      </c>
    </row>
    <row r="2118" ht="15.75" customHeight="1">
      <c r="A2118" s="1">
        <v>2233.0</v>
      </c>
      <c r="B2118" s="3" t="s">
        <v>2094</v>
      </c>
      <c r="C2118" s="3" t="str">
        <f>IFERROR(__xludf.DUMMYFUNCTION("GOOGLETRANSLATE(B2118,""id"",""en"")"),"['Cool', 'really', 'Telkomselmah']")</f>
        <v>['Cool', 'really', 'Telkomselmah']</v>
      </c>
      <c r="D2118" s="3">
        <v>5.0</v>
      </c>
    </row>
    <row r="2119" ht="15.75" customHeight="1">
      <c r="A2119" s="1">
        <v>2234.0</v>
      </c>
      <c r="B2119" s="3" t="s">
        <v>2095</v>
      </c>
      <c r="C2119" s="3" t="str">
        <f>IFERROR(__xludf.DUMMYFUNCTION("GOOGLETRANSLATE(B2119,""id"",""en"")"),"['Telkomsel', 'GAX', 'Disruption']")</f>
        <v>['Telkomsel', 'GAX', 'Disruption']</v>
      </c>
      <c r="D2119" s="3">
        <v>5.0</v>
      </c>
    </row>
    <row r="2120" ht="15.75" customHeight="1">
      <c r="A2120" s="1">
        <v>2236.0</v>
      </c>
      <c r="B2120" s="3" t="s">
        <v>2096</v>
      </c>
      <c r="C2120" s="3" t="str">
        <f>IFERROR(__xludf.DUMMYFUNCTION("GOOGLETRANSLATE(B2120,""id"",""en"")"),"['Steady', 'Application', 'Telkomsel']")</f>
        <v>['Steady', 'Application', 'Telkomsel']</v>
      </c>
      <c r="D2120" s="3">
        <v>5.0</v>
      </c>
    </row>
    <row r="2121" ht="15.75" customHeight="1">
      <c r="A2121" s="1">
        <v>2237.0</v>
      </c>
      <c r="B2121" s="3" t="s">
        <v>2097</v>
      </c>
      <c r="C2121" s="3" t="str">
        <f>IFERROR(__xludf.DUMMYFUNCTION("GOOGLETRANSLATE(B2121,""id"",""en"")"),"['Please', 'Sayings',' Network ',' The widest ',' Fastest ',' Realize ',' DLU ',' Weve ',' Cepet ',' Down ',' Grade ',' Customer ',' Disappointed ',' response ',' extra ',' cave ',' buy ',' package ',' unlimited ',' youtube ',' pulse ',' cave ',' shocked "&amp;"',' abis', 'ATI' , 'getting', 'karma', 'sincere', 'cave', 'network', 'garbage', 'many years',' make ',' NOT ',' good ',' rotten ',' fast ',' Lined ',' The network ',' slow ',' Ampe ']")</f>
        <v>['Please', 'Sayings',' Network ',' The widest ',' Fastest ',' Realize ',' DLU ',' Weve ',' Cepet ',' Down ',' Grade ',' Customer ',' Disappointed ',' response ',' extra ',' cave ',' buy ',' package ',' unlimited ',' youtube ',' pulse ',' cave ',' shocked ',' abis', 'ATI' , 'getting', 'karma', 'sincere', 'cave', 'network', 'garbage', 'many years',' make ',' NOT ',' good ',' rotten ',' fast ',' Lined ',' The network ',' slow ',' Ampe ']</v>
      </c>
      <c r="D2121" s="3">
        <v>1.0</v>
      </c>
    </row>
    <row r="2122" ht="15.75" customHeight="1">
      <c r="A2122" s="1">
        <v>2238.0</v>
      </c>
      <c r="B2122" s="3" t="s">
        <v>2098</v>
      </c>
      <c r="C2122" s="3" t="str">
        <f>IFERROR(__xludf.DUMMYFUNCTION("GOOGLETRANSLATE(B2122,""id"",""en"")"),"['Application', 'Leet', 'Package', 'Call', 'Direct', 'Used', 'Package', 'Out']")</f>
        <v>['Application', 'Leet', 'Package', 'Call', 'Direct', 'Used', 'Package', 'Out']</v>
      </c>
      <c r="D2122" s="3">
        <v>1.0</v>
      </c>
    </row>
    <row r="2123" ht="15.75" customHeight="1">
      <c r="A2123" s="1">
        <v>2239.0</v>
      </c>
      <c r="B2123" s="3" t="s">
        <v>2099</v>
      </c>
      <c r="C2123" s="3" t="str">
        <f>IFERROR(__xludf.DUMMYFUNCTION("GOOGLETRANSLATE(B2123,""id"",""en"")"),"['Cool', 'stingy', 'free', ""]")</f>
        <v>['Cool', 'stingy', 'free', "]</v>
      </c>
      <c r="D2123" s="3">
        <v>5.0</v>
      </c>
    </row>
    <row r="2124" ht="15.75" customHeight="1">
      <c r="A2124" s="1">
        <v>2241.0</v>
      </c>
      <c r="B2124" s="3" t="s">
        <v>2100</v>
      </c>
      <c r="C2124" s="3" t="str">
        <f>IFERROR(__xludf.DUMMYFUNCTION("GOOGLETRANSLATE(B2124,""id"",""en"")"),"['Service', 'Accurate']")</f>
        <v>['Service', 'Accurate']</v>
      </c>
      <c r="D2124" s="3">
        <v>4.0</v>
      </c>
    </row>
    <row r="2125" ht="15.75" customHeight="1">
      <c r="A2125" s="1">
        <v>2243.0</v>
      </c>
      <c r="B2125" s="3" t="s">
        <v>2101</v>
      </c>
      <c r="C2125" s="3" t="str">
        <f>IFERROR(__xludf.DUMMYFUNCTION("GOOGLETRANSLATE(B2125,""id"",""en"")"),"['Cherangan', 'easy']")</f>
        <v>['Cherangan', 'easy']</v>
      </c>
      <c r="D2125" s="3">
        <v>5.0</v>
      </c>
    </row>
    <row r="2126" ht="15.75" customHeight="1">
      <c r="A2126" s="1">
        <v>2245.0</v>
      </c>
      <c r="B2126" s="3" t="s">
        <v>2102</v>
      </c>
      <c r="C2126" s="3" t="str">
        <f>IFERROR(__xludf.DUMMYFUNCTION("GOOGLETRANSLATE(B2126,""id"",""en"")"),"['Package', 'run out', 'use']")</f>
        <v>['Package', 'run out', 'use']</v>
      </c>
      <c r="D2126" s="3">
        <v>1.0</v>
      </c>
    </row>
    <row r="2127" ht="15.75" customHeight="1">
      <c r="A2127" s="1">
        <v>2246.0</v>
      </c>
      <c r="B2127" s="3" t="s">
        <v>2103</v>
      </c>
      <c r="C2127" s="3" t="str">
        <f>IFERROR(__xludf.DUMMYFUNCTION("GOOGLETRANSLATE(B2127,""id"",""en"")"),"['Kapet', 'Thinking', 'YouTube', 'Min', 'Sumpot', 'Package', 'Main', 'Please', 'Fix', 'As soon as']")</f>
        <v>['Kapet', 'Thinking', 'YouTube', 'Min', 'Sumpot', 'Package', 'Main', 'Please', 'Fix', 'As soon as']</v>
      </c>
      <c r="D2127" s="3">
        <v>1.0</v>
      </c>
    </row>
    <row r="2128" ht="15.75" customHeight="1">
      <c r="A2128" s="1">
        <v>2249.0</v>
      </c>
      <c r="B2128" s="3" t="s">
        <v>2104</v>
      </c>
      <c r="C2128" s="3" t="str">
        <f>IFERROR(__xludf.DUMMYFUNCTION("GOOGLETRANSLATE(B2128,""id"",""en"")"),"['difficult', 'open', 'signal', 'difficult']")</f>
        <v>['difficult', 'open', 'signal', 'difficult']</v>
      </c>
      <c r="D2128" s="3">
        <v>1.0</v>
      </c>
    </row>
    <row r="2129" ht="15.75" customHeight="1">
      <c r="A2129" s="1">
        <v>2250.0</v>
      </c>
      <c r="B2129" s="3" t="s">
        <v>2105</v>
      </c>
      <c r="C2129" s="3" t="str">
        <f>IFERROR(__xludf.DUMMYFUNCTION("GOOGLETRANSLATE(B2129,""id"",""en"")"),"['Exchange', 'Points', 'Package', 'Internet']")</f>
        <v>['Exchange', 'Points', 'Package', 'Internet']</v>
      </c>
      <c r="D2129" s="3">
        <v>3.0</v>
      </c>
    </row>
    <row r="2130" ht="15.75" customHeight="1">
      <c r="A2130" s="1">
        <v>2251.0</v>
      </c>
      <c r="B2130" s="3" t="s">
        <v>2106</v>
      </c>
      <c r="C2130" s="3" t="str">
        <f>IFERROR(__xludf.DUMMYFUNCTION("GOOGLETRANSLATE(B2130,""id"",""en"")"),"['Mantep', 'Dri', 'Seblumx', 'Kembang', 'Promo', '']")</f>
        <v>['Mantep', 'Dri', 'Seblumx', 'Kembang', 'Promo', '']</v>
      </c>
      <c r="D2130" s="3">
        <v>5.0</v>
      </c>
    </row>
    <row r="2131" ht="15.75" customHeight="1">
      <c r="A2131" s="1">
        <v>2253.0</v>
      </c>
      <c r="B2131" s="3" t="s">
        <v>2107</v>
      </c>
      <c r="C2131" s="3" t="str">
        <f>IFERROR(__xludf.DUMMYFUNCTION("GOOGLETRANSLATE(B2131,""id"",""en"")"),"['application', 'error', 'gini', 'emang', 'fix', '']")</f>
        <v>['application', 'error', 'gini', 'emang', 'fix', '']</v>
      </c>
      <c r="D2131" s="3">
        <v>1.0</v>
      </c>
    </row>
    <row r="2132" ht="15.75" customHeight="1">
      <c r="A2132" s="1">
        <v>2254.0</v>
      </c>
      <c r="B2132" s="3" t="s">
        <v>2108</v>
      </c>
      <c r="C2132" s="3" t="str">
        <f>IFERROR(__xludf.DUMMYFUNCTION("GOOGLETRANSLATE(B2132,""id"",""en"")"),"['', 'package', 'active', 'strange', 'use', 'quota', 'hrus', 'buy', 'gmna', 'activated']")</f>
        <v>['', 'package', 'active', 'strange', 'use', 'quota', 'hrus', 'buy', 'gmna', 'activated']</v>
      </c>
      <c r="D2132" s="3">
        <v>1.0</v>
      </c>
    </row>
    <row r="2133" ht="15.75" customHeight="1">
      <c r="A2133" s="1">
        <v>2256.0</v>
      </c>
      <c r="B2133" s="3" t="s">
        <v>2109</v>
      </c>
      <c r="C2133" s="3" t="str">
        <f>IFERROR(__xludf.DUMMYFUNCTION("GOOGLETRANSLATE(B2133,""id"",""en"")"),"['In the future', 'hope', 'Success', '']")</f>
        <v>['In the future', 'hope', 'Success', '']</v>
      </c>
      <c r="D2133" s="3">
        <v>5.0</v>
      </c>
    </row>
    <row r="2134" ht="15.75" customHeight="1">
      <c r="A2134" s="1">
        <v>2257.0</v>
      </c>
      <c r="B2134" s="3" t="s">
        <v>2110</v>
      </c>
      <c r="C2134" s="3" t="str">
        <f>IFERROR(__xludf.DUMMYFUNCTION("GOOGLETRANSLATE(B2134,""id"",""en"")"),"['BURIK', 'Disruption', 'Telkomsel']")</f>
        <v>['BURIK', 'Disruption', 'Telkomsel']</v>
      </c>
      <c r="D2134" s="3">
        <v>1.0</v>
      </c>
    </row>
    <row r="2135" ht="15.75" customHeight="1">
      <c r="A2135" s="1">
        <v>2258.0</v>
      </c>
      <c r="B2135" s="3" t="s">
        <v>2111</v>
      </c>
      <c r="C2135" s="3" t="str">
        <f>IFERROR(__xludf.DUMMYFUNCTION("GOOGLETRANSLATE(B2135,""id"",""en"")"),"['TOP', 'Anyway', 'free', 'quota', 'internet']")</f>
        <v>['TOP', 'Anyway', 'free', 'quota', 'internet']</v>
      </c>
      <c r="D2135" s="3">
        <v>5.0</v>
      </c>
    </row>
    <row r="2136" ht="15.75" customHeight="1">
      <c r="A2136" s="1">
        <v>2259.0</v>
      </c>
      <c r="B2136" s="3" t="s">
        <v>2112</v>
      </c>
      <c r="C2136" s="3" t="str">
        <f>IFERROR(__xludf.DUMMYFUNCTION("GOOGLETRANSLATE(B2136,""id"",""en"")"),"['Region', 'Sulawesi', 'Please', 'Increase', 'Slow', 'Lose', 'Next', '']")</f>
        <v>['Region', 'Sulawesi', 'Please', 'Increase', 'Slow', 'Lose', 'Next', '']</v>
      </c>
      <c r="D2136" s="3">
        <v>3.0</v>
      </c>
    </row>
    <row r="2137" ht="15.75" customHeight="1">
      <c r="A2137" s="1">
        <v>2260.0</v>
      </c>
      <c r="B2137" s="3" t="s">
        <v>2113</v>
      </c>
      <c r="C2137" s="3" t="str">
        <f>IFERROR(__xludf.DUMMYFUNCTION("GOOGLETRANSLATE(B2137,""id"",""en"")"),"['signal', 'prime', 'no' secondly ',' ']")</f>
        <v>['signal', 'prime', 'no' secondly ',' ']</v>
      </c>
      <c r="D2137" s="3">
        <v>5.0</v>
      </c>
    </row>
    <row r="2138" ht="15.75" customHeight="1">
      <c r="A2138" s="1">
        <v>2261.0</v>
      </c>
      <c r="B2138" s="3" t="s">
        <v>2114</v>
      </c>
      <c r="C2138" s="3" t="str">
        <f>IFERROR(__xludf.DUMMYFUNCTION("GOOGLETRANSLATE(B2138,""id"",""en"")"),"['Application', 'benefits']")</f>
        <v>['Application', 'benefits']</v>
      </c>
      <c r="D2138" s="3">
        <v>4.0</v>
      </c>
    </row>
    <row r="2139" ht="15.75" customHeight="1">
      <c r="A2139" s="1">
        <v>2262.0</v>
      </c>
      <c r="B2139" s="3" t="s">
        <v>1352</v>
      </c>
      <c r="C2139" s="3" t="str">
        <f>IFERROR(__xludf.DUMMYFUNCTION("GOOGLETRANSLATE(B2139,""id"",""en"")"),"['']")</f>
        <v>['']</v>
      </c>
      <c r="D2139" s="3">
        <v>5.0</v>
      </c>
    </row>
    <row r="2140" ht="15.75" customHeight="1">
      <c r="A2140" s="1">
        <v>2263.0</v>
      </c>
      <c r="B2140" s="3" t="s">
        <v>2115</v>
      </c>
      <c r="C2140" s="3" t="str">
        <f>IFERROR(__xludf.DUMMYFUNCTION("GOOGLETRANSLATE(B2140,""id"",""en"")"),"['Hadeh', 'kumaha', 'Atuh', 'quota', 'sumps', 'pulses']")</f>
        <v>['Hadeh', 'kumaha', 'Atuh', 'quota', 'sumps', 'pulses']</v>
      </c>
      <c r="D2140" s="3">
        <v>1.0</v>
      </c>
    </row>
    <row r="2141" ht="15.75" customHeight="1">
      <c r="A2141" s="1">
        <v>2264.0</v>
      </c>
      <c r="B2141" s="3" t="s">
        <v>2116</v>
      </c>
      <c r="C2141" s="3" t="str">
        <f>IFERROR(__xludf.DUMMYFUNCTION("GOOGLETRANSLATE(B2141,""id"",""en"")"),"['pulse', 'missing', 'lemotttttt']")</f>
        <v>['pulse', 'missing', 'lemotttttt']</v>
      </c>
      <c r="D2141" s="3">
        <v>1.0</v>
      </c>
    </row>
    <row r="2142" ht="15.75" customHeight="1">
      <c r="A2142" s="1">
        <v>2266.0</v>
      </c>
      <c r="B2142" s="3" t="s">
        <v>2117</v>
      </c>
      <c r="C2142" s="3" t="str">
        <f>IFERROR(__xludf.DUMMYFUNCTION("GOOGLETRANSLATE(B2142,""id"",""en"")"),"['Good', 'BSA', 'Helping', 'Lined', 'Village', 'Package', 'Internet', 'Cheap']")</f>
        <v>['Good', 'BSA', 'Helping', 'Lined', 'Village', 'Package', 'Internet', 'Cheap']</v>
      </c>
      <c r="D2142" s="3">
        <v>5.0</v>
      </c>
    </row>
    <row r="2143" ht="15.75" customHeight="1">
      <c r="A2143" s="1">
        <v>2267.0</v>
      </c>
      <c r="B2143" s="3" t="s">
        <v>2118</v>
      </c>
      <c r="C2143" s="3" t="str">
        <f>IFERROR(__xludf.DUMMYFUNCTION("GOOGLETRANSLATE(B2143,""id"",""en"")"),"['', 'star', 'number', 'buy', 'package', 'combo', 'Sakti', '']")</f>
        <v>['', 'star', 'number', 'buy', 'package', 'combo', 'Sakti', '']</v>
      </c>
      <c r="D2143" s="3">
        <v>3.0</v>
      </c>
    </row>
    <row r="2144" ht="15.75" customHeight="1">
      <c r="A2144" s="1">
        <v>2268.0</v>
      </c>
      <c r="B2144" s="3" t="s">
        <v>2119</v>
      </c>
      <c r="C2144" s="3" t="str">
        <f>IFERROR(__xludf.DUMMYFUNCTION("GOOGLETRANSLATE(B2144,""id"",""en"")"),"['Likes', 'SKLI', 'PKE', 'MyTlkomsel']")</f>
        <v>['Likes', 'SKLI', 'PKE', 'MyTlkomsel']</v>
      </c>
      <c r="D2144" s="3">
        <v>5.0</v>
      </c>
    </row>
    <row r="2145" ht="15.75" customHeight="1">
      <c r="A2145" s="1">
        <v>2269.0</v>
      </c>
      <c r="B2145" s="3" t="s">
        <v>2120</v>
      </c>
      <c r="C2145" s="3" t="str">
        <f>IFERROR(__xludf.DUMMYFUNCTION("GOOGLETRANSLATE(B2145,""id"",""en"")"),"['signal', 'sympathy', 'good', 'rich']")</f>
        <v>['signal', 'sympathy', 'good', 'rich']</v>
      </c>
      <c r="D2145" s="3">
        <v>3.0</v>
      </c>
    </row>
    <row r="2146" ht="15.75" customHeight="1">
      <c r="A2146" s="1">
        <v>2270.0</v>
      </c>
      <c r="B2146" s="3" t="s">
        <v>2121</v>
      </c>
      <c r="C2146" s="3" t="str">
        <f>IFERROR(__xludf.DUMMYFUNCTION("GOOGLETRANSLATE(B2146,""id"",""en"")"),"['Signal', 'already', 'like', 'ilang', 'kayak']")</f>
        <v>['Signal', 'already', 'like', 'ilang', 'kayak']</v>
      </c>
      <c r="D2146" s="3">
        <v>1.0</v>
      </c>
    </row>
    <row r="2147" ht="15.75" customHeight="1">
      <c r="A2147" s="1">
        <v>2271.0</v>
      </c>
      <c r="B2147" s="3" t="s">
        <v>2122</v>
      </c>
      <c r="C2147" s="3" t="str">
        <f>IFERROR(__xludf.DUMMYFUNCTION("GOOGLETRANSLATE(B2147,""id"",""en"")"),"['', 'Telkomsel', 'best', 'promo', 'chance', 'gift', 'lottery', 'undi', 'hepi', 'easy', 'hopefully', 'chance', 'win ', 'Amen', '']")</f>
        <v>['', 'Telkomsel', 'best', 'promo', 'chance', 'gift', 'lottery', 'undi', 'hepi', 'easy', 'hopefully', 'chance', 'win ', 'Amen', '']</v>
      </c>
      <c r="D2147" s="3">
        <v>5.0</v>
      </c>
    </row>
    <row r="2148" ht="15.75" customHeight="1">
      <c r="A2148" s="1">
        <v>2272.0</v>
      </c>
      <c r="B2148" s="3" t="s">
        <v>2123</v>
      </c>
      <c r="C2148" s="3" t="str">
        <f>IFERROR(__xludf.DUMMYFUNCTION("GOOGLETRANSLATE(B2148,""id"",""en"")"),"['network', 'Telkomsel', 'slow', 'Kek', 'Kura', 'Kura', 'sucks', ""]")</f>
        <v>['network', 'Telkomsel', 'slow', 'Kek', 'Kura', 'Kura', 'sucks', "]</v>
      </c>
      <c r="D2148" s="3">
        <v>1.0</v>
      </c>
    </row>
    <row r="2149" ht="15.75" customHeight="1">
      <c r="A2149" s="1">
        <v>2273.0</v>
      </c>
      <c r="B2149" s="3" t="s">
        <v>2124</v>
      </c>
      <c r="C2149" s="3" t="str">
        <f>IFERROR(__xludf.DUMMYFUNCTION("GOOGLETRANSLATE(B2149,""id"",""en"")"),"['Please', 'Package', 'Lower', 'Price']")</f>
        <v>['Please', 'Package', 'Lower', 'Price']</v>
      </c>
      <c r="D2149" s="3">
        <v>5.0</v>
      </c>
    </row>
    <row r="2150" ht="15.75" customHeight="1">
      <c r="A2150" s="1">
        <v>2274.0</v>
      </c>
      <c r="B2150" s="3" t="s">
        <v>2125</v>
      </c>
      <c r="C2150" s="3" t="str">
        <f>IFERROR(__xludf.DUMMYFUNCTION("GOOGLETRANSLATE(B2150,""id"",""en"")"),"['The application', 'good', 'good', 'really', 'cave', 'go home', 'at home', 'sleep', 'tomorrow', 'school', 'leave', 'school', ' cave ',' study ',' school ',' abis', 'clock', 'break', 'cave', 'go', 'canteen', 'cave', 'buy', 'gairaya', 'kiko' , 'nice']")</f>
        <v>['The application', 'good', 'good', 'really', 'cave', 'go home', 'at home', 'sleep', 'tomorrow', 'school', 'leave', 'school', ' cave ',' study ',' school ',' abis', 'clock', 'break', 'cave', 'go', 'canteen', 'cave', 'buy', 'gairaya', 'kiko' , 'nice']</v>
      </c>
      <c r="D2150" s="3">
        <v>5.0</v>
      </c>
    </row>
    <row r="2151" ht="15.75" customHeight="1">
      <c r="A2151" s="1">
        <v>2275.0</v>
      </c>
      <c r="B2151" s="3" t="s">
        <v>541</v>
      </c>
      <c r="C2151" s="3" t="str">
        <f>IFERROR(__xludf.DUMMYFUNCTION("GOOGLETRANSLATE(B2151,""id"",""en"")"),"['hopefully']")</f>
        <v>['hopefully']</v>
      </c>
      <c r="D2151" s="3">
        <v>5.0</v>
      </c>
    </row>
    <row r="2152" ht="15.75" customHeight="1">
      <c r="A2152" s="1">
        <v>2276.0</v>
      </c>
      <c r="B2152" s="3" t="s">
        <v>2126</v>
      </c>
      <c r="C2152" s="3" t="str">
        <f>IFERROR(__xludf.DUMMYFUNCTION("GOOGLETRANSLATE(B2152,""id"",""en"")"),"['Signal', 'Telkomsel', 'Destroyed', 'Hancuran', 'appears', 'Embossed', 'Udh', ""]")</f>
        <v>['Signal', 'Telkomsel', 'Destroyed', 'Hancuran', 'appears', 'Embossed', 'Udh', "]</v>
      </c>
      <c r="D2152" s="3">
        <v>1.0</v>
      </c>
    </row>
    <row r="2153" ht="15.75" customHeight="1">
      <c r="A2153" s="1">
        <v>2277.0</v>
      </c>
      <c r="B2153" s="3" t="s">
        <v>2127</v>
      </c>
      <c r="C2153" s="3" t="str">
        <f>IFERROR(__xludf.DUMMYFUNCTION("GOOGLETRANSLATE(B2153,""id"",""en"")"),"['Good', 'really', 'easy', 'buy', 'package', '']")</f>
        <v>['Good', 'really', 'easy', 'buy', 'package', '']</v>
      </c>
      <c r="D2153" s="3">
        <v>5.0</v>
      </c>
    </row>
    <row r="2154" ht="15.75" customHeight="1">
      <c r="A2154" s="1">
        <v>2278.0</v>
      </c>
      <c r="B2154" s="3" t="s">
        <v>2128</v>
      </c>
      <c r="C2154" s="3" t="str">
        <f>IFERROR(__xludf.DUMMYFUNCTION("GOOGLETRANSLATE(B2154,""id"",""en"")"),"['price', 'exorbitant', 'quality', 'downhill']")</f>
        <v>['price', 'exorbitant', 'quality', 'downhill']</v>
      </c>
      <c r="D2154" s="3">
        <v>3.0</v>
      </c>
    </row>
    <row r="2155" ht="15.75" customHeight="1">
      <c r="A2155" s="1">
        <v>2279.0</v>
      </c>
      <c r="B2155" s="3" t="s">
        <v>2129</v>
      </c>
      <c r="C2155" s="3" t="str">
        <f>IFERROR(__xludf.DUMMYFUNCTION("GOOGLETRANSLATE(B2155,""id"",""en"")"),"['Application', 'Good', 'Increases',' Lock ',' Credit ',' Credit ',' ilang ',' Nyesek ',' Lost ',' Udh ',' fill ',' Pulss', ' Bri ',' package ',' ehh ',' Sumpot ']")</f>
        <v>['Application', 'Good', 'Increases',' Lock ',' Credit ',' Credit ',' ilang ',' Nyesek ',' Lost ',' Udh ',' fill ',' Pulss', ' Bri ',' package ',' ehh ',' Sumpot ']</v>
      </c>
      <c r="D2155" s="3">
        <v>5.0</v>
      </c>
    </row>
    <row r="2156" ht="15.75" customHeight="1">
      <c r="A2156" s="1">
        <v>2280.0</v>
      </c>
      <c r="B2156" s="3" t="s">
        <v>2130</v>
      </c>
      <c r="C2156" s="3" t="str">
        <f>IFERROR(__xludf.DUMMYFUNCTION("GOOGLETRANSLATE(B2156,""id"",""en"")"),"['Okay', 'pisan', 'euy']")</f>
        <v>['Okay', 'pisan', 'euy']</v>
      </c>
      <c r="D2156" s="3">
        <v>5.0</v>
      </c>
    </row>
    <row r="2157" ht="15.75" customHeight="1">
      <c r="A2157" s="1">
        <v>2281.0</v>
      </c>
      <c r="B2157" s="3" t="s">
        <v>2131</v>
      </c>
      <c r="C2157" s="3" t="str">
        <f>IFERROR(__xludf.DUMMYFUNCTION("GOOGLETRANSLATE(B2157,""id"",""en"")"),"['Cata', 'show', 'package', 'how', 'min', 'Please', 'solution']")</f>
        <v>['Cata', 'show', 'package', 'how', 'min', 'Please', 'solution']</v>
      </c>
      <c r="D2157" s="3">
        <v>3.0</v>
      </c>
    </row>
    <row r="2158" ht="15.75" customHeight="1">
      <c r="A2158" s="1">
        <v>2282.0</v>
      </c>
      <c r="B2158" s="3" t="s">
        <v>2132</v>
      </c>
      <c r="C2158" s="3" t="str">
        <f>IFERROR(__xludf.DUMMYFUNCTION("GOOGLETRANSLATE(B2158,""id"",""en"")"),"['speech', 'package', 'menu', 'Telkomsel', 'appears', 'writing', 'disorder', 'try', 'pulse', 'sufficient', '']")</f>
        <v>['speech', 'package', 'menu', 'Telkomsel', 'appears', 'writing', 'disorder', 'try', 'pulse', 'sufficient', '']</v>
      </c>
      <c r="D2158" s="3">
        <v>5.0</v>
      </c>
    </row>
    <row r="2159" ht="15.75" customHeight="1">
      <c r="A2159" s="1">
        <v>2283.0</v>
      </c>
      <c r="B2159" s="3" t="s">
        <v>2133</v>
      </c>
      <c r="C2159" s="3" t="str">
        <f>IFERROR(__xludf.DUMMYFUNCTION("GOOGLETRANSLATE(B2159,""id"",""en"")"),"['Sis',' ask ',' right ',' enter ',' Telkomsel ',' DAK ',' Kayak ',' screen ',' white ',' please ',' search ',' Sis', ' Plis', 'Langanan', 'Telkomsel']")</f>
        <v>['Sis',' ask ',' right ',' enter ',' Telkomsel ',' DAK ',' Kayak ',' screen ',' white ',' please ',' search ',' Sis', ' Plis', 'Langanan', 'Telkomsel']</v>
      </c>
      <c r="D2159" s="3">
        <v>1.0</v>
      </c>
    </row>
    <row r="2160" ht="15.75" customHeight="1">
      <c r="A2160" s="1">
        <v>2284.0</v>
      </c>
      <c r="B2160" s="3" t="s">
        <v>2134</v>
      </c>
      <c r="C2160" s="3" t="str">
        <f>IFERROR(__xludf.DUMMYFUNCTION("GOOGLETRANSLATE(B2160,""id"",""en"")"),"['Ngeluh', 'network', 'slow', 'idiot', 'friend', 'his application', 'tingal', 'forest']")</f>
        <v>['Ngeluh', 'network', 'slow', 'idiot', 'friend', 'his application', 'tingal', 'forest']</v>
      </c>
      <c r="D2160" s="3">
        <v>3.0</v>
      </c>
    </row>
    <row r="2161" ht="15.75" customHeight="1">
      <c r="A2161" s="1">
        <v>2285.0</v>
      </c>
      <c r="B2161" s="3" t="s">
        <v>2135</v>
      </c>
      <c r="C2161" s="3" t="str">
        <f>IFERROR(__xludf.DUMMYFUNCTION("GOOGLETRANSLATE(B2161,""id"",""en"")"),"['Price', 'expensive', 'signal', 'bad']")</f>
        <v>['Price', 'expensive', 'signal', 'bad']</v>
      </c>
      <c r="D2161" s="3">
        <v>1.0</v>
      </c>
    </row>
    <row r="2162" ht="15.75" customHeight="1">
      <c r="A2162" s="1">
        <v>2286.0</v>
      </c>
      <c r="B2162" s="3" t="s">
        <v>2136</v>
      </c>
      <c r="C2162" s="3" t="str">
        <f>IFERROR(__xludf.DUMMYFUNCTION("GOOGLETRANSLATE(B2162,""id"",""en"")"),"['Sorry', 'Telkomsel', 'right', 'enter', 'Application', 'Telkomsel', 'loading', 'Network', 'Bags',' Open ',' Telkomsel ',' Doang ',' Open ',' please ',' for ',' Telkomsel ',' ']")</f>
        <v>['Sorry', 'Telkomsel', 'right', 'enter', 'Application', 'Telkomsel', 'loading', 'Network', 'Bags',' Open ',' Telkomsel ',' Doang ',' Open ',' please ',' for ',' Telkomsel ',' ']</v>
      </c>
      <c r="D2162" s="3">
        <v>2.0</v>
      </c>
    </row>
    <row r="2163" ht="15.75" customHeight="1">
      <c r="A2163" s="1">
        <v>2287.0</v>
      </c>
      <c r="B2163" s="3" t="s">
        <v>2137</v>
      </c>
      <c r="C2163" s="3" t="str">
        <f>IFERROR(__xludf.DUMMYFUNCTION("GOOGLETRANSLATE(B2163,""id"",""en"")"),"['Make it easier', 'Information', 'Telekomsel']")</f>
        <v>['Make it easier', 'Information', 'Telekomsel']</v>
      </c>
      <c r="D2163" s="3">
        <v>5.0</v>
      </c>
    </row>
    <row r="2164" ht="15.75" customHeight="1">
      <c r="A2164" s="1">
        <v>2288.0</v>
      </c>
      <c r="B2164" s="3" t="s">
        <v>2138</v>
      </c>
      <c r="C2164" s="3" t="str">
        <f>IFERROR(__xludf.DUMMYFUNCTION("GOOGLETRANSLATE(B2164,""id"",""en"")"),"['signal', 'good', 'response', 'min']")</f>
        <v>['signal', 'good', 'response', 'min']</v>
      </c>
      <c r="D2164" s="3">
        <v>2.0</v>
      </c>
    </row>
    <row r="2165" ht="15.75" customHeight="1">
      <c r="A2165" s="1">
        <v>2289.0</v>
      </c>
      <c r="B2165" s="3" t="s">
        <v>2139</v>
      </c>
      <c r="C2165" s="3" t="str">
        <f>IFERROR(__xludf.DUMMYFUNCTION("GOOGLETRANSLATE(B2165,""id"",""en"")"),"['Telkomsel', 'signal', 'collapsed', 'it seems', 'sick', 'signal']")</f>
        <v>['Telkomsel', 'signal', 'collapsed', 'it seems', 'sick', 'signal']</v>
      </c>
      <c r="D2165" s="3">
        <v>1.0</v>
      </c>
    </row>
    <row r="2166" ht="15.75" customHeight="1">
      <c r="A2166" s="1">
        <v>2291.0</v>
      </c>
      <c r="B2166" s="3" t="s">
        <v>2140</v>
      </c>
      <c r="C2166" s="3" t="str">
        <f>IFERROR(__xludf.DUMMYFUNCTION("GOOGLETRANSLATE(B2166,""id"",""en"")"),"['makes it easier', 'transaction', 'improvement', 'service', 'responding', 'complain', 'sinyanl', 'destroyed', 'hukan', 'the application', 'quality', 'according to' RAT ',' Profider ',' Next to ',' Notaben ',' Cheap ',' Superior ',' Application ',' Qualit"&amp;"y ',' Network ', ""]")</f>
        <v>['makes it easier', 'transaction', 'improvement', 'service', 'responding', 'complain', 'sinyanl', 'destroyed', 'hukan', 'the application', 'quality', 'according to' RAT ',' Profider ',' Next to ',' Notaben ',' Cheap ',' Superior ',' Application ',' Quality ',' Network ', "]</v>
      </c>
      <c r="D2166" s="3">
        <v>5.0</v>
      </c>
    </row>
    <row r="2167" ht="15.75" customHeight="1">
      <c r="A2167" s="1">
        <v>2292.0</v>
      </c>
      <c r="B2167" s="3" t="s">
        <v>2141</v>
      </c>
      <c r="C2167" s="3" t="str">
        <f>IFERROR(__xludf.DUMMYFUNCTION("GOOGLETRANSLATE(B2167,""id"",""en"")"),"['', 'City', 'Lined', 'Internet', 'Telkomsel', 'Okay', ""]")</f>
        <v>['', 'City', 'Lined', 'Internet', 'Telkomsel', 'Okay', "]</v>
      </c>
      <c r="D2167" s="3">
        <v>5.0</v>
      </c>
    </row>
    <row r="2168" ht="15.75" customHeight="1">
      <c r="A2168" s="1">
        <v>2293.0</v>
      </c>
      <c r="B2168" s="3" t="s">
        <v>2142</v>
      </c>
      <c r="C2168" s="3" t="str">
        <f>IFERROR(__xludf.DUMMYFUNCTION("GOOGLETRANSLATE(B2168,""id"",""en"")"),"['Buy', 'Package', 'Internet', 'Network', 'Gara', 'Move', 'Automatic', 'Made', 'Reasons',' Cut ',' Credit ',' Reasons', ' stupid', '']")</f>
        <v>['Buy', 'Package', 'Internet', 'Network', 'Gara', 'Move', 'Automatic', 'Made', 'Reasons',' Cut ',' Credit ',' Reasons', ' stupid', '']</v>
      </c>
      <c r="D2168" s="3">
        <v>1.0</v>
      </c>
    </row>
    <row r="2169" ht="15.75" customHeight="1">
      <c r="A2169" s="1">
        <v>2294.0</v>
      </c>
      <c r="B2169" s="3" t="s">
        <v>2143</v>
      </c>
      <c r="C2169" s="3" t="str">
        <f>IFERROR(__xludf.DUMMYFUNCTION("GOOGLETRANSLATE(B2169,""id"",""en"")"),"['Bentar', 'price', 'package', 'it's like', 'that's', 'promo', 'special', 'user', '']")</f>
        <v>['Bentar', 'price', 'package', 'it's like', 'that's', 'promo', 'special', 'user', '']</v>
      </c>
      <c r="D2169" s="3">
        <v>1.0</v>
      </c>
    </row>
    <row r="2170" ht="15.75" customHeight="1">
      <c r="A2170" s="1">
        <v>2295.0</v>
      </c>
      <c r="B2170" s="3" t="s">
        <v>181</v>
      </c>
      <c r="C2170" s="3" t="str">
        <f>IFERROR(__xludf.DUMMYFUNCTION("GOOGLETRANSLATE(B2170,""id"",""en"")"),"['help']")</f>
        <v>['help']</v>
      </c>
      <c r="D2170" s="3">
        <v>3.0</v>
      </c>
    </row>
    <row r="2171" ht="15.75" customHeight="1">
      <c r="A2171" s="1">
        <v>2296.0</v>
      </c>
      <c r="B2171" s="3" t="s">
        <v>2144</v>
      </c>
      <c r="C2171" s="3" t="str">
        <f>IFERROR(__xludf.DUMMYFUNCTION("GOOGLETRANSLATE(B2171,""id"",""en"")"),"['disappointing', 'according to', 'description', 'promise', 'unlimited', 'cut', 'pulse', ""]")</f>
        <v>['disappointing', 'according to', 'description', 'promise', 'unlimited', 'cut', 'pulse', "]</v>
      </c>
      <c r="D2171" s="3">
        <v>1.0</v>
      </c>
    </row>
    <row r="2172" ht="15.75" customHeight="1">
      <c r="A2172" s="1">
        <v>2297.0</v>
      </c>
      <c r="B2172" s="3" t="s">
        <v>2145</v>
      </c>
      <c r="C2172" s="3" t="str">
        <f>IFERROR(__xludf.DUMMYFUNCTION("GOOGLETRANSLATE(B2172,""id"",""en"")"),"['Package', 'Data', 'expensive', '']")</f>
        <v>['Package', 'Data', 'expensive', '']</v>
      </c>
      <c r="D2172" s="3">
        <v>2.0</v>
      </c>
    </row>
    <row r="2173" ht="15.75" customHeight="1">
      <c r="A2173" s="1">
        <v>2298.0</v>
      </c>
      <c r="B2173" s="3" t="s">
        <v>2146</v>
      </c>
      <c r="C2173" s="3" t="str">
        <f>IFERROR(__xludf.DUMMYFUNCTION("GOOGLETRANSLATE(B2173,""id"",""en"")"),"['Paketan', 'game', 'cheap', 'really', 'mantaap', 'sinynya', 'okay', 'really', 'kayak', 'snail', 'propagated', 'ask', ' heavy rain', '']")</f>
        <v>['Paketan', 'game', 'cheap', 'really', 'mantaap', 'sinynya', 'okay', 'really', 'kayak', 'snail', 'propagated', 'ask', ' heavy rain', '']</v>
      </c>
      <c r="D2173" s="3">
        <v>5.0</v>
      </c>
    </row>
    <row r="2174" ht="15.75" customHeight="1">
      <c r="A2174" s="1">
        <v>2299.0</v>
      </c>
      <c r="B2174" s="3" t="s">
        <v>2147</v>
      </c>
      <c r="C2174" s="3" t="str">
        <f>IFERROR(__xludf.DUMMYFUNCTION("GOOGLETRANSLATE(B2174,""id"",""en"")"),"['Hopefully', 'Package', 'Package', 'Promo', 'Ask', 'Cheap', 'Cheap']")</f>
        <v>['Hopefully', 'Package', 'Package', 'Promo', 'Ask', 'Cheap', 'Cheap']</v>
      </c>
      <c r="D2174" s="3">
        <v>5.0</v>
      </c>
    </row>
    <row r="2175" ht="15.75" customHeight="1">
      <c r="A2175" s="1">
        <v>2300.0</v>
      </c>
      <c r="B2175" s="3" t="s">
        <v>2148</v>
      </c>
      <c r="C2175" s="3" t="str">
        <f>IFERROR(__xludf.DUMMYFUNCTION("GOOGLETRANSLATE(B2175,""id"",""en"")"),"['SMS', 'told', 'download', 'application', 'Telkomsel', 'get', 'pulse', 'zonk', 'pulse', 'rupiah', 'many', 'times',' checked ',' TTP ',' pulses', 'Period', 'promo']")</f>
        <v>['SMS', 'told', 'download', 'application', 'Telkomsel', 'get', 'pulse', 'zonk', 'pulse', 'rupiah', 'many', 'times',' checked ',' TTP ',' pulses', 'Period', 'promo']</v>
      </c>
      <c r="D2175" s="3">
        <v>1.0</v>
      </c>
    </row>
    <row r="2176" ht="15.75" customHeight="1">
      <c r="A2176" s="1">
        <v>2301.0</v>
      </c>
      <c r="B2176" s="3" t="s">
        <v>2149</v>
      </c>
      <c r="C2176" s="3" t="str">
        <f>IFERROR(__xludf.DUMMYFUNCTION("GOOGLETRANSLATE(B2176,""id"",""en"")"),"['home', 'opsi', 'city', 'dead', 'lights',' network ',' dead ',' sometimes', 'signal', 'doang', 'full', 'network', ' slow']")</f>
        <v>['home', 'opsi', 'city', 'dead', 'lights',' network ',' dead ',' sometimes', 'signal', 'doang', 'full', 'network', ' slow']</v>
      </c>
      <c r="D2176" s="3">
        <v>1.0</v>
      </c>
    </row>
    <row r="2177" ht="15.75" customHeight="1">
      <c r="A2177" s="1">
        <v>2302.0</v>
      </c>
      <c r="B2177" s="3" t="s">
        <v>2150</v>
      </c>
      <c r="C2177" s="3" t="str">
        <f>IFERROR(__xludf.DUMMYFUNCTION("GOOGLETRANSLATE(B2177,""id"",""en"")"),"['Steady', 'Satisfied']")</f>
        <v>['Steady', 'Satisfied']</v>
      </c>
      <c r="D2177" s="3">
        <v>5.0</v>
      </c>
    </row>
    <row r="2178" ht="15.75" customHeight="1">
      <c r="A2178" s="1">
        <v>2303.0</v>
      </c>
      <c r="B2178" s="3" t="s">
        <v>2151</v>
      </c>
      <c r="C2178" s="3" t="str">
        <f>IFERROR(__xludf.DUMMYFUNCTION("GOOGLETRANSLATE(B2178,""id"",""en"")"),"['happy', 'ultrusion', 'card', 'Hello', 'help', 'network', 'communicate']")</f>
        <v>['happy', 'ultrusion', 'card', 'Hello', 'help', 'network', 'communicate']</v>
      </c>
      <c r="D2178" s="3">
        <v>5.0</v>
      </c>
    </row>
    <row r="2179" ht="15.75" customHeight="1">
      <c r="A2179" s="1">
        <v>2304.0</v>
      </c>
      <c r="B2179" s="3" t="s">
        <v>2152</v>
      </c>
      <c r="C2179" s="3" t="str">
        <f>IFERROR(__xludf.DUMMYFUNCTION("GOOGLETRANSLATE(B2179,""id"",""en"")"),"['Help', 'trimakasih']")</f>
        <v>['Help', 'trimakasih']</v>
      </c>
      <c r="D2179" s="3">
        <v>5.0</v>
      </c>
    </row>
    <row r="2180" ht="15.75" customHeight="1">
      <c r="A2180" s="1">
        <v>2305.0</v>
      </c>
      <c r="B2180" s="3" t="s">
        <v>2153</v>
      </c>
      <c r="C2180" s="3" t="str">
        <f>IFERROR(__xludf.DUMMYFUNCTION("GOOGLETRANSLATE(B2180,""id"",""en"")"),"['Kereeen', 'Region', 'Honest', 'fast', 'Errr', 'Routine', 'Great', 'Broo', 'oath', 'Anyway', 'Week', 'Full', ' Errr ',' wifi ',' provider ',' already ',' that's', 'already', 'buy', 'package', 'expensive', 'already', 'mesk', 'telkomnyet', 'promo' , 'appli"&amp;"cation', 'cool', 'broo', 'oath', 'comment', 'pliss', 'click', 'button', 'next door', 'writing', 'help', '']")</f>
        <v>['Kereeen', 'Region', 'Honest', 'fast', 'Errr', 'Routine', 'Great', 'Broo', 'oath', 'Anyway', 'Week', 'Full', ' Errr ',' wifi ',' provider ',' already ',' that's', 'already', 'buy', 'package', 'expensive', 'already', 'mesk', 'telkomnyet', 'promo' , 'application', 'cool', 'broo', 'oath', 'comment', 'pliss', 'click', 'button', 'next door', 'writing', 'help', '']</v>
      </c>
      <c r="D2180" s="3">
        <v>1.0</v>
      </c>
    </row>
    <row r="2181" ht="15.75" customHeight="1">
      <c r="A2181" s="1">
        <v>2306.0</v>
      </c>
      <c r="B2181" s="3" t="s">
        <v>2154</v>
      </c>
      <c r="C2181" s="3" t="str">
        <f>IFERROR(__xludf.DUMMYFUNCTION("GOOGLETRANSLATE(B2181,""id"",""en"")"),"['Good', 'promo', 'cheap']")</f>
        <v>['Good', 'promo', 'cheap']</v>
      </c>
      <c r="D2181" s="3">
        <v>4.0</v>
      </c>
    </row>
    <row r="2182" ht="15.75" customHeight="1">
      <c r="A2182" s="1">
        <v>2307.0</v>
      </c>
      <c r="B2182" s="3" t="s">
        <v>2155</v>
      </c>
      <c r="C2182" s="3" t="str">
        <f>IFERROR(__xludf.DUMMYFUNCTION("GOOGLETRANSLATE(B2182,""id"",""en"")"),"['Package', 'Internet', 'Extend', 'Automatic', 'Kyk', 'Loss', 'Buy', 'Credit', 'Kolot', 'Application']")</f>
        <v>['Package', 'Internet', 'Extend', 'Automatic', 'Kyk', 'Loss', 'Buy', 'Credit', 'Kolot', 'Application']</v>
      </c>
      <c r="D2182" s="3">
        <v>1.0</v>
      </c>
    </row>
    <row r="2183" ht="15.75" customHeight="1">
      <c r="A2183" s="1">
        <v>2308.0</v>
      </c>
      <c r="B2183" s="3" t="s">
        <v>2156</v>
      </c>
      <c r="C2183" s="3" t="str">
        <f>IFERROR(__xludf.DUMMYFUNCTION("GOOGLETRANSLATE(B2183,""id"",""en"")"),"['Exchange', 'Points', 'Degan', 'Credit', 'Pelis', 'Activate', 'pakat']")</f>
        <v>['Exchange', 'Points', 'Degan', 'Credit', 'Pelis', 'Activate', 'pakat']</v>
      </c>
      <c r="D2183" s="3">
        <v>5.0</v>
      </c>
    </row>
    <row r="2184" ht="15.75" customHeight="1">
      <c r="A2184" s="1">
        <v>2309.0</v>
      </c>
      <c r="B2184" s="3" t="s">
        <v>2157</v>
      </c>
      <c r="C2184" s="3" t="str">
        <f>IFERROR(__xludf.DUMMYFUNCTION("GOOGLETRANSLATE(B2184,""id"",""en"")"),"['Network', 'data', 'Telkomsel', 'already', 'ugly', 'at the time', 'rain', 'dead', 'lights',' bad ',' suggest ',' card ',' Telkomsel ']")</f>
        <v>['Network', 'data', 'Telkomsel', 'already', 'ugly', 'at the time', 'rain', 'dead', 'lights',' bad ',' suggest ',' card ',' Telkomsel ']</v>
      </c>
      <c r="D2184" s="3">
        <v>1.0</v>
      </c>
    </row>
    <row r="2185" ht="15.75" customHeight="1">
      <c r="A2185" s="1">
        <v>2310.0</v>
      </c>
      <c r="B2185" s="3" t="s">
        <v>2158</v>
      </c>
      <c r="C2185" s="3" t="str">
        <f>IFERROR(__xludf.DUMMYFUNCTION("GOOGLETRANSLATE(B2185,""id"",""en"")"),"['Help', 'control', 'quota', 'package', 'data']")</f>
        <v>['Help', 'control', 'quota', 'package', 'data']</v>
      </c>
      <c r="D2185" s="3">
        <v>5.0</v>
      </c>
    </row>
    <row r="2186" ht="15.75" customHeight="1">
      <c r="A2186" s="1">
        <v>2311.0</v>
      </c>
      <c r="B2186" s="3" t="s">
        <v>2159</v>
      </c>
      <c r="C2186" s="3" t="str">
        <f>IFERROR(__xludf.DUMMYFUNCTION("GOOGLETRANSLATE(B2186,""id"",""en"")"),"['checked', 'quota', 'difficult']")</f>
        <v>['checked', 'quota', 'difficult']</v>
      </c>
      <c r="D2186" s="3">
        <v>3.0</v>
      </c>
    </row>
    <row r="2187" ht="15.75" customHeight="1">
      <c r="A2187" s="1">
        <v>2312.0</v>
      </c>
      <c r="B2187" s="3" t="s">
        <v>2160</v>
      </c>
      <c r="C2187" s="3" t="str">
        <f>IFERROR(__xludf.DUMMYFUNCTION("GOOGLETRANSLATE(B2187,""id"",""en"")"),"['Cool', 'makes it easy', 'service', 'easy', 'access']")</f>
        <v>['Cool', 'makes it easy', 'service', 'easy', 'access']</v>
      </c>
      <c r="D2187" s="3">
        <v>5.0</v>
      </c>
    </row>
    <row r="2188" ht="15.75" customHeight="1">
      <c r="A2188" s="1">
        <v>2313.0</v>
      </c>
      <c r="B2188" s="3" t="s">
        <v>2161</v>
      </c>
      <c r="C2188" s="3" t="str">
        <f>IFERROR(__xludf.DUMMYFUNCTION("GOOGLETRANSLATE(B2188,""id"",""en"")"),"['Telkomsel', 'Ngeapain', 'Signal', 'Emotion', 'Doang', 'Card', '']")</f>
        <v>['Telkomsel', 'Ngeapain', 'Signal', 'Emotion', 'Doang', 'Card', '']</v>
      </c>
      <c r="D2188" s="3">
        <v>1.0</v>
      </c>
    </row>
    <row r="2189" ht="15.75" customHeight="1">
      <c r="A2189" s="1">
        <v>2314.0</v>
      </c>
      <c r="B2189" s="3" t="s">
        <v>2162</v>
      </c>
      <c r="C2189" s="3" t="str">
        <f>IFERROR(__xludf.DUMMYFUNCTION("GOOGLETRANSLATE(B2189,""id"",""en"")"),"['Telkom', 'ugly', 'signal', 'card', 'telkom', 'signal', 'difficult', 'package', 'expensive']")</f>
        <v>['Telkom', 'ugly', 'signal', 'card', 'telkom', 'signal', 'difficult', 'package', 'expensive']</v>
      </c>
      <c r="D2189" s="3">
        <v>1.0</v>
      </c>
    </row>
    <row r="2190" ht="15.75" customHeight="1">
      <c r="A2190" s="1">
        <v>2315.0</v>
      </c>
      <c r="B2190" s="3" t="s">
        <v>2163</v>
      </c>
      <c r="C2190" s="3" t="str">
        <f>IFERROR(__xludf.DUMMYFUNCTION("GOOGLETRANSLATE(B2190,""id"",""en"")"),"['The network', 'smooth']")</f>
        <v>['The network', 'smooth']</v>
      </c>
      <c r="D2190" s="3">
        <v>5.0</v>
      </c>
    </row>
    <row r="2191" ht="15.75" customHeight="1">
      <c r="A2191" s="1">
        <v>2316.0</v>
      </c>
      <c r="B2191" s="3" t="s">
        <v>2164</v>
      </c>
      <c r="C2191" s="3" t="str">
        <f>IFERROR(__xludf.DUMMYFUNCTION("GOOGLETRANSLATE(B2191,""id"",""en"")"),"['signal', 'bad', 'right', 'promotion', 'ngilerr']")</f>
        <v>['signal', 'bad', 'right', 'promotion', 'ngilerr']</v>
      </c>
      <c r="D2191" s="3">
        <v>1.0</v>
      </c>
    </row>
    <row r="2192" ht="15.75" customHeight="1">
      <c r="A2192" s="1">
        <v>2317.0</v>
      </c>
      <c r="B2192" s="3" t="s">
        <v>2165</v>
      </c>
      <c r="C2192" s="3" t="str">
        <f>IFERROR(__xludf.DUMMYFUNCTION("GOOGLETRANSLATE(B2192,""id"",""en"")"),"['Please', 'Features',' Lock ',' Credit ',' Package ',' Credit ',' Sucked ',' Funny ',' Buy ',' Package ',' Credit ',' Abis', ' Suck ',' first ']")</f>
        <v>['Please', 'Features',' Lock ',' Credit ',' Package ',' Credit ',' Sucked ',' Funny ',' Buy ',' Package ',' Credit ',' Abis', ' Suck ',' first ']</v>
      </c>
      <c r="D2192" s="3">
        <v>2.0</v>
      </c>
    </row>
    <row r="2193" ht="15.75" customHeight="1">
      <c r="A2193" s="1">
        <v>2318.0</v>
      </c>
      <c r="B2193" s="3" t="s">
        <v>2166</v>
      </c>
      <c r="C2193" s="3" t="str">
        <f>IFERROR(__xludf.DUMMYFUNCTION("GOOGLETRANSLATE(B2193,""id"",""en"")"),"['Download', 'Deh', 'Raying', '']")</f>
        <v>['Download', 'Deh', 'Raying', '']</v>
      </c>
      <c r="D2193" s="3">
        <v>5.0</v>
      </c>
    </row>
    <row r="2194" ht="15.75" customHeight="1">
      <c r="A2194" s="1">
        <v>2319.0</v>
      </c>
      <c r="B2194" s="3" t="s">
        <v>2167</v>
      </c>
      <c r="C2194" s="3" t="str">
        <f>IFERROR(__xludf.DUMMYFUNCTION("GOOGLETRANSLATE(B2194,""id"",""en"")"),"['hope', 'open', 'Telkomsel', 'free', 'quota']")</f>
        <v>['hope', 'open', 'Telkomsel', 'free', 'quota']</v>
      </c>
      <c r="D2194" s="3">
        <v>5.0</v>
      </c>
    </row>
    <row r="2195" ht="15.75" customHeight="1">
      <c r="A2195" s="1">
        <v>2320.0</v>
      </c>
      <c r="B2195" s="3" t="s">
        <v>2168</v>
      </c>
      <c r="C2195" s="3" t="str">
        <f>IFERROR(__xludf.DUMMYFUNCTION("GOOGLETRANSLATE(B2195,""id"",""en"")"),"['Bro', 'Bener', 'Bener', 'Severe', 'Telkomsel', 'Supporting', 'Indonesia', 'Simultaneous',' Change ',' Card ',' Telkomsel ',' Agree ',' Correct ',' thumb ']")</f>
        <v>['Bro', 'Bener', 'Bener', 'Severe', 'Telkomsel', 'Supporting', 'Indonesia', 'Simultaneous',' Change ',' Card ',' Telkomsel ',' Agree ',' Correct ',' thumb ']</v>
      </c>
      <c r="D2195" s="3">
        <v>1.0</v>
      </c>
    </row>
    <row r="2196" ht="15.75" customHeight="1">
      <c r="A2196" s="1">
        <v>2321.0</v>
      </c>
      <c r="B2196" s="3" t="s">
        <v>2169</v>
      </c>
      <c r="C2196" s="3" t="str">
        <f>IFERROR(__xludf.DUMMYFUNCTION("GOOGLETRANSLATE(B2196,""id"",""en"")"),"['bad signal']")</f>
        <v>['bad signal']</v>
      </c>
      <c r="D2196" s="3">
        <v>1.0</v>
      </c>
    </row>
    <row r="2197" ht="15.75" customHeight="1">
      <c r="A2197" s="1">
        <v>2322.0</v>
      </c>
      <c r="B2197" s="3" t="s">
        <v>2170</v>
      </c>
      <c r="C2197" s="3" t="str">
        <f>IFERROR(__xludf.DUMMYFUNCTION("GOOGLETRANSLATE(B2197,""id"",""en"")"),"['Mantap', 'high']")</f>
        <v>['Mantap', 'high']</v>
      </c>
      <c r="D2197" s="3">
        <v>5.0</v>
      </c>
    </row>
    <row r="2198" ht="15.75" customHeight="1">
      <c r="A2198" s="1">
        <v>2323.0</v>
      </c>
      <c r="B2198" s="3" t="s">
        <v>2171</v>
      </c>
      <c r="C2198" s="3" t="str">
        <f>IFERROR(__xludf.DUMMYFUNCTION("GOOGLETRANSLATE(B2198,""id"",""en"")"),"['mksih', 'service', 'satisfying']")</f>
        <v>['mksih', 'service', 'satisfying']</v>
      </c>
      <c r="D2198" s="3">
        <v>5.0</v>
      </c>
    </row>
    <row r="2199" ht="15.75" customHeight="1">
      <c r="A2199" s="1">
        <v>2324.0</v>
      </c>
      <c r="B2199" s="3" t="s">
        <v>2172</v>
      </c>
      <c r="C2199" s="3" t="str">
        <f>IFERROR(__xludf.DUMMYFUNCTION("GOOGLETRANSLATE(B2199,""id"",""en"")"),"['menu', 'white', 'mean', 'Telkomsel']")</f>
        <v>['menu', 'white', 'mean', 'Telkomsel']</v>
      </c>
      <c r="D2199" s="3">
        <v>1.0</v>
      </c>
    </row>
    <row r="2200" ht="15.75" customHeight="1">
      <c r="A2200" s="1">
        <v>2325.0</v>
      </c>
      <c r="B2200" s="3" t="s">
        <v>2173</v>
      </c>
      <c r="C2200" s="3" t="str">
        <f>IFERROR(__xludf.DUMMYFUNCTION("GOOGLETRANSLATE(B2200,""id"",""en"")"),"['Telkomsel', 'good', 'signal', 'Where']")</f>
        <v>['Telkomsel', 'good', 'signal', 'Where']</v>
      </c>
      <c r="D2200" s="3">
        <v>3.0</v>
      </c>
    </row>
    <row r="2201" ht="15.75" customHeight="1">
      <c r="A2201" s="1">
        <v>2326.0</v>
      </c>
      <c r="B2201" s="3" t="s">
        <v>158</v>
      </c>
      <c r="C2201" s="3" t="str">
        <f>IFERROR(__xludf.DUMMYFUNCTION("GOOGLETRANSLATE(B2201,""id"",""en"")"),"['expensive']")</f>
        <v>['expensive']</v>
      </c>
      <c r="D2201" s="3">
        <v>4.0</v>
      </c>
    </row>
    <row r="2202" ht="15.75" customHeight="1">
      <c r="A2202" s="1">
        <v>2327.0</v>
      </c>
      <c r="B2202" s="3" t="s">
        <v>2174</v>
      </c>
      <c r="C2202" s="3" t="str">
        <f>IFERROR(__xludf.DUMMYFUNCTION("GOOGLETRANSLATE(B2202,""id"",""en"")"),"['signal', 'stable', 'good', 'blue', 'location', 'cimahi', 'south', 'please', 'fix', '']")</f>
        <v>['signal', 'stable', 'good', 'blue', 'location', 'cimahi', 'south', 'please', 'fix', '']</v>
      </c>
      <c r="D2202" s="3">
        <v>1.0</v>
      </c>
    </row>
    <row r="2203" ht="15.75" customHeight="1">
      <c r="A2203" s="1">
        <v>2328.0</v>
      </c>
      <c r="B2203" s="3" t="s">
        <v>2175</v>
      </c>
      <c r="C2203" s="3" t="str">
        <f>IFERROR(__xludf.DUMMYFUNCTION("GOOGLETRANSLATE(B2203,""id"",""en"")"),"['pulse', 'run out', 'Mulu', 'price', 'quota', 'expensive', 'package', 'severe', 'Telkomsel', 'sympathy']")</f>
        <v>['pulse', 'run out', 'Mulu', 'price', 'quota', 'expensive', 'package', 'severe', 'Telkomsel', 'sympathy']</v>
      </c>
      <c r="D2203" s="3">
        <v>1.0</v>
      </c>
    </row>
    <row r="2204" ht="15.75" customHeight="1">
      <c r="A2204" s="1">
        <v>2329.0</v>
      </c>
      <c r="B2204" s="3" t="s">
        <v>2176</v>
      </c>
      <c r="C2204" s="3" t="str">
        <f>IFERROR(__xludf.DUMMYFUNCTION("GOOGLETRANSLATE(B2204,""id"",""en"")"),"['down', 'price']")</f>
        <v>['down', 'price']</v>
      </c>
      <c r="D2204" s="3">
        <v>2.0</v>
      </c>
    </row>
    <row r="2205" ht="15.75" customHeight="1">
      <c r="A2205" s="1">
        <v>2330.0</v>
      </c>
      <c r="B2205" s="3" t="s">
        <v>409</v>
      </c>
      <c r="C2205" s="3" t="str">
        <f>IFERROR(__xludf.DUMMYFUNCTION("GOOGLETRANSLATE(B2205,""id"",""en"")"),"['easy']")</f>
        <v>['easy']</v>
      </c>
      <c r="D2205" s="3">
        <v>5.0</v>
      </c>
    </row>
    <row r="2206" ht="15.75" customHeight="1">
      <c r="A2206" s="1">
        <v>2331.0</v>
      </c>
      <c r="B2206" s="3" t="s">
        <v>2177</v>
      </c>
      <c r="C2206" s="3" t="str">
        <f>IFERROR(__xludf.DUMMYFUNCTION("GOOGLETRANSLATE(B2206,""id"",""en"")"),"['Package', 'omg', 'missing', 'weird']")</f>
        <v>['Package', 'omg', 'missing', 'weird']</v>
      </c>
      <c r="D2206" s="3">
        <v>1.0</v>
      </c>
    </row>
    <row r="2207" ht="15.75" customHeight="1">
      <c r="A2207" s="1">
        <v>2332.0</v>
      </c>
      <c r="B2207" s="3" t="s">
        <v>2178</v>
      </c>
      <c r="C2207" s="3" t="str">
        <f>IFERROR(__xludf.DUMMYFUNCTION("GOOGLETRANSLATE(B2207,""id"",""en"")"),"['Sorry', 'knpa', 'payment', 'sllu', 'failed', 'please', 'fix']")</f>
        <v>['Sorry', 'knpa', 'payment', 'sllu', 'failed', 'please', 'fix']</v>
      </c>
      <c r="D2207" s="3">
        <v>2.0</v>
      </c>
    </row>
    <row r="2208" ht="15.75" customHeight="1">
      <c r="A2208" s="1">
        <v>2333.0</v>
      </c>
      <c r="B2208" s="3" t="s">
        <v>2179</v>
      </c>
      <c r="C2208" s="3" t="str">
        <f>IFERROR(__xludf.DUMMYFUNCTION("GOOGLETRANSLATE(B2208,""id"",""en"")"),"['love', 'star', 'buy', 'package', 'price', 'so', 'price', 'confused', 'increase', 'price', 'package', 'MyTelkom', ' return']")</f>
        <v>['love', 'star', 'buy', 'package', 'price', 'so', 'price', 'confused', 'increase', 'price', 'package', 'MyTelkom', ' return']</v>
      </c>
      <c r="D2208" s="3">
        <v>3.0</v>
      </c>
    </row>
    <row r="2209" ht="15.75" customHeight="1">
      <c r="A2209" s="1">
        <v>2334.0</v>
      </c>
      <c r="B2209" s="3" t="s">
        <v>2180</v>
      </c>
      <c r="C2209" s="3" t="str">
        <f>IFERROR(__xludf.DUMMYFUNCTION("GOOGLETRANSLATE(B2209,""id"",""en"")"),"['Good', 'Network']")</f>
        <v>['Good', 'Network']</v>
      </c>
      <c r="D2209" s="3">
        <v>5.0</v>
      </c>
    </row>
    <row r="2210" ht="15.75" customHeight="1">
      <c r="A2210" s="1">
        <v>2336.0</v>
      </c>
      <c r="B2210" s="3" t="s">
        <v>2181</v>
      </c>
      <c r="C2210" s="3" t="str">
        <f>IFERROR(__xludf.DUMMYFUNCTION("GOOGLETRANSLATE(B2210,""id"",""en"")"),"['signal', 'sometimes', 'disorder']")</f>
        <v>['signal', 'sometimes', 'disorder']</v>
      </c>
      <c r="D2210" s="3">
        <v>3.0</v>
      </c>
    </row>
    <row r="2211" ht="15.75" customHeight="1">
      <c r="A2211" s="1">
        <v>2337.0</v>
      </c>
      <c r="B2211" s="3" t="s">
        <v>2182</v>
      </c>
      <c r="C2211" s="3" t="str">
        <f>IFERROR(__xludf.DUMMYFUNCTION("GOOGLETRANSLATE(B2211,""id"",""en"")"),"['signal', 'difficult', 'tllong', 'repaired', 'slief', 'diindonesia', 'lazy', 'nugas',' difficult ',' maen ',' difficult ',' Ajg ',' Telkomsel ',' Please ',' repaired ',' Iyha ',' price ',' expensive ',' network ',' difficult ',' Males', 'Makai', 'card', "&amp;"'oath', 'already' , 'Gwe', 'LTE', 'Only', 'difficult']")</f>
        <v>['signal', 'difficult', 'tllong', 'repaired', 'slief', 'diindonesia', 'lazy', 'nugas',' difficult ',' maen ',' difficult ',' Ajg ',' Telkomsel ',' Please ',' repaired ',' Iyha ',' price ',' expensive ',' network ',' difficult ',' Males', 'Makai', 'card', 'oath', 'already' , 'Gwe', 'LTE', 'Only', 'difficult']</v>
      </c>
      <c r="D2211" s="3">
        <v>1.0</v>
      </c>
    </row>
    <row r="2212" ht="15.75" customHeight="1">
      <c r="A2212" s="1">
        <v>2338.0</v>
      </c>
      <c r="B2212" s="3" t="s">
        <v>2183</v>
      </c>
      <c r="C2212" s="3" t="str">
        <f>IFERROR(__xludf.DUMMYFUNCTION("GOOGLETRANSLATE(B2212,""id"",""en"")"),"['buy', 'quota', 'youtube', 'quota', 'main', 'kepake', 'watch', 'youtube', '']")</f>
        <v>['buy', 'quota', 'youtube', 'quota', 'main', 'kepake', 'watch', 'youtube', '']</v>
      </c>
      <c r="D2212" s="3">
        <v>1.0</v>
      </c>
    </row>
    <row r="2213" ht="15.75" customHeight="1">
      <c r="A2213" s="1">
        <v>2339.0</v>
      </c>
      <c r="B2213" s="3" t="s">
        <v>2184</v>
      </c>
      <c r="C2213" s="3" t="str">
        <f>IFERROR(__xludf.DUMMYFUNCTION("GOOGLETRANSLATE(B2213,""id"",""en"")"),"['surprised', 'Telkomsel', 'send', 'sms',' number ',' product ',' what ',' pulse ',' cut ',' Telkomsel ',' send ',' sms', ' bear ',' burden ',' it costs', '']")</f>
        <v>['surprised', 'Telkomsel', 'send', 'sms',' number ',' product ',' what ',' pulse ',' cut ',' Telkomsel ',' send ',' sms', ' bear ',' burden ',' it costs', '']</v>
      </c>
      <c r="D2213" s="3">
        <v>2.0</v>
      </c>
    </row>
    <row r="2214" ht="15.75" customHeight="1">
      <c r="A2214" s="1">
        <v>2340.0</v>
      </c>
      <c r="B2214" s="3" t="s">
        <v>2185</v>
      </c>
      <c r="C2214" s="3" t="str">
        <f>IFERROR(__xludf.DUMMYFUNCTION("GOOGLETRANSLATE(B2214,""id"",""en"")"),"['Good', 'hope', 'in the future', 'package', 'cheap', 'cheap']")</f>
        <v>['Good', 'hope', 'in the future', 'package', 'cheap', 'cheap']</v>
      </c>
      <c r="D2214" s="3">
        <v>5.0</v>
      </c>
    </row>
    <row r="2215" ht="15.75" customHeight="1">
      <c r="A2215" s="1">
        <v>2342.0</v>
      </c>
      <c r="B2215" s="3" t="s">
        <v>2186</v>
      </c>
      <c r="C2215" s="3" t="str">
        <f>IFERROR(__xludf.DUMMYFUNCTION("GOOGLETRANSLATE(B2215,""id"",""en"")"),"['buy', 'pulse', 'buy', 'package', 'quota', 'leftover', 'pulse', 'dipake', 'stay', 'strange', ""]")</f>
        <v>['buy', 'pulse', 'buy', 'package', 'quota', 'leftover', 'pulse', 'dipake', 'stay', 'strange', "]</v>
      </c>
      <c r="D2215" s="3">
        <v>1.0</v>
      </c>
    </row>
    <row r="2216" ht="15.75" customHeight="1">
      <c r="A2216" s="1">
        <v>2343.0</v>
      </c>
      <c r="B2216" s="3" t="s">
        <v>2187</v>
      </c>
      <c r="C2216" s="3" t="str">
        <f>IFERROR(__xludf.DUMMYFUNCTION("GOOGLETRANSLATE(B2216,""id"",""en"")"),"['Jeleeeek', 'Change', 'Card', 'Saranin', 'Telkomsel']")</f>
        <v>['Jeleeeek', 'Change', 'Card', 'Saranin', 'Telkomsel']</v>
      </c>
      <c r="D2216" s="3">
        <v>1.0</v>
      </c>
    </row>
    <row r="2217" ht="15.75" customHeight="1">
      <c r="A2217" s="1">
        <v>2345.0</v>
      </c>
      <c r="B2217" s="3" t="s">
        <v>2188</v>
      </c>
      <c r="C2217" s="3" t="str">
        <f>IFERROR(__xludf.DUMMYFUNCTION("GOOGLETRANSLATE(B2217,""id"",""en"")"),"['Please', 'Addin', 'Features', 'Protect', 'Credit', 'Sumpot', 'Mulu', 'Package', 'Fluency', 'Okay', 'Paketan', 'Credit']")</f>
        <v>['Please', 'Addin', 'Features', 'Protect', 'Credit', 'Sumpot', 'Mulu', 'Package', 'Fluency', 'Okay', 'Paketan', 'Credit']</v>
      </c>
      <c r="D2217" s="3">
        <v>4.0</v>
      </c>
    </row>
    <row r="2218" ht="15.75" customHeight="1">
      <c r="A2218" s="1">
        <v>2346.0</v>
      </c>
      <c r="B2218" s="3" t="s">
        <v>2189</v>
      </c>
      <c r="C2218" s="3" t="str">
        <f>IFERROR(__xludf.DUMMYFUNCTION("GOOGLETRANSLATE(B2218,""id"",""en"")"),"['Hopefully', 'Gift', 'Car', 'Amin', ""]")</f>
        <v>['Hopefully', 'Gift', 'Car', 'Amin', "]</v>
      </c>
      <c r="D2218" s="3">
        <v>5.0</v>
      </c>
    </row>
    <row r="2219" ht="15.75" customHeight="1">
      <c r="A2219" s="1">
        <v>2347.0</v>
      </c>
      <c r="B2219" s="3" t="s">
        <v>2190</v>
      </c>
      <c r="C2219" s="3" t="str">
        <f>IFERROR(__xludf.DUMMYFUNCTION("GOOGLETRANSLATE(B2219,""id"",""en"")"),"['buy', 'package', 'login', 'difficult']")</f>
        <v>['buy', 'package', 'login', 'difficult']</v>
      </c>
      <c r="D2219" s="3">
        <v>2.0</v>
      </c>
    </row>
    <row r="2220" ht="15.75" customHeight="1">
      <c r="A2220" s="1">
        <v>2348.0</v>
      </c>
      <c r="B2220" s="3" t="s">
        <v>2191</v>
      </c>
      <c r="C2220" s="3" t="str">
        <f>IFERROR(__xludf.DUMMYFUNCTION("GOOGLETRANSLATE(B2220,""id"",""en"")"),"['Hadehhhh', 'GMN', 'opened', 'Telkomsel', 'already']")</f>
        <v>['Hadehhhh', 'GMN', 'opened', 'Telkomsel', 'already']</v>
      </c>
      <c r="D2220" s="3">
        <v>5.0</v>
      </c>
    </row>
    <row r="2221" ht="15.75" customHeight="1">
      <c r="A2221" s="1">
        <v>2349.0</v>
      </c>
      <c r="B2221" s="3" t="s">
        <v>2192</v>
      </c>
      <c r="C2221" s="3" t="str">
        <f>IFERROR(__xludf.DUMMYFUNCTION("GOOGLETRANSLATE(B2221,""id"",""en"")"),"['buy', 'package', 'data', 'pulse', 'easy']")</f>
        <v>['buy', 'package', 'data', 'pulse', 'easy']</v>
      </c>
      <c r="D2221" s="3">
        <v>5.0</v>
      </c>
    </row>
    <row r="2222" ht="15.75" customHeight="1">
      <c r="A2222" s="1">
        <v>2350.0</v>
      </c>
      <c r="B2222" s="3" t="s">
        <v>2193</v>
      </c>
      <c r="C2222" s="3" t="str">
        <f>IFERROR(__xludf.DUMMYFUNCTION("GOOGLETRANSLATE(B2222,""id"",""en"")"),"['fraud', 'promo', 'pulse', 'free', 'already', 'follow', 'requirements', 'gave', 'that's', 'spend', 'quota', 'me']")</f>
        <v>['fraud', 'promo', 'pulse', 'free', 'already', 'follow', 'requirements', 'gave', 'that's', 'spend', 'quota', 'me']</v>
      </c>
      <c r="D2222" s="3">
        <v>1.0</v>
      </c>
    </row>
    <row r="2223" ht="15.75" customHeight="1">
      <c r="A2223" s="1">
        <v>2352.0</v>
      </c>
      <c r="B2223" s="3" t="s">
        <v>2194</v>
      </c>
      <c r="C2223" s="3" t="str">
        <f>IFERROR(__xludf.DUMMYFUNCTION("GOOGLETRANSLATE(B2223,""id"",""en"")"),"['OK']")</f>
        <v>['OK']</v>
      </c>
      <c r="D2223" s="3">
        <v>2.0</v>
      </c>
    </row>
    <row r="2224" ht="15.75" customHeight="1">
      <c r="A2224" s="1">
        <v>2353.0</v>
      </c>
      <c r="B2224" s="3" t="s">
        <v>2195</v>
      </c>
      <c r="C2224" s="3" t="str">
        <f>IFERROR(__xludf.DUMMYFUNCTION("GOOGLETRANSLATE(B2224,""id"",""en"")"),"['Telkomsel', 'Leading', 'Service', 'Information', 'Perkomunikusan', '']")</f>
        <v>['Telkomsel', 'Leading', 'Service', 'Information', 'Perkomunikusan', '']</v>
      </c>
      <c r="D2224" s="3">
        <v>5.0</v>
      </c>
    </row>
    <row r="2225" ht="15.75" customHeight="1">
      <c r="A2225" s="1">
        <v>2355.0</v>
      </c>
      <c r="B2225" s="3" t="s">
        <v>2196</v>
      </c>
      <c r="C2225" s="3" t="str">
        <f>IFERROR(__xludf.DUMMYFUNCTION("GOOGLETRANSLATE(B2225,""id"",""en"")"),"['signal', 'Telkomsel', 'missing', 'communication', 'etc.', 'difficult']")</f>
        <v>['signal', 'Telkomsel', 'missing', 'communication', 'etc.', 'difficult']</v>
      </c>
      <c r="D2225" s="3">
        <v>3.0</v>
      </c>
    </row>
    <row r="2226" ht="15.75" customHeight="1">
      <c r="A2226" s="1">
        <v>2356.0</v>
      </c>
      <c r="B2226" s="3" t="s">
        <v>2197</v>
      </c>
      <c r="C2226" s="3" t="str">
        <f>IFERROR(__xludf.DUMMYFUNCTION("GOOGLETRANSLATE(B2226,""id"",""en"")"),"['Good', 'signal']")</f>
        <v>['Good', 'signal']</v>
      </c>
      <c r="D2226" s="3">
        <v>4.0</v>
      </c>
    </row>
    <row r="2227" ht="15.75" customHeight="1">
      <c r="A2227" s="1">
        <v>2357.0</v>
      </c>
      <c r="B2227" s="3" t="s">
        <v>2198</v>
      </c>
      <c r="C2227" s="3" t="str">
        <f>IFERROR(__xludf.DUMMYFUNCTION("GOOGLETRANSLATE(B2227,""id"",""en"")"),"['Good', 'happy', 'wear', 'Telkomsel']")</f>
        <v>['Good', 'happy', 'wear', 'Telkomsel']</v>
      </c>
      <c r="D2227" s="3">
        <v>5.0</v>
      </c>
    </row>
    <row r="2228" ht="15.75" customHeight="1">
      <c r="A2228" s="1">
        <v>2358.0</v>
      </c>
      <c r="B2228" s="3" t="s">
        <v>2199</v>
      </c>
      <c r="C2228" s="3" t="str">
        <f>IFERROR(__xludf.DUMMYFUNCTION("GOOGLETRANSLATE(B2228,""id"",""en"")"),"['partner', 'ojol', 'save']")</f>
        <v>['partner', 'ojol', 'save']</v>
      </c>
      <c r="D2228" s="3">
        <v>5.0</v>
      </c>
    </row>
    <row r="2229" ht="15.75" customHeight="1">
      <c r="A2229" s="1">
        <v>2359.0</v>
      </c>
      <c r="B2229" s="3" t="s">
        <v>2200</v>
      </c>
      <c r="C2229" s="3" t="str">
        <f>IFERROR(__xludf.DUMMYFUNCTION("GOOGLETRANSLATE(B2229,""id"",""en"")"),"['Package', 'Telkomsel', 'expensive', 'times', 'lose', 'high school']")</f>
        <v>['Package', 'Telkomsel', 'expensive', 'times', 'lose', 'high school']</v>
      </c>
      <c r="D2229" s="3">
        <v>5.0</v>
      </c>
    </row>
    <row r="2230" ht="15.75" customHeight="1">
      <c r="A2230" s="1">
        <v>2361.0</v>
      </c>
      <c r="B2230" s="3" t="s">
        <v>2201</v>
      </c>
      <c r="C2230" s="3" t="str">
        <f>IFERROR(__xludf.DUMMYFUNCTION("GOOGLETRANSLATE(B2230,""id"",""en"")"),"['Disappointed', 'Telkomsel', 'already', 'Telkomsel', 'here', 'signal', 'play', 'Game', 'Ngelag', 'Speed', 'Download', 'Lemot', ' Really ',' buy ',' package ',' GB ',' taste ',' dipake ',' slow ',' move ',' provider ',' next door ',' good ',' ping ',' spe"&amp;"ed ' , 'Download', '']")</f>
        <v>['Disappointed', 'Telkomsel', 'already', 'Telkomsel', 'here', 'signal', 'play', 'Game', 'Ngelag', 'Speed', 'Download', 'Lemot', ' Really ',' buy ',' package ',' GB ',' taste ',' dipake ',' slow ',' move ',' provider ',' next door ',' good ',' ping ',' speed ' , 'Download', '']</v>
      </c>
      <c r="D2230" s="3">
        <v>1.0</v>
      </c>
    </row>
    <row r="2231" ht="15.75" customHeight="1">
      <c r="A2231" s="1">
        <v>2362.0</v>
      </c>
      <c r="B2231" s="3" t="s">
        <v>2202</v>
      </c>
      <c r="C2231" s="3" t="str">
        <f>IFERROR(__xludf.DUMMYFUNCTION("GOOGLETRANSLATE(B2231,""id"",""en"")"),"['steady', 'package', 'given', 'price', 'cheap']")</f>
        <v>['steady', 'package', 'given', 'price', 'cheap']</v>
      </c>
      <c r="D2231" s="3">
        <v>5.0</v>
      </c>
    </row>
    <row r="2232" ht="15.75" customHeight="1">
      <c r="A2232" s="1">
        <v>2363.0</v>
      </c>
      <c r="B2232" s="3" t="s">
        <v>1273</v>
      </c>
      <c r="C2232" s="3" t="str">
        <f>IFERROR(__xludf.DUMMYFUNCTION("GOOGLETRANSLATE(B2232,""id"",""en"")"),"['Star', 'Talk']")</f>
        <v>['Star', 'Talk']</v>
      </c>
      <c r="D2232" s="3">
        <v>5.0</v>
      </c>
    </row>
    <row r="2233" ht="15.75" customHeight="1">
      <c r="A2233" s="1">
        <v>2364.0</v>
      </c>
      <c r="B2233" s="3" t="s">
        <v>2203</v>
      </c>
      <c r="C2233" s="3" t="str">
        <f>IFERROR(__xludf.DUMMYFUNCTION("GOOGLETRANSLATE(B2233,""id"",""en"")"),"['oyy', 'Telkomsel', 'price', 'package', 'expensive', 'bangett', 'package', 'buy', 'price', 'rb', 'GB', 'quota', ' price ',' derastic ',' really ',' sampe ',' rb ',' price ',' squeezed ',' anjirrr ',' lazy ',' subscription ',' rich ',' gini ',' balikin ' "&amp;", 'price', '']")</f>
        <v>['oyy', 'Telkomsel', 'price', 'package', 'expensive', 'bangett', 'package', 'buy', 'price', 'rb', 'GB', 'quota', ' price ',' derastic ',' really ',' sampe ',' rb ',' price ',' squeezed ',' anjirrr ',' lazy ',' subscription ',' rich ',' gini ',' balikin ' , 'price', '']</v>
      </c>
      <c r="D2233" s="3">
        <v>1.0</v>
      </c>
    </row>
    <row r="2234" ht="15.75" customHeight="1">
      <c r="A2234" s="1">
        <v>2365.0</v>
      </c>
      <c r="B2234" s="3" t="s">
        <v>2204</v>
      </c>
      <c r="C2234" s="3" t="str">
        <f>IFERROR(__xludf.DUMMYFUNCTION("GOOGLETRANSLATE(B2234,""id"",""en"")"),"['signal', 'good']")</f>
        <v>['signal', 'good']</v>
      </c>
      <c r="D2234" s="3">
        <v>5.0</v>
      </c>
    </row>
    <row r="2235" ht="15.75" customHeight="1">
      <c r="A2235" s="1">
        <v>2366.0</v>
      </c>
      <c r="B2235" s="3" t="s">
        <v>2205</v>
      </c>
      <c r="C2235" s="3" t="str">
        <f>IFERROR(__xludf.DUMMYFUNCTION("GOOGLETRANSLATE(B2235,""id"",""en"")"),"['Install', 'Application', 'FAIL', 'PAS', 'INSTALL']")</f>
        <v>['Install', 'Application', 'FAIL', 'PAS', 'INSTALL']</v>
      </c>
      <c r="D2235" s="3">
        <v>1.0</v>
      </c>
    </row>
    <row r="2236" ht="15.75" customHeight="1">
      <c r="A2236" s="1">
        <v>2367.0</v>
      </c>
      <c r="B2236" s="3" t="s">
        <v>2206</v>
      </c>
      <c r="C2236" s="3" t="str">
        <f>IFERROR(__xludf.DUMMYFUNCTION("GOOGLETRANSLATE(B2236,""id"",""en"")"),"['updated', 'expensive', 'price', 'quota']")</f>
        <v>['updated', 'expensive', 'price', 'quota']</v>
      </c>
      <c r="D2236" s="3">
        <v>2.0</v>
      </c>
    </row>
    <row r="2237" ht="15.75" customHeight="1">
      <c r="A2237" s="1">
        <v>2368.0</v>
      </c>
      <c r="B2237" s="3" t="s">
        <v>2207</v>
      </c>
      <c r="C2237" s="3" t="str">
        <f>IFERROR(__xludf.DUMMYFUNCTION("GOOGLETRANSLATE(B2237,""id"",""en"")"),"['account', 'input', 'number', 'Error', 'Parahhhhh', '']")</f>
        <v>['account', 'input', 'number', 'Error', 'Parahhhhh', '']</v>
      </c>
      <c r="D2237" s="3">
        <v>1.0</v>
      </c>
    </row>
    <row r="2238" ht="15.75" customHeight="1">
      <c r="A2238" s="1">
        <v>2369.0</v>
      </c>
      <c r="B2238" s="3" t="s">
        <v>2208</v>
      </c>
      <c r="C2238" s="3" t="str">
        <f>IFERROR(__xludf.DUMMYFUNCTION("GOOGLETRANSLATE(B2238,""id"",""en"")"),"['hope', 'package', 'a week']")</f>
        <v>['hope', 'package', 'a week']</v>
      </c>
      <c r="D2238" s="3">
        <v>5.0</v>
      </c>
    </row>
    <row r="2239" ht="15.75" customHeight="1">
      <c r="A2239" s="1">
        <v>2370.0</v>
      </c>
      <c r="B2239" s="3" t="s">
        <v>2209</v>
      </c>
      <c r="C2239" s="3" t="str">
        <f>IFERROR(__xludf.DUMMYFUNCTION("GOOGLETRANSLATE(B2239,""id"",""en"")"),"['Try', 'Tide', 'Signal', 'Telkomsel', 'Strong', 'Jepara', 'Wetan', 'Bianangun', 'Cilacap', 'Centraleng', 'Signal', 'ugly', ' Bangettt ']")</f>
        <v>['Try', 'Tide', 'Signal', 'Telkomsel', 'Strong', 'Jepara', 'Wetan', 'Bianangun', 'Cilacap', 'Centraleng', 'Signal', 'ugly', ' Bangettt ']</v>
      </c>
      <c r="D2239" s="3">
        <v>1.0</v>
      </c>
    </row>
    <row r="2240" ht="15.75" customHeight="1">
      <c r="A2240" s="1">
        <v>2371.0</v>
      </c>
      <c r="B2240" s="3" t="s">
        <v>2210</v>
      </c>
      <c r="C2240" s="3" t="str">
        <f>IFERROR(__xludf.DUMMYFUNCTION("GOOGLETRANSLATE(B2240,""id"",""en"")"),"['Success', 'buy', 'package', 'then', 'internet', 'pulses', 'suck', 'Telkomsel', 'already', 'disappointed', 'service', 'Telkomsel']")</f>
        <v>['Success', 'buy', 'package', 'then', 'internet', 'pulses', 'suck', 'Telkomsel', 'already', 'disappointed', 'service', 'Telkomsel']</v>
      </c>
      <c r="D2240" s="3">
        <v>1.0</v>
      </c>
    </row>
    <row r="2241" ht="15.75" customHeight="1">
      <c r="A2241" s="1">
        <v>2372.0</v>
      </c>
      <c r="B2241" s="3" t="s">
        <v>2211</v>
      </c>
      <c r="C2241" s="3" t="str">
        <f>IFERROR(__xludf.DUMMYFUNCTION("GOOGLETRANSLATE(B2241,""id"",""en"")"),"['Application', 'great']")</f>
        <v>['Application', 'great']</v>
      </c>
      <c r="D2241" s="3">
        <v>5.0</v>
      </c>
    </row>
    <row r="2242" ht="15.75" customHeight="1">
      <c r="A2242" s="1">
        <v>2373.0</v>
      </c>
      <c r="B2242" s="3" t="s">
        <v>2212</v>
      </c>
      <c r="C2242" s="3" t="str">
        <f>IFERROR(__xludf.DUMMYFUNCTION("GOOGLETRANSLATE(B2242,""id"",""en"")"),"['right', 'open', 'Telkomsel', 'then', 'lag', 'network', 'good', '']")</f>
        <v>['right', 'open', 'Telkomsel', 'then', 'lag', 'network', 'good', '']</v>
      </c>
      <c r="D2242" s="3">
        <v>5.0</v>
      </c>
    </row>
    <row r="2243" ht="15.75" customHeight="1">
      <c r="A2243" s="1">
        <v>2374.0</v>
      </c>
      <c r="B2243" s="3" t="s">
        <v>2213</v>
      </c>
      <c r="C2243" s="3" t="str">
        <f>IFERROR(__xludf.DUMMYFUNCTION("GOOGLETRANSLATE(B2243,""id"",""en"")"),"['Telkomsel', 'slow', 'kayak', 'price', 'kouta', 'right', 'dead', 'lights',' network ',' lost ',' card ',' said ',' buy ',' play ',' game ',' network ',' missing ',' please ',' fix ',' ']")</f>
        <v>['Telkomsel', 'slow', 'kayak', 'price', 'kouta', 'right', 'dead', 'lights',' network ',' lost ',' card ',' said ',' buy ',' play ',' game ',' network ',' missing ',' please ',' fix ',' ']</v>
      </c>
      <c r="D2243" s="3">
        <v>1.0</v>
      </c>
    </row>
    <row r="2244" ht="15.75" customHeight="1">
      <c r="A2244" s="1">
        <v>2375.0</v>
      </c>
      <c r="B2244" s="3" t="s">
        <v>2214</v>
      </c>
      <c r="C2244" s="3" t="str">
        <f>IFERROR(__xludf.DUMMYFUNCTION("GOOGLETRANSLATE(B2244,""id"",""en"")"),"['Network', 'like', 'missing', 'network', 'network', 'doang']")</f>
        <v>['Network', 'like', 'missing', 'network', 'network', 'doang']</v>
      </c>
      <c r="D2244" s="3">
        <v>1.0</v>
      </c>
    </row>
    <row r="2245" ht="15.75" customHeight="1">
      <c r="A2245" s="1">
        <v>2376.0</v>
      </c>
      <c r="B2245" s="3" t="s">
        <v>2215</v>
      </c>
      <c r="C2245" s="3" t="str">
        <f>IFERROR(__xludf.DUMMYFUNCTION("GOOGLETRANSLATE(B2245,""id"",""en"")"),"['love', 'star', 'good', 'love', 'star']")</f>
        <v>['love', 'star', 'good', 'love', 'star']</v>
      </c>
      <c r="D2245" s="3">
        <v>4.0</v>
      </c>
    </row>
    <row r="2246" ht="15.75" customHeight="1">
      <c r="A2246" s="1">
        <v>2377.0</v>
      </c>
      <c r="B2246" s="3" t="s">
        <v>1850</v>
      </c>
      <c r="C2246" s="3" t="str">
        <f>IFERROR(__xludf.DUMMYFUNCTION("GOOGLETRANSLATE(B2246,""id"",""en"")"),"['Open', 'Telkomsel', '']")</f>
        <v>['Open', 'Telkomsel', '']</v>
      </c>
      <c r="D2246" s="3">
        <v>5.0</v>
      </c>
    </row>
    <row r="2247" ht="15.75" customHeight="1">
      <c r="A2247" s="1">
        <v>2378.0</v>
      </c>
      <c r="B2247" s="3" t="s">
        <v>2216</v>
      </c>
      <c r="C2247" s="3" t="str">
        <f>IFERROR(__xludf.DUMMYFUNCTION("GOOGLETRANSLATE(B2247,""id"",""en"")"),"['Times', 'Package', 'Cheap', 'Thanks', 'Telkomsel']")</f>
        <v>['Times', 'Package', 'Cheap', 'Thanks', 'Telkomsel']</v>
      </c>
      <c r="D2247" s="3">
        <v>5.0</v>
      </c>
    </row>
    <row r="2248" ht="15.75" customHeight="1">
      <c r="A2248" s="1">
        <v>2379.0</v>
      </c>
      <c r="B2248" s="3" t="s">
        <v>217</v>
      </c>
      <c r="C2248" s="3" t="str">
        <f>IFERROR(__xludf.DUMMYFUNCTION("GOOGLETRANSLATE(B2248,""id"",""en"")"),"['satisfying', '']")</f>
        <v>['satisfying', '']</v>
      </c>
      <c r="D2248" s="3">
        <v>5.0</v>
      </c>
    </row>
    <row r="2249" ht="15.75" customHeight="1">
      <c r="A2249" s="1">
        <v>2380.0</v>
      </c>
      <c r="B2249" s="3" t="s">
        <v>2217</v>
      </c>
      <c r="C2249" s="3" t="str">
        <f>IFERROR(__xludf.DUMMYFUNCTION("GOOGLETRANSLATE(B2249,""id"",""en"")"),"['interesting', 'promo']")</f>
        <v>['interesting', 'promo']</v>
      </c>
      <c r="D2249" s="3">
        <v>3.0</v>
      </c>
    </row>
    <row r="2250" ht="15.75" customHeight="1">
      <c r="A2250" s="1">
        <v>2381.0</v>
      </c>
      <c r="B2250" s="3" t="s">
        <v>2218</v>
      </c>
      <c r="C2250" s="3" t="str">
        <f>IFERROR(__xludf.DUMMYFUNCTION("GOOGLETRANSLATE(B2250,""id"",""en"")"),"['check', 'quota', 'fast']")</f>
        <v>['check', 'quota', 'fast']</v>
      </c>
      <c r="D2250" s="3">
        <v>5.0</v>
      </c>
    </row>
    <row r="2251" ht="15.75" customHeight="1">
      <c r="A2251" s="1">
        <v>2382.0</v>
      </c>
      <c r="B2251" s="3" t="s">
        <v>2219</v>
      </c>
      <c r="C2251" s="3" t="str">
        <f>IFERROR(__xludf.DUMMYFUNCTION("GOOGLETRANSLATE(B2251,""id"",""en"")"),"['application', 'Telkomsel', 'stlah', 'updated', 'bsa', 'open']")</f>
        <v>['application', 'Telkomsel', 'stlah', 'updated', 'bsa', 'open']</v>
      </c>
      <c r="D2251" s="3">
        <v>3.0</v>
      </c>
    </row>
    <row r="2252" ht="15.75" customHeight="1">
      <c r="A2252" s="1">
        <v>2383.0</v>
      </c>
      <c r="B2252" s="3" t="s">
        <v>2220</v>
      </c>
      <c r="C2252" s="3" t="str">
        <f>IFERROR(__xludf.DUMMYFUNCTION("GOOGLETRANSLATE(B2252,""id"",""en"")"),"['Application', 'accessed', '']")</f>
        <v>['Application', 'accessed', '']</v>
      </c>
      <c r="D2252" s="3">
        <v>2.0</v>
      </c>
    </row>
    <row r="2253" ht="15.75" customHeight="1">
      <c r="A2253" s="1">
        <v>2384.0</v>
      </c>
      <c r="B2253" s="3" t="s">
        <v>2221</v>
      </c>
      <c r="C2253" s="3" t="str">
        <f>IFERROR(__xludf.DUMMYFUNCTION("GOOGLETRANSLATE(B2253,""id"",""en"")"),"['Gajelas', 'application', 'gabisa', 'opened', 'unistall', 'trs', 'install', 're-open', 'open']")</f>
        <v>['Gajelas', 'application', 'gabisa', 'opened', 'unistall', 'trs', 'install', 're-open', 'open']</v>
      </c>
      <c r="D2253" s="3">
        <v>1.0</v>
      </c>
    </row>
    <row r="2254" ht="15.75" customHeight="1">
      <c r="A2254" s="1">
        <v>2385.0</v>
      </c>
      <c r="B2254" s="3" t="s">
        <v>2222</v>
      </c>
      <c r="C2254" s="3" t="str">
        <f>IFERROR(__xludf.DUMMYFUNCTION("GOOGLETRANSLATE(B2254,""id"",""en"")"),"['explanation', 'signal', 'slow', 'package', 'wasteful']")</f>
        <v>['explanation', 'signal', 'slow', 'package', 'wasteful']</v>
      </c>
      <c r="D2254" s="3">
        <v>1.0</v>
      </c>
    </row>
    <row r="2255" ht="15.75" customHeight="1">
      <c r="A2255" s="1">
        <v>2386.0</v>
      </c>
      <c r="B2255" s="3" t="s">
        <v>2223</v>
      </c>
      <c r="C2255" s="3" t="str">
        <f>IFERROR(__xludf.DUMMYFUNCTION("GOOGLETRANSLATE(B2255,""id"",""en"")"),"['Please', 'Signal', 'Stabilize']")</f>
        <v>['Please', 'Signal', 'Stabilize']</v>
      </c>
      <c r="D2255" s="3">
        <v>4.0</v>
      </c>
    </row>
    <row r="2256" ht="15.75" customHeight="1">
      <c r="A2256" s="1">
        <v>2387.0</v>
      </c>
      <c r="B2256" s="3" t="s">
        <v>2224</v>
      </c>
      <c r="C2256" s="3" t="str">
        <f>IFERROR(__xludf.DUMMYFUNCTION("GOOGLETRANSLATE(B2256,""id"",""en"")"),"['Sinyal', 'Region', 'Bojonggede', 'County', 'Bogor', 'Lost', 'Klw', 'Use', 'Zoom', 'Zoom', 'Signal', 'Weak']")</f>
        <v>['Sinyal', 'Region', 'Bojonggede', 'County', 'Bogor', 'Lost', 'Klw', 'Use', 'Zoom', 'Zoom', 'Signal', 'Weak']</v>
      </c>
      <c r="D2256" s="3">
        <v>1.0</v>
      </c>
    </row>
    <row r="2257" ht="15.75" customHeight="1">
      <c r="A2257" s="1">
        <v>2388.0</v>
      </c>
      <c r="B2257" s="3" t="s">
        <v>2225</v>
      </c>
      <c r="C2257" s="3" t="str">
        <f>IFERROR(__xludf.DUMMYFUNCTION("GOOGLETRANSLATE(B2257,""id"",""en"")"),"['Date', 'Nov', 'Error', 'Tellkomsel', 'Laggg', 'really']")</f>
        <v>['Date', 'Nov', 'Error', 'Tellkomsel', 'Laggg', 'really']</v>
      </c>
      <c r="D2257" s="3">
        <v>1.0</v>
      </c>
    </row>
    <row r="2258" ht="15.75" customHeight="1">
      <c r="A2258" s="1">
        <v>2389.0</v>
      </c>
      <c r="B2258" s="3" t="s">
        <v>2226</v>
      </c>
      <c r="C2258" s="3" t="str">
        <f>IFERROR(__xludf.DUMMYFUNCTION("GOOGLETRANSLATE(B2258,""id"",""en"")"),"['Alhamdulillah', 'easy', 'hopefully', 'Telkomsel', 'Jaya']")</f>
        <v>['Alhamdulillah', 'easy', 'hopefully', 'Telkomsel', 'Jaya']</v>
      </c>
      <c r="D2258" s="3">
        <v>5.0</v>
      </c>
    </row>
    <row r="2259" ht="15.75" customHeight="1">
      <c r="A2259" s="1">
        <v>2390.0</v>
      </c>
      <c r="B2259" s="3" t="s">
        <v>2227</v>
      </c>
      <c r="C2259" s="3" t="str">
        <f>IFERROR(__xludf.DUMMYFUNCTION("GOOGLETRANSLATE(B2259,""id"",""en"")"),"['Damn', 'SMS', 'Telkomsel', 'Download', 'Telkomsel', 'pulse', 'thousand', 'garbage', 'use', 'Telkomsel', 'accept', 'Telfon', ' Fully ',' use it ',' Karna ',' all-round ',' expensive ',' promo ',' Telkomsel ',' internet ',' call ',' oprator ',' cheap ',' "&amp;"save ',' youtub ' , 'Upload', 'Video', 'YouTub', ""]")</f>
        <v>['Damn', 'SMS', 'Telkomsel', 'Download', 'Telkomsel', 'pulse', 'thousand', 'garbage', 'use', 'Telkomsel', 'accept', 'Telfon', ' Fully ',' use it ',' Karna ',' all-round ',' expensive ',' promo ',' Telkomsel ',' internet ',' call ',' oprator ',' cheap ',' save ',' youtub ' , 'Upload', 'Video', 'YouTub', "]</v>
      </c>
      <c r="D2259" s="3">
        <v>1.0</v>
      </c>
    </row>
    <row r="2260" ht="15.75" customHeight="1">
      <c r="A2260" s="1">
        <v>2391.0</v>
      </c>
      <c r="B2260" s="3" t="s">
        <v>2228</v>
      </c>
      <c r="C2260" s="3" t="str">
        <f>IFERROR(__xludf.DUMMYFUNCTION("GOOGLETRANSLATE(B2260,""id"",""en"")"),"['Disappointed', 'Signal', 'Internet', 'Stable', 'Open', 'Application', 'User', 'Telkomsel', 'sympathy', 'name', 'Provider', 'National', ' The network is', 'Good', 'Recommend', 'Telkomsel', 'Buffering', '']")</f>
        <v>['Disappointed', 'Signal', 'Internet', 'Stable', 'Open', 'Application', 'User', 'Telkomsel', 'sympathy', 'name', 'Provider', 'National', ' The network is', 'Good', 'Recommend', 'Telkomsel', 'Buffering', '']</v>
      </c>
      <c r="D2260" s="3">
        <v>1.0</v>
      </c>
    </row>
    <row r="2261" ht="15.75" customHeight="1">
      <c r="A2261" s="1">
        <v>2392.0</v>
      </c>
      <c r="B2261" s="3" t="s">
        <v>2229</v>
      </c>
      <c r="C2261" s="3" t="str">
        <f>IFERROR(__xludf.DUMMYFUNCTION("GOOGLETRANSLATE(B2261,""id"",""en"")"),"['knpa', 'ndk', 'open', 'ndk', 'application', 'disappointed']")</f>
        <v>['knpa', 'ndk', 'open', 'ndk', 'application', 'disappointed']</v>
      </c>
      <c r="D2261" s="3">
        <v>5.0</v>
      </c>
    </row>
    <row r="2262" ht="15.75" customHeight="1">
      <c r="A2262" s="1">
        <v>2393.0</v>
      </c>
      <c r="B2262" s="3" t="s">
        <v>2230</v>
      </c>
      <c r="C2262" s="3" t="str">
        <f>IFERROR(__xludf.DUMMYFUNCTION("GOOGLETRANSLATE(B2262,""id"",""en"")"),"['Paketan', 'Internet', 'Mahak']")</f>
        <v>['Paketan', 'Internet', 'Mahak']</v>
      </c>
      <c r="D2262" s="3">
        <v>1.0</v>
      </c>
    </row>
    <row r="2263" ht="15.75" customHeight="1">
      <c r="A2263" s="1">
        <v>2394.0</v>
      </c>
      <c r="B2263" s="3" t="s">
        <v>2231</v>
      </c>
      <c r="C2263" s="3" t="str">
        <f>IFERROR(__xludf.DUMMYFUNCTION("GOOGLETRANSLATE(B2263,""id"",""en"")"),"['Network', 'stable', 'send', 'file', 'difficult', 'network', 'fast', 'proof', ""]")</f>
        <v>['Network', 'stable', 'send', 'file', 'difficult', 'network', 'fast', 'proof', "]</v>
      </c>
      <c r="D2263" s="3">
        <v>1.0</v>
      </c>
    </row>
    <row r="2264" ht="15.75" customHeight="1">
      <c r="A2264" s="1">
        <v>2395.0</v>
      </c>
      <c r="B2264" s="3" t="s">
        <v>2232</v>
      </c>
      <c r="C2264" s="3" t="str">
        <f>IFERROR(__xludf.DUMMYFUNCTION("GOOGLETRANSLATE(B2264,""id"",""en"")"),"['Steady', 'The network']")</f>
        <v>['Steady', 'The network']</v>
      </c>
      <c r="D2264" s="3">
        <v>5.0</v>
      </c>
    </row>
    <row r="2265" ht="15.75" customHeight="1">
      <c r="A2265" s="1">
        <v>2396.0</v>
      </c>
      <c r="B2265" s="3" t="s">
        <v>2233</v>
      </c>
      <c r="C2265" s="3" t="str">
        <f>IFERROR(__xludf.DUMMYFUNCTION("GOOGLETRANSLATE(B2265,""id"",""en"")"),"['The network', 'ugly', 'really', 'Nambah', 'ugly', 'package', 'expensive', 'conducting', '']")</f>
        <v>['The network', 'ugly', 'really', 'Nambah', 'ugly', 'package', 'expensive', 'conducting', '']</v>
      </c>
      <c r="D2265" s="3">
        <v>5.0</v>
      </c>
    </row>
    <row r="2266" ht="15.75" customHeight="1">
      <c r="A2266" s="1">
        <v>2397.0</v>
      </c>
      <c r="B2266" s="3" t="s">
        <v>2234</v>
      </c>
      <c r="C2266" s="3" t="str">
        <f>IFERROR(__xludf.DUMMYFUNCTION("GOOGLETRANSLATE(B2266,""id"",""en"")"),"['special', 'promo', 'unfaedah', 'GB', 'Thinking', 'Min', 'Exchange', 'Points',' Skian ',' Points', 'GB', 'Telkomsel', ' Indonesia ',' skarang ',' Jajah ',' country ', ""]")</f>
        <v>['special', 'promo', 'unfaedah', 'GB', 'Thinking', 'Min', 'Exchange', 'Points',' Skian ',' Points', 'GB', 'Telkomsel', ' Indonesia ',' skarang ',' Jajah ',' country ', "]</v>
      </c>
      <c r="D2266" s="3">
        <v>1.0</v>
      </c>
    </row>
    <row r="2267" ht="15.75" customHeight="1">
      <c r="A2267" s="1">
        <v>2398.0</v>
      </c>
      <c r="B2267" s="3" t="s">
        <v>2235</v>
      </c>
      <c r="C2267" s="3" t="str">
        <f>IFERROR(__xludf.DUMMYFUNCTION("GOOGLETRANSLATE(B2267,""id"",""en"")"),"['application', 'provider', 'detrimental', 'contents',' pulse ',' sumps', 'thousand', 'thousand', 'down', 'prestige', 'suck', 'pulses',' Customers', 'prices',' expensive ',' signals', 'missing', 'arise', 'package', 'fast', 'drained', 'check', 'application"&amp;"', 'ngeredem', 'contents' , 'Credit', 'sucked', 'Many', 'kyk', 'provider', 'Next', 'setting', 'pulse', 'sucked', 'fix', 'quality', '']")</f>
        <v>['application', 'provider', 'detrimental', 'contents',' pulse ',' sumps', 'thousand', 'thousand', 'down', 'prestige', 'suck', 'pulses',' Customers', 'prices',' expensive ',' signals', 'missing', 'arise', 'package', 'fast', 'drained', 'check', 'application', 'ngeredem', 'contents' , 'Credit', 'sucked', 'Many', 'kyk', 'provider', 'Next', 'setting', 'pulse', 'sucked', 'fix', 'quality', '']</v>
      </c>
      <c r="D2267" s="3">
        <v>1.0</v>
      </c>
    </row>
    <row r="2268" ht="15.75" customHeight="1">
      <c r="A2268" s="1">
        <v>2399.0</v>
      </c>
      <c r="B2268" s="3" t="s">
        <v>2236</v>
      </c>
      <c r="C2268" s="3" t="str">
        <f>IFERROR(__xludf.DUMMYFUNCTION("GOOGLETRANSLATE(B2268,""id"",""en"")"),"['Fun', 'shopping', 'Telkomsel']")</f>
        <v>['Fun', 'shopping', 'Telkomsel']</v>
      </c>
      <c r="D2268" s="3">
        <v>5.0</v>
      </c>
    </row>
    <row r="2269" ht="15.75" customHeight="1">
      <c r="A2269" s="1">
        <v>2400.0</v>
      </c>
      <c r="B2269" s="3" t="s">
        <v>2237</v>
      </c>
      <c r="C2269" s="3" t="str">
        <f>IFERROR(__xludf.DUMMYFUNCTION("GOOGLETRANSLATE(B2269,""id"",""en"")"),"['suggestion', 'users',' Telkomsel ',' buy ',' package ',' combo ',' unlimited ',' GB ',' price ',' mytelkosel ',' package ',' rb ',' quota ',' GB ',' network ',' smooth ',' love ',' suggestion ',' Telkomsel ',' buy ',' package ',' GB ',' YouTube ',' disa"&amp;"ppointment ',' coral ' , 'Network', 'weak', 'difficult', 'open', 'application', 'anything', 'failed', 'promo', 'Telkomsel']")</f>
        <v>['suggestion', 'users',' Telkomsel ',' buy ',' package ',' combo ',' unlimited ',' GB ',' price ',' mytelkosel ',' package ',' rb ',' quota ',' GB ',' network ',' smooth ',' love ',' suggestion ',' Telkomsel ',' buy ',' package ',' GB ',' YouTube ',' disappointment ',' coral ' , 'Network', 'weak', 'difficult', 'open', 'application', 'anything', 'failed', 'promo', 'Telkomsel']</v>
      </c>
      <c r="D2269" s="3">
        <v>1.0</v>
      </c>
    </row>
    <row r="2270" ht="15.75" customHeight="1">
      <c r="A2270" s="1">
        <v>2401.0</v>
      </c>
      <c r="B2270" s="3" t="s">
        <v>2238</v>
      </c>
      <c r="C2270" s="3" t="str">
        <f>IFERROR(__xludf.DUMMYFUNCTION("GOOGLETRANSLATE(B2270,""id"",""en"")"),"['Good', 'really', 'buy', 'package']")</f>
        <v>['Good', 'really', 'buy', 'package']</v>
      </c>
      <c r="D2270" s="3">
        <v>5.0</v>
      </c>
    </row>
    <row r="2271" ht="15.75" customHeight="1">
      <c r="A2271" s="1">
        <v>2402.0</v>
      </c>
      <c r="B2271" s="3" t="s">
        <v>2239</v>
      </c>
      <c r="C2271" s="3" t="str">
        <f>IFERROR(__xludf.DUMMYFUNCTION("GOOGLETRANSLATE(B2271,""id"",""en"")"),"['Auto', 'Give', 'Star', 'Rate']")</f>
        <v>['Auto', 'Give', 'Star', 'Rate']</v>
      </c>
      <c r="D2271" s="3">
        <v>1.0</v>
      </c>
    </row>
    <row r="2272" ht="15.75" customHeight="1">
      <c r="A2272" s="1">
        <v>2403.0</v>
      </c>
      <c r="B2272" s="3" t="s">
        <v>2240</v>
      </c>
      <c r="C2272" s="3" t="str">
        <f>IFERROR(__xludf.DUMMYFUNCTION("GOOGLETRANSLATE(B2272,""id"",""en"")"),"['Help', 'MUCH', 'PROMO']")</f>
        <v>['Help', 'MUCH', 'PROMO']</v>
      </c>
      <c r="D2272" s="3">
        <v>5.0</v>
      </c>
    </row>
    <row r="2273" ht="15.75" customHeight="1">
      <c r="A2273" s="1">
        <v>2404.0</v>
      </c>
      <c r="B2273" s="3" t="s">
        <v>2241</v>
      </c>
      <c r="C2273" s="3" t="str">
        <f>IFERROR(__xludf.DUMMYFUNCTION("GOOGLETRANSLATE(B2273,""id"",""en"")"),"['already', 'update', 'right', 'app', 'open', 'update', 'mean', 'min', '']")</f>
        <v>['already', 'update', 'right', 'app', 'open', 'update', 'mean', 'min', '']</v>
      </c>
      <c r="D2273" s="3">
        <v>1.0</v>
      </c>
    </row>
    <row r="2274" ht="15.75" customHeight="1">
      <c r="A2274" s="1">
        <v>2405.0</v>
      </c>
      <c r="B2274" s="3" t="s">
        <v>2242</v>
      </c>
      <c r="C2274" s="3" t="str">
        <f>IFERROR(__xludf.DUMMYFUNCTION("GOOGLETRANSLATE(B2274,""id"",""en"")"),"['Try', 'fix', 'signal', 'boss', 'psychoan', 'disappointed', 'signal', 'ugly']")</f>
        <v>['Try', 'fix', 'signal', 'boss', 'psychoan', 'disappointed', 'signal', 'ugly']</v>
      </c>
      <c r="D2274" s="3">
        <v>1.0</v>
      </c>
    </row>
    <row r="2275" ht="15.75" customHeight="1">
      <c r="A2275" s="1">
        <v>2406.0</v>
      </c>
      <c r="B2275" s="3" t="s">
        <v>2243</v>
      </c>
      <c r="C2275" s="3" t="str">
        <f>IFERROR(__xludf.DUMMYFUNCTION("GOOGLETRANSLATE(B2275,""id"",""en"")"),"['Satisfied', 'Telkomsel', 'Kaulitas',' telephone ',' internet ',' good ',' price ',' affordable ',' thank ',' love ',' Telkomsel ',' Increase ',' Quality ',' telephone ',' Internet ',' Hargamu ',' ']")</f>
        <v>['Satisfied', 'Telkomsel', 'Kaulitas',' telephone ',' internet ',' good ',' price ',' affordable ',' thank ',' love ',' Telkomsel ',' Increase ',' Quality ',' telephone ',' Internet ',' Hargamu ',' ']</v>
      </c>
      <c r="D2275" s="3">
        <v>5.0</v>
      </c>
    </row>
    <row r="2276" ht="15.75" customHeight="1">
      <c r="A2276" s="1">
        <v>2407.0</v>
      </c>
      <c r="B2276" s="3" t="s">
        <v>2244</v>
      </c>
      <c r="C2276" s="3" t="str">
        <f>IFERROR(__xludf.DUMMYFUNCTION("GOOGLETRANSLATE(B2276,""id"",""en"")"),"['Signal', 'Mulu', 'ugly', 'play', 'game', 'online', 'right', 'amid "",' game ',""]")</f>
        <v>['Signal', 'Mulu', 'ugly', 'play', 'game', 'online', 'right', 'amid ",' game ',"]</v>
      </c>
      <c r="D2276" s="3">
        <v>1.0</v>
      </c>
    </row>
    <row r="2277" ht="15.75" customHeight="1">
      <c r="A2277" s="1">
        <v>2408.0</v>
      </c>
      <c r="B2277" s="3" t="s">
        <v>2245</v>
      </c>
      <c r="C2277" s="3" t="str">
        <f>IFERROR(__xludf.DUMMYFUNCTION("GOOGLETRANSLATE(B2277,""id"",""en"")"),"['', 'Telkomsel', 'bad', 'network', 'price', 'peket', 'expensive', 'quality', 'network', 'bad', 'Telkomsel', '']")</f>
        <v>['', 'Telkomsel', 'bad', 'network', 'price', 'peket', 'expensive', 'quality', 'network', 'bad', 'Telkomsel', '']</v>
      </c>
      <c r="D2277" s="3">
        <v>1.0</v>
      </c>
    </row>
    <row r="2278" ht="15.75" customHeight="1">
      <c r="A2278" s="1">
        <v>2409.0</v>
      </c>
      <c r="B2278" s="3" t="s">
        <v>2246</v>
      </c>
      <c r="C2278" s="3" t="str">
        <f>IFERROR(__xludf.DUMMYFUNCTION("GOOGLETRANSLATE(B2278,""id"",""en"")"),"['Network', 'Linerin', 'Lost']")</f>
        <v>['Network', 'Linerin', 'Lost']</v>
      </c>
      <c r="D2278" s="3">
        <v>1.0</v>
      </c>
    </row>
    <row r="2279" ht="15.75" customHeight="1">
      <c r="A2279" s="1">
        <v>2410.0</v>
      </c>
      <c r="B2279" s="3" t="s">
        <v>2247</v>
      </c>
      <c r="C2279" s="3" t="str">
        <f>IFERROR(__xludf.DUMMYFUNCTION("GOOGLETRANSLATE(B2279,""id"",""en"")"),"['buy', 'quota', 'APK', 'Activate', 'Data', 'right', 'UDH', 'Activein', 'Credit', 'Sumpot', 'Hadeh', 'times',' That's', 'Balikin', 'Credit', 'Men', '']")</f>
        <v>['buy', 'quota', 'APK', 'Activate', 'Data', 'right', 'UDH', 'Activein', 'Credit', 'Sumpot', 'Hadeh', 'times',' That's', 'Balikin', 'Credit', 'Men', '']</v>
      </c>
      <c r="D2279" s="3">
        <v>1.0</v>
      </c>
    </row>
    <row r="2280" ht="15.75" customHeight="1">
      <c r="A2280" s="1">
        <v>2411.0</v>
      </c>
      <c r="B2280" s="3" t="s">
        <v>2248</v>
      </c>
      <c r="C2280" s="3" t="str">
        <f>IFERROR(__xludf.DUMMYFUNCTION("GOOGLETRANSLATE(B2280,""id"",""en"")"),"['slow connection', '']")</f>
        <v>['slow connection', '']</v>
      </c>
      <c r="D2280" s="3">
        <v>2.0</v>
      </c>
    </row>
    <row r="2281" ht="15.75" customHeight="1">
      <c r="A2281" s="1">
        <v>2413.0</v>
      </c>
      <c r="B2281" s="3" t="s">
        <v>2249</v>
      </c>
      <c r="C2281" s="3" t="str">
        <f>IFERROR(__xludf.DUMMYFUNCTION("GOOGLETRANSLATE(B2281,""id"",""en"")"),"['Please', 'Price', 'Good', 'APK', 'Please', 'Turu', 'Nin', 'Hard']")</f>
        <v>['Please', 'Price', 'Good', 'APK', 'Please', 'Turu', 'Nin', 'Hard']</v>
      </c>
      <c r="D2281" s="3">
        <v>5.0</v>
      </c>
    </row>
    <row r="2282" ht="15.75" customHeight="1">
      <c r="A2282" s="1">
        <v>2414.0</v>
      </c>
      <c r="B2282" s="3" t="s">
        <v>2250</v>
      </c>
      <c r="C2282" s="3" t="str">
        <f>IFERROR(__xludf.DUMMYFUNCTION("GOOGLETRANSLATE(B2282,""id"",""en"")"),"['Purchase', 'Package', 'SUCCESS', 'PACKAGE', 'Credit', 'Sumpot', 'Please', 'Buy', 'Package', 'Credit', 'Sumpot', 'Disappointed', ' Telkomsel ',' skrg ',' lag ',' ilang ',' signal ']")</f>
        <v>['Purchase', 'Package', 'SUCCESS', 'PACKAGE', 'Credit', 'Sumpot', 'Please', 'Buy', 'Package', 'Credit', 'Sumpot', 'Disappointed', ' Telkomsel ',' skrg ',' lag ',' ilang ',' signal ']</v>
      </c>
      <c r="D2282" s="3">
        <v>1.0</v>
      </c>
    </row>
    <row r="2283" ht="15.75" customHeight="1">
      <c r="A2283" s="1">
        <v>2415.0</v>
      </c>
      <c r="B2283" s="3" t="s">
        <v>2251</v>
      </c>
      <c r="C2283" s="3" t="str">
        <f>IFERROR(__xludf.DUMMYFUNCTION("GOOGLETRANSLATE(B2283,""id"",""en"")"),"['Telkomsel', 'City']")</f>
        <v>['Telkomsel', 'City']</v>
      </c>
      <c r="D2283" s="3">
        <v>5.0</v>
      </c>
    </row>
    <row r="2284" ht="15.75" customHeight="1">
      <c r="A2284" s="1">
        <v>2416.0</v>
      </c>
      <c r="B2284" s="3" t="s">
        <v>2252</v>
      </c>
      <c r="C2284" s="3" t="str">
        <f>IFERROR(__xludf.DUMMYFUNCTION("GOOGLETRANSLATE(B2284,""id"",""en"")"),"['price', 'that way']")</f>
        <v>['price', 'that way']</v>
      </c>
      <c r="D2284" s="3">
        <v>2.0</v>
      </c>
    </row>
    <row r="2285" ht="15.75" customHeight="1">
      <c r="A2285" s="1">
        <v>2417.0</v>
      </c>
      <c r="B2285" s="3" t="s">
        <v>2253</v>
      </c>
      <c r="C2285" s="3" t="str">
        <f>IFERROR(__xludf.DUMMYFUNCTION("GOOGLETRANSLATE(B2285,""id"",""en"")"),"['Many', 'completion', 'quota', 'said', 'buy', 'quota', 'telephone', 'internet', 'mubasir', 'kapok']")</f>
        <v>['Many', 'completion', 'quota', 'said', 'buy', 'quota', 'telephone', 'internet', 'mubasir', 'kapok']</v>
      </c>
      <c r="D2285" s="3">
        <v>1.0</v>
      </c>
    </row>
    <row r="2286" ht="15.75" customHeight="1">
      <c r="A2286" s="1">
        <v>2418.0</v>
      </c>
      <c r="B2286" s="3" t="s">
        <v>2254</v>
      </c>
      <c r="C2286" s="3" t="str">
        <f>IFERROR(__xludf.DUMMYFUNCTION("GOOGLETRANSLATE(B2286,""id"",""en"")"),"['Maintance']")</f>
        <v>['Maintance']</v>
      </c>
      <c r="D2286" s="3">
        <v>4.0</v>
      </c>
    </row>
    <row r="2287" ht="15.75" customHeight="1">
      <c r="A2287" s="1">
        <v>2419.0</v>
      </c>
      <c r="B2287" s="3" t="s">
        <v>2255</v>
      </c>
      <c r="C2287" s="3" t="str">
        <f>IFERROR(__xludf.DUMMYFUNCTION("GOOGLETRANSLATE(B2287,""id"",""en"")"),"['network', 'Telkomsel', 'difficult', 'slow', ""]")</f>
        <v>['network', 'Telkomsel', 'difficult', 'slow', "]</v>
      </c>
      <c r="D2287" s="3">
        <v>1.0</v>
      </c>
    </row>
    <row r="2288" ht="15.75" customHeight="1">
      <c r="A2288" s="1">
        <v>2421.0</v>
      </c>
      <c r="B2288" s="3" t="s">
        <v>2256</v>
      </c>
      <c r="C2288" s="3" t="str">
        <f>IFERROR(__xludf.DUMMYFUNCTION("GOOGLETRANSLATE(B2288,""id"",""en"")"),"['Sorry', 'service', 'Available', 'info', 'promo', 'achieved', 'Honda', 'Beat', 'Street', 'Rizky', 'Febian', 'rates',' RP ',' SMS ',' HR ',' SLM ',' HR ',' Hub ',' Clock ',' SMS ',' Terror ',' SMS ',' Continues', 'trs',' What ' , 'ngeblok', ""]")</f>
        <v>['Sorry', 'service', 'Available', 'info', 'promo', 'achieved', 'Honda', 'Beat', 'Street', 'Rizky', 'Febian', 'rates',' RP ',' SMS ',' HR ',' SLM ',' HR ',' Hub ',' Clock ',' SMS ',' Terror ',' SMS ',' Continues', 'trs',' What ' , 'ngeblok', "]</v>
      </c>
      <c r="D2288" s="3">
        <v>1.0</v>
      </c>
    </row>
    <row r="2289" ht="15.75" customHeight="1">
      <c r="A2289" s="1">
        <v>2422.0</v>
      </c>
      <c r="B2289" s="3" t="s">
        <v>2257</v>
      </c>
      <c r="C2289" s="3" t="str">
        <f>IFERROR(__xludf.DUMMYFUNCTION("GOOGLETRANSLATE(B2289,""id"",""en"")"),"['Severe', 'really', 'Telkomsel', 'Come on', 'cave', 'fill', 'my computer', 'slow', ""]")</f>
        <v>['Severe', 'really', 'Telkomsel', 'Come on', 'cave', 'fill', 'my computer', 'slow', "]</v>
      </c>
      <c r="D2289" s="3">
        <v>1.0</v>
      </c>
    </row>
    <row r="2290" ht="15.75" customHeight="1">
      <c r="A2290" s="1">
        <v>2423.0</v>
      </c>
      <c r="B2290" s="3" t="s">
        <v>2258</v>
      </c>
      <c r="C2290" s="3" t="str">
        <f>IFERROR(__xludf.DUMMYFUNCTION("GOOGLETRANSLATE(B2290,""id"",""en"")"),"['quota', 'omg', 'watch', 'youtube', 'right', 'watch', 'youtube', 'resolution', 'sumps',' quota ',' main ',' redundant ',' Used ',' ']")</f>
        <v>['quota', 'omg', 'watch', 'youtube', 'right', 'watch', 'youtube', 'resolution', 'sumps',' quota ',' main ',' redundant ',' Used ',' ']</v>
      </c>
      <c r="D2290" s="3">
        <v>1.0</v>
      </c>
    </row>
    <row r="2291" ht="15.75" customHeight="1">
      <c r="A2291" s="1">
        <v>2424.0</v>
      </c>
      <c r="B2291" s="3" t="s">
        <v>2259</v>
      </c>
      <c r="C2291" s="3" t="str">
        <f>IFERROR(__xludf.DUMMYFUNCTION("GOOGLETRANSLATE(B2291,""id"",""en"")"),"['Network', 'stable', 'trust', 'community', 'Indonesia']")</f>
        <v>['Network', 'stable', 'trust', 'community', 'Indonesia']</v>
      </c>
      <c r="D2291" s="3">
        <v>5.0</v>
      </c>
    </row>
    <row r="2292" ht="15.75" customHeight="1">
      <c r="A2292" s="1">
        <v>2425.0</v>
      </c>
      <c r="B2292" s="3" t="s">
        <v>2260</v>
      </c>
      <c r="C2292" s="3" t="str">
        <f>IFERROR(__xludf.DUMMYFUNCTION("GOOGLETRANSLATE(B2292,""id"",""en"")"),"['Telkomsel', 'disappointing', 'price', 'expensive', 'comfortable', 'Makai', 'Come', 'moved', 'card', 'friend', 'friend']")</f>
        <v>['Telkomsel', 'disappointing', 'price', 'expensive', 'comfortable', 'Makai', 'Come', 'moved', 'card', 'friend', 'friend']</v>
      </c>
      <c r="D2292" s="3">
        <v>1.0</v>
      </c>
    </row>
    <row r="2293" ht="15.75" customHeight="1">
      <c r="A2293" s="1">
        <v>2427.0</v>
      </c>
      <c r="B2293" s="3" t="s">
        <v>2261</v>
      </c>
      <c r="C2293" s="3" t="str">
        <f>IFERROR(__xludf.DUMMYFUNCTION("GOOGLETRANSLATE(B2293,""id"",""en"")"),"['application', 'Taii', 'handy', 'Telkomsel', 'card', 'Harlo', 'garbage', 'well', 'fraud', 'individual', 'individual', 'Telkomsel', ' Easy ',' hopefully ',' Telkomsel ',' bankrupt ']")</f>
        <v>['application', 'Taii', 'handy', 'Telkomsel', 'card', 'Harlo', 'garbage', 'well', 'fraud', 'individual', 'individual', 'Telkomsel', ' Easy ',' hopefully ',' Telkomsel ',' bankrupt ']</v>
      </c>
      <c r="D2293" s="3">
        <v>1.0</v>
      </c>
    </row>
    <row r="2294" ht="15.75" customHeight="1">
      <c r="A2294" s="1">
        <v>2428.0</v>
      </c>
      <c r="B2294" s="3" t="s">
        <v>2262</v>
      </c>
      <c r="C2294" s="3" t="str">
        <f>IFERROR(__xludf.DUMMYFUNCTION("GOOGLETRANSLATE(B2294,""id"",""en"")"),"['Help', 'makes it easy', 'routine']")</f>
        <v>['Help', 'makes it easy', 'routine']</v>
      </c>
      <c r="D2294" s="3">
        <v>3.0</v>
      </c>
    </row>
    <row r="2295" ht="15.75" customHeight="1">
      <c r="A2295" s="1">
        <v>2429.0</v>
      </c>
      <c r="B2295" s="3" t="s">
        <v>2263</v>
      </c>
      <c r="C2295" s="3" t="str">
        <f>IFERROR(__xludf.DUMMYFUNCTION("GOOGLETRANSLATE(B2295,""id"",""en"")"),"['Try', 'Do', 'Maintance', 'Periodic', 'Disappointed', 'Customer']")</f>
        <v>['Try', 'Do', 'Maintance', 'Periodic', 'Disappointed', 'Customer']</v>
      </c>
      <c r="D2295" s="3">
        <v>1.0</v>
      </c>
    </row>
    <row r="2296" ht="15.75" customHeight="1">
      <c r="A2296" s="1">
        <v>2430.0</v>
      </c>
      <c r="B2296" s="3" t="s">
        <v>2264</v>
      </c>
      <c r="C2296" s="3" t="str">
        <f>IFERROR(__xludf.DUMMYFUNCTION("GOOGLETRANSLATE(B2296,""id"",""en"")"),"['APK', 'good']")</f>
        <v>['APK', 'good']</v>
      </c>
      <c r="D2296" s="3">
        <v>5.0</v>
      </c>
    </row>
    <row r="2297" ht="15.75" customHeight="1">
      <c r="A2297" s="1">
        <v>2431.0</v>
      </c>
      <c r="B2297" s="3" t="s">
        <v>2265</v>
      </c>
      <c r="C2297" s="3" t="str">
        <f>IFERROR(__xludf.DUMMYFUNCTION("GOOGLETRANSLATE(B2297,""id"",""en"")"),"['woi', 'sell', 'package', 'data', 'right', 'rb', 'rb', 'rb', 'rb', 'plus',' that way ',' luck ',' price ',' change ',' fox ',' notification ',' right ',' contents', 'credit', 'buy', 'package', 'data', 'rb', 'price', 'rb' , 'Jancu', 'Anyway', ""]")</f>
        <v>['woi', 'sell', 'package', 'data', 'right', 'rb', 'rb', 'rb', 'rb', 'plus',' that way ',' luck ',' price ',' change ',' fox ',' notification ',' right ',' contents', 'credit', 'buy', 'package', 'data', 'rb', 'price', 'rb' , 'Jancu', 'Anyway', "]</v>
      </c>
      <c r="D2297" s="3">
        <v>1.0</v>
      </c>
    </row>
    <row r="2298" ht="15.75" customHeight="1">
      <c r="A2298" s="1">
        <v>2432.0</v>
      </c>
      <c r="B2298" s="3" t="s">
        <v>2266</v>
      </c>
      <c r="C2298" s="3" t="str">
        <f>IFERROR(__xludf.DUMMYFUNCTION("GOOGLETRANSLATE(B2298,""id"",""en"")"),"['smakin', 'smakin', 'dilapidated', 'people', 'until', 'disrupted', 'fortune', 'because' signal ',' crazy ',' signal ',' sympathy ',' mdngn ',' Switch ',' severe ',' slow ',' every time ',' crazy ',' people ',' get ',' fortune ',' because ',' data ',' dil"&amp;"apuk ',' mndngn ' , 'Closed', 'Ush', 'SKR', 'Harm', 'Profitable', ""]")</f>
        <v>['smakin', 'smakin', 'dilapidated', 'people', 'until', 'disrupted', 'fortune', 'because' signal ',' crazy ',' signal ',' sympathy ',' mdngn ',' Switch ',' severe ',' slow ',' every time ',' crazy ',' people ',' get ',' fortune ',' because ',' data ',' dilapuk ',' mndngn ' , 'Closed', 'Ush', 'SKR', 'Harm', 'Profitable', "]</v>
      </c>
      <c r="D2298" s="3">
        <v>1.0</v>
      </c>
    </row>
    <row r="2299" ht="15.75" customHeight="1">
      <c r="A2299" s="1">
        <v>2433.0</v>
      </c>
      <c r="B2299" s="3" t="s">
        <v>2267</v>
      </c>
      <c r="C2299" s="3" t="str">
        <f>IFERROR(__xludf.DUMMYFUNCTION("GOOGLETRANSLATE(B2299,""id"",""en"")"),"['buy', 'package', 'data', 'GB', 'Rp', 'Rp', 'cheap', 'expensive', 'signal', 'smooth', 'Bangat', 'lost', ' Season ',' please ',' use ',' Telkomsel ',' purposes']")</f>
        <v>['buy', 'package', 'data', 'GB', 'Rp', 'Rp', 'cheap', 'expensive', 'signal', 'smooth', 'Bangat', 'lost', ' Season ',' please ',' use ',' Telkomsel ',' purposes']</v>
      </c>
      <c r="D2299" s="3">
        <v>1.0</v>
      </c>
    </row>
    <row r="2300" ht="15.75" customHeight="1">
      <c r="A2300" s="1">
        <v>2434.0</v>
      </c>
      <c r="B2300" s="3" t="s">
        <v>2268</v>
      </c>
      <c r="C2300" s="3" t="str">
        <f>IFERROR(__xludf.DUMMYFUNCTION("GOOGLETRANSLATE(B2300,""id"",""en"")"),"['Blom', 'prize', 'fortune', 'Where', 'Lord', 'Adjust', ""]")</f>
        <v>['Blom', 'prize', 'fortune', 'Where', 'Lord', 'Adjust', "]</v>
      </c>
      <c r="D2300" s="3">
        <v>4.0</v>
      </c>
    </row>
    <row r="2301" ht="15.75" customHeight="1">
      <c r="A2301" s="1">
        <v>2435.0</v>
      </c>
      <c r="B2301" s="3" t="s">
        <v>2269</v>
      </c>
      <c r="C2301" s="3" t="str">
        <f>IFERROR(__xludf.DUMMYFUNCTION("GOOGLETRANSLATE(B2301,""id"",""en"")"),"['already', 'buy', 'Package', 'Unlimited', 'YouTube', 'Sumpot', 'Tetep', 'Package', 'Main', 'Hadeh']")</f>
        <v>['already', 'buy', 'Package', 'Unlimited', 'YouTube', 'Sumpot', 'Tetep', 'Package', 'Main', 'Hadeh']</v>
      </c>
      <c r="D2301" s="3">
        <v>5.0</v>
      </c>
    </row>
    <row r="2302" ht="15.75" customHeight="1">
      <c r="A2302" s="1">
        <v>2436.0</v>
      </c>
      <c r="B2302" s="3" t="s">
        <v>2270</v>
      </c>
      <c r="C2302" s="3" t="str">
        <f>IFERROR(__xludf.DUMMYFUNCTION("GOOGLETRANSLATE(B2302,""id"",""en"")"),"['check', 'pulse', 'active', 'active', 'card', '']")</f>
        <v>['check', 'pulse', 'active', 'active', 'card', '']</v>
      </c>
      <c r="D2302" s="3">
        <v>2.0</v>
      </c>
    </row>
    <row r="2303" ht="15.75" customHeight="1">
      <c r="A2303" s="1">
        <v>2437.0</v>
      </c>
      <c r="B2303" s="3" t="s">
        <v>2271</v>
      </c>
      <c r="C2303" s="3" t="str">
        <f>IFERROR(__xludf.DUMMYFUNCTION("GOOGLETRANSLATE(B2303,""id"",""en"")"),"['satisfying', 'package', 'data', 'drain', 'pulse', 'active', 'run out', 'confirm', 'prevention', 'spoil', 'program', 'detrimental' Users', 'Data', 'Professional', 'Protection', 'Rights',' Rights', 'Consumers',' ']")</f>
        <v>['satisfying', 'package', 'data', 'drain', 'pulse', 'active', 'run out', 'confirm', 'prevention', 'spoil', 'program', 'detrimental' Users', 'Data', 'Professional', 'Protection', 'Rights',' Rights', 'Consumers',' ']</v>
      </c>
      <c r="D2303" s="3">
        <v>1.0</v>
      </c>
    </row>
    <row r="2304" ht="15.75" customHeight="1">
      <c r="A2304" s="1">
        <v>2438.0</v>
      </c>
      <c r="B2304" s="3" t="s">
        <v>2272</v>
      </c>
      <c r="C2304" s="3" t="str">
        <f>IFERROR(__xludf.DUMMYFUNCTION("GOOGLETRANSLATE(B2304,""id"",""en"")"),"['', 'appears', 'urban', 'diesa', 'appears', 'speed', 'fast', '']")</f>
        <v>['', 'appears', 'urban', 'diesa', 'appears', 'speed', 'fast', '']</v>
      </c>
      <c r="D2304" s="3">
        <v>1.0</v>
      </c>
    </row>
    <row r="2305" ht="15.75" customHeight="1">
      <c r="A2305" s="1">
        <v>2439.0</v>
      </c>
      <c r="B2305" s="3" t="s">
        <v>2273</v>
      </c>
      <c r="C2305" s="3" t="str">
        <f>IFERROR(__xludf.DUMMYFUNCTION("GOOGLETRANSLATE(B2305,""id"",""en"")"),"['Service', 'Good']")</f>
        <v>['Service', 'Good']</v>
      </c>
      <c r="D2305" s="3">
        <v>4.0</v>
      </c>
    </row>
    <row r="2306" ht="15.75" customHeight="1">
      <c r="A2306" s="1">
        <v>2440.0</v>
      </c>
      <c r="B2306" s="3" t="s">
        <v>2274</v>
      </c>
      <c r="C2306" s="3" t="str">
        <f>IFERROR(__xludf.DUMMYFUNCTION("GOOGLETRANSLATE(B2306,""id"",""en"")"),"['Literable', 'BIAA', 'PWLANGGAN', 'buy', 'user', 'feels at home', 'swkny', 'thank you']")</f>
        <v>['Literable', 'BIAA', 'PWLANGGAN', 'buy', 'user', 'feels at home', 'swkny', 'thank you']</v>
      </c>
      <c r="D2306" s="3">
        <v>5.0</v>
      </c>
    </row>
    <row r="2307" ht="15.75" customHeight="1">
      <c r="A2307" s="1">
        <v>2441.0</v>
      </c>
      <c r="B2307" s="3" t="s">
        <v>409</v>
      </c>
      <c r="C2307" s="3" t="str">
        <f>IFERROR(__xludf.DUMMYFUNCTION("GOOGLETRANSLATE(B2307,""id"",""en"")"),"['easy']")</f>
        <v>['easy']</v>
      </c>
      <c r="D2307" s="3">
        <v>5.0</v>
      </c>
    </row>
    <row r="2308" ht="15.75" customHeight="1">
      <c r="A2308" s="1">
        <v>2442.0</v>
      </c>
      <c r="B2308" s="3" t="s">
        <v>2275</v>
      </c>
      <c r="C2308" s="3" t="str">
        <f>IFERROR(__xludf.DUMMYFUNCTION("GOOGLETRANSLATE(B2308,""id"",""en"")"),"['service', 'MyTelkomsel', 'good', 'it's easy', 'buy', 'quota', 'transfer', 'pulse', 'etc.', 'experience', 'access',' internet ',' Having ',' quota ',' pulse ',' sucked ',' Not bad ',' Please ',' solution ',' thank you ', ""]")</f>
        <v>['service', 'MyTelkomsel', 'good', 'it's easy', 'buy', 'quota', 'transfer', 'pulse', 'etc.', 'experience', 'access',' internet ',' Having ',' quota ',' pulse ',' sucked ',' Not bad ',' Please ',' solution ',' thank you ', "]</v>
      </c>
      <c r="D2308" s="3">
        <v>4.0</v>
      </c>
    </row>
    <row r="2309" ht="15.75" customHeight="1">
      <c r="A2309" s="1">
        <v>2443.0</v>
      </c>
      <c r="B2309" s="3" t="s">
        <v>2276</v>
      </c>
      <c r="C2309" s="3" t="str">
        <f>IFERROR(__xludf.DUMMYFUNCTION("GOOGLETRANSLATE(B2309,""id"",""en"")"),"['Telkomsel', 'price', 'package', 'exorbitant', 'network', 'mending', 'strong', 'cheap', 'what' is' expensive ',' slow ',' gini ',' Services', 'Telkomsel', 'decreases',' replace ',' card ',' main ',' change ',' slow ',' data ',' slow ',' process', 'purcha"&amp;"se', 'package' , 'etc', '']")</f>
        <v>['Telkomsel', 'price', 'package', 'exorbitant', 'network', 'mending', 'strong', 'cheap', 'what' is' expensive ',' slow ',' gini ',' Services', 'Telkomsel', 'decreases',' replace ',' card ',' main ',' change ',' slow ',' data ',' slow ',' process', 'purchase', 'package' , 'etc', '']</v>
      </c>
      <c r="D2309" s="3">
        <v>1.0</v>
      </c>
    </row>
    <row r="2310" ht="15.75" customHeight="1">
      <c r="A2310" s="1">
        <v>2444.0</v>
      </c>
      <c r="B2310" s="3" t="s">
        <v>2277</v>
      </c>
      <c r="C2310" s="3" t="str">
        <f>IFERROR(__xludf.DUMMYFUNCTION("GOOGLETRANSLATE(B2310,""id"",""en"")"),"['Kasi', 'Bintang', 'APK', 'Sangt', 'Make', 'Semenkk', 'Mengunkn', 'APK', 'DPAT', 'quota', 'free', 'proggram', ' Cehk ',' ']")</f>
        <v>['Kasi', 'Bintang', 'APK', 'Sangt', 'Make', 'Semenkk', 'Mengunkn', 'APK', 'DPAT', 'quota', 'free', 'proggram', ' Cehk ',' ']</v>
      </c>
      <c r="D2310" s="3">
        <v>5.0</v>
      </c>
    </row>
    <row r="2311" ht="15.75" customHeight="1">
      <c r="A2311" s="1">
        <v>2445.0</v>
      </c>
      <c r="B2311" s="3" t="s">
        <v>2278</v>
      </c>
      <c r="C2311" s="3" t="str">
        <f>IFERROR(__xludf.DUMMYFUNCTION("GOOGLETRANSLATE(B2311,""id"",""en"")"),"['Help', 'makes it easier', 'transaction', '']")</f>
        <v>['Help', 'makes it easier', 'transaction', '']</v>
      </c>
      <c r="D2311" s="3">
        <v>5.0</v>
      </c>
    </row>
    <row r="2312" ht="15.75" customHeight="1">
      <c r="A2312" s="1">
        <v>2446.0</v>
      </c>
      <c r="B2312" s="3" t="s">
        <v>2279</v>
      </c>
      <c r="C2312" s="3" t="str">
        <f>IFERROR(__xludf.DUMMYFUNCTION("GOOGLETRANSLATE(B2312,""id"",""en"")"),"['Telkomsel', 'Restore', 'Pulse', 'Package', 'Dealur', 'On', 'Credit', 'Enter', 'Content', 'Credit', 'Take', 'Credit', ' Severe ',' really ']")</f>
        <v>['Telkomsel', 'Restore', 'Pulse', 'Package', 'Dealur', 'On', 'Credit', 'Enter', 'Content', 'Credit', 'Take', 'Credit', ' Severe ',' really ']</v>
      </c>
      <c r="D2312" s="3">
        <v>5.0</v>
      </c>
    </row>
    <row r="2313" ht="15.75" customHeight="1">
      <c r="A2313" s="1">
        <v>2447.0</v>
      </c>
      <c r="B2313" s="3" t="s">
        <v>2280</v>
      </c>
      <c r="C2313" s="3" t="str">
        <f>IFERROR(__xludf.DUMMYFUNCTION("GOOGLETRANSLATE(B2313,""id"",""en"")"),"['steady', 'promo', '']")</f>
        <v>['steady', 'promo', '']</v>
      </c>
      <c r="D2313" s="3">
        <v>5.0</v>
      </c>
    </row>
    <row r="2314" ht="15.75" customHeight="1">
      <c r="A2314" s="1">
        <v>2448.0</v>
      </c>
      <c r="B2314" s="3" t="s">
        <v>2281</v>
      </c>
      <c r="C2314" s="3" t="str">
        <f>IFERROR(__xludf.DUMMYFUNCTION("GOOGLETRANSLATE(B2314,""id"",""en"")"),"['strange', 'buy', 'quota', 'emergency', 'knowledge', 'user', 'card', 'strange', 'right', 'already', 'contents',' pulses', ' Cut ',' Telkomsel ',' price ',' expensive ',' quality ',' ugly ']")</f>
        <v>['strange', 'buy', 'quota', 'emergency', 'knowledge', 'user', 'card', 'strange', 'right', 'already', 'contents',' pulses', ' Cut ',' Telkomsel ',' price ',' expensive ',' quality ',' ugly ']</v>
      </c>
      <c r="D2314" s="3">
        <v>1.0</v>
      </c>
    </row>
    <row r="2315" ht="15.75" customHeight="1">
      <c r="A2315" s="1">
        <v>2449.0</v>
      </c>
      <c r="B2315" s="3" t="s">
        <v>2282</v>
      </c>
      <c r="C2315" s="3" t="str">
        <f>IFERROR(__xludf.DUMMYFUNCTION("GOOGLETRANSLATE(B2315,""id"",""en"")"),"['hope', 'chance', 'win', 'lottery', 'because', 'believe', 'really']")</f>
        <v>['hope', 'chance', 'win', 'lottery', 'because', 'believe', 'really']</v>
      </c>
      <c r="D2315" s="3">
        <v>5.0</v>
      </c>
    </row>
    <row r="2316" ht="15.75" customHeight="1">
      <c r="A2316" s="1">
        <v>2450.0</v>
      </c>
      <c r="B2316" s="3" t="s">
        <v>2283</v>
      </c>
      <c r="C2316" s="3" t="str">
        <f>IFERROR(__xludf.DUMMYFUNCTION("GOOGLETRANSLATE(B2316,""id"",""en"")"),"['Help', 'easy', 'trimakasih']")</f>
        <v>['Help', 'easy', 'trimakasih']</v>
      </c>
      <c r="D2316" s="3">
        <v>5.0</v>
      </c>
    </row>
    <row r="2317" ht="15.75" customHeight="1">
      <c r="A2317" s="1">
        <v>2451.0</v>
      </c>
      <c r="B2317" s="3" t="s">
        <v>2284</v>
      </c>
      <c r="C2317" s="3" t="str">
        <f>IFERROR(__xludf.DUMMYFUNCTION("GOOGLETRANSLATE(B2317,""id"",""en"")"),"['ksih', 'star', 'because', 'pennguna', 'Telkomsel']")</f>
        <v>['ksih', 'star', 'because', 'pennguna', 'Telkomsel']</v>
      </c>
      <c r="D2317" s="3">
        <v>5.0</v>
      </c>
    </row>
    <row r="2318" ht="15.75" customHeight="1">
      <c r="A2318" s="1">
        <v>2452.0</v>
      </c>
      <c r="B2318" s="3" t="s">
        <v>2285</v>
      </c>
      <c r="C2318" s="3" t="str">
        <f>IFERROR(__xludf.DUMMYFUNCTION("GOOGLETRANSLATE(B2318,""id"",""en"")"),"['like', 'sympathy', 'cut', 'pulse', 'junior high school', 'run out', 'use', 'internet', 'phone', 'pulse', 'run out', 'sdri']")</f>
        <v>['like', 'sympathy', 'cut', 'pulse', 'junior high school', 'run out', 'use', 'internet', 'phone', 'pulse', 'run out', 'sdri']</v>
      </c>
      <c r="D2318" s="3">
        <v>1.0</v>
      </c>
    </row>
    <row r="2319" ht="15.75" customHeight="1">
      <c r="A2319" s="1">
        <v>2453.0</v>
      </c>
      <c r="B2319" s="3" t="s">
        <v>2286</v>
      </c>
      <c r="C2319" s="3" t="str">
        <f>IFERROR(__xludf.DUMMYFUNCTION("GOOGLETRANSLATE(B2319,""id"",""en"")"),"['signal', 'garbage', 'gini', 'ajig']")</f>
        <v>['signal', 'garbage', 'gini', 'ajig']</v>
      </c>
      <c r="D2319" s="3">
        <v>1.0</v>
      </c>
    </row>
    <row r="2320" ht="15.75" customHeight="1">
      <c r="A2320" s="1">
        <v>2454.0</v>
      </c>
      <c r="B2320" s="3" t="s">
        <v>2287</v>
      </c>
      <c r="C2320" s="3" t="str">
        <f>IFERROR(__xludf.DUMMYFUNCTION("GOOGLETRANSLATE(B2320,""id"",""en"")"),"['App', 'Telkomsel', 'Delete', 'right', 'Install', ""]")</f>
        <v>['App', 'Telkomsel', 'Delete', 'right', 'Install', "]</v>
      </c>
      <c r="D2320" s="3">
        <v>3.0</v>
      </c>
    </row>
    <row r="2321" ht="15.75" customHeight="1">
      <c r="A2321" s="1">
        <v>2455.0</v>
      </c>
      <c r="B2321" s="3" t="s">
        <v>2288</v>
      </c>
      <c r="C2321" s="3" t="str">
        <f>IFERROR(__xludf.DUMMYFUNCTION("GOOGLETRANSLATE(B2321,""id"",""en"")"),"['Application', 'slow', 'slow', 'turn', 'opened', 'difficult', 'turn', 'pay', 'buy', 'package', 'Layrrrr', 'application', ' money-oriented']")</f>
        <v>['Application', 'slow', 'slow', 'turn', 'opened', 'difficult', 'turn', 'pay', 'buy', 'package', 'Layrrrr', 'application', ' money-oriented']</v>
      </c>
      <c r="D2321" s="3">
        <v>1.0</v>
      </c>
    </row>
    <row r="2322" ht="15.75" customHeight="1">
      <c r="A2322" s="1">
        <v>2456.0</v>
      </c>
      <c r="B2322" s="3" t="s">
        <v>2289</v>
      </c>
      <c r="C2322" s="3" t="str">
        <f>IFERROR(__xludf.DUMMYFUNCTION("GOOGLETRANSLATE(B2322,""id"",""en"")"),"['Sorry', 'buy', 'quota', 'game', 'rich', 'next door', 'quota', 'game', 'quota']")</f>
        <v>['Sorry', 'buy', 'quota', 'game', 'rich', 'next door', 'quota', 'game', 'quota']</v>
      </c>
      <c r="D2322" s="3">
        <v>2.0</v>
      </c>
    </row>
    <row r="2323" ht="15.75" customHeight="1">
      <c r="A2323" s="1">
        <v>2457.0</v>
      </c>
      <c r="B2323" s="3" t="s">
        <v>2290</v>
      </c>
      <c r="C2323" s="3" t="str">
        <f>IFERROR(__xludf.DUMMYFUNCTION("GOOGLETRANSLATE(B2323,""id"",""en"")"),"['Good', 'like']")</f>
        <v>['Good', 'like']</v>
      </c>
      <c r="D2323" s="3">
        <v>5.0</v>
      </c>
    </row>
    <row r="2324" ht="15.75" customHeight="1">
      <c r="A2324" s="1">
        <v>2458.0</v>
      </c>
      <c r="B2324" s="3" t="s">
        <v>2291</v>
      </c>
      <c r="C2324" s="3" t="str">
        <f>IFERROR(__xludf.DUMMYFUNCTION("GOOGLETRANSLATE(B2324,""id"",""en"")"),"['Network', 'fix']")</f>
        <v>['Network', 'fix']</v>
      </c>
      <c r="D2324" s="3">
        <v>4.0</v>
      </c>
    </row>
    <row r="2325" ht="15.75" customHeight="1">
      <c r="A2325" s="1">
        <v>2459.0</v>
      </c>
      <c r="B2325" s="3" t="s">
        <v>2292</v>
      </c>
      <c r="C2325" s="3" t="str">
        <f>IFERROR(__xludf.DUMMYFUNCTION("GOOGLETRANSLATE(B2325,""id"",""en"")"),"['mpir', 'number', 'Tel', 'Kirain', 'Damaged', 'Change', 'then', 'Package', 'Unlimited', 'LBH', 'Severe', 'Jgnkan', ' Watch ',' Browsing ',' Time ',' Out ',' Mulu ',' hmmm ',' tired ',' deh ',' provider ',' expensive ',' doang ',' quality ',' Ambush ' , '"&amp;"What', 'love', 'star', 'star', 'made', 'just', 'disappointed']")</f>
        <v>['mpir', 'number', 'Tel', 'Kirain', 'Damaged', 'Change', 'then', 'Package', 'Unlimited', 'LBH', 'Severe', 'Jgnkan', ' Watch ',' Browsing ',' Time ',' Out ',' Mulu ',' hmmm ',' tired ',' deh ',' provider ',' expensive ',' doang ',' quality ',' Ambush ' , 'What', 'love', 'star', 'star', 'made', 'just', 'disappointed']</v>
      </c>
      <c r="D2325" s="3">
        <v>1.0</v>
      </c>
    </row>
    <row r="2326" ht="15.75" customHeight="1">
      <c r="A2326" s="1">
        <v>2460.0</v>
      </c>
      <c r="B2326" s="3" t="s">
        <v>2293</v>
      </c>
      <c r="C2326" s="3" t="str">
        <f>IFERROR(__xludf.DUMMYFUNCTION("GOOGLETRANSLATE(B2326,""id"",""en"")"),"['ugly', 'really', 'signal', '']")</f>
        <v>['ugly', 'really', 'signal', '']</v>
      </c>
      <c r="D2326" s="3">
        <v>1.0</v>
      </c>
    </row>
    <row r="2327" ht="15.75" customHeight="1">
      <c r="A2327" s="1">
        <v>2461.0</v>
      </c>
      <c r="B2327" s="3" t="s">
        <v>2294</v>
      </c>
      <c r="C2327" s="3" t="str">
        <f>IFERROR(__xludf.DUMMYFUNCTION("GOOGLETRANSLATE(B2327,""id"",""en"")"),"['Hopefully', 'Telkomsel', 'in the future', 'advanced']")</f>
        <v>['Hopefully', 'Telkomsel', 'in the future', 'advanced']</v>
      </c>
      <c r="D2327" s="3">
        <v>5.0</v>
      </c>
    </row>
    <row r="2328" ht="15.75" customHeight="1">
      <c r="A2328" s="1">
        <v>2462.0</v>
      </c>
      <c r="B2328" s="3" t="s">
        <v>2295</v>
      </c>
      <c r="C2328" s="3" t="str">
        <f>IFERROR(__xludf.DUMMYFUNCTION("GOOGLETRANSLATE(B2328,""id"",""en"")"),"['Star', 'Error', 'Mengebuka', 'The application']")</f>
        <v>['Star', 'Error', 'Mengebuka', 'The application']</v>
      </c>
      <c r="D2328" s="3">
        <v>1.0</v>
      </c>
    </row>
    <row r="2329" ht="15.75" customHeight="1">
      <c r="A2329" s="1">
        <v>2464.0</v>
      </c>
      <c r="B2329" s="3" t="s">
        <v>2296</v>
      </c>
      <c r="C2329" s="3" t="str">
        <f>IFERROR(__xludf.DUMMYFUNCTION("GOOGLETRANSLATE(B2329,""id"",""en"")"),"['Good', 'gmpang', 'contents', 'KESBACK']")</f>
        <v>['Good', 'gmpang', 'contents', 'KESBACK']</v>
      </c>
      <c r="D2329" s="3">
        <v>5.0</v>
      </c>
    </row>
    <row r="2330" ht="15.75" customHeight="1">
      <c r="A2330" s="1">
        <v>2465.0</v>
      </c>
      <c r="B2330" s="3" t="s">
        <v>2297</v>
      </c>
      <c r="C2330" s="3" t="str">
        <f>IFERROR(__xludf.DUMMYFUNCTION("GOOGLETRANSLATE(B2330,""id"",""en"")"),"['Please', 'Love', 'Package', 'Internet', 'Come', 'Quota', 'Multimedia', 'Sosmet', 'Watch', 'Useful', 'Use', 'Suggestion', ' quota ',' multimedia ',' etc. ',' most ',' suggestion ',' hope ',' respond ',' Telkomsel ']")</f>
        <v>['Please', 'Love', 'Package', 'Internet', 'Come', 'Quota', 'Multimedia', 'Sosmet', 'Watch', 'Useful', 'Use', 'Suggestion', ' quota ',' multimedia ',' etc. ',' most ',' suggestion ',' hope ',' respond ',' Telkomsel ']</v>
      </c>
      <c r="D2330" s="3">
        <v>4.0</v>
      </c>
    </row>
    <row r="2331" ht="15.75" customHeight="1">
      <c r="A2331" s="1">
        <v>2466.0</v>
      </c>
      <c r="B2331" s="3" t="s">
        <v>2298</v>
      </c>
      <c r="C2331" s="3" t="str">
        <f>IFERROR(__xludf.DUMMYFUNCTION("GOOGLETRANSLATE(B2331,""id"",""en"")"),"['KALAIN', 'Player', 'Game', 'Card', 'Uda', 'Use', 'Card', 'Telkomsel', 'Lag', 'Signal', 'Setabill', 'Open', ' Tiktok ',' Doang ',' Current ',' ']")</f>
        <v>['KALAIN', 'Player', 'Game', 'Card', 'Uda', 'Use', 'Card', 'Telkomsel', 'Lag', 'Signal', 'Setabill', 'Open', ' Tiktok ',' Doang ',' Current ',' ']</v>
      </c>
      <c r="D2331" s="3">
        <v>1.0</v>
      </c>
    </row>
    <row r="2332" ht="15.75" customHeight="1">
      <c r="A2332" s="1">
        <v>2467.0</v>
      </c>
      <c r="B2332" s="3" t="s">
        <v>2299</v>
      </c>
      <c r="C2332" s="3" t="str">
        <f>IFERROR(__xludf.DUMMYFUNCTION("GOOGLETRANSLATE(B2332,""id"",""en"")"),"['intention', 'prodvider', 'ndak', 'networknta', 'super', 'bad', 'play', 'game', 'sja', 'lag', 'forgiveness',' bankrupt ',' ugliness', 'network', 'fact', 'network', 'ugly', ""]")</f>
        <v>['intention', 'prodvider', 'ndak', 'networknta', 'super', 'bad', 'play', 'game', 'sja', 'lag', 'forgiveness',' bankrupt ',' ugliness', 'network', 'fact', 'network', 'ugly', "]</v>
      </c>
      <c r="D2332" s="3">
        <v>1.0</v>
      </c>
    </row>
    <row r="2333" ht="15.75" customHeight="1">
      <c r="A2333" s="1">
        <v>2468.0</v>
      </c>
      <c r="B2333" s="3" t="s">
        <v>2300</v>
      </c>
      <c r="C2333" s="3" t="str">
        <f>IFERROR(__xludf.DUMMYFUNCTION("GOOGLETRANSLATE(B2333,""id"",""en"")"),"['Login', 'Easy', 'Display', 'Interesting']")</f>
        <v>['Login', 'Easy', 'Display', 'Interesting']</v>
      </c>
      <c r="D2333" s="3">
        <v>5.0</v>
      </c>
    </row>
    <row r="2334" ht="15.75" customHeight="1">
      <c r="A2334" s="1">
        <v>2469.0</v>
      </c>
      <c r="B2334" s="3" t="s">
        <v>2301</v>
      </c>
      <c r="C2334" s="3" t="str">
        <f>IFERROR(__xludf.DUMMYFUNCTION("GOOGLETRANSLATE(B2334,""id"",""en"")"),"['application', 'Telkomsel', 'bad', 'claim', 'gift', 'checkin', 'fail', 'reason', 'sorry', 'reach', 'boundary', 'exchange', ' Point ',' reason ',' ']")</f>
        <v>['application', 'Telkomsel', 'bad', 'claim', 'gift', 'checkin', 'fail', 'reason', 'sorry', 'reach', 'boundary', 'exchange', ' Point ',' reason ',' ']</v>
      </c>
      <c r="D2334" s="3">
        <v>1.0</v>
      </c>
    </row>
    <row r="2335" ht="15.75" customHeight="1">
      <c r="A2335" s="1">
        <v>2470.0</v>
      </c>
      <c r="B2335" s="3" t="s">
        <v>2302</v>
      </c>
      <c r="C2335" s="3" t="str">
        <f>IFERROR(__xludf.DUMMYFUNCTION("GOOGLETRANSLATE(B2335,""id"",""en"")"),"['poor', 'quota', 'expensive', 'netting', 'disorder', 'mulu', '']")</f>
        <v>['poor', 'quota', 'expensive', 'netting', 'disorder', 'mulu', '']</v>
      </c>
      <c r="D2335" s="3">
        <v>1.0</v>
      </c>
    </row>
    <row r="2336" ht="15.75" customHeight="1">
      <c r="A2336" s="1">
        <v>2471.0</v>
      </c>
      <c r="B2336" s="3" t="s">
        <v>2303</v>
      </c>
      <c r="C2336" s="3" t="str">
        <f>IFERROR(__xludf.DUMMYFUNCTION("GOOGLETRANSLATE(B2336,""id"",""en"")"),"['Application', 'Bagitsssssss']")</f>
        <v>['Application', 'Bagitsssssss']</v>
      </c>
      <c r="D2336" s="3">
        <v>5.0</v>
      </c>
    </row>
    <row r="2337" ht="15.75" customHeight="1">
      <c r="A2337" s="1">
        <v>2472.0</v>
      </c>
      <c r="B2337" s="3" t="s">
        <v>2304</v>
      </c>
      <c r="C2337" s="3" t="str">
        <f>IFERROR(__xludf.DUMMYFUNCTION("GOOGLETRANSLATE(B2337,""id"",""en"")"),"['application', 'heavy', 'promotion', 'ugly', 'intention', '']")</f>
        <v>['application', 'heavy', 'promotion', 'ugly', 'intention', '']</v>
      </c>
      <c r="D2337" s="3">
        <v>1.0</v>
      </c>
    </row>
    <row r="2338" ht="15.75" customHeight="1">
      <c r="A2338" s="1">
        <v>2474.0</v>
      </c>
      <c r="B2338" s="3" t="s">
        <v>2305</v>
      </c>
      <c r="C2338" s="3" t="str">
        <f>IFERROR(__xludf.DUMMYFUNCTION("GOOGLETRANSLATE(B2338,""id"",""en"")"),"['ilanlankan', 'service', 'Telkomsel', 'via', 'sms', 'annoying', 'network', 'play', '']")</f>
        <v>['ilanlankan', 'service', 'Telkomsel', 'via', 'sms', 'annoying', 'network', 'play', '']</v>
      </c>
      <c r="D2338" s="3">
        <v>1.0</v>
      </c>
    </row>
    <row r="2339" ht="15.75" customHeight="1">
      <c r="A2339" s="1">
        <v>2475.0</v>
      </c>
      <c r="B2339" s="3" t="s">
        <v>2306</v>
      </c>
      <c r="C2339" s="3" t="str">
        <f>IFERROR(__xludf.DUMMYFUNCTION("GOOGLETRANSLATE(B2339,""id"",""en"")"),"['times',' buy ',' pulse ',' directly ',' run out ',' buy ',' pulse ',' thousand ',' leftover ',' thousand ',' activated ',' package ',' thousand ',' SANANIY ']")</f>
        <v>['times',' buy ',' pulse ',' directly ',' run out ',' buy ',' pulse ',' thousand ',' leftover ',' thousand ',' activated ',' package ',' thousand ',' SANANIY ']</v>
      </c>
      <c r="D2339" s="3">
        <v>5.0</v>
      </c>
    </row>
    <row r="2340" ht="15.75" customHeight="1">
      <c r="A2340" s="1">
        <v>2476.0</v>
      </c>
      <c r="B2340" s="3" t="s">
        <v>2307</v>
      </c>
      <c r="C2340" s="3" t="str">
        <f>IFERROR(__xludf.DUMMYFUNCTION("GOOGLETRANSLATE(B2340,""id"",""en"")"),"['irritating']")</f>
        <v>['irritating']</v>
      </c>
      <c r="D2340" s="3">
        <v>1.0</v>
      </c>
    </row>
    <row r="2341" ht="15.75" customHeight="1">
      <c r="A2341" s="1">
        <v>2477.0</v>
      </c>
      <c r="B2341" s="3" t="s">
        <v>2308</v>
      </c>
      <c r="C2341" s="3" t="str">
        <f>IFERROR(__xludf.DUMMYFUNCTION("GOOGLETRANSLATE(B2341,""id"",""en"")"),"['update', 'version', 'application', 'blank', '']")</f>
        <v>['update', 'version', 'application', 'blank', '']</v>
      </c>
      <c r="D2341" s="3">
        <v>1.0</v>
      </c>
    </row>
    <row r="2342" ht="15.75" customHeight="1">
      <c r="A2342" s="1">
        <v>2478.0</v>
      </c>
      <c r="B2342" s="3" t="s">
        <v>2309</v>
      </c>
      <c r="C2342" s="3" t="str">
        <f>IFERROR(__xludf.DUMMYFUNCTION("GOOGLETRANSLATE(B2342,""id"",""en"")"),"['mantaaaap', 'Anyway']")</f>
        <v>['mantaaaap', 'Anyway']</v>
      </c>
      <c r="D2342" s="3">
        <v>5.0</v>
      </c>
    </row>
    <row r="2343" ht="15.75" customHeight="1">
      <c r="A2343" s="1">
        <v>2479.0</v>
      </c>
      <c r="B2343" s="3" t="s">
        <v>2310</v>
      </c>
      <c r="C2343" s="3" t="str">
        <f>IFERROR(__xludf.DUMMYFUNCTION("GOOGLETRANSLATE(B2343,""id"",""en"")"),"['Provide', 'payment', 'pulse', 'transfer', 'bank']")</f>
        <v>['Provide', 'payment', 'pulse', 'transfer', 'bank']</v>
      </c>
      <c r="D2343" s="3">
        <v>5.0</v>
      </c>
    </row>
    <row r="2344" ht="15.75" customHeight="1">
      <c r="A2344" s="1">
        <v>2480.0</v>
      </c>
      <c r="B2344" s="3" t="s">
        <v>2311</v>
      </c>
      <c r="C2344" s="3" t="str">
        <f>IFERROR(__xludf.DUMMYFUNCTION("GOOGLETRANSLATE(B2344,""id"",""en"")"),"['', 'LBH', 'cheap']")</f>
        <v>['', 'LBH', 'cheap']</v>
      </c>
      <c r="D2344" s="3">
        <v>5.0</v>
      </c>
    </row>
    <row r="2345" ht="15.75" customHeight="1">
      <c r="A2345" s="1">
        <v>2481.0</v>
      </c>
      <c r="B2345" s="3" t="s">
        <v>2312</v>
      </c>
      <c r="C2345" s="3" t="str">
        <f>IFERROR(__xludf.DUMMYFUNCTION("GOOGLETRANSLATE(B2345,""id"",""en"")"),"['ad', 'clickbait', 'GB', 'price', 'rb', 'right', 'click', 'offer', 'page', 'empty', '']")</f>
        <v>['ad', 'clickbait', 'GB', 'price', 'rb', 'right', 'click', 'offer', 'page', 'empty', '']</v>
      </c>
      <c r="D2345" s="3">
        <v>1.0</v>
      </c>
    </row>
    <row r="2346" ht="15.75" customHeight="1">
      <c r="A2346" s="1">
        <v>2482.0</v>
      </c>
      <c r="B2346" s="3" t="s">
        <v>2313</v>
      </c>
      <c r="C2346" s="3" t="str">
        <f>IFERROR(__xludf.DUMMYFUNCTION("GOOGLETRANSLATE(B2346,""id"",""en"")"),"['Sip', 'The network', 'Bener', 'Ancur', 'Ngilk', 'Telkom', 'here', 'Threat', 'Already', 'Galakak', 'Emng', 'Lost', ' Ama ',' Provider ',' Telkomsel ',' signal ',' ghoib ']")</f>
        <v>['Sip', 'The network', 'Bener', 'Ancur', 'Ngilk', 'Telkom', 'here', 'Threat', 'Already', 'Galakak', 'Emng', 'Lost', ' Ama ',' Provider ',' Telkomsel ',' signal ',' ghoib ']</v>
      </c>
      <c r="D2346" s="3">
        <v>1.0</v>
      </c>
    </row>
    <row r="2347" ht="15.75" customHeight="1">
      <c r="A2347" s="1">
        <v>2483.0</v>
      </c>
      <c r="B2347" s="3" t="s">
        <v>2314</v>
      </c>
      <c r="C2347" s="3" t="str">
        <f>IFERROR(__xludf.DUMMYFUNCTION("GOOGLETRANSLATE(B2347,""id"",""en"")"),"['fill', 'quota', 'really', 'contents', 'Telkomsel', 'BURIK']")</f>
        <v>['fill', 'quota', 'really', 'contents', 'Telkomsel', 'BURIK']</v>
      </c>
      <c r="D2347" s="3">
        <v>1.0</v>
      </c>
    </row>
    <row r="2348" ht="15.75" customHeight="1">
      <c r="A2348" s="1">
        <v>2484.0</v>
      </c>
      <c r="B2348" s="3" t="s">
        <v>2315</v>
      </c>
      <c r="C2348" s="3" t="str">
        <f>IFERROR(__xludf.DUMMYFUNCTION("GOOGLETRANSLATE(B2348,""id"",""en"")"),"['Telkomsel', 'destroyed', 'network', 'internet', 'good', 'signal', 'telephone', 'good', 'padhal', 'living', 'area', 'urban', ' The city ',' Bengkulu ',' please ',' repaired ',' network ',' good ',' segrahlah ',' repaired ',' convenience ',' users', '']")</f>
        <v>['Telkomsel', 'destroyed', 'network', 'internet', 'good', 'signal', 'telephone', 'good', 'padhal', 'living', 'area', 'urban', ' The city ',' Bengkulu ',' please ',' repaired ',' network ',' good ',' segrahlah ',' repaired ',' convenience ',' users', '']</v>
      </c>
      <c r="D2348" s="3">
        <v>1.0</v>
      </c>
    </row>
    <row r="2349" ht="15.75" customHeight="1">
      <c r="A2349" s="1">
        <v>2485.0</v>
      </c>
      <c r="B2349" s="3" t="s">
        <v>2316</v>
      </c>
      <c r="C2349" s="3" t="str">
        <f>IFERROR(__xludf.DUMMYFUNCTION("GOOGLETRANSLATE(B2349,""id"",""en"")"),"['Telkomsel', 'here', 'signal', 'bad', '']")</f>
        <v>['Telkomsel', 'here', 'signal', 'bad', '']</v>
      </c>
      <c r="D2349" s="3">
        <v>1.0</v>
      </c>
    </row>
    <row r="2350" ht="15.75" customHeight="1">
      <c r="A2350" s="1">
        <v>2486.0</v>
      </c>
      <c r="B2350" s="3" t="s">
        <v>2317</v>
      </c>
      <c r="C2350" s="3" t="str">
        <f>IFERROR(__xludf.DUMMYFUNCTION("GOOGLETRANSLATE(B2350,""id"",""en"")"),"['Good', 'comfortable']")</f>
        <v>['Good', 'comfortable']</v>
      </c>
      <c r="D2350" s="3">
        <v>5.0</v>
      </c>
    </row>
    <row r="2351" ht="15.75" customHeight="1">
      <c r="A2351" s="1">
        <v>2487.0</v>
      </c>
      <c r="B2351" s="3" t="s">
        <v>2318</v>
      </c>
      <c r="C2351" s="3" t="str">
        <f>IFERROR(__xludf.DUMMYFUNCTION("GOOGLETRANSLATE(B2351,""id"",""en"")"),"['Telkomsel', 'convenience', 'in every', 'grasp']")</f>
        <v>['Telkomsel', 'convenience', 'in every', 'grasp']</v>
      </c>
      <c r="D2351" s="3">
        <v>5.0</v>
      </c>
    </row>
    <row r="2352" ht="15.75" customHeight="1">
      <c r="A2352" s="1">
        <v>2488.0</v>
      </c>
      <c r="B2352" s="3" t="s">
        <v>2319</v>
      </c>
      <c r="C2352" s="3" t="str">
        <f>IFERROR(__xludf.DUMMYFUNCTION("GOOGLETRANSLATE(B2352,""id"",""en"")"),"['buy', 'package', 'promo', 'failed', 'mulu', 'name', 'promo', 'ttep', 'promo', 'right', 'promo', 'appears',' Buy ',' Bad ']")</f>
        <v>['buy', 'package', 'promo', 'failed', 'mulu', 'name', 'promo', 'ttep', 'promo', 'right', 'promo', 'appears',' Buy ',' Bad ']</v>
      </c>
      <c r="D2352" s="3">
        <v>1.0</v>
      </c>
    </row>
    <row r="2353" ht="15.75" customHeight="1">
      <c r="A2353" s="1">
        <v>2489.0</v>
      </c>
      <c r="B2353" s="3" t="s">
        <v>2320</v>
      </c>
      <c r="C2353" s="3" t="str">
        <f>IFERROR(__xludf.DUMMYFUNCTION("GOOGLETRANSLATE(B2353,""id"",""en"")"),"['easy', 'fast', '']")</f>
        <v>['easy', 'fast', '']</v>
      </c>
      <c r="D2353" s="3">
        <v>5.0</v>
      </c>
    </row>
    <row r="2354" ht="15.75" customHeight="1">
      <c r="A2354" s="1">
        <v>2490.0</v>
      </c>
      <c r="B2354" s="3" t="s">
        <v>2321</v>
      </c>
      <c r="C2354" s="3" t="str">
        <f>IFERROR(__xludf.DUMMYFUNCTION("GOOGLETRANSLATE(B2354,""id"",""en"")"),"['thank you', 'pulses']")</f>
        <v>['thank you', 'pulses']</v>
      </c>
      <c r="D2354" s="3">
        <v>5.0</v>
      </c>
    </row>
    <row r="2355" ht="15.75" customHeight="1">
      <c r="A2355" s="1">
        <v>2491.0</v>
      </c>
      <c r="B2355" s="3" t="s">
        <v>2322</v>
      </c>
      <c r="C2355" s="3" t="str">
        <f>IFERROR(__xludf.DUMMYFUNCTION("GOOGLETRANSLATE(B2355,""id"",""en"")"),"['Simple', 'informative']")</f>
        <v>['Simple', 'informative']</v>
      </c>
      <c r="D2355" s="3">
        <v>5.0</v>
      </c>
    </row>
    <row r="2356" ht="15.75" customHeight="1">
      <c r="A2356" s="1">
        <v>2492.0</v>
      </c>
      <c r="B2356" s="3" t="s">
        <v>2323</v>
      </c>
      <c r="C2356" s="3" t="str">
        <f>IFERROR(__xludf.DUMMYFUNCTION("GOOGLETRANSLATE(B2356,""id"",""en"")"),"['It's easy', 'transaction', 'thank', 'love']")</f>
        <v>['It's easy', 'transaction', 'thank', 'love']</v>
      </c>
      <c r="D2356" s="3">
        <v>5.0</v>
      </c>
    </row>
    <row r="2357" ht="15.75" customHeight="1">
      <c r="A2357" s="1">
        <v>2493.0</v>
      </c>
      <c r="B2357" s="3" t="s">
        <v>2324</v>
      </c>
      <c r="C2357" s="3" t="str">
        <f>IFERROR(__xludf.DUMMYFUNCTION("GOOGLETRANSLATE(B2357,""id"",""en"")"),"['Application', 'Telkomsel', 'Good', 'Jarigan', 'Stable', 'Complaints',' People ',' People ',' Thank ',' Love ',' Telkomsel ',' Hopefully ',' develop']")</f>
        <v>['Application', 'Telkomsel', 'Good', 'Jarigan', 'Stable', 'Complaints',' People ',' People ',' Thank ',' Love ',' Telkomsel ',' Hopefully ',' develop']</v>
      </c>
      <c r="D2357" s="3">
        <v>5.0</v>
      </c>
    </row>
    <row r="2358" ht="15.75" customHeight="1">
      <c r="A2358" s="1">
        <v>2494.0</v>
      </c>
      <c r="B2358" s="3" t="s">
        <v>2325</v>
      </c>
      <c r="C2358" s="3" t="str">
        <f>IFERROR(__xludf.DUMMYFUNCTION("GOOGLETRANSLATE(B2358,""id"",""en"")"),"['The network', 'ugly']")</f>
        <v>['The network', 'ugly']</v>
      </c>
      <c r="D2358" s="3">
        <v>5.0</v>
      </c>
    </row>
    <row r="2359" ht="15.75" customHeight="1">
      <c r="A2359" s="1">
        <v>2495.0</v>
      </c>
      <c r="B2359" s="3" t="s">
        <v>2326</v>
      </c>
      <c r="C2359" s="3" t="str">
        <f>IFERROR(__xludf.DUMMYFUNCTION("GOOGLETRANSLATE(B2359,""id"",""en"")"),"['Alhamdulillah', 'Bermana', 'Bangetttt', '']")</f>
        <v>['Alhamdulillah', 'Bermana', 'Bangetttt', '']</v>
      </c>
      <c r="D2359" s="3">
        <v>5.0</v>
      </c>
    </row>
    <row r="2360" ht="15.75" customHeight="1">
      <c r="A2360" s="1">
        <v>2496.0</v>
      </c>
      <c r="B2360" s="3" t="s">
        <v>2327</v>
      </c>
      <c r="C2360" s="3" t="str">
        <f>IFERROR(__xludf.DUMMYFUNCTION("GOOGLETRANSLATE(B2360,""id"",""en"")"),"['Baguuuus', '']")</f>
        <v>['Baguuuus', '']</v>
      </c>
      <c r="D2360" s="3">
        <v>4.0</v>
      </c>
    </row>
    <row r="2361" ht="15.75" customHeight="1">
      <c r="A2361" s="1">
        <v>2497.0</v>
      </c>
      <c r="B2361" s="3" t="s">
        <v>2328</v>
      </c>
      <c r="C2361" s="3" t="str">
        <f>IFERROR(__xludf.DUMMYFUNCTION("GOOGLETRANSLATE(B2361,""id"",""en"")"),"['Network', 'repaired']")</f>
        <v>['Network', 'repaired']</v>
      </c>
      <c r="D2361" s="3">
        <v>5.0</v>
      </c>
    </row>
    <row r="2362" ht="15.75" customHeight="1">
      <c r="A2362" s="1">
        <v>2498.0</v>
      </c>
      <c r="B2362" s="3" t="s">
        <v>2329</v>
      </c>
      <c r="C2362" s="3" t="str">
        <f>IFERROR(__xludf.DUMMYFUNCTION("GOOGLETRANSLATE(B2362,""id"",""en"")"),"['why', 'Gabisa', 'opened', 'loading', 'old', 'then', 'no', 'Kek', 'gini']")</f>
        <v>['why', 'Gabisa', 'opened', 'loading', 'old', 'then', 'no', 'Kek', 'gini']</v>
      </c>
      <c r="D2362" s="3">
        <v>2.0</v>
      </c>
    </row>
    <row r="2363" ht="15.75" customHeight="1">
      <c r="A2363" s="1">
        <v>2499.0</v>
      </c>
      <c r="B2363" s="3" t="s">
        <v>2330</v>
      </c>
      <c r="C2363" s="3" t="str">
        <f>IFERROR(__xludf.DUMMYFUNCTION("GOOGLETRANSLATE(B2363,""id"",""en"")"),"['apk', 'maybe', 'like', 'choose', 'person', 'nmor', 'bnyak', 'cheap', 'package', 'turn', 'me', 'knp', ' Slalu ',' expensive ',' package ',' ']")</f>
        <v>['apk', 'maybe', 'like', 'choose', 'person', 'nmor', 'bnyak', 'cheap', 'package', 'turn', 'me', 'knp', ' Slalu ',' expensive ',' package ',' ']</v>
      </c>
      <c r="D2363" s="3">
        <v>4.0</v>
      </c>
    </row>
    <row r="2364" ht="15.75" customHeight="1">
      <c r="A2364" s="1">
        <v>2500.0</v>
      </c>
      <c r="B2364" s="3" t="s">
        <v>2331</v>
      </c>
      <c r="C2364" s="3" t="str">
        <f>IFERROR(__xludf.DUMMYFUNCTION("GOOGLETRANSLATE(B2364,""id"",""en"")"),"['Telkomsel', 'contents', 'credit', 'not', 'enter', 'contents', 'quota', 'noa', 'entry', 'active', 'for a moment', ""]")</f>
        <v>['Telkomsel', 'contents', 'credit', 'not', 'enter', 'contents', 'quota', 'noa', 'entry', 'active', 'for a moment', "]</v>
      </c>
      <c r="D2364" s="3">
        <v>1.0</v>
      </c>
    </row>
    <row r="2365" ht="15.75" customHeight="1">
      <c r="A2365" s="1">
        <v>2501.0</v>
      </c>
      <c r="B2365" s="3" t="s">
        <v>2332</v>
      </c>
      <c r="C2365" s="3" t="str">
        <f>IFERROR(__xludf.DUMMYFUNCTION("GOOGLETRANSLATE(B2365,""id"",""en"")"),"['Application', 'tidk', 'blind', 'kouta', 'pdhl', 'signal', 'pulse', 'sudh', 'SNGT', 'disappointed']")</f>
        <v>['Application', 'tidk', 'blind', 'kouta', 'pdhl', 'signal', 'pulse', 'sudh', 'SNGT', 'disappointed']</v>
      </c>
      <c r="D2365" s="3">
        <v>1.0</v>
      </c>
    </row>
    <row r="2366" ht="15.75" customHeight="1">
      <c r="A2366" s="1">
        <v>2502.0</v>
      </c>
      <c r="B2366" s="3" t="s">
        <v>2333</v>
      </c>
      <c r="C2366" s="3" t="str">
        <f>IFERROR(__xludf.DUMMYFUNCTION("GOOGLETRANSLATE(B2366,""id"",""en"")"),"['Telkomsel', 'signal', 'ugly']")</f>
        <v>['Telkomsel', 'signal', 'ugly']</v>
      </c>
      <c r="D2366" s="3">
        <v>1.0</v>
      </c>
    </row>
    <row r="2367" ht="15.75" customHeight="1">
      <c r="A2367" s="1">
        <v>2503.0</v>
      </c>
      <c r="B2367" s="3" t="s">
        <v>2334</v>
      </c>
      <c r="C2367" s="3" t="str">
        <f>IFERROR(__xludf.DUMMYFUNCTION("GOOGLETRANSLATE(B2367,""id"",""en"")"),"['Disappointed', 'Severe', 'Telkom', 'Signal', 'ilang']")</f>
        <v>['Disappointed', 'Severe', 'Telkom', 'Signal', 'ilang']</v>
      </c>
      <c r="D2367" s="3">
        <v>1.0</v>
      </c>
    </row>
    <row r="2368" ht="15.75" customHeight="1">
      <c r="A2368" s="1">
        <v>2504.0</v>
      </c>
      <c r="B2368" s="3" t="s">
        <v>2335</v>
      </c>
      <c r="C2368" s="3" t="str">
        <f>IFERROR(__xludf.DUMMYFUNCTION("GOOGLETRANSLATE(B2368,""id"",""en"")"),"['', 'Telkomsel', 'mantappp']")</f>
        <v>['', 'Telkomsel', 'mantappp']</v>
      </c>
      <c r="D2368" s="3">
        <v>5.0</v>
      </c>
    </row>
    <row r="2369" ht="15.75" customHeight="1">
      <c r="A2369" s="1">
        <v>2505.0</v>
      </c>
      <c r="B2369" s="3" t="s">
        <v>2336</v>
      </c>
      <c r="C2369" s="3" t="str">
        <f>IFERROR(__xludf.DUMMYFUNCTION("GOOGLETRANSLATE(B2369,""id"",""en"")"),"['automatic', 'ter', 'update', 'stlh', 'contents', 'pulse', 'buy', 'package', 'internet', 'tired', 'deh', ""]")</f>
        <v>['automatic', 'ter', 'update', 'stlh', 'contents', 'pulse', 'buy', 'package', 'internet', 'tired', 'deh', "]</v>
      </c>
      <c r="D2369" s="3">
        <v>2.0</v>
      </c>
    </row>
    <row r="2370" ht="15.75" customHeight="1">
      <c r="A2370" s="1">
        <v>2506.0</v>
      </c>
      <c r="B2370" s="3" t="s">
        <v>2337</v>
      </c>
      <c r="C2370" s="3" t="str">
        <f>IFERROR(__xludf.DUMMYFUNCTION("GOOGLETRANSLATE(B2370,""id"",""en"")"),"['Login', 'Times']")</f>
        <v>['Login', 'Times']</v>
      </c>
      <c r="D2370" s="3">
        <v>2.0</v>
      </c>
    </row>
    <row r="2371" ht="15.75" customHeight="1">
      <c r="A2371" s="1">
        <v>2507.0</v>
      </c>
      <c r="B2371" s="3" t="s">
        <v>2338</v>
      </c>
      <c r="C2371" s="3" t="str">
        <f>IFERROR(__xludf.DUMMYFUNCTION("GOOGLETRANSLATE(B2371,""id"",""en"")"),"['night', 'until', 'data', 'internet', 'broke', 'TLPN', 'broke', 'location', 'marunda', 'jakarta', 'north', 'network' Uda ',' Normal ',' Love ',' Bintang ',' ']")</f>
        <v>['night', 'until', 'data', 'internet', 'broke', 'TLPN', 'broke', 'location', 'marunda', 'jakarta', 'north', 'network' Uda ',' Normal ',' Love ',' Bintang ',' ']</v>
      </c>
      <c r="D2371" s="3">
        <v>1.0</v>
      </c>
    </row>
    <row r="2372" ht="15.75" customHeight="1">
      <c r="A2372" s="1">
        <v>2508.0</v>
      </c>
      <c r="B2372" s="3" t="s">
        <v>2339</v>
      </c>
      <c r="C2372" s="3" t="str">
        <f>IFERROR(__xludf.DUMMYFUNCTION("GOOGLETRANSLATE(B2372,""id"",""en"")"),"['disayangkn', 'internet', 'missing', 'play', 'game', 'online', 'mlbb', 'open', 'web', 'google', 'broke', 'lost', ' signal ',' missing ',' play ',' game ',' online ',' bsa ',' satisfied ',' jdi ',' bkn ',' sleep ',' disappointing ',' ']")</f>
        <v>['disayangkn', 'internet', 'missing', 'play', 'game', 'online', 'mlbb', 'open', 'web', 'google', 'broke', 'lost', ' signal ',' missing ',' play ',' game ',' online ',' bsa ',' satisfied ',' jdi ',' bkn ',' sleep ',' disappointing ',' ']</v>
      </c>
      <c r="D2372" s="3">
        <v>1.0</v>
      </c>
    </row>
    <row r="2373" ht="15.75" customHeight="1">
      <c r="A2373" s="1">
        <v>2509.0</v>
      </c>
      <c r="B2373" s="3" t="s">
        <v>2340</v>
      </c>
      <c r="C2373" s="3" t="str">
        <f>IFERROR(__xludf.DUMMYFUNCTION("GOOGLETRANSLATE(B2373,""id"",""en"")"),"['Network', 'okay']")</f>
        <v>['Network', 'okay']</v>
      </c>
      <c r="D2373" s="3">
        <v>5.0</v>
      </c>
    </row>
    <row r="2374" ht="15.75" customHeight="1">
      <c r="A2374" s="1">
        <v>2511.0</v>
      </c>
      <c r="B2374" s="3" t="s">
        <v>2341</v>
      </c>
      <c r="C2374" s="3" t="str">
        <f>IFERROR(__xludf.DUMMYFUNCTION("GOOGLETRANSLATE(B2374,""id"",""en"")"),"['how']")</f>
        <v>['how']</v>
      </c>
      <c r="D2374" s="3">
        <v>5.0</v>
      </c>
    </row>
    <row r="2375" ht="15.75" customHeight="1">
      <c r="A2375" s="1">
        <v>2512.0</v>
      </c>
      <c r="B2375" s="3" t="s">
        <v>2342</v>
      </c>
      <c r="C2375" s="3" t="str">
        <f>IFERROR(__xludf.DUMMYFUNCTION("GOOGLETRANSLATE(B2375,""id"",""en"")"),"['Thank you', 'MyTelkomsel', 'In the future', 'Eliminated','A ',' Package ',' Monthly ',' RB ',' GB ',' Thank you ']")</f>
        <v>['Thank you', 'MyTelkomsel', 'In the future', 'Eliminated','A ',' Package ',' Monthly ',' RB ',' GB ',' Thank you ']</v>
      </c>
      <c r="D2375" s="3">
        <v>5.0</v>
      </c>
    </row>
    <row r="2376" ht="15.75" customHeight="1">
      <c r="A2376" s="1">
        <v>2513.0</v>
      </c>
      <c r="B2376" s="3" t="s">
        <v>2343</v>
      </c>
      <c r="C2376" s="3" t="str">
        <f>IFERROR(__xludf.DUMMYFUNCTION("GOOGLETRANSLATE(B2376,""id"",""en"")"),"['Please', 'signal', 'repaired', 'Maen', 'game', 'surfing', 'MPS', 'signal', 'superior', '']")</f>
        <v>['Please', 'signal', 'repaired', 'Maen', 'game', 'surfing', 'MPS', 'signal', 'superior', '']</v>
      </c>
      <c r="D2376" s="3">
        <v>1.0</v>
      </c>
    </row>
    <row r="2377" ht="15.75" customHeight="1">
      <c r="A2377" s="1">
        <v>2514.0</v>
      </c>
      <c r="B2377" s="3" t="s">
        <v>2344</v>
      </c>
      <c r="C2377" s="3" t="str">
        <f>IFERROR(__xludf.DUMMYFUNCTION("GOOGLETRANSLATE(B2377,""id"",""en"")"),"['Love', 'Star', 'Read', 'BLM', 'Feel', 'Benefits',' Application ',' UDH ',' Bonus', 'Package', 'Expensive', 'Ktanya', ' Event ',' Abis', 'Coins',' News', 'Try', 'Coins',' Undi ',' Undihappy ',' Lying ',' Hoaxs', 'Proof', ""]")</f>
        <v>['Love', 'Star', 'Read', 'BLM', 'Feel', 'Benefits',' Application ',' UDH ',' Bonus', 'Package', 'Expensive', 'Ktanya', ' Event ',' Abis', 'Coins',' News', 'Try', 'Coins',' Undi ',' Undihappy ',' Lying ',' Hoaxs', 'Proof', "]</v>
      </c>
      <c r="D2377" s="3">
        <v>5.0</v>
      </c>
    </row>
    <row r="2378" ht="15.75" customHeight="1">
      <c r="A2378" s="1">
        <v>2515.0</v>
      </c>
      <c r="B2378" s="3" t="s">
        <v>2345</v>
      </c>
      <c r="C2378" s="3" t="str">
        <f>IFERROR(__xludf.DUMMYFUNCTION("GOOGLETRANSLATE(B2378,""id"",""en"")"),"['Unlimited', 'Waw', 'Bangett', 'Price', 'Murmer']")</f>
        <v>['Unlimited', 'Waw', 'Bangett', 'Price', 'Murmer']</v>
      </c>
      <c r="D2378" s="3">
        <v>5.0</v>
      </c>
    </row>
    <row r="2379" ht="15.75" customHeight="1">
      <c r="A2379" s="1">
        <v>2516.0</v>
      </c>
      <c r="B2379" s="3" t="s">
        <v>2346</v>
      </c>
      <c r="C2379" s="3" t="str">
        <f>IFERROR(__xludf.DUMMYFUNCTION("GOOGLETRANSLATE(B2379,""id"",""en"")"),"['Telkomsel', 'Changed', 'BEKASI', 'North', 'Sinyal', 'Bad', 'Sometimes',' Lost ',' Signal ',' Please ',' Change ',' Card ',' ']")</f>
        <v>['Telkomsel', 'Changed', 'BEKASI', 'North', 'Sinyal', 'Bad', 'Sometimes',' Lost ',' Signal ',' Please ',' Change ',' Card ',' ']</v>
      </c>
      <c r="D2379" s="3">
        <v>2.0</v>
      </c>
    </row>
    <row r="2380" ht="15.75" customHeight="1">
      <c r="A2380" s="1">
        <v>2517.0</v>
      </c>
      <c r="B2380" s="3" t="s">
        <v>2347</v>
      </c>
      <c r="C2380" s="3" t="str">
        <f>IFERROR(__xludf.DUMMYFUNCTION("GOOGLETRANSLATE(B2380,""id"",""en"")"),"['Application', 'complicated', '']")</f>
        <v>['Application', 'complicated', '']</v>
      </c>
      <c r="D2380" s="3">
        <v>5.0</v>
      </c>
    </row>
    <row r="2381" ht="15.75" customHeight="1">
      <c r="A2381" s="1">
        <v>2518.0</v>
      </c>
      <c r="B2381" s="3" t="s">
        <v>2348</v>
      </c>
      <c r="C2381" s="3" t="str">
        <f>IFERROR(__xludf.DUMMYFUNCTION("GOOGLETRANSLATE(B2381,""id"",""en"")"),"['signal', 'level', 'down']")</f>
        <v>['signal', 'level', 'down']</v>
      </c>
      <c r="D2381" s="3">
        <v>3.0</v>
      </c>
    </row>
    <row r="2382" ht="15.75" customHeight="1">
      <c r="A2382" s="1">
        <v>2519.0</v>
      </c>
      <c r="B2382" s="3" t="s">
        <v>2349</v>
      </c>
      <c r="C2382" s="3" t="str">
        <f>IFERROR(__xludf.DUMMYFUNCTION("GOOGLETRANSLATE(B2382,""id"",""en"")"),"['Bagus', 'help']")</f>
        <v>['Bagus', 'help']</v>
      </c>
      <c r="D2382" s="3">
        <v>4.0</v>
      </c>
    </row>
    <row r="2383" ht="15.75" customHeight="1">
      <c r="A2383" s="1">
        <v>2520.0</v>
      </c>
      <c r="B2383" s="3" t="s">
        <v>2350</v>
      </c>
      <c r="C2383" s="3" t="str">
        <f>IFERROR(__xludf.DUMMYFUNCTION("GOOGLETRANSLATE(B2383,""id"",""en"")"),"['Internet', 'super', 'slow', 'quota']")</f>
        <v>['Internet', 'super', 'slow', 'quota']</v>
      </c>
      <c r="D2383" s="3">
        <v>1.0</v>
      </c>
    </row>
    <row r="2384" ht="15.75" customHeight="1">
      <c r="A2384" s="1">
        <v>2521.0</v>
      </c>
      <c r="B2384" s="3" t="s">
        <v>2351</v>
      </c>
      <c r="C2384" s="3" t="str">
        <f>IFERROR(__xludf.DUMMYFUNCTION("GOOGLETRANSLATE(B2384,""id"",""en"")"),"['Tsel', 'missing', 'installation', 'Install', 'reset', 'maintenance', 'what', '']")</f>
        <v>['Tsel', 'missing', 'installation', 'Install', 'reset', 'maintenance', 'what', '']</v>
      </c>
      <c r="D2384" s="3">
        <v>5.0</v>
      </c>
    </row>
    <row r="2385" ht="15.75" customHeight="1">
      <c r="A2385" s="1">
        <v>2522.0</v>
      </c>
      <c r="B2385" s="3" t="s">
        <v>2352</v>
      </c>
      <c r="C2385" s="3" t="str">
        <f>IFERROR(__xludf.DUMMYFUNCTION("GOOGLETRANSLATE(B2385,""id"",""en"")"),"['buy', 'package', 'price', 'then', 'buy', 'poor', 'yesel', 'use', 'Telkomsel', 'dibocomplin', 'response', 'poor' Telkomsel ',' Cuarah ']")</f>
        <v>['buy', 'package', 'price', 'then', 'buy', 'poor', 'yesel', 'use', 'Telkomsel', 'dibocomplin', 'response', 'poor' Telkomsel ',' Cuarah ']</v>
      </c>
      <c r="D2385" s="3">
        <v>1.0</v>
      </c>
    </row>
    <row r="2386" ht="15.75" customHeight="1">
      <c r="A2386" s="1">
        <v>2523.0</v>
      </c>
      <c r="B2386" s="3" t="s">
        <v>2353</v>
      </c>
      <c r="C2386" s="3" t="str">
        <f>IFERROR(__xludf.DUMMYFUNCTION("GOOGLETRANSLATE(B2386,""id"",""en"")"),"['Cool', 'steady', 'soul']")</f>
        <v>['Cool', 'steady', 'soul']</v>
      </c>
      <c r="D2386" s="3">
        <v>5.0</v>
      </c>
    </row>
    <row r="2387" ht="15.75" customHeight="1">
      <c r="A2387" s="1">
        <v>2524.0</v>
      </c>
      <c r="B2387" s="3" t="s">
        <v>2354</v>
      </c>
      <c r="C2387" s="3" t="str">
        <f>IFERROR(__xludf.DUMMYFUNCTION("GOOGLETRANSLATE(B2387,""id"",""en"")"),"['Service', 'fast']")</f>
        <v>['Service', 'fast']</v>
      </c>
      <c r="D2387" s="3">
        <v>4.0</v>
      </c>
    </row>
    <row r="2388" ht="15.75" customHeight="1">
      <c r="A2388" s="1">
        <v>2525.0</v>
      </c>
      <c r="B2388" s="3" t="s">
        <v>2355</v>
      </c>
      <c r="C2388" s="3" t="str">
        <f>IFERROR(__xludf.DUMMYFUNCTION("GOOGLETRANSLATE(B2388,""id"",""en"")"),"['Good', 'really', 'needs', 'choice']")</f>
        <v>['Good', 'really', 'needs', 'choice']</v>
      </c>
      <c r="D2388" s="3">
        <v>5.0</v>
      </c>
    </row>
    <row r="2389" ht="15.75" customHeight="1">
      <c r="A2389" s="1">
        <v>2526.0</v>
      </c>
      <c r="B2389" s="3" t="s">
        <v>2356</v>
      </c>
      <c r="C2389" s="3" t="str">
        <f>IFERROR(__xludf.DUMMYFUNCTION("GOOGLETRANSLATE(B2389,""id"",""en"")"),"['APK', 'special', '']")</f>
        <v>['APK', 'special', '']</v>
      </c>
      <c r="D2389" s="3">
        <v>1.0</v>
      </c>
    </row>
    <row r="2390" ht="15.75" customHeight="1">
      <c r="A2390" s="1">
        <v>2527.0</v>
      </c>
      <c r="B2390" s="3" t="s">
        <v>2357</v>
      </c>
      <c r="C2390" s="3" t="str">
        <f>IFERROR(__xludf.DUMMYFUNCTION("GOOGLETRANSLATE(B2390,""id"",""en"")"),"['Steady', 'hope', 'fraud', '']")</f>
        <v>['Steady', 'hope', 'fraud', '']</v>
      </c>
      <c r="D2390" s="3">
        <v>5.0</v>
      </c>
    </row>
    <row r="2391" ht="15.75" customHeight="1">
      <c r="A2391" s="1">
        <v>2528.0</v>
      </c>
      <c r="B2391" s="3" t="s">
        <v>2358</v>
      </c>
      <c r="C2391" s="3" t="str">
        <f>IFERROR(__xludf.DUMMYFUNCTION("GOOGLETRANSLATE(B2391,""id"",""en"")"),"['Application', 'Error']")</f>
        <v>['Application', 'Error']</v>
      </c>
      <c r="D2391" s="3">
        <v>1.0</v>
      </c>
    </row>
    <row r="2392" ht="15.75" customHeight="1">
      <c r="A2392" s="1">
        <v>2529.0</v>
      </c>
      <c r="B2392" s="3" t="s">
        <v>2359</v>
      </c>
      <c r="C2392" s="3" t="str">
        <f>IFERROR(__xludf.DUMMYFUNCTION("GOOGLETRANSLATE(B2392,""id"",""en"")"),"['Likes', 'Application', 'Telkomsel', 'Lottery', '']")</f>
        <v>['Likes', 'Application', 'Telkomsel', 'Lottery', '']</v>
      </c>
      <c r="D2392" s="3">
        <v>5.0</v>
      </c>
    </row>
    <row r="2393" ht="15.75" customHeight="1">
      <c r="A2393" s="1">
        <v>2530.0</v>
      </c>
      <c r="B2393" s="3" t="s">
        <v>2360</v>
      </c>
      <c r="C2393" s="3" t="str">
        <f>IFERROR(__xludf.DUMMYFUNCTION("GOOGLETRANSLATE(B2393,""id"",""en"")"),"['use', 'experience', 'experience', 'login', 'rating']")</f>
        <v>['use', 'experience', 'experience', 'login', 'rating']</v>
      </c>
      <c r="D2393" s="3">
        <v>4.0</v>
      </c>
    </row>
    <row r="2394" ht="15.75" customHeight="1">
      <c r="A2394" s="1">
        <v>2531.0</v>
      </c>
      <c r="B2394" s="3" t="s">
        <v>2361</v>
      </c>
      <c r="C2394" s="3" t="str">
        <f>IFERROR(__xludf.DUMMYFUNCTION("GOOGLETRANSLATE(B2394,""id"",""en"")"),"['Good', 'fast', 'ribed']")</f>
        <v>['Good', 'fast', 'ribed']</v>
      </c>
      <c r="D2394" s="3">
        <v>5.0</v>
      </c>
    </row>
    <row r="2395" ht="15.75" customHeight="1">
      <c r="A2395" s="1">
        <v>2532.0</v>
      </c>
      <c r="B2395" s="3" t="s">
        <v>2362</v>
      </c>
      <c r="C2395" s="3" t="str">
        <f>IFERROR(__xludf.DUMMYFUNCTION("GOOGLETRANSLATE(B2395,""id"",""en"")"),"['', 'opened', ""]")</f>
        <v>['', 'opened', "]</v>
      </c>
      <c r="D2395" s="3">
        <v>2.0</v>
      </c>
    </row>
    <row r="2396" ht="15.75" customHeight="1">
      <c r="A2396" s="1">
        <v>2533.0</v>
      </c>
      <c r="B2396" s="3" t="s">
        <v>2363</v>
      </c>
      <c r="C2396" s="3" t="str">
        <f>IFERROR(__xludf.DUMMYFUNCTION("GOOGLETRANSLATE(B2396,""id"",""en"")"),"['Help', 'price', 'package', 'internet', 'expensive']")</f>
        <v>['Help', 'price', 'package', 'internet', 'expensive']</v>
      </c>
      <c r="D2396" s="3">
        <v>3.0</v>
      </c>
    </row>
    <row r="2397" ht="15.75" customHeight="1">
      <c r="A2397" s="1">
        <v>2535.0</v>
      </c>
      <c r="B2397" s="3" t="s">
        <v>2364</v>
      </c>
      <c r="C2397" s="3" t="str">
        <f>IFERROR(__xludf.DUMMYFUNCTION("GOOGLETRANSLATE(B2397,""id"",""en"")"),"['Paketan', 'unlimited', 'youtube', 'already', 'status', 'bari', 'buy', 'loss', 'buy', 'delete', 'list', 'package']")</f>
        <v>['Paketan', 'unlimited', 'youtube', 'already', 'status', 'bari', 'buy', 'loss', 'buy', 'delete', 'list', 'package']</v>
      </c>
      <c r="D2397" s="3">
        <v>1.0</v>
      </c>
    </row>
    <row r="2398" ht="15.75" customHeight="1">
      <c r="A2398" s="1">
        <v>2536.0</v>
      </c>
      <c r="B2398" s="3" t="s">
        <v>2365</v>
      </c>
      <c r="C2398" s="3" t="str">
        <f>IFERROR(__xludf.DUMMYFUNCTION("GOOGLETRANSLATE(B2398,""id"",""en"")"),"['Telkomsel', 'Oye']")</f>
        <v>['Telkomsel', 'Oye']</v>
      </c>
      <c r="D2398" s="3">
        <v>5.0</v>
      </c>
    </row>
    <row r="2399" ht="15.75" customHeight="1">
      <c r="A2399" s="1">
        <v>2537.0</v>
      </c>
      <c r="B2399" s="3" t="s">
        <v>2366</v>
      </c>
      <c r="C2399" s="3" t="str">
        <f>IFERROR(__xludf.DUMMYFUNCTION("GOOGLETRANSLATE(B2399,""id"",""en"")"),"['Success', 'Telkomsel', 'Mnjadi', 'Best']")</f>
        <v>['Success', 'Telkomsel', 'Mnjadi', 'Best']</v>
      </c>
      <c r="D2399" s="3">
        <v>5.0</v>
      </c>
    </row>
    <row r="2400" ht="15.75" customHeight="1">
      <c r="A2400" s="1">
        <v>2538.0</v>
      </c>
      <c r="B2400" s="3" t="s">
        <v>2367</v>
      </c>
      <c r="C2400" s="3" t="str">
        <f>IFERROR(__xludf.DUMMYFUNCTION("GOOGLETRANSLATE(B2400,""id"",""en"")"),"['Maling', 'pulse', 'then', 'base', 'kagak']")</f>
        <v>['Maling', 'pulse', 'then', 'base', 'kagak']</v>
      </c>
      <c r="D2400" s="3">
        <v>1.0</v>
      </c>
    </row>
    <row r="2401" ht="15.75" customHeight="1">
      <c r="A2401" s="1">
        <v>2539.0</v>
      </c>
      <c r="B2401" s="3" t="s">
        <v>2368</v>
      </c>
      <c r="C2401" s="3" t="str">
        <f>IFERROR(__xludf.DUMMYFUNCTION("GOOGLETRANSLATE(B2401,""id"",""en"")"),"['It's easy', 'check', 'credit', 'buy', 'package']")</f>
        <v>['It's easy', 'check', 'credit', 'buy', 'package']</v>
      </c>
      <c r="D2401" s="3">
        <v>4.0</v>
      </c>
    </row>
    <row r="2402" ht="15.75" customHeight="1">
      <c r="A2402" s="1">
        <v>2540.0</v>
      </c>
      <c r="B2402" s="3" t="s">
        <v>2369</v>
      </c>
      <c r="C2402" s="3" t="str">
        <f>IFERROR(__xludf.DUMMYFUNCTION("GOOGLETRANSLATE(B2402,""id"",""en"")"),"['signal', 'stable', 'night', 'smooth', 'smooth', 'feels',' network ',' forest ',' difficult ',' update ',' activity ',' a day ',' Please ',' repaired ']")</f>
        <v>['signal', 'stable', 'night', 'smooth', 'smooth', 'feels',' network ',' forest ',' difficult ',' update ',' activity ',' a day ',' Please ',' repaired ']</v>
      </c>
      <c r="D2402" s="3">
        <v>1.0</v>
      </c>
    </row>
    <row r="2403" ht="15.75" customHeight="1">
      <c r="A2403" s="1">
        <v>2541.0</v>
      </c>
      <c r="B2403" s="3" t="s">
        <v>2370</v>
      </c>
      <c r="C2403" s="3" t="str">
        <f>IFERROR(__xludf.DUMMYFUNCTION("GOOGLETRANSLATE(B2403,""id"",""en"")"),"['makes it easier', '']")</f>
        <v>['makes it easier', '']</v>
      </c>
      <c r="D2403" s="3">
        <v>5.0</v>
      </c>
    </row>
    <row r="2404" ht="15.75" customHeight="1">
      <c r="A2404" s="1">
        <v>2542.0</v>
      </c>
      <c r="B2404" s="3" t="s">
        <v>2371</v>
      </c>
      <c r="C2404" s="3" t="str">
        <f>IFERROR(__xludf.DUMMYFUNCTION("GOOGLETRANSLATE(B2404,""id"",""en"")"),"['Network', 'Benerin', 'Woy', 'here', 'ugly', 'The network', 'surprised', 'works',' what 'is' paid', 'expensive', 'expensive', ' work ',' according to ',' salary ',' times', 'disappointed', 'really', 'card', 'prime', 'price', 'package', 'here', 'expensive"&amp;"', 'the network' , 'Good', 'package', 'expensive']")</f>
        <v>['Network', 'Benerin', 'Woy', 'here', 'ugly', 'The network', 'surprised', 'works',' what 'is' paid', 'expensive', 'expensive', ' work ',' according to ',' salary ',' times', 'disappointed', 'really', 'card', 'prime', 'price', 'package', 'here', 'expensive', 'the network' , 'Good', 'package', 'expensive']</v>
      </c>
      <c r="D2404" s="3">
        <v>1.0</v>
      </c>
    </row>
    <row r="2405" ht="15.75" customHeight="1">
      <c r="A2405" s="1">
        <v>2543.0</v>
      </c>
      <c r="B2405" s="3" t="s">
        <v>2372</v>
      </c>
      <c r="C2405" s="3" t="str">
        <f>IFERROR(__xludf.DUMMYFUNCTION("GOOGLETRANSLATE(B2405,""id"",""en"")"),"['Help', 'Maintain']")</f>
        <v>['Help', 'Maintain']</v>
      </c>
      <c r="D2405" s="3">
        <v>5.0</v>
      </c>
    </row>
    <row r="2406" ht="15.75" customHeight="1">
      <c r="A2406" s="1">
        <v>2544.0</v>
      </c>
      <c r="B2406" s="3" t="s">
        <v>2373</v>
      </c>
      <c r="C2406" s="3" t="str">
        <f>IFERROR(__xludf.DUMMYFUNCTION("GOOGLETRANSLATE(B2406,""id"",""en"")"),"['best', 'can', 'can']")</f>
        <v>['best', 'can', 'can']</v>
      </c>
      <c r="D2406" s="3">
        <v>5.0</v>
      </c>
    </row>
    <row r="2407" ht="15.75" customHeight="1">
      <c r="A2407" s="1">
        <v>2545.0</v>
      </c>
      <c r="B2407" s="3" t="s">
        <v>2374</v>
      </c>
      <c r="C2407" s="3" t="str">
        <f>IFERROR(__xludf.DUMMYFUNCTION("GOOGLETRANSLATE(B2407,""id"",""en"")"),"['Update', 'Ngebug']")</f>
        <v>['Update', 'Ngebug']</v>
      </c>
      <c r="D2407" s="3">
        <v>1.0</v>
      </c>
    </row>
    <row r="2408" ht="15.75" customHeight="1">
      <c r="A2408" s="1">
        <v>2546.0</v>
      </c>
      <c r="B2408" s="3" t="s">
        <v>2375</v>
      </c>
      <c r="C2408" s="3" t="str">
        <f>IFERROR(__xludf.DUMMYFUNCTION("GOOGLETRANSLATE(B2408,""id"",""en"")"),"['already', 'pulse', 'tuker', 'point']")</f>
        <v>['already', 'pulse', 'tuker', 'point']</v>
      </c>
      <c r="D2408" s="3">
        <v>1.0</v>
      </c>
    </row>
    <row r="2409" ht="15.75" customHeight="1">
      <c r="A2409" s="1">
        <v>2547.0</v>
      </c>
      <c r="B2409" s="3" t="s">
        <v>2376</v>
      </c>
      <c r="C2409" s="3" t="str">
        <f>IFERROR(__xludf.DUMMYFUNCTION("GOOGLETRANSLATE(B2409,""id"",""en"")"),"['How', 'Claim', 'Quota', 'Gift', 'Log', 'GB', 'Written', 'Already', 'Considered', 'FINY', 'Enter', 'Credit', ' Sumpot ',' strange ']")</f>
        <v>['How', 'Claim', 'Quota', 'Gift', 'Log', 'GB', 'Written', 'Already', 'Considered', 'FINY', 'Enter', 'Credit', ' Sumpot ',' strange ']</v>
      </c>
      <c r="D2409" s="3">
        <v>1.0</v>
      </c>
    </row>
    <row r="2410" ht="15.75" customHeight="1">
      <c r="A2410" s="1">
        <v>2548.0</v>
      </c>
      <c r="B2410" s="3" t="s">
        <v>2377</v>
      </c>
      <c r="C2410" s="3" t="str">
        <f>IFERROR(__xludf.DUMMYFUNCTION("GOOGLETRANSLATE(B2410,""id"",""en"")"),"['', 'Stable', 'Maen', 'Game', 'NOT', 'Glad', 'Streees', ""]")</f>
        <v>['', 'Stable', 'Maen', 'Game', 'NOT', 'Glad', 'Streees', "]</v>
      </c>
      <c r="D2410" s="3">
        <v>1.0</v>
      </c>
    </row>
    <row r="2411" ht="15.75" customHeight="1">
      <c r="A2411" s="1">
        <v>2549.0</v>
      </c>
      <c r="B2411" s="3" t="s">
        <v>2378</v>
      </c>
      <c r="C2411" s="3" t="str">
        <f>IFERROR(__xludf.DUMMYFUNCTION("GOOGLETRANSLATE(B2411,""id"",""en"")"),"['Changed', 'Change', 'Making', 'Price', 'Internet', 'Yaa', 'Package', 'Rb', 'Sunday', 'Lost', ""]")</f>
        <v>['Changed', 'Change', 'Making', 'Price', 'Internet', 'Yaa', 'Package', 'Rb', 'Sunday', 'Lost', "]</v>
      </c>
      <c r="D2411" s="3">
        <v>1.0</v>
      </c>
    </row>
    <row r="2412" ht="15.75" customHeight="1">
      <c r="A2412" s="1">
        <v>2550.0</v>
      </c>
      <c r="B2412" s="3" t="s">
        <v>2379</v>
      </c>
      <c r="C2412" s="3" t="str">
        <f>IFERROR(__xludf.DUMMYFUNCTION("GOOGLETRANSLATE(B2412,""id"",""en"")"),"['Application', 'Kantik', 'Login']")</f>
        <v>['Application', 'Kantik', 'Login']</v>
      </c>
      <c r="D2412" s="3">
        <v>1.0</v>
      </c>
    </row>
    <row r="2413" ht="15.75" customHeight="1">
      <c r="A2413" s="1">
        <v>2551.0</v>
      </c>
      <c r="B2413" s="3" t="s">
        <v>2380</v>
      </c>
      <c r="C2413" s="3" t="str">
        <f>IFERROR(__xludf.DUMMYFUNCTION("GOOGLETRANSLATE(B2413,""id"",""en"")"),"['service', 'Telkomsel', 'good', 'except', 'blackouts', 'electricity', 'signal', 'internet', 'missing', ""]")</f>
        <v>['service', 'Telkomsel', 'good', 'except', 'blackouts', 'electricity', 'signal', 'internet', 'missing', "]</v>
      </c>
      <c r="D2413" s="3">
        <v>4.0</v>
      </c>
    </row>
    <row r="2414" ht="15.75" customHeight="1">
      <c r="A2414" s="1">
        <v>2552.0</v>
      </c>
      <c r="B2414" s="3" t="s">
        <v>2381</v>
      </c>
      <c r="C2414" s="3" t="str">
        <f>IFERROR(__xludf.DUMMYFUNCTION("GOOGLETRANSLATE(B2414,""id"",""en"")"),"['Open', 'App', 'MyTelkomsel', 'Display', 'Screen', 'White', 'Empty', 'Buy', 'Package', 'Data', 'App', 'ugly', ' App ']")</f>
        <v>['Open', 'App', 'MyTelkomsel', 'Display', 'Screen', 'White', 'Empty', 'Buy', 'Package', 'Data', 'App', 'ugly', ' App ']</v>
      </c>
      <c r="D2414" s="3">
        <v>1.0</v>
      </c>
    </row>
    <row r="2415" ht="15.75" customHeight="1">
      <c r="A2415" s="1">
        <v>2553.0</v>
      </c>
      <c r="B2415" s="3" t="s">
        <v>2382</v>
      </c>
      <c r="C2415" s="3" t="str">
        <f>IFERROR(__xludf.DUMMYFUNCTION("GOOGLETRANSLATE(B2415,""id"",""en"")"),"['signal', 'sometimes', 'ugly']")</f>
        <v>['signal', 'sometimes', 'ugly']</v>
      </c>
      <c r="D2415" s="3">
        <v>4.0</v>
      </c>
    </row>
    <row r="2416" ht="15.75" customHeight="1">
      <c r="A2416" s="1">
        <v>2554.0</v>
      </c>
      <c r="B2416" s="3" t="s">
        <v>2383</v>
      </c>
      <c r="C2416" s="3" t="str">
        <f>IFERROR(__xludf.DUMMYFUNCTION("GOOGLETRANSLATE(B2416,""id"",""en"")"),"['Telkomsel', 'price', 'package', 'expensive', 'DDBALI', 'QUALITY', 'good', 'network', 'lost', 'all day', 'slow', 'rich', ' Edge ',' so ',' times', 'moved', 'kekartu', 'next door', 'stable', 'cheap', '']")</f>
        <v>['Telkomsel', 'price', 'package', 'expensive', 'DDBALI', 'QUALITY', 'good', 'network', 'lost', 'all day', 'slow', 'rich', ' Edge ',' so ',' times', 'moved', 'kekartu', 'next door', 'stable', 'cheap', '']</v>
      </c>
      <c r="D2416" s="3">
        <v>1.0</v>
      </c>
    </row>
    <row r="2417" ht="15.75" customHeight="1">
      <c r="A2417" s="1">
        <v>2555.0</v>
      </c>
      <c r="B2417" s="3" t="s">
        <v>2384</v>
      </c>
      <c r="C2417" s="3" t="str">
        <f>IFERROR(__xludf.DUMMYFUNCTION("GOOGLETRANSLATE(B2417,""id"",""en"")"),"['', 'Telkomsel', 'Jaya', ""]")</f>
        <v>['', 'Telkomsel', 'Jaya', "]</v>
      </c>
      <c r="D2417" s="3">
        <v>4.0</v>
      </c>
    </row>
    <row r="2418" ht="15.75" customHeight="1">
      <c r="A2418" s="1">
        <v>2556.0</v>
      </c>
      <c r="B2418" s="3" t="s">
        <v>2385</v>
      </c>
      <c r="C2418" s="3" t="str">
        <f>IFERROR(__xludf.DUMMYFUNCTION("GOOGLETRANSLATE(B2418,""id"",""en"")"),"['woiii', 'Telkomsel', 'kintil', 'please', 'fix', 'network', 'user', 'telkomsel', 'disappointed', 'slow', 'network', 'strange', ' Jaringn ',' Telkomsel ',' Rain ',' Sun ',' Leet ',' Please ',' Fix ',' ']")</f>
        <v>['woiii', 'Telkomsel', 'kintil', 'please', 'fix', 'network', 'user', 'telkomsel', 'disappointed', 'slow', 'network', 'strange', ' Jaringn ',' Telkomsel ',' Rain ',' Sun ',' Leet ',' Please ',' Fix ',' ']</v>
      </c>
      <c r="D2418" s="3">
        <v>1.0</v>
      </c>
    </row>
    <row r="2419" ht="15.75" customHeight="1">
      <c r="A2419" s="1">
        <v>2557.0</v>
      </c>
      <c r="B2419" s="3" t="s">
        <v>2386</v>
      </c>
      <c r="C2419" s="3" t="str">
        <f>IFERROR(__xludf.DUMMYFUNCTION("GOOGLETRANSLATE(B2419,""id"",""en"")"),"['APK', 'Quality', 'Error']")</f>
        <v>['APK', 'Quality', 'Error']</v>
      </c>
      <c r="D2419" s="3">
        <v>1.0</v>
      </c>
    </row>
    <row r="2420" ht="15.75" customHeight="1">
      <c r="A2420" s="1">
        <v>2558.0</v>
      </c>
      <c r="B2420" s="3" t="s">
        <v>2387</v>
      </c>
      <c r="C2420" s="3" t="str">
        <f>IFERROR(__xludf.DUMMYFUNCTION("GOOGLETRANSLATE(B2420,""id"",""en"")"),"['best service']")</f>
        <v>['best service']</v>
      </c>
      <c r="D2420" s="3">
        <v>5.0</v>
      </c>
    </row>
    <row r="2421" ht="15.75" customHeight="1">
      <c r="A2421" s="1">
        <v>2559.0</v>
      </c>
      <c r="B2421" s="3" t="s">
        <v>2388</v>
      </c>
      <c r="C2421" s="3" t="str">
        <f>IFERROR(__xludf.DUMMYFUNCTION("GOOGLETRANSLATE(B2421,""id"",""en"")"),"['open', 'application', 'Telkomsel', 'quota', 'GB', 'application', 'unistal', 'install', 'reset', 'application', 'open', ""]")</f>
        <v>['open', 'application', 'Telkomsel', 'quota', 'GB', 'application', 'unistal', 'install', 'reset', 'application', 'open', "]</v>
      </c>
      <c r="D2421" s="3">
        <v>2.0</v>
      </c>
    </row>
    <row r="2422" ht="15.75" customHeight="1">
      <c r="A2422" s="1">
        <v>2560.0</v>
      </c>
      <c r="B2422" s="3" t="s">
        <v>996</v>
      </c>
      <c r="C2422" s="3" t="str">
        <f>IFERROR(__xludf.DUMMYFUNCTION("GOOGLETRANSLATE(B2422,""id"",""en"")"),"['Application', 'Good', '']")</f>
        <v>['Application', 'Good', '']</v>
      </c>
      <c r="D2422" s="3">
        <v>5.0</v>
      </c>
    </row>
    <row r="2423" ht="15.75" customHeight="1">
      <c r="A2423" s="1">
        <v>2561.0</v>
      </c>
      <c r="B2423" s="3" t="s">
        <v>2389</v>
      </c>
      <c r="C2423" s="3" t="str">
        <f>IFERROR(__xludf.DUMMYFUNCTION("GOOGLETRANSLATE(B2423,""id"",""en"")"),"['Hopefully', 'Amanah', 'Jadinberkat']")</f>
        <v>['Hopefully', 'Amanah', 'Jadinberkat']</v>
      </c>
      <c r="D2423" s="3">
        <v>5.0</v>
      </c>
    </row>
    <row r="2424" ht="15.75" customHeight="1">
      <c r="A2424" s="1">
        <v>2562.0</v>
      </c>
      <c r="B2424" s="3" t="s">
        <v>2390</v>
      </c>
      <c r="C2424" s="3" t="str">
        <f>IFERROR(__xludf.DUMMYFUNCTION("GOOGLETRANSLATE(B2424,""id"",""en"")"),"['Sis',' Please ',' Repaired ',' Sis', 'Opens',' Application ',' Square ',' White ',' Open ',' Content ',' Credit ',' Paketan ',' Etc. ',' Please ',' repaired ',' Sis', ""]")</f>
        <v>['Sis',' Please ',' Repaired ',' Sis', 'Opens',' Application ',' Square ',' White ',' Open ',' Content ',' Credit ',' Paketan ',' Etc. ',' Please ',' repaired ',' Sis', "]</v>
      </c>
      <c r="D2424" s="3">
        <v>2.0</v>
      </c>
    </row>
    <row r="2425" ht="15.75" customHeight="1">
      <c r="A2425" s="1">
        <v>2563.0</v>
      </c>
      <c r="B2425" s="3" t="s">
        <v>2391</v>
      </c>
      <c r="C2425" s="3" t="str">
        <f>IFERROR(__xludf.DUMMYFUNCTION("GOOGLETRANSLATE(B2425,""id"",""en"")"),"['Increases', 'Service', '']")</f>
        <v>['Increases', 'Service', '']</v>
      </c>
      <c r="D2425" s="3">
        <v>5.0</v>
      </c>
    </row>
    <row r="2426" ht="15.75" customHeight="1">
      <c r="A2426" s="1">
        <v>2564.0</v>
      </c>
      <c r="B2426" s="3" t="s">
        <v>2392</v>
      </c>
      <c r="C2426" s="3" t="str">
        <f>IFERROR(__xludf.DUMMYFUNCTION("GOOGLETRANSLATE(B2426,""id"",""en"")"),"['Help', 'Helpful']")</f>
        <v>['Help', 'Helpful']</v>
      </c>
      <c r="D2426" s="3">
        <v>5.0</v>
      </c>
    </row>
    <row r="2427" ht="15.75" customHeight="1">
      <c r="A2427" s="1">
        <v>2565.0</v>
      </c>
      <c r="B2427" s="3" t="s">
        <v>2393</v>
      </c>
      <c r="C2427" s="3" t="str">
        <f>IFERROR(__xludf.DUMMYFUNCTION("GOOGLETRANSLATE(B2427,""id"",""en"")"),"['easy', 'buy', 'package']")</f>
        <v>['easy', 'buy', 'package']</v>
      </c>
      <c r="D2427" s="3">
        <v>5.0</v>
      </c>
    </row>
    <row r="2428" ht="15.75" customHeight="1">
      <c r="A2428" s="1">
        <v>2566.0</v>
      </c>
      <c r="B2428" s="3" t="s">
        <v>2394</v>
      </c>
      <c r="C2428" s="3" t="str">
        <f>IFERROR(__xludf.DUMMYFUNCTION("GOOGLETRANSLATE(B2428,""id"",""en"")"),"['Price', 'Package', 'Changing']")</f>
        <v>['Price', 'Package', 'Changing']</v>
      </c>
      <c r="D2428" s="3">
        <v>1.0</v>
      </c>
    </row>
    <row r="2429" ht="15.75" customHeight="1">
      <c r="A2429" s="1">
        <v>2567.0</v>
      </c>
      <c r="B2429" s="3" t="s">
        <v>1658</v>
      </c>
      <c r="C2429" s="3" t="str">
        <f>IFERROR(__xludf.DUMMYFUNCTION("GOOGLETRANSLATE(B2429,""id"",""en"")"),"['Good', 'interesting']")</f>
        <v>['Good', 'interesting']</v>
      </c>
      <c r="D2429" s="3">
        <v>5.0</v>
      </c>
    </row>
    <row r="2430" ht="15.75" customHeight="1">
      <c r="A2430" s="1">
        <v>2568.0</v>
      </c>
      <c r="B2430" s="3" t="s">
        <v>2395</v>
      </c>
      <c r="C2430" s="3" t="str">
        <f>IFERROR(__xludf.DUMMYFUNCTION("GOOGLETRANSLATE(B2430,""id"",""en"")"),"['buy', 'quota', 'Telkomsel', 'Lelap', 'check', 'connection', 'repeat', 'transaction', 'minute', 'pdhl', 'network', 'good', ' ']")</f>
        <v>['buy', 'quota', 'Telkomsel', 'Lelap', 'check', 'connection', 'repeat', 'transaction', 'minute', 'pdhl', 'network', 'good', ' ']</v>
      </c>
      <c r="D2430" s="3">
        <v>2.0</v>
      </c>
    </row>
    <row r="2431" ht="15.75" customHeight="1">
      <c r="A2431" s="1">
        <v>2570.0</v>
      </c>
      <c r="B2431" s="3" t="s">
        <v>2396</v>
      </c>
      <c r="C2431" s="3" t="str">
        <f>IFERROR(__xludf.DUMMYFUNCTION("GOOGLETRANSLATE(B2431,""id"",""en"")"),"['Package', 'Fast', 'Out', 'Padhal', 'Use', 'Limited', 'Padahl', 'kmren', 'kmren', 'buy', 'Cuman', ' HBIS ',' leftover ',' gymna ',' loss']")</f>
        <v>['Package', 'Fast', 'Out', 'Padhal', 'Use', 'Limited', 'Padahl', 'kmren', 'kmren', 'buy', 'Cuman', ' HBIS ',' leftover ',' gymna ',' loss']</v>
      </c>
      <c r="D2431" s="3">
        <v>1.0</v>
      </c>
    </row>
    <row r="2432" ht="15.75" customHeight="1">
      <c r="A2432" s="1">
        <v>2571.0</v>
      </c>
      <c r="B2432" s="3" t="s">
        <v>2397</v>
      </c>
      <c r="C2432" s="3" t="str">
        <f>IFERROR(__xludf.DUMMYFUNCTION("GOOGLETRANSLATE(B2432,""id"",""en"")"),"['knp', 'opened', 'pdhl', 'already', 'version', 'newest', 'tlg', 'repair']")</f>
        <v>['knp', 'opened', 'pdhl', 'already', 'version', 'newest', 'tlg', 'repair']</v>
      </c>
      <c r="D2432" s="3">
        <v>4.0</v>
      </c>
    </row>
    <row r="2433" ht="15.75" customHeight="1">
      <c r="A2433" s="1">
        <v>2572.0</v>
      </c>
      <c r="B2433" s="3" t="s">
        <v>2398</v>
      </c>
      <c r="C2433" s="3" t="str">
        <f>IFERROR(__xludf.DUMMYFUNCTION("GOOGLETRANSLATE(B2433,""id"",""en"")"),"['Good', 'APK']")</f>
        <v>['Good', 'APK']</v>
      </c>
      <c r="D2433" s="3">
        <v>5.0</v>
      </c>
    </row>
    <row r="2434" ht="15.75" customHeight="1">
      <c r="A2434" s="1">
        <v>2573.0</v>
      </c>
      <c r="B2434" s="3" t="s">
        <v>2399</v>
      </c>
      <c r="C2434" s="3" t="str">
        <f>IFERROR(__xludf.DUMMYFUNCTION("GOOGLETRANSLATE(B2434,""id"",""en"")"),"['service', 'response', 'application', 'slow', 'loading', 'open', 'menu', '']")</f>
        <v>['service', 'response', 'application', 'slow', 'loading', 'open', 'menu', '']</v>
      </c>
      <c r="D2434" s="3">
        <v>4.0</v>
      </c>
    </row>
    <row r="2435" ht="15.75" customHeight="1">
      <c r="A2435" s="1">
        <v>2575.0</v>
      </c>
      <c r="B2435" s="3" t="s">
        <v>2400</v>
      </c>
      <c r="C2435" s="3" t="str">
        <f>IFERROR(__xludf.DUMMYFUNCTION("GOOGLETRANSLATE(B2435,""id"",""en"")"),"['hope']")</f>
        <v>['hope']</v>
      </c>
      <c r="D2435" s="3">
        <v>5.0</v>
      </c>
    </row>
    <row r="2436" ht="15.75" customHeight="1">
      <c r="A2436" s="1">
        <v>2576.0</v>
      </c>
      <c r="B2436" s="3" t="s">
        <v>2401</v>
      </c>
      <c r="C2436" s="3" t="str">
        <f>IFERROR(__xludf.DUMMYFUNCTION("GOOGLETRANSLATE(B2436,""id"",""en"")"),"['no', 'pulse', 'run out', 'njir', 'telkom', 'take', 'allotment', 'customer', 'beg', 'solution', 'future', 'love', ' Features', 'Lock', 'Credit', 'Ngacactivity', 'Package', 'Credit', 'Sudden', 'Out']")</f>
        <v>['no', 'pulse', 'run out', 'njir', 'telkom', 'take', 'allotment', 'customer', 'beg', 'solution', 'future', 'love', ' Features', 'Lock', 'Credit', 'Ngacactivity', 'Package', 'Credit', 'Sudden', 'Out']</v>
      </c>
      <c r="D2436" s="3">
        <v>1.0</v>
      </c>
    </row>
    <row r="2437" ht="15.75" customHeight="1">
      <c r="A2437" s="1">
        <v>2577.0</v>
      </c>
      <c r="B2437" s="3" t="s">
        <v>2402</v>
      </c>
      <c r="C2437" s="3" t="str">
        <f>IFERROR(__xludf.DUMMYFUNCTION("GOOGLETRANSLATE(B2437,""id"",""en"")"),"['Like', 'Make', 'MyTelkomsel', 'Loading', 'Heavy', 'Open', 'App', 'Different', 'Axisnet', 'Easy', ""]")</f>
        <v>['Like', 'Make', 'MyTelkomsel', 'Loading', 'Heavy', 'Open', 'App', 'Different', 'Axisnet', 'Easy', "]</v>
      </c>
      <c r="D2437" s="3">
        <v>1.0</v>
      </c>
    </row>
    <row r="2438" ht="15.75" customHeight="1">
      <c r="A2438" s="1">
        <v>2578.0</v>
      </c>
      <c r="B2438" s="3" t="s">
        <v>2403</v>
      </c>
      <c r="C2438" s="3" t="str">
        <f>IFERROR(__xludf.DUMMYFUNCTION("GOOGLETRANSLATE(B2438,""id"",""en"")"),"['Hello', 'Sis',' Please ',' Fix ',' App ',' Telkomsel ',' Samsung ',' Update ',' Android ',' App ',' Telkomsel ',' Samsung ',' ']")</f>
        <v>['Hello', 'Sis',' Please ',' Fix ',' App ',' Telkomsel ',' Samsung ',' Update ',' Android ',' App ',' Telkomsel ',' Samsung ',' ']</v>
      </c>
      <c r="D2438" s="3">
        <v>1.0</v>
      </c>
    </row>
    <row r="2439" ht="15.75" customHeight="1">
      <c r="A2439" s="1">
        <v>2579.0</v>
      </c>
      <c r="B2439" s="3" t="s">
        <v>2404</v>
      </c>
      <c r="C2439" s="3" t="str">
        <f>IFERROR(__xludf.DUMMYFUNCTION("GOOGLETRANSLATE(B2439,""id"",""en"")"),"['Satisfied', 'Network', 'extensive']")</f>
        <v>['Satisfied', 'Network', 'extensive']</v>
      </c>
      <c r="D2439" s="3">
        <v>5.0</v>
      </c>
    </row>
    <row r="2440" ht="15.75" customHeight="1">
      <c r="A2440" s="1">
        <v>2580.0</v>
      </c>
      <c r="B2440" s="3" t="s">
        <v>2405</v>
      </c>
      <c r="C2440" s="3" t="str">
        <f>IFERROR(__xludf.DUMMYFUNCTION("GOOGLETRANSLATE(B2440,""id"",""en"")"),"['sound', 'bug', 'sound', 'ants', 'device', 'television', 'tube', 'application', 'run']")</f>
        <v>['sound', 'bug', 'sound', 'ants', 'device', 'television', 'tube', 'application', 'run']</v>
      </c>
      <c r="D2440" s="3">
        <v>1.0</v>
      </c>
    </row>
    <row r="2441" ht="15.75" customHeight="1">
      <c r="A2441" s="1">
        <v>2581.0</v>
      </c>
      <c r="B2441" s="3" t="s">
        <v>1112</v>
      </c>
      <c r="C2441" s="3" t="str">
        <f>IFERROR(__xludf.DUMMYFUNCTION("GOOGLETRANSLATE(B2441,""id"",""en"")"),"['easy', 'comfortable']")</f>
        <v>['easy', 'comfortable']</v>
      </c>
      <c r="D2441" s="3">
        <v>5.0</v>
      </c>
    </row>
    <row r="2442" ht="15.75" customHeight="1">
      <c r="A2442" s="1">
        <v>2582.0</v>
      </c>
      <c r="B2442" s="3" t="s">
        <v>2406</v>
      </c>
      <c r="C2442" s="3" t="str">
        <f>IFERROR(__xludf.DUMMYFUNCTION("GOOGLETRANSLATE(B2442,""id"",""en"")"),"['easy', 'in', 'leftover', 'quota']")</f>
        <v>['easy', 'in', 'leftover', 'quota']</v>
      </c>
      <c r="D2442" s="3">
        <v>4.0</v>
      </c>
    </row>
    <row r="2443" ht="15.75" customHeight="1">
      <c r="A2443" s="1">
        <v>2583.0</v>
      </c>
      <c r="B2443" s="3" t="s">
        <v>2407</v>
      </c>
      <c r="C2443" s="3" t="str">
        <f>IFERROR(__xludf.DUMMYFUNCTION("GOOGLETRANSLATE(B2443,""id"",""en"")"),"['Telkomsel', 'Loading', '']")</f>
        <v>['Telkomsel', 'Loading', '']</v>
      </c>
      <c r="D2443" s="3">
        <v>4.0</v>
      </c>
    </row>
    <row r="2444" ht="15.75" customHeight="1">
      <c r="A2444" s="1">
        <v>2585.0</v>
      </c>
      <c r="B2444" s="3" t="s">
        <v>2408</v>
      </c>
      <c r="C2444" s="3" t="str">
        <f>IFERROR(__xludf.DUMMYFUNCTION("GOOGLETRANSLATE(B2444,""id"",""en"")"),"['update', 'no', 'open']")</f>
        <v>['update', 'no', 'open']</v>
      </c>
      <c r="D2444" s="3">
        <v>1.0</v>
      </c>
    </row>
    <row r="2445" ht="15.75" customHeight="1">
      <c r="A2445" s="1">
        <v>2586.0</v>
      </c>
      <c r="B2445" s="3" t="s">
        <v>1165</v>
      </c>
      <c r="C2445" s="3" t="str">
        <f>IFERROR(__xludf.DUMMYFUNCTION("GOOGLETRANSLATE(B2445,""id"",""en"")"),"['Application', 'steady']")</f>
        <v>['Application', 'steady']</v>
      </c>
      <c r="D2445" s="3">
        <v>5.0</v>
      </c>
    </row>
    <row r="2446" ht="15.75" customHeight="1">
      <c r="A2446" s="1">
        <v>2587.0</v>
      </c>
      <c r="B2446" s="3" t="s">
        <v>2409</v>
      </c>
      <c r="C2446" s="3" t="str">
        <f>IFERROR(__xludf.DUMMYFUNCTION("GOOGLETRANSLATE(B2446,""id"",""en"")"),"['Package', 'Unlimitied', 'expensive']")</f>
        <v>['Package', 'Unlimitied', 'expensive']</v>
      </c>
      <c r="D2446" s="3">
        <v>5.0</v>
      </c>
    </row>
    <row r="2447" ht="15.75" customHeight="1">
      <c r="A2447" s="1">
        <v>2588.0</v>
      </c>
      <c r="B2447" s="3" t="s">
        <v>2410</v>
      </c>
      <c r="C2447" s="3" t="str">
        <f>IFERROR(__xludf.DUMMYFUNCTION("GOOGLETRANSLATE(B2447,""id"",""en"")"),"['Update', 'Kek', 'Gini', 'Sis', ""]")</f>
        <v>['Update', 'Kek', 'Gini', 'Sis', "]</v>
      </c>
      <c r="D2447" s="3">
        <v>1.0</v>
      </c>
    </row>
    <row r="2448" ht="15.75" customHeight="1">
      <c r="A2448" s="1">
        <v>2590.0</v>
      </c>
      <c r="B2448" s="3" t="s">
        <v>2411</v>
      </c>
      <c r="C2448" s="3" t="str">
        <f>IFERROR(__xludf.DUMMYFUNCTION("GOOGLETRANSLATE(B2448,""id"",""en"")"),"['Mending', 'kelen', 'buy', 'kouta', 'gamemax', 'deh', 'difficult', 'matching', 'match', 'relog', 'no', 'tetep', ' Buy ',' guaranteed ',' get ',' mentally ', ""]")</f>
        <v>['Mending', 'kelen', 'buy', 'kouta', 'gamemax', 'deh', 'difficult', 'matching', 'match', 'relog', 'no', 'tetep', ' Buy ',' guaranteed ',' get ',' mentally ', "]</v>
      </c>
      <c r="D2448" s="3">
        <v>2.0</v>
      </c>
    </row>
    <row r="2449" ht="15.75" customHeight="1">
      <c r="A2449" s="1">
        <v>2591.0</v>
      </c>
      <c r="B2449" s="3" t="s">
        <v>2412</v>
      </c>
      <c r="C2449" s="3" t="str">
        <f>IFERROR(__xludf.DUMMYFUNCTION("GOOGLETRANSLATE(B2449,""id"",""en"")"),"['complaints',' customers', 'responded', 'admin', 'semogga', 'future', 'go bankrupt', 'plealas',' reply ',' gtu ',' complaint ',' customer ',' Price ',' Honest ',' Disappointed ',' Complaints ',' Reply ',' Have ',' Family ',' Move ',' At God's ',' '']")</f>
        <v>['complaints',' customers', 'responded', 'admin', 'semogga', 'future', 'go bankrupt', 'plealas',' reply ',' gtu ',' complaint ',' customer ',' Price ',' Honest ',' Disappointed ',' Complaints ',' Reply ',' Have ',' Family ',' Move ',' At God's ',' '']</v>
      </c>
      <c r="D2449" s="3">
        <v>1.0</v>
      </c>
    </row>
    <row r="2450" ht="15.75" customHeight="1">
      <c r="A2450" s="1">
        <v>2592.0</v>
      </c>
      <c r="B2450" s="3" t="s">
        <v>2413</v>
      </c>
      <c r="C2450" s="3" t="str">
        <f>IFERROR(__xludf.DUMMYFUNCTION("GOOGLETRANSLATE(B2450,""id"",""en"")"),"['application', 'makes it easy', 'data', 'package', 'have', '']")</f>
        <v>['application', 'makes it easy', 'data', 'package', 'have', '']</v>
      </c>
      <c r="D2450" s="3">
        <v>5.0</v>
      </c>
    </row>
    <row r="2451" ht="15.75" customHeight="1">
      <c r="A2451" s="1">
        <v>2594.0</v>
      </c>
      <c r="B2451" s="3" t="s">
        <v>2414</v>
      </c>
      <c r="C2451" s="3" t="str">
        <f>IFERROR(__xludf.DUMMYFUNCTION("GOOGLETRANSLATE(B2451,""id"",""en"")"),"['Network', 'Internet', 'Telkomsel', 'Good', '']")</f>
        <v>['Network', 'Internet', 'Telkomsel', 'Good', '']</v>
      </c>
      <c r="D2451" s="3">
        <v>5.0</v>
      </c>
    </row>
    <row r="2452" ht="15.75" customHeight="1">
      <c r="A2452" s="1">
        <v>2595.0</v>
      </c>
      <c r="B2452" s="3" t="s">
        <v>2415</v>
      </c>
      <c r="C2452" s="3" t="str">
        <f>IFERROR(__xludf.DUMMYFUNCTION("GOOGLETRANSLATE(B2452,""id"",""en"")"),"['Good', 'promo', '']")</f>
        <v>['Good', 'promo', '']</v>
      </c>
      <c r="D2452" s="3">
        <v>4.0</v>
      </c>
    </row>
    <row r="2453" ht="15.75" customHeight="1">
      <c r="A2453" s="1">
        <v>2596.0</v>
      </c>
      <c r="B2453" s="3" t="s">
        <v>2416</v>
      </c>
      <c r="C2453" s="3" t="str">
        <f>IFERROR(__xludf.DUMMYFUNCTION("GOOGLETRANSLATE(B2453,""id"",""en"")"),"['Easy', 'Telkomsel']")</f>
        <v>['Easy', 'Telkomsel']</v>
      </c>
      <c r="D2453" s="3">
        <v>4.0</v>
      </c>
    </row>
    <row r="2454" ht="15.75" customHeight="1">
      <c r="A2454" s="1">
        <v>2597.0</v>
      </c>
      <c r="B2454" s="3" t="s">
        <v>2417</v>
      </c>
      <c r="C2454" s="3" t="str">
        <f>IFERROR(__xludf.DUMMYFUNCTION("GOOGLETRANSLATE(B2454,""id"",""en"")"),"['Network', 'Good', 'Stable']")</f>
        <v>['Network', 'Good', 'Stable']</v>
      </c>
      <c r="D2454" s="3">
        <v>4.0</v>
      </c>
    </row>
    <row r="2455" ht="15.75" customHeight="1">
      <c r="A2455" s="1">
        <v>2598.0</v>
      </c>
      <c r="B2455" s="3" t="s">
        <v>2418</v>
      </c>
      <c r="C2455" s="3" t="str">
        <f>IFERROR(__xludf.DUMMYFUNCTION("GOOGLETRANSLATE(B2455,""id"",""en"")"),"['finished', 'signal', 'Telkomsel', 'here', 'slow', 'Telkomsel', 'ngawak', 'apk', 'already', 'dipake', 'lost', 'turn', ' installed ',' failed ',' wants', 'Telkomsel', 'hilarious', ""]")</f>
        <v>['finished', 'signal', 'Telkomsel', 'here', 'slow', 'Telkomsel', 'ngawak', 'apk', 'already', 'dipake', 'lost', 'turn', ' installed ',' failed ',' wants', 'Telkomsel', 'hilarious', "]</v>
      </c>
      <c r="D2455" s="3">
        <v>1.0</v>
      </c>
    </row>
    <row r="2456" ht="15.75" customHeight="1">
      <c r="A2456" s="1">
        <v>2599.0</v>
      </c>
      <c r="B2456" s="3" t="s">
        <v>2419</v>
      </c>
      <c r="C2456" s="3" t="str">
        <f>IFERROR(__xludf.DUMMYFUNCTION("GOOGLETRANSLATE(B2456,""id"",""en"")"),"['pulse', 'reduce', 'buy', 'Package', 'YouTube', 'pulse', 'missing', 'purchase', 'please', 'investigated', 'admin', 'loss',' Credit ',' Times', '']")</f>
        <v>['pulse', 'reduce', 'buy', 'Package', 'YouTube', 'pulse', 'missing', 'purchase', 'please', 'investigated', 'admin', 'loss',' Credit ',' Times', '']</v>
      </c>
      <c r="D2456" s="3">
        <v>5.0</v>
      </c>
    </row>
    <row r="2457" ht="15.75" customHeight="1">
      <c r="A2457" s="1">
        <v>2600.0</v>
      </c>
      <c r="B2457" s="3" t="s">
        <v>2420</v>
      </c>
      <c r="C2457" s="3" t="str">
        <f>IFERROR(__xludf.DUMMYFUNCTION("GOOGLETRANSLATE(B2457,""id"",""en"")"),"['Jancokkk', 'buy', 'package', 'contents',' pulse ',' gabisa ',' open ',' my apk ',' minute ',' already ',' spend ',' apk ',' Severe ',' download ']")</f>
        <v>['Jancokkk', 'buy', 'package', 'contents',' pulse ',' gabisa ',' open ',' my apk ',' minute ',' already ',' spend ',' apk ',' Severe ',' download ']</v>
      </c>
      <c r="D2457" s="3">
        <v>1.0</v>
      </c>
    </row>
    <row r="2458" ht="15.75" customHeight="1">
      <c r="A2458" s="1">
        <v>2602.0</v>
      </c>
      <c r="B2458" s="3" t="s">
        <v>2421</v>
      </c>
      <c r="C2458" s="3" t="str">
        <f>IFERROR(__xludf.DUMMYFUNCTION("GOOGLETRANSLATE(B2458,""id"",""en"")"),"['Application', 'Road']")</f>
        <v>['Application', 'Road']</v>
      </c>
      <c r="D2458" s="3">
        <v>1.0</v>
      </c>
    </row>
    <row r="2459" ht="15.75" customHeight="1">
      <c r="A2459" s="1">
        <v>2603.0</v>
      </c>
      <c r="B2459" s="3" t="s">
        <v>2422</v>
      </c>
      <c r="C2459" s="3" t="str">
        <f>IFERROR(__xludf.DUMMYFUNCTION("GOOGLETRANSLATE(B2459,""id"",""en"")"),"['Comfortable', 'Telkomsel']")</f>
        <v>['Comfortable', 'Telkomsel']</v>
      </c>
      <c r="D2459" s="3">
        <v>5.0</v>
      </c>
    </row>
    <row r="2460" ht="15.75" customHeight="1">
      <c r="A2460" s="1">
        <v>2604.0</v>
      </c>
      <c r="B2460" s="3" t="s">
        <v>2423</v>
      </c>
      <c r="C2460" s="3" t="str">
        <f>IFERROR(__xludf.DUMMYFUNCTION("GOOGLETRANSLATE(B2460,""id"",""en"")"),"['Steady', 'help']")</f>
        <v>['Steady', 'help']</v>
      </c>
      <c r="D2460" s="3">
        <v>5.0</v>
      </c>
    </row>
    <row r="2461" ht="15.75" customHeight="1">
      <c r="A2461" s="1">
        <v>2605.0</v>
      </c>
      <c r="B2461" s="3" t="s">
        <v>2424</v>
      </c>
      <c r="C2461" s="3" t="str">
        <f>IFERROR(__xludf.DUMMYFUNCTION("GOOGLETRANSLATE(B2461,""id"",""en"")"),"['trmakasih', 'telkomsel', 'bang', 'grateful', 'your customer', '']")</f>
        <v>['trmakasih', 'telkomsel', 'bang', 'grateful', 'your customer', '']</v>
      </c>
      <c r="D2461" s="3">
        <v>5.0</v>
      </c>
    </row>
    <row r="2462" ht="15.75" customHeight="1">
      <c r="A2462" s="1">
        <v>2606.0</v>
      </c>
      <c r="B2462" s="3" t="s">
        <v>2425</v>
      </c>
      <c r="C2462" s="3" t="str">
        <f>IFERROR(__xludf.DUMMYFUNCTION("GOOGLETRANSLATE(B2462,""id"",""en"")"),"['Network', 'especially']")</f>
        <v>['Network', 'especially']</v>
      </c>
      <c r="D2462" s="3">
        <v>5.0</v>
      </c>
    </row>
    <row r="2463" ht="15.75" customHeight="1">
      <c r="A2463" s="1">
        <v>2607.0</v>
      </c>
      <c r="B2463" s="3" t="s">
        <v>2426</v>
      </c>
      <c r="C2463" s="3" t="str">
        <f>IFERROR(__xludf.DUMMYFUNCTION("GOOGLETRANSLATE(B2463,""id"",""en"")"),"['Steady', 'Sya', 'like', 'Apikasihhh', ""]")</f>
        <v>['Steady', 'Sya', 'like', 'Apikasihhh', "]</v>
      </c>
      <c r="D2463" s="3">
        <v>1.0</v>
      </c>
    </row>
    <row r="2464" ht="15.75" customHeight="1">
      <c r="A2464" s="1">
        <v>2608.0</v>
      </c>
      <c r="B2464" s="3" t="s">
        <v>2427</v>
      </c>
      <c r="C2464" s="3" t="str">
        <f>IFERROR(__xludf.DUMMYFUNCTION("GOOGLETRANSLATE(B2464,""id"",""en"")"),"['Min', 'Package', 'subscription', 'ilang', '']")</f>
        <v>['Min', 'Package', 'subscription', 'ilang', '']</v>
      </c>
      <c r="D2464" s="3">
        <v>1.0</v>
      </c>
    </row>
    <row r="2465" ht="15.75" customHeight="1">
      <c r="A2465" s="1">
        <v>2610.0</v>
      </c>
      <c r="B2465" s="3" t="s">
        <v>2428</v>
      </c>
      <c r="C2465" s="3" t="str">
        <f>IFERROR(__xludf.DUMMYFUNCTION("GOOGLETRANSLATE(B2465,""id"",""en"")"),"['Star', 'BLM', 'Try', 'Klu', 'Good', 'Star']")</f>
        <v>['Star', 'BLM', 'Try', 'Klu', 'Good', 'Star']</v>
      </c>
      <c r="D2465" s="3">
        <v>4.0</v>
      </c>
    </row>
    <row r="2466" ht="15.75" customHeight="1">
      <c r="A2466" s="1">
        <v>2611.0</v>
      </c>
      <c r="B2466" s="3" t="s">
        <v>2429</v>
      </c>
      <c r="C2466" s="3" t="str">
        <f>IFERROR(__xludf.DUMMYFUNCTION("GOOGLETRANSLATE(B2466,""id"",""en"")"),"['satisfying', 'tank', 'Telkomsel']")</f>
        <v>['satisfying', 'tank', 'Telkomsel']</v>
      </c>
      <c r="D2466" s="3">
        <v>5.0</v>
      </c>
    </row>
    <row r="2467" ht="15.75" customHeight="1">
      <c r="A2467" s="1">
        <v>2613.0</v>
      </c>
      <c r="B2467" s="3" t="s">
        <v>2430</v>
      </c>
      <c r="C2467" s="3" t="str">
        <f>IFERROR(__xludf.DUMMYFUNCTION("GOOGLETRANSLATE(B2467,""id"",""en"")"),"['Tekomsel', 'Severe', 'Credit', 'Lost', 'thousand', 'Telkomsel', 'Corruption', 'Akunya', 'User']")</f>
        <v>['Tekomsel', 'Severe', 'Credit', 'Lost', 'thousand', 'Telkomsel', 'Corruption', 'Akunya', 'User']</v>
      </c>
      <c r="D2467" s="3">
        <v>1.0</v>
      </c>
    </row>
    <row r="2468" ht="15.75" customHeight="1">
      <c r="A2468" s="1">
        <v>2614.0</v>
      </c>
      <c r="B2468" s="3" t="s">
        <v>2431</v>
      </c>
      <c r="C2468" s="3" t="str">
        <f>IFERROR(__xludf.DUMMYFUNCTION("GOOGLETRANSLATE(B2468,""id"",""en"")"),"['likes', 'application', 'easy', 'cheap', 'buy', 'package', 'internet', '']")</f>
        <v>['likes', 'application', 'easy', 'cheap', 'buy', 'package', 'internet', '']</v>
      </c>
      <c r="D2468" s="3">
        <v>5.0</v>
      </c>
    </row>
    <row r="2469" ht="15.75" customHeight="1">
      <c r="A2469" s="1">
        <v>2615.0</v>
      </c>
      <c r="B2469" s="3" t="s">
        <v>2432</v>
      </c>
      <c r="C2469" s="3" t="str">
        <f>IFERROR(__xludf.DUMMYFUNCTION("GOOGLETRANSLATE(B2469,""id"",""en"")"),"['Want', 'Gift', 'May', 'Tlkomsel']")</f>
        <v>['Want', 'Gift', 'May', 'Tlkomsel']</v>
      </c>
      <c r="D2469" s="3">
        <v>5.0</v>
      </c>
    </row>
    <row r="2470" ht="15.75" customHeight="1">
      <c r="A2470" s="1">
        <v>2616.0</v>
      </c>
      <c r="B2470" s="3" t="s">
        <v>2433</v>
      </c>
      <c r="C2470" s="3" t="str">
        <f>IFERROR(__xludf.DUMMYFUNCTION("GOOGLETRANSLATE(B2470,""id"",""en"")"),"['Hopefully', 'Telkomsel', 'Jaya', 'service', ""]")</f>
        <v>['Hopefully', 'Telkomsel', 'Jaya', 'service', "]</v>
      </c>
      <c r="D2470" s="3">
        <v>5.0</v>
      </c>
    </row>
    <row r="2471" ht="15.75" customHeight="1">
      <c r="A2471" s="1">
        <v>2617.0</v>
      </c>
      <c r="B2471" s="3" t="s">
        <v>2434</v>
      </c>
      <c r="C2471" s="3" t="str">
        <f>IFERROR(__xludf.DUMMYFUNCTION("GOOGLETRANSLATE(B2471,""id"",""en"")"),"['application', 'complete', 'coverage', 'area', 'evenly', 'city']")</f>
        <v>['application', 'complete', 'coverage', 'area', 'evenly', 'city']</v>
      </c>
      <c r="D2471" s="3">
        <v>5.0</v>
      </c>
    </row>
    <row r="2472" ht="15.75" customHeight="1">
      <c r="A2472" s="1">
        <v>2618.0</v>
      </c>
      <c r="B2472" s="3" t="s">
        <v>2435</v>
      </c>
      <c r="C2472" s="3" t="str">
        <f>IFERROR(__xludf.DUMMYFUNCTION("GOOGLETRANSLATE(B2472,""id"",""en"")"),"['Signal', 'JLEK', 'TRUS']")</f>
        <v>['Signal', 'JLEK', 'TRUS']</v>
      </c>
      <c r="D2472" s="3">
        <v>1.0</v>
      </c>
    </row>
    <row r="2473" ht="15.75" customHeight="1">
      <c r="A2473" s="1">
        <v>2619.0</v>
      </c>
      <c r="B2473" s="3" t="s">
        <v>2436</v>
      </c>
      <c r="C2473" s="3" t="str">
        <f>IFERROR(__xludf.DUMMYFUNCTION("GOOGLETRANSLATE(B2473,""id"",""en"")"),"['signal', 'slow', 'really', 'klu', 'enter', 'home', 'castan', ""]")</f>
        <v>['signal', 'slow', 'really', 'klu', 'enter', 'home', 'castan', "]</v>
      </c>
      <c r="D2473" s="3">
        <v>1.0</v>
      </c>
    </row>
    <row r="2474" ht="15.75" customHeight="1">
      <c r="A2474" s="1">
        <v>2620.0</v>
      </c>
      <c r="B2474" s="3" t="s">
        <v>2437</v>
      </c>
      <c r="C2474" s="3" t="str">
        <f>IFERROR(__xludf.DUMMYFUNCTION("GOOGLETRANSLATE(B2474,""id"",""en"")"),"['Sorry', 'open', 'application', 'repeat', 'times', 'update', 'pdhl', 'installed']")</f>
        <v>['Sorry', 'open', 'application', 'repeat', 'times', 'update', 'pdhl', 'installed']</v>
      </c>
      <c r="D2474" s="3">
        <v>1.0</v>
      </c>
    </row>
    <row r="2475" ht="15.75" customHeight="1">
      <c r="A2475" s="1">
        <v>2621.0</v>
      </c>
      <c r="B2475" s="3" t="s">
        <v>2438</v>
      </c>
      <c r="C2475" s="3" t="str">
        <f>IFERROR(__xludf.DUMMYFUNCTION("GOOGLETRANSLATE(B2475,""id"",""en"")"),"['expensive', 'signal', 'rotten', 'mending', 'move', 'operator']")</f>
        <v>['expensive', 'signal', 'rotten', 'mending', 'move', 'operator']</v>
      </c>
      <c r="D2475" s="3">
        <v>1.0</v>
      </c>
    </row>
    <row r="2476" ht="15.75" customHeight="1">
      <c r="A2476" s="1">
        <v>2622.0</v>
      </c>
      <c r="B2476" s="3" t="s">
        <v>2439</v>
      </c>
      <c r="C2476" s="3" t="str">
        <f>IFERROR(__xludf.DUMMYFUNCTION("GOOGLETRANSLATE(B2476,""id"",""en"")"),"['Pekahh', 'buy', 'package', 'anywhere', 'pulse', 'what']")</f>
        <v>['Pekahh', 'buy', 'package', 'anywhere', 'pulse', 'what']</v>
      </c>
      <c r="D2476" s="3">
        <v>1.0</v>
      </c>
    </row>
    <row r="2477" ht="15.75" customHeight="1">
      <c r="A2477" s="1">
        <v>2623.0</v>
      </c>
      <c r="B2477" s="3" t="s">
        <v>2440</v>
      </c>
      <c r="C2477" s="3" t="str">
        <f>IFERROR(__xludf.DUMMYFUNCTION("GOOGLETRANSLATE(B2477,""id"",""en"")"),"['Network', 'Leet', 'Bet', 'KTL', 'Lost', 'High School', 'Next']")</f>
        <v>['Network', 'Leet', 'Bet', 'KTL', 'Lost', 'High School', 'Next']</v>
      </c>
      <c r="D2477" s="3">
        <v>2.0</v>
      </c>
    </row>
    <row r="2478" ht="15.75" customHeight="1">
      <c r="A2478" s="1">
        <v>2624.0</v>
      </c>
      <c r="B2478" s="3" t="s">
        <v>2441</v>
      </c>
      <c r="C2478" s="3" t="str">
        <f>IFERROR(__xludf.DUMMYFUNCTION("GOOGLETRANSLATE(B2478,""id"",""en"")"),"['Package', 'call', 'Turnover', 'Minute', '']")</f>
        <v>['Package', 'call', 'Turnover', 'Minute', '']</v>
      </c>
      <c r="D2478" s="3">
        <v>5.0</v>
      </c>
    </row>
    <row r="2479" ht="15.75" customHeight="1">
      <c r="A2479" s="1">
        <v>2625.0</v>
      </c>
      <c r="B2479" s="3" t="s">
        <v>2442</v>
      </c>
      <c r="C2479" s="3" t="str">
        <f>IFERROR(__xludf.DUMMYFUNCTION("GOOGLETRANSLATE(B2479,""id"",""en"")"),"['Wonder', 'Network', 'Aceh', '']")</f>
        <v>['Wonder', 'Network', 'Aceh', '']</v>
      </c>
      <c r="D2479" s="3">
        <v>1.0</v>
      </c>
    </row>
    <row r="2480" ht="15.75" customHeight="1">
      <c r="A2480" s="1">
        <v>2626.0</v>
      </c>
      <c r="B2480" s="3" t="s">
        <v>2443</v>
      </c>
      <c r="C2480" s="3" t="str">
        <f>IFERROR(__xludf.DUMMYFUNCTION("GOOGLETRANSLATE(B2480,""id"",""en"")"),"['', 'application', 'slow']")</f>
        <v>['', 'application', 'slow']</v>
      </c>
      <c r="D2480" s="3">
        <v>5.0</v>
      </c>
    </row>
    <row r="2481" ht="15.75" customHeight="1">
      <c r="A2481" s="1">
        <v>2627.0</v>
      </c>
      <c r="B2481" s="3" t="s">
        <v>2444</v>
      </c>
      <c r="C2481" s="3" t="str">
        <f>IFERROR(__xludf.DUMMYFUNCTION("GOOGLETRANSLATE(B2481,""id"",""en"")"),"['promo', 'interesting', 'application', 'Bagus', 'dehh', 'mainly']")</f>
        <v>['promo', 'interesting', 'application', 'Bagus', 'dehh', 'mainly']</v>
      </c>
      <c r="D2481" s="3">
        <v>5.0</v>
      </c>
    </row>
    <row r="2482" ht="15.75" customHeight="1">
      <c r="A2482" s="1">
        <v>2628.0</v>
      </c>
      <c r="B2482" s="3" t="s">
        <v>2445</v>
      </c>
      <c r="C2482" s="3" t="str">
        <f>IFERROR(__xludf.DUMMYFUNCTION("GOOGLETRANSLATE(B2482,""id"",""en"")"),"['cave', 'buy', 'quota', 'youtube', 'week', 'quota', 'regular', 'kepake', 'how', 'telkomsel', 'regret', 'cave', ' buy']")</f>
        <v>['cave', 'buy', 'quota', 'youtube', 'week', 'quota', 'regular', 'kepake', 'how', 'telkomsel', 'regret', 'cave', ' buy']</v>
      </c>
      <c r="D2482" s="3">
        <v>1.0</v>
      </c>
    </row>
    <row r="2483" ht="15.75" customHeight="1">
      <c r="A2483" s="1">
        <v>2629.0</v>
      </c>
      <c r="B2483" s="3" t="s">
        <v>2446</v>
      </c>
      <c r="C2483" s="3" t="str">
        <f>IFERROR(__xludf.DUMMYFUNCTION("GOOGLETRANSLATE(B2483,""id"",""en"")"),"['Application', 'supports']")</f>
        <v>['Application', 'supports']</v>
      </c>
      <c r="D2483" s="3">
        <v>5.0</v>
      </c>
    </row>
    <row r="2484" ht="15.75" customHeight="1">
      <c r="A2484" s="1">
        <v>2630.0</v>
      </c>
      <c r="B2484" s="3" t="s">
        <v>2447</v>
      </c>
      <c r="C2484" s="3" t="str">
        <f>IFERROR(__xludf.DUMMYFUNCTION("GOOGLETRANSLATE(B2484,""id"",""en"")"),"['', 'application', 'network', 'life', 'dead', 'strange', 'disappointed']")</f>
        <v>['', 'application', 'network', 'life', 'dead', 'strange', 'disappointed']</v>
      </c>
      <c r="D2484" s="3">
        <v>3.0</v>
      </c>
    </row>
    <row r="2485" ht="15.75" customHeight="1">
      <c r="A2485" s="1">
        <v>2631.0</v>
      </c>
      <c r="B2485" s="3" t="s">
        <v>2448</v>
      </c>
      <c r="C2485" s="3" t="str">
        <f>IFERROR(__xludf.DUMMYFUNCTION("GOOGLETRANSLATE(B2485,""id"",""en"")"),"['Lemot', 'skrg']")</f>
        <v>['Lemot', 'skrg']</v>
      </c>
      <c r="D2485" s="3">
        <v>1.0</v>
      </c>
    </row>
    <row r="2486" ht="15.75" customHeight="1">
      <c r="A2486" s="1">
        <v>2633.0</v>
      </c>
      <c r="B2486" s="3" t="s">
        <v>2449</v>
      </c>
      <c r="C2486" s="3" t="str">
        <f>IFERROR(__xludf.DUMMYFUNCTION("GOOGLETRANSLATE(B2486,""id"",""en"")"),"['Satisfied', 'network', 'difficult', 'play', 'game', 'online', 'pub', 'mobile', 'legend', 'quota', 'expensive', 'quality', ' "", 'signal', 'game', 'bad', 'ping', 'normal', 'mending', 'quota', 'cheap', 'expensive', 'signal', 'satisfying', 'play' , 'Game',"&amp;" 'mobile', '']")</f>
        <v>['Satisfied', 'network', 'difficult', 'play', 'game', 'online', 'pub', 'mobile', 'legend', 'quota', 'expensive', 'quality', ' ", 'signal', 'game', 'bad', 'ping', 'normal', 'mending', 'quota', 'cheap', 'expensive', 'signal', 'satisfying', 'play' , 'Game', 'mobile', '']</v>
      </c>
      <c r="D2486" s="3">
        <v>1.0</v>
      </c>
    </row>
    <row r="2487" ht="15.75" customHeight="1">
      <c r="A2487" s="1">
        <v>2634.0</v>
      </c>
      <c r="B2487" s="3" t="s">
        <v>2450</v>
      </c>
      <c r="C2487" s="3" t="str">
        <f>IFERROR(__xludf.DUMMYFUNCTION("GOOGLETRANSLATE(B2487,""id"",""en"")"),"['Network', 'paralyzed']")</f>
        <v>['Network', 'paralyzed']</v>
      </c>
      <c r="D2487" s="3">
        <v>1.0</v>
      </c>
    </row>
    <row r="2488" ht="15.75" customHeight="1">
      <c r="A2488" s="1">
        <v>2635.0</v>
      </c>
      <c r="B2488" s="3" t="s">
        <v>2451</v>
      </c>
      <c r="C2488" s="3" t="str">
        <f>IFERROR(__xludf.DUMMYFUNCTION("GOOGLETRANSLATE(B2488,""id"",""en"")"),"['update', 'open', 'Telkomsel', '']")</f>
        <v>['update', 'open', 'Telkomsel', '']</v>
      </c>
      <c r="D2488" s="3">
        <v>5.0</v>
      </c>
    </row>
    <row r="2489" ht="15.75" customHeight="1">
      <c r="A2489" s="1">
        <v>2636.0</v>
      </c>
      <c r="B2489" s="3" t="s">
        <v>2452</v>
      </c>
      <c r="C2489" s="3" t="str">
        <f>IFERROR(__xludf.DUMMYFUNCTION("GOOGLETRANSLATE(B2489,""id"",""en"")"),"['The network', 'good', 'Kenceng', 'Recommend', 'really']")</f>
        <v>['The network', 'good', 'Kenceng', 'Recommend', 'really']</v>
      </c>
      <c r="D2489" s="3">
        <v>5.0</v>
      </c>
    </row>
    <row r="2490" ht="15.75" customHeight="1">
      <c r="A2490" s="1">
        <v>2637.0</v>
      </c>
      <c r="B2490" s="3" t="s">
        <v>2453</v>
      </c>
      <c r="C2490" s="3" t="str">
        <f>IFERROR(__xludf.DUMMYFUNCTION("GOOGLETRANSLATE(B2490,""id"",""en"")"),"['subscription', 'card', 'Hallo', 'quota', 'multimedia', 'used', 'paying', 'stop', 'subscription', 'told', 'grapari', 'subscription', ' Called ',' list ',' turn ',' stop ',' weird ']")</f>
        <v>['subscription', 'card', 'Hallo', 'quota', 'multimedia', 'used', 'paying', 'stop', 'subscription', 'told', 'grapari', 'subscription', ' Called ',' list ',' turn ',' stop ',' weird ']</v>
      </c>
      <c r="D2490" s="3">
        <v>1.0</v>
      </c>
    </row>
    <row r="2491" ht="15.75" customHeight="1">
      <c r="A2491" s="1">
        <v>2638.0</v>
      </c>
      <c r="B2491" s="3" t="s">
        <v>2454</v>
      </c>
      <c r="C2491" s="3" t="str">
        <f>IFERROR(__xludf.DUMMYFUNCTION("GOOGLETRANSLATE(B2491,""id"",""en"")"),"['Bener', 'disappointed', 'internet', 'expensive', 'doank', 'network', 'threat', 'mending', 'replace', 'card', 'peedana', 'deh', ' Buy ',' quota ',' disappointed ',' ']")</f>
        <v>['Bener', 'disappointed', 'internet', 'expensive', 'doank', 'network', 'threat', 'mending', 'replace', 'card', 'peedana', 'deh', ' Buy ',' quota ',' disappointed ',' ']</v>
      </c>
      <c r="D2491" s="3">
        <v>1.0</v>
      </c>
    </row>
    <row r="2492" ht="15.75" customHeight="1">
      <c r="A2492" s="1">
        <v>2639.0</v>
      </c>
      <c r="B2492" s="3" t="s">
        <v>2455</v>
      </c>
      <c r="C2492" s="3" t="str">
        <f>IFERROR(__xludf.DUMMYFUNCTION("GOOGLETRANSLATE(B2492,""id"",""en"")"),"['Paketan', 'expensive', 'Signal', 'Greget', '']")</f>
        <v>['Paketan', 'expensive', 'Signal', 'Greget', '']</v>
      </c>
      <c r="D2492" s="3">
        <v>1.0</v>
      </c>
    </row>
    <row r="2493" ht="15.75" customHeight="1">
      <c r="A2493" s="1">
        <v>2640.0</v>
      </c>
      <c r="B2493" s="3" t="s">
        <v>2456</v>
      </c>
      <c r="C2493" s="3" t="str">
        <f>IFERROR(__xludf.DUMMYFUNCTION("GOOGLETRANSLATE(B2493,""id"",""en"")"),"['hope', 'in the future', 'promo', 'interesting']")</f>
        <v>['hope', 'in the future', 'promo', 'interesting']</v>
      </c>
      <c r="D2493" s="3">
        <v>4.0</v>
      </c>
    </row>
    <row r="2494" ht="15.75" customHeight="1">
      <c r="A2494" s="1">
        <v>2641.0</v>
      </c>
      <c r="B2494" s="3" t="s">
        <v>2457</v>
      </c>
      <c r="C2494" s="3" t="str">
        <f>IFERROR(__xludf.DUMMYFUNCTION("GOOGLETRANSLATE(B2494,""id"",""en"")"),"['Useful', 'users', 'Telkomsel', 'Lottery', 'Win', '']")</f>
        <v>['Useful', 'users', 'Telkomsel', 'Lottery', 'Win', '']</v>
      </c>
      <c r="D2494" s="3">
        <v>5.0</v>
      </c>
    </row>
    <row r="2495" ht="15.75" customHeight="1">
      <c r="A2495" s="1">
        <v>2642.0</v>
      </c>
      <c r="B2495" s="3" t="s">
        <v>2458</v>
      </c>
      <c r="C2495" s="3" t="str">
        <f>IFERROR(__xludf.DUMMYFUNCTION("GOOGLETRANSLATE(B2495,""id"",""en"")"),"['Update']")</f>
        <v>['Update']</v>
      </c>
      <c r="D2495" s="3">
        <v>4.0</v>
      </c>
    </row>
    <row r="2496" ht="15.75" customHeight="1">
      <c r="A2496" s="1">
        <v>2643.0</v>
      </c>
      <c r="B2496" s="3" t="s">
        <v>2459</v>
      </c>
      <c r="C2496" s="3" t="str">
        <f>IFERROR(__xludf.DUMMYFUNCTION("GOOGLETRANSLATE(B2496,""id"",""en"")"),"['gatau', 'application', 'slow', 'open', 'apk', 'kenceng', 'slow', 'plus',' package ',' internet ',' price ',' cuman ',' Thousand ',' Rupiah ',' burdensens', 'consumers',' experience ',' consumers', 'experienced', 'hope', 'price', 'conditioned', 'lose', '"&amp;"card']")</f>
        <v>['gatau', 'application', 'slow', 'open', 'apk', 'kenceng', 'slow', 'plus',' package ',' internet ',' price ',' cuman ',' Thousand ',' Rupiah ',' burdensens', 'consumers',' experience ',' consumers', 'experienced', 'hope', 'price', 'conditioned', 'lose', 'card']</v>
      </c>
      <c r="D2496" s="3">
        <v>3.0</v>
      </c>
    </row>
    <row r="2497" ht="15.75" customHeight="1">
      <c r="A2497" s="1">
        <v>2644.0</v>
      </c>
      <c r="B2497" s="3" t="s">
        <v>1464</v>
      </c>
      <c r="C2497" s="3" t="str">
        <f>IFERROR(__xludf.DUMMYFUNCTION("GOOGLETRANSLATE(B2497,""id"",""en"")"),"['Help', 'makes it easy']")</f>
        <v>['Help', 'makes it easy']</v>
      </c>
      <c r="D2497" s="3">
        <v>5.0</v>
      </c>
    </row>
    <row r="2498" ht="15.75" customHeight="1">
      <c r="A2498" s="1">
        <v>2645.0</v>
      </c>
      <c r="B2498" s="3" t="s">
        <v>2460</v>
      </c>
      <c r="C2498" s="3" t="str">
        <f>IFERROR(__xludf.DUMMYFUNCTION("GOOGLETRANSLATE(B2498,""id"",""en"")"),"['signal', 'severe', 'down', 'slow', 'expensive', 'package', 'internet', 'maen', 'game', 'lag', 'signal', 'ilang', ' Please, 'Fix', 'Performance', 'Price', 'Quality', '']")</f>
        <v>['signal', 'severe', 'down', 'slow', 'expensive', 'package', 'internet', 'maen', 'game', 'lag', 'signal', 'ilang', ' Please, 'Fix', 'Performance', 'Price', 'Quality', '']</v>
      </c>
      <c r="D2498" s="3">
        <v>1.0</v>
      </c>
    </row>
    <row r="2499" ht="15.75" customHeight="1">
      <c r="A2499" s="1">
        <v>2646.0</v>
      </c>
      <c r="B2499" s="3" t="s">
        <v>2461</v>
      </c>
      <c r="C2499" s="3" t="str">
        <f>IFERROR(__xludf.DUMMYFUNCTION("GOOGLETRANSLATE(B2499,""id"",""en"")"),"['package', 'Doang', 'expensive', 'network', 'ugly', '']")</f>
        <v>['package', 'Doang', 'expensive', 'network', 'ugly', '']</v>
      </c>
      <c r="D2499" s="3">
        <v>1.0</v>
      </c>
    </row>
    <row r="2500" ht="15.75" customHeight="1">
      <c r="A2500" s="1">
        <v>2647.0</v>
      </c>
      <c r="B2500" s="3" t="s">
        <v>2462</v>
      </c>
      <c r="C2500" s="3" t="str">
        <f>IFERROR(__xludf.DUMMYFUNCTION("GOOGLETRANSLATE(B2500,""id"",""en"")"),"['useful']")</f>
        <v>['useful']</v>
      </c>
      <c r="D2500" s="3">
        <v>1.0</v>
      </c>
    </row>
    <row r="2501" ht="15.75" customHeight="1">
      <c r="A2501" s="1">
        <v>2648.0</v>
      </c>
      <c r="B2501" s="3" t="s">
        <v>2463</v>
      </c>
      <c r="C2501" s="3" t="str">
        <f>IFERROR(__xludf.DUMMYFUNCTION("GOOGLETRANSLATE(B2501,""id"",""en"")"),"['Cook', 'good']")</f>
        <v>['Cook', 'good']</v>
      </c>
      <c r="D2501" s="3">
        <v>5.0</v>
      </c>
    </row>
    <row r="2502" ht="15.75" customHeight="1">
      <c r="A2502" s="1">
        <v>2649.0</v>
      </c>
      <c r="B2502" s="3" t="s">
        <v>2464</v>
      </c>
      <c r="C2502" s="3" t="str">
        <f>IFERROR(__xludf.DUMMYFUNCTION("GOOGLETRANSLATE(B2502,""id"",""en"")"),"['Telkom', 'Brensek', 'prah', 'package', 'emergency', 'contents',' pulse ',' always', 'sucked', 'emang', 'bnr', 'nii', ' Telkom ',' Taii ',' Tlkom ',' HPS ',' Network ',' Good ']")</f>
        <v>['Telkom', 'Brensek', 'prah', 'package', 'emergency', 'contents',' pulse ',' always', 'sucked', 'emang', 'bnr', 'nii', ' Telkom ',' Taii ',' Tlkom ',' HPS ',' Network ',' Good ']</v>
      </c>
      <c r="D2502" s="3">
        <v>1.0</v>
      </c>
    </row>
    <row r="2503" ht="15.75" customHeight="1">
      <c r="A2503" s="1">
        <v>2651.0</v>
      </c>
      <c r="B2503" s="3" t="s">
        <v>2465</v>
      </c>
      <c r="C2503" s="3" t="str">
        <f>IFERROR(__xludf.DUMMYFUNCTION("GOOGLETRANSLATE(B2503,""id"",""en"")"),"['Telkomsel', 'signal', 'good', 'Please', 'explanation', 'Telkomsel', 'people', 'online', 'rely on', 'network', 'disappointed', '']")</f>
        <v>['Telkomsel', 'signal', 'good', 'Please', 'explanation', 'Telkomsel', 'people', 'online', 'rely on', 'network', 'disappointed', '']</v>
      </c>
      <c r="D2503" s="3">
        <v>1.0</v>
      </c>
    </row>
    <row r="2504" ht="15.75" customHeight="1">
      <c r="A2504" s="1">
        <v>2652.0</v>
      </c>
      <c r="B2504" s="3" t="s">
        <v>2466</v>
      </c>
      <c r="C2504" s="3" t="str">
        <f>IFERROR(__xludf.DUMMYFUNCTION("GOOGLETRANSLATE(B2504,""id"",""en"")"),"['Signal', 'Good', 'Not bad', 'expensive', 'Umlimitid']")</f>
        <v>['Signal', 'Good', 'Not bad', 'expensive', 'Umlimitid']</v>
      </c>
      <c r="D2504" s="3">
        <v>5.0</v>
      </c>
    </row>
    <row r="2505" ht="15.75" customHeight="1">
      <c r="A2505" s="1">
        <v>2653.0</v>
      </c>
      <c r="B2505" s="3" t="s">
        <v>2467</v>
      </c>
      <c r="C2505" s="3" t="str">
        <f>IFERROR(__xludf.DUMMYFUNCTION("GOOGLETRANSLATE(B2505,""id"",""en"")"),"['signal', 'bad', 'rain', 'signal', 'missing']")</f>
        <v>['signal', 'bad', 'rain', 'signal', 'missing']</v>
      </c>
      <c r="D2505" s="3">
        <v>1.0</v>
      </c>
    </row>
    <row r="2506" ht="15.75" customHeight="1">
      <c r="A2506" s="1">
        <v>2654.0</v>
      </c>
      <c r="B2506" s="3" t="s">
        <v>2468</v>
      </c>
      <c r="C2506" s="3" t="str">
        <f>IFERROR(__xludf.DUMMYFUNCTION("GOOGLETRANSLATE(B2506,""id"",""en"")"),"['Choice', 'Package', 'Buy', 'Network', 'Error', 'Buy', 'Choice', 'Eliminate', '']")</f>
        <v>['Choice', 'Package', 'Buy', 'Network', 'Error', 'Buy', 'Choice', 'Eliminate', '']</v>
      </c>
      <c r="D2506" s="3">
        <v>1.0</v>
      </c>
    </row>
    <row r="2507" ht="15.75" customHeight="1">
      <c r="A2507" s="1">
        <v>2655.0</v>
      </c>
      <c r="B2507" s="3" t="s">
        <v>2469</v>
      </c>
      <c r="C2507" s="3" t="str">
        <f>IFERROR(__xludf.DUMMYFUNCTION("GOOGLETRANSLATE(B2507,""id"",""en"")"),"['Ayooo', 'love', 'branch', 'application', 'star', 'admin', 'corruption', 'continued', 'quota', 'expensive', 'signal', 'price', ' cheap ',' conscious', 'totol', 'fortuneness',' village ',' cuman ',' telkomsel ',' entry ',' card ',' sudik ',' makai ',' tel"&amp;"komsel ',' auto ' , 'Change', 'card', 'kek', 'card', 'next door', 'quota', 'price', 'cheap', 'network', 'stable', 'rich', ""]")</f>
        <v>['Ayooo', 'love', 'branch', 'application', 'star', 'admin', 'corruption', 'continued', 'quota', 'expensive', 'signal', 'price', ' cheap ',' conscious', 'totol', 'fortuneness',' village ',' cuman ',' telkomsel ',' entry ',' card ',' sudik ',' makai ',' telkomsel ',' auto ' , 'Change', 'card', 'kek', 'card', 'next door', 'quota', 'price', 'cheap', 'network', 'stable', 'rich', "]</v>
      </c>
      <c r="D2507" s="3">
        <v>1.0</v>
      </c>
    </row>
    <row r="2508" ht="15.75" customHeight="1">
      <c r="A2508" s="1">
        <v>2656.0</v>
      </c>
      <c r="B2508" s="3" t="s">
        <v>2470</v>
      </c>
      <c r="C2508" s="3" t="str">
        <f>IFERROR(__xludf.DUMMYFUNCTION("GOOGLETRANSLATE(B2508,""id"",""en"")"),"['Hopefully', 'gift', 'Telkomsel', 'Points']")</f>
        <v>['Hopefully', 'gift', 'Telkomsel', 'Points']</v>
      </c>
      <c r="D2508" s="3">
        <v>4.0</v>
      </c>
    </row>
    <row r="2509" ht="15.75" customHeight="1">
      <c r="A2509" s="1">
        <v>2657.0</v>
      </c>
      <c r="B2509" s="3" t="s">
        <v>2471</v>
      </c>
      <c r="C2509" s="3" t="str">
        <f>IFERROR(__xludf.DUMMYFUNCTION("GOOGLETRANSLATE(B2509,""id"",""en"")"),"['Telkom', 'sekrg', 'network', 'sgt', 'ugly', 'ngegame', 'feeling', 'good', 'already', 'kayak', 'use', 'ugly', ' Play ',' Please ',' Telkomsel ',' Fix ',' Network ']")</f>
        <v>['Telkom', 'sekrg', 'network', 'sgt', 'ugly', 'ngegame', 'feeling', 'good', 'already', 'kayak', 'use', 'ugly', ' Play ',' Please ',' Telkomsel ',' Fix ',' Network ']</v>
      </c>
      <c r="D2509" s="3">
        <v>2.0</v>
      </c>
    </row>
    <row r="2510" ht="15.75" customHeight="1">
      <c r="A2510" s="1">
        <v>2658.0</v>
      </c>
      <c r="B2510" s="3" t="s">
        <v>2472</v>
      </c>
      <c r="C2510" s="3" t="str">
        <f>IFERROR(__xludf.DUMMYFUNCTION("GOOGLETRANSLATE(B2510,""id"",""en"")"),"['Application', 'Useful', 'really']")</f>
        <v>['Application', 'Useful', 'really']</v>
      </c>
      <c r="D2510" s="3">
        <v>5.0</v>
      </c>
    </row>
    <row r="2511" ht="15.75" customHeight="1">
      <c r="A2511" s="1">
        <v>2659.0</v>
      </c>
      <c r="B2511" s="3" t="s">
        <v>2473</v>
      </c>
      <c r="C2511" s="3" t="str">
        <f>IFERROR(__xludf.DUMMYFUNCTION("GOOGLETRANSLATE(B2511,""id"",""en"")"),"['knp', 'Telkomsel', 'performance', 'tidaj', 'yaa', 'contents', 'reset', 'quota', 'lemott', 'really', 'pdhl', 'full' quota ',' pny ',' business', 'sell', 'kyk', 'inu', 'troubles',' skali ',' open ',' lemoth ',' bner ',' deh ']")</f>
        <v>['knp', 'Telkomsel', 'performance', 'tidaj', 'yaa', 'contents', 'reset', 'quota', 'lemott', 'really', 'pdhl', 'full' quota ',' pny ',' business', 'sell', 'kyk', 'inu', 'troubles',' skali ',' open ',' lemoth ',' bner ',' deh ']</v>
      </c>
      <c r="D2511" s="3">
        <v>1.0</v>
      </c>
    </row>
    <row r="2512" ht="15.75" customHeight="1">
      <c r="A2512" s="1">
        <v>2660.0</v>
      </c>
      <c r="B2512" s="3" t="s">
        <v>2474</v>
      </c>
      <c r="C2512" s="3" t="str">
        <f>IFERROR(__xludf.DUMMYFUNCTION("GOOGLETRANSLATE(B2512,""id"",""en"")"),"['Disappointed', 'quota', 'open', 'Facebook', 'slow', 'forgiveness',' signal ',' good ',' network ',' continuous', 'move', 'replace', ' cards', 'posts',' reviews', 'Males',' love ',' star ']")</f>
        <v>['Disappointed', 'quota', 'open', 'Facebook', 'slow', 'forgiveness',' signal ',' good ',' network ',' continuous', 'move', 'replace', ' cards', 'posts',' reviews', 'Males',' love ',' star ']</v>
      </c>
      <c r="D2512" s="3">
        <v>1.0</v>
      </c>
    </row>
    <row r="2513" ht="15.75" customHeight="1">
      <c r="A2513" s="1">
        <v>2661.0</v>
      </c>
      <c r="B2513" s="3" t="s">
        <v>2475</v>
      </c>
      <c r="C2513" s="3" t="str">
        <f>IFERROR(__xludf.DUMMYFUNCTION("GOOGLETRANSLATE(B2513,""id"",""en"")"),"['Steady', 'Network', 'Stable', 'Where', '']")</f>
        <v>['Steady', 'Network', 'Stable', 'Where', '']</v>
      </c>
      <c r="D2513" s="3">
        <v>5.0</v>
      </c>
    </row>
    <row r="2514" ht="15.75" customHeight="1">
      <c r="A2514" s="1">
        <v>2662.0</v>
      </c>
      <c r="B2514" s="3" t="s">
        <v>2476</v>
      </c>
      <c r="C2514" s="3" t="str">
        <f>IFERROR(__xludf.DUMMYFUNCTION("GOOGLETRANSLATE(B2514,""id"",""en"")"),"['signal', 'taste', 'experience', 'price', 'package', 'buy', 'rb', 'quality', 'rb', '']")</f>
        <v>['signal', 'taste', 'experience', 'price', 'package', 'buy', 'rb', 'quality', 'rb', '']</v>
      </c>
      <c r="D2514" s="3">
        <v>1.0</v>
      </c>
    </row>
    <row r="2515" ht="15.75" customHeight="1">
      <c r="A2515" s="1">
        <v>2663.0</v>
      </c>
      <c r="B2515" s="3" t="s">
        <v>2477</v>
      </c>
      <c r="C2515" s="3" t="str">
        <f>IFERROR(__xludf.DUMMYFUNCTION("GOOGLETRANSLATE(B2515,""id"",""en"")"),"['Enter', 'account', 'Wait', 'Message', 'already', 'sent', 'reading', 'enter', 'Telkomsel', 'already', 'package', 'expensive', ' Telkomsel ',' Mampus', 'Rating', 'Bagusin', 'Jing', 'Enter']")</f>
        <v>['Enter', 'account', 'Wait', 'Message', 'already', 'sent', 'reading', 'enter', 'Telkomsel', 'already', 'package', 'expensive', ' Telkomsel ',' Mampus', 'Rating', 'Bagusin', 'Jing', 'Enter']</v>
      </c>
      <c r="D2515" s="3">
        <v>1.0</v>
      </c>
    </row>
    <row r="2516" ht="15.75" customHeight="1">
      <c r="A2516" s="1">
        <v>2664.0</v>
      </c>
      <c r="B2516" s="3" t="s">
        <v>2478</v>
      </c>
      <c r="C2516" s="3" t="str">
        <f>IFERROR(__xludf.DUMMYFUNCTION("GOOGLETRANSLATE(B2516,""id"",""en"")"),"['bad', 'worst', 'solution', 'told', 'ngadu', 'robot', 'system', 'tetep', 'bad', 'signal', 'watch', 'YouTube', ' Muter ',' Rich ',' Gangsing ',' Pay ',' Monthly ',' TPI ',' Loss']")</f>
        <v>['bad', 'worst', 'solution', 'told', 'ngadu', 'robot', 'system', 'tetep', 'bad', 'signal', 'watch', 'YouTube', ' Muter ',' Rich ',' Gangsing ',' Pay ',' Monthly ',' TPI ',' Loss']</v>
      </c>
      <c r="D2516" s="3">
        <v>1.0</v>
      </c>
    </row>
    <row r="2517" ht="15.75" customHeight="1">
      <c r="A2517" s="1">
        <v>2665.0</v>
      </c>
      <c r="B2517" s="3" t="s">
        <v>2479</v>
      </c>
      <c r="C2517" s="3" t="str">
        <f>IFERROR(__xludf.DUMMYFUNCTION("GOOGLETRANSLATE(B2517,""id"",""en"")"),"['Please', 'Telkomsel', 'hand', 'signal', 'ilang', 'arising', 'already', 'month', 'gini', 'continued', 'klok', 'finished', ' Jangnkan ',' bintag ',' cave ',' kasi ',' bintag ',' kalok ', ""]")</f>
        <v>['Please', 'Telkomsel', 'hand', 'signal', 'ilang', 'arising', 'already', 'month', 'gini', 'continued', 'klok', 'finished', ' Jangnkan ',' bintag ',' cave ',' kasi ',' bintag ',' kalok ', "]</v>
      </c>
      <c r="D2517" s="3">
        <v>1.0</v>
      </c>
    </row>
    <row r="2518" ht="15.75" customHeight="1">
      <c r="A2518" s="1">
        <v>2666.0</v>
      </c>
      <c r="B2518" s="3" t="s">
        <v>2480</v>
      </c>
      <c r="C2518" s="3" t="str">
        <f>IFERROR(__xludf.DUMMYFUNCTION("GOOGLETRANSLATE(B2518,""id"",""en"")"),"['card', 'Hello', 'smooth', 'rich', 'gini', 'quota', 'already', 'week', 'network', 'no', 'used', 'package', ' expensive ',' network ',' slow ',' quota ',' no ']")</f>
        <v>['card', 'Hello', 'smooth', 'rich', 'gini', 'quota', 'already', 'week', 'network', 'no', 'used', 'package', ' expensive ',' network ',' slow ',' quota ',' no ']</v>
      </c>
      <c r="D2518" s="3">
        <v>1.0</v>
      </c>
    </row>
    <row r="2519" ht="15.75" customHeight="1">
      <c r="A2519" s="1">
        <v>2667.0</v>
      </c>
      <c r="B2519" s="3" t="s">
        <v>2481</v>
      </c>
      <c r="C2519" s="3" t="str">
        <f>IFERROR(__xludf.DUMMYFUNCTION("GOOGLETRANSLATE(B2519,""id"",""en"")"),"['', 'Telkomsel', 'satisfying', 'promo', 'love', 'mytelkomsel']")</f>
        <v>['', 'Telkomsel', 'satisfying', 'promo', 'love', 'mytelkomsel']</v>
      </c>
      <c r="D2519" s="3">
        <v>5.0</v>
      </c>
    </row>
    <row r="2520" ht="15.75" customHeight="1">
      <c r="A2520" s="1">
        <v>2668.0</v>
      </c>
      <c r="B2520" s="3" t="s">
        <v>2482</v>
      </c>
      <c r="C2520" s="3" t="str">
        <f>IFERROR(__xludf.DUMMYFUNCTION("GOOGLETRANSLATE(B2520,""id"",""en"")"),"['Application', 'easy', 'features', 'Not bad', 'complete']")</f>
        <v>['Application', 'easy', 'features', 'Not bad', 'complete']</v>
      </c>
      <c r="D2520" s="3">
        <v>4.0</v>
      </c>
    </row>
    <row r="2521" ht="15.75" customHeight="1">
      <c r="A2521" s="1">
        <v>2669.0</v>
      </c>
      <c r="B2521" s="3" t="s">
        <v>2483</v>
      </c>
      <c r="C2521" s="3" t="str">
        <f>IFERROR(__xludf.DUMMYFUNCTION("GOOGLETRANSLATE(B2521,""id"",""en"")"),"['APL', 'Useful', 'Liat', 'Quota', 'Buy', 'Paketan', 'APL', 'SKLI', 'Message', 'Yng', 'Enter', 'GPP', ' Telkomsel ',' buy ',' quota ',' internet ',' jdi ',' klian ',' app ',' Telkomsel ',' okay ',' suggestion ',' dri ',' bye ',' byee ' ]")</f>
        <v>['APL', 'Useful', 'Liat', 'Quota', 'Buy', 'Paketan', 'APL', 'SKLI', 'Message', 'Yng', 'Enter', 'GPP', ' Telkomsel ',' buy ',' quota ',' internet ',' jdi ',' klian ',' app ',' Telkomsel ',' okay ',' suggestion ',' dri ',' bye ',' byee ' ]</v>
      </c>
      <c r="D2521" s="3">
        <v>5.0</v>
      </c>
    </row>
    <row r="2522" ht="15.75" customHeight="1">
      <c r="A2522" s="1">
        <v>2670.0</v>
      </c>
      <c r="B2522" s="3" t="s">
        <v>2484</v>
      </c>
      <c r="C2522" s="3" t="str">
        <f>IFERROR(__xludf.DUMMYFUNCTION("GOOGLETRANSLATE(B2522,""id"",""en"")"),"['heavy', 'APK', 'Seed', '']")</f>
        <v>['heavy', 'APK', 'Seed', '']</v>
      </c>
      <c r="D2522" s="3">
        <v>1.0</v>
      </c>
    </row>
    <row r="2523" ht="15.75" customHeight="1">
      <c r="A2523" s="1">
        <v>2671.0</v>
      </c>
      <c r="B2523" s="3" t="s">
        <v>2485</v>
      </c>
      <c r="C2523" s="3" t="str">
        <f>IFERROR(__xludf.DUMMYFUNCTION("GOOGLETRANSLATE(B2523,""id"",""en"")"),"['APK', 'White', 'SSCREEN', 'already', 'Uninstall', 'Download', 'Tetep']")</f>
        <v>['APK', 'White', 'SSCREEN', 'already', 'Uninstall', 'Download', 'Tetep']</v>
      </c>
      <c r="D2523" s="3">
        <v>1.0</v>
      </c>
    </row>
    <row r="2524" ht="15.75" customHeight="1">
      <c r="A2524" s="1">
        <v>2672.0</v>
      </c>
      <c r="B2524" s="3" t="s">
        <v>2486</v>
      </c>
      <c r="C2524" s="3" t="str">
        <f>IFERROR(__xludf.DUMMYFUNCTION("GOOGLETRANSLATE(B2524,""id"",""en"")"),"['Sanagat', 'Easy', 'Thank you', 'Tekomsel']")</f>
        <v>['Sanagat', 'Easy', 'Thank you', 'Tekomsel']</v>
      </c>
      <c r="D2524" s="3">
        <v>4.0</v>
      </c>
    </row>
    <row r="2525" ht="15.75" customHeight="1">
      <c r="A2525" s="1">
        <v>2673.0</v>
      </c>
      <c r="B2525" s="3" t="s">
        <v>2487</v>
      </c>
      <c r="C2525" s="3" t="str">
        <f>IFERROR(__xludf.DUMMYFUNCTION("GOOGLETRANSLATE(B2525,""id"",""en"")"),"['Disappointed', 'Network', 'Ngelag', 'Bngst', 'Package', 'Expensive', 'Severe', 'Nyet', ""]")</f>
        <v>['Disappointed', 'Network', 'Ngelag', 'Bngst', 'Package', 'Expensive', 'Severe', 'Nyet', "]</v>
      </c>
      <c r="D2525" s="3">
        <v>1.0</v>
      </c>
    </row>
    <row r="2526" ht="15.75" customHeight="1">
      <c r="A2526" s="1">
        <v>2674.0</v>
      </c>
      <c r="B2526" s="3" t="s">
        <v>2488</v>
      </c>
      <c r="C2526" s="3" t="str">
        <f>IFERROR(__xludf.DUMMYFUNCTION("GOOGLETRANSLATE(B2526,""id"",""en"")"),"['Package', 'quota', 'expensive', 'signal', 'BERES']")</f>
        <v>['Package', 'quota', 'expensive', 'signal', 'BERES']</v>
      </c>
      <c r="D2526" s="3">
        <v>1.0</v>
      </c>
    </row>
    <row r="2527" ht="15.75" customHeight="1">
      <c r="A2527" s="1">
        <v>2675.0</v>
      </c>
      <c r="B2527" s="3" t="s">
        <v>2489</v>
      </c>
      <c r="C2527" s="3" t="str">
        <f>IFERROR(__xludf.DUMMYFUNCTION("GOOGLETRANSLATE(B2527,""id"",""en"")"),"['Disappointed', 'Bangett', 'Ama', 'Telkomsel', 'buy', 'pulse', 'buy', 'quota', 'lap', 'main', 'pulse', 'syaa', ' Teria ',' Please ',' Telkomsel ',' Restore ',' Credit ',' ']")</f>
        <v>['Disappointed', 'Bangett', 'Ama', 'Telkomsel', 'buy', 'pulse', 'buy', 'quota', 'lap', 'main', 'pulse', 'syaa', ' Teria ',' Please ',' Telkomsel ',' Restore ',' Credit ',' ']</v>
      </c>
      <c r="D2527" s="3">
        <v>1.0</v>
      </c>
    </row>
    <row r="2528" ht="15.75" customHeight="1">
      <c r="A2528" s="1">
        <v>2677.0</v>
      </c>
      <c r="B2528" s="3" t="s">
        <v>2490</v>
      </c>
      <c r="C2528" s="3" t="str">
        <f>IFERROR(__xludf.DUMMYFUNCTION("GOOGLETRANSLATE(B2528,""id"",""en"")"),"['Please', 'Telkomsel', 'block', 'site', 'brwser', 'watch', 'anime', 'writing', 'internet', 'age', 'th "",' Ngatur ',' typing ',' animeid ',' contents', 'anime', 'porn', 'racist', 'suggestion', 'pretentious',' keep ',' krna ',' make it difficult ',' watch"&amp;" ' , 'porn', 'watch', 'pakek', 'application', 'third', 'mixed', 'affairs', 'bright', 'disappointed']")</f>
        <v>['Please', 'Telkomsel', 'block', 'site', 'brwser', 'watch', 'anime', 'writing', 'internet', 'age', 'th ",' Ngatur ',' typing ',' animeid ',' contents', 'anime', 'porn', 'racist', 'suggestion', 'pretentious',' keep ',' krna ',' make it difficult ',' watch ' , 'porn', 'watch', 'pakek', 'application', 'third', 'mixed', 'affairs', 'bright', 'disappointed']</v>
      </c>
      <c r="D2528" s="3">
        <v>1.0</v>
      </c>
    </row>
    <row r="2529" ht="15.75" customHeight="1">
      <c r="A2529" s="1">
        <v>2678.0</v>
      </c>
      <c r="B2529" s="3" t="s">
        <v>2491</v>
      </c>
      <c r="C2529" s="3" t="str">
        <f>IFERROR(__xludf.DUMMYFUNCTION("GOOGLETRANSLATE(B2529,""id"",""en"")"),"['network', 'full', 'slow', 'response', 'slow', 'already', 'times', 'kagak', 'response', 'munkin', 'network', 'lag']")</f>
        <v>['network', 'full', 'slow', 'response', 'slow', 'already', 'times', 'kagak', 'response', 'munkin', 'network', 'lag']</v>
      </c>
      <c r="D2529" s="3">
        <v>1.0</v>
      </c>
    </row>
    <row r="2530" ht="15.75" customHeight="1">
      <c r="A2530" s="1">
        <v>2679.0</v>
      </c>
      <c r="B2530" s="3" t="s">
        <v>2492</v>
      </c>
      <c r="C2530" s="3" t="str">
        <f>IFERROR(__xludf.DUMMYFUNCTION("GOOGLETRANSLATE(B2530,""id"",""en"")"),"['easy', 'according to', 'Harapkn']")</f>
        <v>['easy', 'according to', 'Harapkn']</v>
      </c>
      <c r="D2530" s="3">
        <v>5.0</v>
      </c>
    </row>
    <row r="2531" ht="15.75" customHeight="1">
      <c r="A2531" s="1">
        <v>2680.0</v>
      </c>
      <c r="B2531" s="3" t="s">
        <v>2493</v>
      </c>
      <c r="C2531" s="3" t="str">
        <f>IFERROR(__xludf.DUMMYFUNCTION("GOOGLETRANSLATE(B2531,""id"",""en"")"),"['Steady', 'The application', 'ngambit']")</f>
        <v>['Steady', 'The application', 'ngambit']</v>
      </c>
      <c r="D2531" s="3">
        <v>5.0</v>
      </c>
    </row>
    <row r="2532" ht="15.75" customHeight="1">
      <c r="A2532" s="1">
        <v>2681.0</v>
      </c>
      <c r="B2532" s="3" t="s">
        <v>2494</v>
      </c>
      <c r="C2532" s="3" t="str">
        <f>IFERROR(__xludf.DUMMYFUNCTION("GOOGLETRANSLATE(B2532,""id"",""en"")"),"['sympathy', 'steady']")</f>
        <v>['sympathy', 'steady']</v>
      </c>
      <c r="D2532" s="3">
        <v>5.0</v>
      </c>
    </row>
    <row r="2533" ht="15.75" customHeight="1">
      <c r="A2533" s="1">
        <v>2682.0</v>
      </c>
      <c r="B2533" s="3" t="s">
        <v>2495</v>
      </c>
      <c r="C2533" s="3" t="str">
        <f>IFERROR(__xludf.DUMMYFUNCTION("GOOGLETRANSLATE(B2533,""id"",""en"")"),"['Sometimes', 'Sometimes', 'Klemot', 'Signal', 'dizzy']")</f>
        <v>['Sometimes', 'Sometimes', 'Klemot', 'Signal', 'dizzy']</v>
      </c>
      <c r="D2533" s="3">
        <v>5.0</v>
      </c>
    </row>
    <row r="2534" ht="15.75" customHeight="1">
      <c r="A2534" s="1">
        <v>2683.0</v>
      </c>
      <c r="B2534" s="3" t="s">
        <v>2496</v>
      </c>
      <c r="C2534" s="3" t="str">
        <f>IFERROR(__xludf.DUMMYFUNCTION("GOOGLETRANSLATE(B2534,""id"",""en"")"),"['bad network', '']")</f>
        <v>['bad network', '']</v>
      </c>
      <c r="D2534" s="3">
        <v>1.0</v>
      </c>
    </row>
    <row r="2535" ht="15.75" customHeight="1">
      <c r="A2535" s="1">
        <v>2685.0</v>
      </c>
      <c r="B2535" s="3" t="s">
        <v>2497</v>
      </c>
      <c r="C2535" s="3" t="str">
        <f>IFERROR(__xludf.DUMMYFUNCTION("GOOGLETRANSLATE(B2535,""id"",""en"")"),"['Main', 'game', 'stable']")</f>
        <v>['Main', 'game', 'stable']</v>
      </c>
      <c r="D2535" s="3">
        <v>1.0</v>
      </c>
    </row>
    <row r="2536" ht="15.75" customHeight="1">
      <c r="A2536" s="1">
        <v>2686.0</v>
      </c>
      <c r="B2536" s="3" t="s">
        <v>2498</v>
      </c>
      <c r="C2536" s="3" t="str">
        <f>IFERROR(__xludf.DUMMYFUNCTION("GOOGLETRANSLATE(B2536,""id"",""en"")"),"['signal', 'bad', 'suits', 'price']")</f>
        <v>['signal', 'bad', 'suits', 'price']</v>
      </c>
      <c r="D2536" s="3">
        <v>1.0</v>
      </c>
    </row>
    <row r="2537" ht="15.75" customHeight="1">
      <c r="A2537" s="1">
        <v>2687.0</v>
      </c>
      <c r="B2537" s="3" t="s">
        <v>2499</v>
      </c>
      <c r="C2537" s="3" t="str">
        <f>IFERROR(__xludf.DUMMYFUNCTION("GOOGLETRANSLATE(B2537,""id"",""en"")"),"['quota', 'main', 'severe', 'really', 'price', 'expensive', 'quality', 'lie to', 'consumer']")</f>
        <v>['quota', 'main', 'severe', 'really', 'price', 'expensive', 'quality', 'lie to', 'consumer']</v>
      </c>
      <c r="D2537" s="3">
        <v>1.0</v>
      </c>
    </row>
    <row r="2538" ht="15.75" customHeight="1">
      <c r="A2538" s="1">
        <v>2688.0</v>
      </c>
      <c r="B2538" s="3" t="s">
        <v>2500</v>
      </c>
      <c r="C2538" s="3" t="str">
        <f>IFERROR(__xludf.DUMMYFUNCTION("GOOGLETRANSLATE(B2538,""id"",""en"")"),"['quota', 'omg', 'watch', 'just' just 'watch', 'yutub', 'clock', 'quota', 'main', 'sumps',' quota ',' watch ',' intact ',' whole ',' Sodara ',' quota ',' watch ',' What ',' Telkom ',' cell ',' Dear ',' Display ']")</f>
        <v>['quota', 'omg', 'watch', 'just' just 'watch', 'yutub', 'clock', 'quota', 'main', 'sumps',' quota ',' watch ',' intact ',' whole ',' Sodara ',' quota ',' watch ',' What ',' Telkom ',' cell ',' Dear ',' Display ']</v>
      </c>
      <c r="D2538" s="3">
        <v>1.0</v>
      </c>
    </row>
    <row r="2539" ht="15.75" customHeight="1">
      <c r="A2539" s="1">
        <v>2689.0</v>
      </c>
      <c r="B2539" s="3" t="s">
        <v>2501</v>
      </c>
      <c r="C2539" s="3" t="str">
        <f>IFERROR(__xludf.DUMMYFUNCTION("GOOGLETRANSLATE(B2539,""id"",""en"")"),"['JRANKAN', 'Telkomsel', 'JRINGAN', 'Slow', 'Emotion', 'Play', 'Game', 'Ajh', 'Mengelek', 'Kyk', 'GTU', 'Changing', ' Jarran ',' ugly ',' please ',' fix ',' in the future ',' lgi ', ""]")</f>
        <v>['JRANKAN', 'Telkomsel', 'JRINGAN', 'Slow', 'Emotion', 'Play', 'Game', 'Ajh', 'Mengelek', 'Kyk', 'GTU', 'Changing', ' Jarran ',' ugly ',' please ',' fix ',' in the future ',' lgi ', "]</v>
      </c>
      <c r="D2539" s="3">
        <v>1.0</v>
      </c>
    </row>
    <row r="2540" ht="15.75" customHeight="1">
      <c r="A2540" s="1">
        <v>2690.0</v>
      </c>
      <c r="B2540" s="3" t="s">
        <v>2502</v>
      </c>
      <c r="C2540" s="3" t="str">
        <f>IFERROR(__xludf.DUMMYFUNCTION("GOOGLETRANSLATE(B2540,""id"",""en"")"),"['sympathy', 'slow', 'UDH', 'package', 'expensive', 'slow', 'network', 'lose', 'ama', 'network', 'sympathy']")</f>
        <v>['sympathy', 'slow', 'UDH', 'package', 'expensive', 'slow', 'network', 'lose', 'ama', 'network', 'sympathy']</v>
      </c>
      <c r="D2540" s="3">
        <v>1.0</v>
      </c>
    </row>
    <row r="2541" ht="15.75" customHeight="1">
      <c r="A2541" s="1">
        <v>2691.0</v>
      </c>
      <c r="B2541" s="3" t="s">
        <v>2503</v>
      </c>
      <c r="C2541" s="3" t="str">
        <f>IFERROR(__xludf.DUMMYFUNCTION("GOOGLETRANSLATE(B2541,""id"",""en"")"),"['Application', 'Multi']")</f>
        <v>['Application', 'Multi']</v>
      </c>
      <c r="D2541" s="3">
        <v>5.0</v>
      </c>
    </row>
    <row r="2542" ht="15.75" customHeight="1">
      <c r="A2542" s="1">
        <v>2692.0</v>
      </c>
      <c r="B2542" s="3" t="s">
        <v>2504</v>
      </c>
      <c r="C2542" s="3" t="str">
        <f>IFERROR(__xludf.DUMMYFUNCTION("GOOGLETRANSLATE(B2542,""id"",""en"")"),"['application', 'Telkomsel', 'slow', 'add to', 'number', 'log', 'out', 'many', 'times', 'enter', 'address']")</f>
        <v>['application', 'Telkomsel', 'slow', 'add to', 'number', 'log', 'out', 'many', 'times', 'enter', 'address']</v>
      </c>
      <c r="D2542" s="3">
        <v>1.0</v>
      </c>
    </row>
    <row r="2543" ht="15.75" customHeight="1">
      <c r="A2543" s="1">
        <v>2693.0</v>
      </c>
      <c r="B2543" s="3" t="s">
        <v>2505</v>
      </c>
      <c r="C2543" s="3" t="str">
        <f>IFERROR(__xludf.DUMMYFUNCTION("GOOGLETRANSLATE(B2543,""id"",""en"")"),"['Package', 'data', 'expensive', 'signal', 'slow', 'really', 'pdahl', 'dlu', 'smooth', 'disappointed', 'gini', 'mending', ' change', '']")</f>
        <v>['Package', 'data', 'expensive', 'signal', 'slow', 'really', 'pdahl', 'dlu', 'smooth', 'disappointed', 'gini', 'mending', ' change', '']</v>
      </c>
      <c r="D2543" s="3">
        <v>2.0</v>
      </c>
    </row>
    <row r="2544" ht="15.75" customHeight="1">
      <c r="A2544" s="1">
        <v>2694.0</v>
      </c>
      <c r="B2544" s="3" t="s">
        <v>2506</v>
      </c>
      <c r="C2544" s="3" t="str">
        <f>IFERROR(__xludf.DUMMYFUNCTION("GOOGLETRANSLATE(B2544,""id"",""en"")"),"['Good', 'hope', 'in the future', 'dumped', 'rates']")</f>
        <v>['Good', 'hope', 'in the future', 'dumped', 'rates']</v>
      </c>
      <c r="D2544" s="3">
        <v>4.0</v>
      </c>
    </row>
    <row r="2545" ht="15.75" customHeight="1">
      <c r="A2545" s="1">
        <v>2695.0</v>
      </c>
      <c r="B2545" s="3" t="s">
        <v>2507</v>
      </c>
      <c r="C2545" s="3" t="str">
        <f>IFERROR(__xludf.DUMMYFUNCTION("GOOGLETRANSLATE(B2545,""id"",""en"")"),"['Love', 'Rating', 'Telkomseljaringan', 'Bad', 'Region', 'Padalarang', 'Sample']")</f>
        <v>['Love', 'Rating', 'Telkomseljaringan', 'Bad', 'Region', 'Padalarang', 'Sample']</v>
      </c>
      <c r="D2545" s="3">
        <v>2.0</v>
      </c>
    </row>
    <row r="2546" ht="15.75" customHeight="1">
      <c r="A2546" s="1">
        <v>2696.0</v>
      </c>
      <c r="B2546" s="3" t="s">
        <v>2508</v>
      </c>
      <c r="C2546" s="3" t="str">
        <f>IFERROR(__xludf.DUMMYFUNCTION("GOOGLETRANSLATE(B2546,""id"",""en"")"),"['Paketan', 'expensive', 'expensive', 'rude', '']")</f>
        <v>['Paketan', 'expensive', 'expensive', 'rude', '']</v>
      </c>
      <c r="D2546" s="3">
        <v>1.0</v>
      </c>
    </row>
    <row r="2547" ht="15.75" customHeight="1">
      <c r="A2547" s="1">
        <v>2698.0</v>
      </c>
      <c r="B2547" s="3" t="s">
        <v>2509</v>
      </c>
      <c r="C2547" s="3" t="str">
        <f>IFERROR(__xludf.DUMMYFUNCTION("GOOGLETRANSLATE(B2547,""id"",""en"")"),"['input', 'Telkomsel', 'please', 'package', 'package', 'active', 'already', 'run out', 'package', 'validity', 'buy', 'package', ' Weekly ',' Buy ',' Package ',' Monthly ',' Cut ',' Package ',' Monthly ',' What ',' Package ',' Already ',' Out ',' Preferred"&amp;" ',' Preferred ' , 'use', 'package', 'validated', 'disappointed', 'extra', 'no', 'ngeta', 'in', 'pulse', 'chick', 'how', '']")</f>
        <v>['input', 'Telkomsel', 'please', 'package', 'package', 'active', 'already', 'run out', 'package', 'validity', 'buy', 'package', ' Weekly ',' Buy ',' Package ',' Monthly ',' Cut ',' Package ',' Monthly ',' What ',' Package ',' Already ',' Out ',' Preferred ',' Preferred ' , 'use', 'package', 'validated', 'disappointed', 'extra', 'no', 'ngeta', 'in', 'pulse', 'chick', 'how', '']</v>
      </c>
      <c r="D2547" s="3">
        <v>1.0</v>
      </c>
    </row>
    <row r="2548" ht="15.75" customHeight="1">
      <c r="A2548" s="1">
        <v>2699.0</v>
      </c>
      <c r="B2548" s="3" t="s">
        <v>2510</v>
      </c>
      <c r="C2548" s="3" t="str">
        <f>IFERROR(__xludf.DUMMYFUNCTION("GOOGLETRANSLATE(B2548,""id"",""en"")"),"['Make it easier']")</f>
        <v>['Make it easier']</v>
      </c>
      <c r="D2548" s="3">
        <v>5.0</v>
      </c>
    </row>
    <row r="2549" ht="15.75" customHeight="1">
      <c r="A2549" s="1">
        <v>2701.0</v>
      </c>
      <c r="B2549" s="3" t="s">
        <v>2511</v>
      </c>
      <c r="C2549" s="3" t="str">
        <f>IFERROR(__xludf.DUMMYFUNCTION("GOOGLETRANSLATE(B2549,""id"",""en"")"),"['', 'KOQ', 'Choice', 'Unlimitid', '']")</f>
        <v>['', 'KOQ', 'Choice', 'Unlimitid', '']</v>
      </c>
      <c r="D2549" s="3">
        <v>5.0</v>
      </c>
    </row>
    <row r="2550" ht="15.75" customHeight="1">
      <c r="A2550" s="1">
        <v>2702.0</v>
      </c>
      <c r="B2550" s="3" t="s">
        <v>2512</v>
      </c>
      <c r="C2550" s="3" t="str">
        <f>IFERROR(__xludf.DUMMYFUNCTION("GOOGLETRANSLATE(B2550,""id"",""en"")"),"['card', 'Hallo', 'card', 'disappointed', 'regret', 'Telkomsel']")</f>
        <v>['card', 'Hallo', 'card', 'disappointed', 'regret', 'Telkomsel']</v>
      </c>
      <c r="D2550" s="3">
        <v>1.0</v>
      </c>
    </row>
    <row r="2551" ht="15.75" customHeight="1">
      <c r="A2551" s="1">
        <v>2703.0</v>
      </c>
      <c r="B2551" s="3" t="s">
        <v>2513</v>
      </c>
      <c r="C2551" s="3" t="str">
        <f>IFERROR(__xludf.DUMMYFUNCTION("GOOGLETRANSLATE(B2551,""id"",""en"")"),"['Tar', 'already', 'Network', 'Region', 'Kasi', 'Moho', 'Fix', 'Network', 'Internet', 'Region', 'Setabil', 'Wear', ' Telkomsel ']")</f>
        <v>['Tar', 'already', 'Network', 'Region', 'Kasi', 'Moho', 'Fix', 'Network', 'Internet', 'Region', 'Setabil', 'Wear', ' Telkomsel ']</v>
      </c>
      <c r="D2551" s="3">
        <v>1.0</v>
      </c>
    </row>
    <row r="2552" ht="15.75" customHeight="1">
      <c r="A2552" s="1">
        <v>2704.0</v>
      </c>
      <c r="B2552" s="3" t="s">
        <v>2514</v>
      </c>
      <c r="C2552" s="3" t="str">
        <f>IFERROR(__xludf.DUMMYFUNCTION("GOOGLETRANSLATE(B2552,""id"",""en"")"),"['hard', 'slow']")</f>
        <v>['hard', 'slow']</v>
      </c>
      <c r="D2552" s="3">
        <v>1.0</v>
      </c>
    </row>
    <row r="2553" ht="15.75" customHeight="1">
      <c r="A2553" s="1">
        <v>2706.0</v>
      </c>
      <c r="B2553" s="3" t="s">
        <v>2515</v>
      </c>
      <c r="C2553" s="3" t="str">
        <f>IFERROR(__xludf.DUMMYFUNCTION("GOOGLETRANSLATE(B2553,""id"",""en"")"),"['Ngerti', 'Ama', 'Telkomsel', 'already', 'mah', 'price', 'package', 'data', 'expensive', 'signal', 'kagak', 'stable', ' Disappointed ',' really ',' fix ',' price ',' according to ',' quality ',' ping ',' stable ',' like ',' drop ',' Mulu ',' strange ',' "&amp;"really ' ]")</f>
        <v>['Ngerti', 'Ama', 'Telkomsel', 'already', 'mah', 'price', 'package', 'data', 'expensive', 'signal', 'kagak', 'stable', ' Disappointed ',' really ',' fix ',' price ',' according to ',' quality ',' ping ',' stable ',' like ',' drop ',' Mulu ',' strange ',' really ' ]</v>
      </c>
      <c r="D2553" s="3">
        <v>1.0</v>
      </c>
    </row>
    <row r="2554" ht="15.75" customHeight="1">
      <c r="A2554" s="1">
        <v>2707.0</v>
      </c>
      <c r="B2554" s="3" t="s">
        <v>2516</v>
      </c>
      <c r="C2554" s="3" t="str">
        <f>IFERROR(__xludf.DUMMYFUNCTION("GOOGLETRANSLATE(B2554,""id"",""en"")"),"['', 'deh', 'hope', 'signal', 'lose', 'wifi']")</f>
        <v>['', 'deh', 'hope', 'signal', 'lose', 'wifi']</v>
      </c>
      <c r="D2554" s="3">
        <v>5.0</v>
      </c>
    </row>
    <row r="2555" ht="15.75" customHeight="1">
      <c r="A2555" s="1">
        <v>2708.0</v>
      </c>
      <c r="B2555" s="3" t="s">
        <v>2517</v>
      </c>
      <c r="C2555" s="3" t="str">
        <f>IFERROR(__xludf.DUMMYFUNCTION("GOOGLETRANSLATE(B2555,""id"",""en"")"),"['Okay', 'Pay']")</f>
        <v>['Okay', 'Pay']</v>
      </c>
      <c r="D2555" s="3">
        <v>5.0</v>
      </c>
    </row>
    <row r="2556" ht="15.75" customHeight="1">
      <c r="A2556" s="1">
        <v>2709.0</v>
      </c>
      <c r="B2556" s="3" t="s">
        <v>2518</v>
      </c>
      <c r="C2556" s="3" t="str">
        <f>IFERROR(__xludf.DUMMYFUNCTION("GOOGLETRANSLATE(B2556,""id"",""en"")"),"['Sush', 'download']")</f>
        <v>['Sush', 'download']</v>
      </c>
      <c r="D2556" s="3">
        <v>1.0</v>
      </c>
    </row>
    <row r="2557" ht="15.75" customHeight="1">
      <c r="A2557" s="1">
        <v>2710.0</v>
      </c>
      <c r="B2557" s="3" t="s">
        <v>2519</v>
      </c>
      <c r="C2557" s="3" t="str">
        <f>IFERROR(__xludf.DUMMYFUNCTION("GOOGLETRANSLATE(B2557,""id"",""en"")"),"['Try', 'signal', 'lag', 'parahhh', 'quota', 'signal', 'ilang', 'number', 'please', 'fix', 'min', 'smpe', ' Gnti ',' card ']")</f>
        <v>['Try', 'signal', 'lag', 'parahhh', 'quota', 'signal', 'ilang', 'number', 'please', 'fix', 'min', 'smpe', ' Gnti ',' card ']</v>
      </c>
      <c r="D2557" s="3">
        <v>1.0</v>
      </c>
    </row>
    <row r="2558" ht="15.75" customHeight="1">
      <c r="A2558" s="1">
        <v>2711.0</v>
      </c>
      <c r="B2558" s="3" t="s">
        <v>2520</v>
      </c>
      <c r="C2558" s="3" t="str">
        <f>IFERROR(__xludf.DUMMYFUNCTION("GOOGLETRANSLATE(B2558,""id"",""en"")"),"['Nuker', 'Points', 'Diadain', 'Points', 'Points', 'Cave', 'Already', 'Exchanged', 'Bener', 'Ajjh', 'at "",' Keandan ',' HARD ',' Gini ',' Nuker ',' Points', 'Ajah', 'Ajah', 'Alesan', 'System', 'Busy', 'Exchange', 'Points',' Ajhh ',' Gembel ' , '']")</f>
        <v>['Nuker', 'Points', 'Diadain', 'Points', 'Points', 'Cave', 'Already', 'Exchanged', 'Bener', 'Ajjh', 'at ",' Keandan ',' HARD ',' Gini ',' Nuker ',' Points', 'Ajah', 'Ajah', 'Alesan', 'System', 'Busy', 'Exchange', 'Points',' Ajhh ',' Gembel ' , '']</v>
      </c>
      <c r="D2558" s="3">
        <v>1.0</v>
      </c>
    </row>
    <row r="2559" ht="15.75" customHeight="1">
      <c r="A2559" s="1">
        <v>2712.0</v>
      </c>
      <c r="B2559" s="3" t="s">
        <v>2521</v>
      </c>
      <c r="C2559" s="3" t="str">
        <f>IFERROR(__xludf.DUMMYFUNCTION("GOOGLETRANSLATE(B2559,""id"",""en"")"),"['package', 'expensive', 'SMS', 'promo', 'told', 'check', 'application', 'promo', 'operator', 'hoax']")</f>
        <v>['package', 'expensive', 'SMS', 'promo', 'told', 'check', 'application', 'promo', 'operator', 'hoax']</v>
      </c>
      <c r="D2559" s="3">
        <v>1.0</v>
      </c>
    </row>
    <row r="2560" ht="15.75" customHeight="1">
      <c r="A2560" s="1">
        <v>2713.0</v>
      </c>
      <c r="B2560" s="3" t="s">
        <v>2522</v>
      </c>
      <c r="C2560" s="3" t="str">
        <f>IFERROR(__xludf.DUMMYFUNCTION("GOOGLETRANSLATE(B2560,""id"",""en"")"),"['Price', 'Changed', '']")</f>
        <v>['Price', 'Changed', '']</v>
      </c>
      <c r="D2560" s="3">
        <v>4.0</v>
      </c>
    </row>
    <row r="2561" ht="15.75" customHeight="1">
      <c r="A2561" s="1">
        <v>2714.0</v>
      </c>
      <c r="B2561" s="3" t="s">
        <v>2523</v>
      </c>
      <c r="C2561" s="3" t="str">
        <f>IFERROR(__xludf.DUMMYFUNCTION("GOOGLETRANSLATE(B2561,""id"",""en"")"),"['Please', 'Telkomsel', 'Fix', 'Network']")</f>
        <v>['Please', 'Telkomsel', 'Fix', 'Network']</v>
      </c>
      <c r="D2561" s="3">
        <v>1.0</v>
      </c>
    </row>
    <row r="2562" ht="15.75" customHeight="1">
      <c r="A2562" s="1">
        <v>2715.0</v>
      </c>
      <c r="B2562" s="3" t="s">
        <v>2524</v>
      </c>
      <c r="C2562" s="3" t="str">
        <f>IFERROR(__xludf.DUMMYFUNCTION("GOOGLETRANSLATE(B2562,""id"",""en"")"),"['woi', 'knpa', 'disorder', 'play', 'signal', 'sometimes',' lost ',' strange ',' bngt ',' already ',' buy ',' packetan ',' expensive ',' gini ',' then ',' mnding ',' price ',' package ',' collapsed ',' king ']")</f>
        <v>['woi', 'knpa', 'disorder', 'play', 'signal', 'sometimes',' lost ',' strange ',' bngt ',' already ',' buy ',' packetan ',' expensive ',' gini ',' then ',' mnding ',' price ',' package ',' collapsed ',' king ']</v>
      </c>
      <c r="D2562" s="3">
        <v>1.0</v>
      </c>
    </row>
    <row r="2563" ht="15.75" customHeight="1">
      <c r="A2563" s="1">
        <v>2716.0</v>
      </c>
      <c r="B2563" s="3" t="s">
        <v>2525</v>
      </c>
      <c r="C2563" s="3" t="str">
        <f>IFERROR(__xludf.DUMMYFUNCTION("GOOGLETRANSLATE(B2563,""id"",""en"")"),"['signal', 'Telkomsel', 'bad', 'Sexlian']")</f>
        <v>['signal', 'Telkomsel', 'bad', 'Sexlian']</v>
      </c>
      <c r="D2563" s="3">
        <v>3.0</v>
      </c>
    </row>
    <row r="2564" ht="15.75" customHeight="1">
      <c r="A2564" s="1">
        <v>2717.0</v>
      </c>
      <c r="B2564" s="3" t="s">
        <v>2526</v>
      </c>
      <c r="C2564" s="3" t="str">
        <f>IFERROR(__xludf.DUMMYFUNCTION("GOOGLETRANSLATE(B2564,""id"",""en"")"),"['why', 'yaa', 'take', 'package', 'sorry', 'disorder', 'hope', 'try', 'pdahal', 'already', 'update', 'already', ' Uninstall ',' Download ',' right ',' take ',' package ',' sorry ',' sdang ',' disorder ',' please ',' reason ',' knapa ',' bgitu ',' Telkomse"&amp;"l ' ]")</f>
        <v>['why', 'yaa', 'take', 'package', 'sorry', 'disorder', 'hope', 'try', 'pdahal', 'already', 'update', 'already', ' Uninstall ',' Download ',' right ',' take ',' package ',' sorry ',' sdang ',' disorder ',' please ',' reason ',' knapa ',' bgitu ',' Telkomsel ' ]</v>
      </c>
      <c r="D2564" s="3">
        <v>1.0</v>
      </c>
    </row>
    <row r="2565" ht="15.75" customHeight="1">
      <c r="A2565" s="1">
        <v>2718.0</v>
      </c>
      <c r="B2565" s="3" t="s">
        <v>2527</v>
      </c>
      <c r="C2565" s="3" t="str">
        <f>IFERROR(__xludf.DUMMYFUNCTION("GOOGLETRANSLATE(B2565,""id"",""en"")"),"['winner']")</f>
        <v>['winner']</v>
      </c>
      <c r="D2565" s="3">
        <v>4.0</v>
      </c>
    </row>
    <row r="2566" ht="15.75" customHeight="1">
      <c r="A2566" s="1">
        <v>2720.0</v>
      </c>
      <c r="B2566" s="3" t="s">
        <v>2528</v>
      </c>
      <c r="C2566" s="3" t="str">
        <f>IFERROR(__xludf.DUMMYFUNCTION("GOOGLETRANSLATE(B2566,""id"",""en"")"),"['Package', 'internet', 'buy', 'ilang', 'Mulu']")</f>
        <v>['Package', 'internet', 'buy', 'ilang', 'Mulu']</v>
      </c>
      <c r="D2566" s="3">
        <v>1.0</v>
      </c>
    </row>
    <row r="2567" ht="15.75" customHeight="1">
      <c r="A2567" s="1">
        <v>2721.0</v>
      </c>
      <c r="B2567" s="3" t="s">
        <v>2529</v>
      </c>
      <c r="C2567" s="3" t="str">
        <f>IFERROR(__xludf.DUMMYFUNCTION("GOOGLETRANSLATE(B2567,""id"",""en"")"),"['Please', 'Fix', 'Signal', 'Region', 'Bogor', 'Ngelag', 'Really', 'Main', 'Game', 'Online', 'Sis', ""]")</f>
        <v>['Please', 'Fix', 'Signal', 'Region', 'Bogor', 'Ngelag', 'Really', 'Main', 'Game', 'Online', 'Sis', "]</v>
      </c>
      <c r="D2567" s="3">
        <v>1.0</v>
      </c>
    </row>
    <row r="2568" ht="15.75" customHeight="1">
      <c r="A2568" s="1">
        <v>2723.0</v>
      </c>
      <c r="B2568" s="3" t="s">
        <v>2530</v>
      </c>
      <c r="C2568" s="3" t="str">
        <f>IFERROR(__xludf.DUMMYFUNCTION("GOOGLETRANSLATE(B2568,""id"",""en"")"),"['', 'Bintang', 'Heaven', 'Earth', 'Seisinya']")</f>
        <v>['', 'Bintang', 'Heaven', 'Earth', 'Seisinya']</v>
      </c>
      <c r="D2568" s="3">
        <v>5.0</v>
      </c>
    </row>
    <row r="2569" ht="15.75" customHeight="1">
      <c r="A2569" s="1">
        <v>2724.0</v>
      </c>
      <c r="B2569" s="3" t="s">
        <v>2531</v>
      </c>
      <c r="C2569" s="3" t="str">
        <f>IFERROR(__xludf.DUMMYFUNCTION("GOOGLETRANSLATE(B2569,""id"",""en"")"),"['Hopefully', 'Win', 'Lottery', 'Amin', 'Allah', 'Kepengen', 'Very', 'Motor', 'Hopefully', 'Can', 'Lottery', 'Motor', ' Bissmillah ']")</f>
        <v>['Hopefully', 'Win', 'Lottery', 'Amin', 'Allah', 'Kepengen', 'Very', 'Motor', 'Hopefully', 'Can', 'Lottery', 'Motor', ' Bissmillah ']</v>
      </c>
      <c r="D2569" s="3">
        <v>5.0</v>
      </c>
    </row>
    <row r="2570" ht="15.75" customHeight="1">
      <c r="A2570" s="1">
        <v>2725.0</v>
      </c>
      <c r="B2570" s="3" t="s">
        <v>2532</v>
      </c>
      <c r="C2570" s="3" t="str">
        <f>IFERROR(__xludf.DUMMYFUNCTION("GOOGLETRANSLATE(B2570,""id"",""en"")"),"['balance', 'link', 'truncated', 'package', 'active']")</f>
        <v>['balance', 'link', 'truncated', 'package', 'active']</v>
      </c>
      <c r="D2570" s="3">
        <v>1.0</v>
      </c>
    </row>
    <row r="2571" ht="15.75" customHeight="1">
      <c r="A2571" s="1">
        <v>2726.0</v>
      </c>
      <c r="B2571" s="3" t="s">
        <v>2533</v>
      </c>
      <c r="C2571" s="3" t="str">
        <f>IFERROR(__xludf.DUMMYFUNCTION("GOOGLETRANSLATE(B2571,""id"",""en"")"),"['Telkomsel', 'My village', 'Sousal', 'smooth', 'Jaya', 'Full', 'Difficult', 'Very', 'Sinyal', 'Slow', 'Severe', 'Thank you', ' Telkomsel ',' ']")</f>
        <v>['Telkomsel', 'My village', 'Sousal', 'smooth', 'Jaya', 'Full', 'Difficult', 'Very', 'Sinyal', 'Slow', 'Severe', 'Thank you', ' Telkomsel ',' ']</v>
      </c>
      <c r="D2571" s="3">
        <v>5.0</v>
      </c>
    </row>
    <row r="2572" ht="15.75" customHeight="1">
      <c r="A2572" s="1">
        <v>2727.0</v>
      </c>
      <c r="B2572" s="3" t="s">
        <v>2534</v>
      </c>
      <c r="C2572" s="3" t="str">
        <f>IFERROR(__xludf.DUMMYFUNCTION("GOOGLETRANSLATE(B2572,""id"",""en"")"),"['Kalok', 'intention', 'network', 'network', 'Telkomsel', 'base', 'Ank', 'Ngen']")</f>
        <v>['Kalok', 'intention', 'network', 'network', 'Telkomsel', 'base', 'Ank', 'Ngen']</v>
      </c>
      <c r="D2572" s="3">
        <v>1.0</v>
      </c>
    </row>
    <row r="2573" ht="15.75" customHeight="1">
      <c r="A2573" s="1">
        <v>2728.0</v>
      </c>
      <c r="B2573" s="3" t="s">
        <v>2535</v>
      </c>
      <c r="C2573" s="3" t="str">
        <f>IFERROR(__xludf.DUMMYFUNCTION("GOOGLETRANSLATE(B2573,""id"",""en"")"),"['Movers', 'The network', 'City', 'Leet']")</f>
        <v>['Movers', 'The network', 'City', 'Leet']</v>
      </c>
      <c r="D2573" s="3">
        <v>1.0</v>
      </c>
    </row>
    <row r="2574" ht="15.75" customHeight="1">
      <c r="A2574" s="1">
        <v>2730.0</v>
      </c>
      <c r="B2574" s="3" t="s">
        <v>2536</v>
      </c>
      <c r="C2574" s="3" t="str">
        <f>IFERROR(__xludf.DUMMYFUNCTION("GOOGLETRANSLATE(B2574,""id"",""en"")"),"['Telkomsel', 'heart', '']")</f>
        <v>['Telkomsel', 'heart', '']</v>
      </c>
      <c r="D2574" s="3">
        <v>5.0</v>
      </c>
    </row>
    <row r="2575" ht="15.75" customHeight="1">
      <c r="A2575" s="1">
        <v>2731.0</v>
      </c>
      <c r="B2575" s="3" t="s">
        <v>2537</v>
      </c>
      <c r="C2575" s="3" t="str">
        <f>IFERROR(__xludf.DUMMYFUNCTION("GOOGLETRANSLATE(B2575,""id"",""en"")"),"['Signal', 'BURIK', 'Anjeng', 'PKET', 'Expensive', 'Signal', 'Poor', 'Fix']")</f>
        <v>['Signal', 'BURIK', 'Anjeng', 'PKET', 'Expensive', 'Signal', 'Poor', 'Fix']</v>
      </c>
      <c r="D2575" s="3">
        <v>1.0</v>
      </c>
    </row>
    <row r="2576" ht="15.75" customHeight="1">
      <c r="A2576" s="1">
        <v>2732.0</v>
      </c>
      <c r="B2576" s="3" t="s">
        <v>2538</v>
      </c>
      <c r="C2576" s="3" t="str">
        <f>IFERROR(__xludf.DUMMYFUNCTION("GOOGLETRANSLATE(B2576,""id"",""en"")"),"['Telkomsel', 'package', 'data', 'expensive', 'shopting']")</f>
        <v>['Telkomsel', 'package', 'data', 'expensive', 'shopting']</v>
      </c>
      <c r="D2576" s="3">
        <v>1.0</v>
      </c>
    </row>
    <row r="2577" ht="15.75" customHeight="1">
      <c r="A2577" s="1">
        <v>2733.0</v>
      </c>
      <c r="B2577" s="3" t="s">
        <v>2539</v>
      </c>
      <c r="C2577" s="3" t="str">
        <f>IFERROR(__xludf.DUMMYFUNCTION("GOOGLETRANSLATE(B2577,""id"",""en"")"),"['Severe', 'network', 'survey', 'in the area', 'BTS', 'already', 'Over', 'problematic', 'package', 'expensive', 'service', 'cheap']")</f>
        <v>['Severe', 'network', 'survey', 'in the area', 'BTS', 'already', 'Over', 'problematic', 'package', 'expensive', 'service', 'cheap']</v>
      </c>
      <c r="D2577" s="3">
        <v>1.0</v>
      </c>
    </row>
    <row r="2578" ht="15.75" customHeight="1">
      <c r="A2578" s="1">
        <v>2734.0</v>
      </c>
      <c r="B2578" s="3" t="s">
        <v>2540</v>
      </c>
      <c r="C2578" s="3" t="str">
        <f>IFERROR(__xludf.DUMMYFUNCTION("GOOGLETRANSLATE(B2578,""id"",""en"")"),"['Telkomsel', 'Lose', 'Anyway', 'speed', 'dead', 'lights', 'slow']")</f>
        <v>['Telkomsel', 'Lose', 'Anyway', 'speed', 'dead', 'lights', 'slow']</v>
      </c>
      <c r="D2578" s="3">
        <v>3.0</v>
      </c>
    </row>
    <row r="2579" ht="15.75" customHeight="1">
      <c r="A2579" s="1">
        <v>2735.0</v>
      </c>
      <c r="B2579" s="3" t="s">
        <v>2541</v>
      </c>
      <c r="C2579" s="3" t="str">
        <f>IFERROR(__xludf.DUMMYFUNCTION("GOOGLETRANSLATE(B2579,""id"",""en"")"),"['Severe', 'Telkomsel', 'position', 'Jakarta', 'signal', 'package', 'slow', 'really', ""]")</f>
        <v>['Severe', 'Telkomsel', 'position', 'Jakarta', 'signal', 'package', 'slow', 'really', "]</v>
      </c>
      <c r="D2579" s="3">
        <v>1.0</v>
      </c>
    </row>
    <row r="2580" ht="15.75" customHeight="1">
      <c r="A2580" s="1">
        <v>2736.0</v>
      </c>
      <c r="B2580" s="3" t="s">
        <v>2542</v>
      </c>
      <c r="C2580" s="3" t="str">
        <f>IFERROR(__xludf.DUMMYFUNCTION("GOOGLETRANSLATE(B2580,""id"",""en"")"),"['Increases',' Service ',' Hopefully ',' Useful ',' User ',' Present ',' Package ',' Package ',' Internet ',' Friendly ',' Maintain ',' Quality ',' ']")</f>
        <v>['Increases',' Service ',' Hopefully ',' Useful ',' User ',' Present ',' Package ',' Package ',' Internet ',' Friendly ',' Maintain ',' Quality ',' ']</v>
      </c>
      <c r="D2580" s="3">
        <v>5.0</v>
      </c>
    </row>
    <row r="2581" ht="15.75" customHeight="1">
      <c r="A2581" s="1">
        <v>2737.0</v>
      </c>
      <c r="B2581" s="3" t="s">
        <v>2543</v>
      </c>
      <c r="C2581" s="3" t="str">
        <f>IFERROR(__xludf.DUMMYFUNCTION("GOOGLETRANSLATE(B2581,""id"",""en"")"),"['Kindai', 'price', 'expensive', 'network', 'lag', 'pliss', 'cheap', 'napa', 'multiply', 'unlimited', 'cheap']")</f>
        <v>['Kindai', 'price', 'expensive', 'network', 'lag', 'pliss', 'cheap', 'napa', 'multiply', 'unlimited', 'cheap']</v>
      </c>
      <c r="D2581" s="3">
        <v>1.0</v>
      </c>
    </row>
    <row r="2582" ht="15.75" customHeight="1">
      <c r="A2582" s="1">
        <v>2738.0</v>
      </c>
      <c r="B2582" s="3" t="s">
        <v>2544</v>
      </c>
      <c r="C2582" s="3" t="str">
        <f>IFERROR(__xludf.DUMMYFUNCTION("GOOGLETRANSLATE(B2582,""id"",""en"")"),"['Update', 'Stuck', 'Screen', 'White', '']")</f>
        <v>['Update', 'Stuck', 'Screen', 'White', '']</v>
      </c>
      <c r="D2582" s="3">
        <v>1.0</v>
      </c>
    </row>
    <row r="2583" ht="15.75" customHeight="1">
      <c r="A2583" s="1">
        <v>2739.0</v>
      </c>
      <c r="B2583" s="3" t="s">
        <v>2545</v>
      </c>
      <c r="C2583" s="3" t="str">
        <f>IFERROR(__xludf.DUMMYFUNCTION("GOOGLETRANSLATE(B2583,""id"",""en"")"),"['Mahalllll']")</f>
        <v>['Mahalllll']</v>
      </c>
      <c r="D2583" s="3">
        <v>1.0</v>
      </c>
    </row>
    <row r="2584" ht="15.75" customHeight="1">
      <c r="A2584" s="1">
        <v>2740.0</v>
      </c>
      <c r="B2584" s="3" t="s">
        <v>2546</v>
      </c>
      <c r="C2584" s="3" t="str">
        <f>IFERROR(__xludf.DUMMYFUNCTION("GOOGLETRANSLATE(B2584,""id"",""en"")"),"['Comfortable', 'card', 'Hello', '']")</f>
        <v>['Comfortable', 'card', 'Hello', '']</v>
      </c>
      <c r="D2584" s="3">
        <v>4.0</v>
      </c>
    </row>
    <row r="2585" ht="15.75" customHeight="1">
      <c r="A2585" s="1">
        <v>2741.0</v>
      </c>
      <c r="B2585" s="3" t="s">
        <v>2547</v>
      </c>
      <c r="C2585" s="3" t="str">
        <f>IFERROR(__xludf.DUMMYFUNCTION("GOOGLETRANSLATE(B2585,""id"",""en"")"),"['promo', 'interesting', 'package', 'already', 'buy', 'buy', 'mending', ""]")</f>
        <v>['promo', 'interesting', 'package', 'already', 'buy', 'buy', 'mending', "]</v>
      </c>
      <c r="D2585" s="3">
        <v>1.0</v>
      </c>
    </row>
    <row r="2586" ht="15.75" customHeight="1">
      <c r="A2586" s="1">
        <v>2742.0</v>
      </c>
      <c r="B2586" s="3" t="s">
        <v>2548</v>
      </c>
      <c r="C2586" s="3" t="str">
        <f>IFERROR(__xludf.DUMMYFUNCTION("GOOGLETRANSLATE(B2586,""id"",""en"")"),"['Check', 'Daily', 'MB', 'Pakek', 'Tigal', 'MB']")</f>
        <v>['Check', 'Daily', 'MB', 'Pakek', 'Tigal', 'MB']</v>
      </c>
      <c r="D2586" s="3">
        <v>1.0</v>
      </c>
    </row>
    <row r="2587" ht="15.75" customHeight="1">
      <c r="A2587" s="1">
        <v>2743.0</v>
      </c>
      <c r="B2587" s="3" t="s">
        <v>2549</v>
      </c>
      <c r="C2587" s="3" t="str">
        <f>IFERROR(__xludf.DUMMYFUNCTION("GOOGLETRANSLATE(B2587,""id"",""en"")"),"['', 'buy', 'quota', 'expensive', 'nickname', 'card', 'sultan', 'according to', 'fluency', 'internet', 'according to', 'hope', 'expensive ',' Doang ',' Wonder ',' Customer ',' Run ',' Competitors', 'Bener', 'Bener', 'Disappointed', 'Complaints',' Improvem"&amp;"ent ',' Shark ',' Ampe ', 'Berserk', 'wrath', 'because', 'burden', 'sea', 'condition', 'monotonous']")</f>
        <v>['', 'buy', 'quota', 'expensive', 'nickname', 'card', 'sultan', 'according to', 'fluency', 'internet', 'according to', 'hope', 'expensive ',' Doang ',' Wonder ',' Customer ',' Run ',' Competitors', 'Bener', 'Bener', 'Disappointed', 'Complaints',' Improvement ',' Shark ',' Ampe ', 'Berserk', 'wrath', 'because', 'burden', 'sea', 'condition', 'monotonous']</v>
      </c>
      <c r="D2587" s="3">
        <v>1.0</v>
      </c>
    </row>
    <row r="2588" ht="15.75" customHeight="1">
      <c r="A2588" s="1">
        <v>2744.0</v>
      </c>
      <c r="B2588" s="3" t="s">
        <v>2550</v>
      </c>
      <c r="C2588" s="3" t="str">
        <f>IFERROR(__xludf.DUMMYFUNCTION("GOOGLETRANSLATE(B2588,""id"",""en"")"),"['disgust', 'see', 'network', 'understand', 'rain', 'area', 'Jakarta', 'smooth', 'right', 'play', 'game', 'Maen', ' Game ',' mobile ',' Legend ',' Free ',' Fire ',' pub ',' missing ',' AJG ',' finished ',' play ',' game ',' scroll ',' Tiktok ' , 'missing'"&amp;", 'like', 'deliberate', 'really', 'rank', 'decreases',' tomorrow ',' tomorrow ',' mending ',' operator ',' DHLH ',' expensive ',' Play ',' Game ',' Network ',' Lost ',' Mending ',' Operator ',' Next ',' Cheap ',' Network ',' Good ',' Stable ',' Lost ',' O"&amp;"tw ' , 'Uninstall', 'APK', 'Card', 'Operator']")</f>
        <v>['disgust', 'see', 'network', 'understand', 'rain', 'area', 'Jakarta', 'smooth', 'right', 'play', 'game', 'Maen', ' Game ',' mobile ',' Legend ',' Free ',' Fire ',' pub ',' missing ',' AJG ',' finished ',' play ',' game ',' scroll ',' Tiktok ' , 'missing', 'like', 'deliberate', 'really', 'rank', 'decreases',' tomorrow ',' tomorrow ',' mending ',' operator ',' DHLH ',' expensive ',' Play ',' Game ',' Network ',' Lost ',' Mending ',' Operator ',' Next ',' Cheap ',' Network ',' Good ',' Stable ',' Lost ',' Otw ' , 'Uninstall', 'APK', 'Card', 'Operator']</v>
      </c>
      <c r="D2588" s="3">
        <v>1.0</v>
      </c>
    </row>
    <row r="2589" ht="15.75" customHeight="1">
      <c r="A2589" s="1">
        <v>2745.0</v>
      </c>
      <c r="B2589" s="3" t="s">
        <v>2551</v>
      </c>
      <c r="C2589" s="3" t="str">
        <f>IFERROR(__xludf.DUMMYFUNCTION("GOOGLETRANSLATE(B2589,""id"",""en"")"),"['Signal', 'Bad', 'Jakarta', '']")</f>
        <v>['Signal', 'Bad', 'Jakarta', '']</v>
      </c>
      <c r="D2589" s="3">
        <v>1.0</v>
      </c>
    </row>
    <row r="2590" ht="15.75" customHeight="1">
      <c r="A2590" s="1">
        <v>2747.0</v>
      </c>
      <c r="B2590" s="3" t="s">
        <v>2552</v>
      </c>
      <c r="C2590" s="3" t="str">
        <f>IFERROR(__xludf.DUMMYFUNCTION("GOOGLETRANSLATE(B2590,""id"",""en"")"),"['Package', 'already', 'expensive', 'slow', 'forgiveness', 'njing', 'emng', 'stay', 'name', 'doang', 'telkomsul']")</f>
        <v>['Package', 'already', 'expensive', 'slow', 'forgiveness', 'njing', 'emng', 'stay', 'name', 'doang', 'telkomsul']</v>
      </c>
      <c r="D2590" s="3">
        <v>1.0</v>
      </c>
    </row>
    <row r="2591" ht="15.75" customHeight="1">
      <c r="A2591" s="1">
        <v>2748.0</v>
      </c>
      <c r="B2591" s="3" t="s">
        <v>2553</v>
      </c>
      <c r="C2591" s="3" t="str">
        <f>IFERROR(__xludf.DUMMYFUNCTION("GOOGLETRANSLATE(B2591,""id"",""en"")"),"['Need', 'Package', 'Price', 'Affordable']")</f>
        <v>['Need', 'Package', 'Price', 'Affordable']</v>
      </c>
      <c r="D2591" s="3">
        <v>5.0</v>
      </c>
    </row>
    <row r="2592" ht="15.75" customHeight="1">
      <c r="A2592" s="1">
        <v>2749.0</v>
      </c>
      <c r="B2592" s="3" t="s">
        <v>1561</v>
      </c>
      <c r="C2592" s="3" t="str">
        <f>IFERROR(__xludf.DUMMYFUNCTION("GOOGLETRANSLATE(B2592,""id"",""en"")"),"['Good', 'Telkomsel']")</f>
        <v>['Good', 'Telkomsel']</v>
      </c>
      <c r="D2592" s="3">
        <v>3.0</v>
      </c>
    </row>
    <row r="2593" ht="15.75" customHeight="1">
      <c r="A2593" s="1">
        <v>2750.0</v>
      </c>
      <c r="B2593" s="3" t="s">
        <v>2554</v>
      </c>
      <c r="C2593" s="3" t="str">
        <f>IFERROR(__xludf.DUMMYFUNCTION("GOOGLETRANSLATE(B2593,""id"",""en"")"),"['signal', 'steady', 'darling', 'lottery']")</f>
        <v>['signal', 'steady', 'darling', 'lottery']</v>
      </c>
      <c r="D2593" s="3">
        <v>5.0</v>
      </c>
    </row>
    <row r="2594" ht="15.75" customHeight="1">
      <c r="A2594" s="1">
        <v>2753.0</v>
      </c>
      <c r="B2594" s="3" t="s">
        <v>2555</v>
      </c>
      <c r="C2594" s="3" t="str">
        <f>IFERROR(__xludf.DUMMYFUNCTION("GOOGLETRANSLATE(B2594,""id"",""en"")"),"['already', 'network', 'stable', 'Ujan', 'already', 'subsided', ""]")</f>
        <v>['already', 'network', 'stable', 'Ujan', 'already', 'subsided', "]</v>
      </c>
      <c r="D2594" s="3">
        <v>1.0</v>
      </c>
    </row>
    <row r="2595" ht="15.75" customHeight="1">
      <c r="A2595" s="1">
        <v>2754.0</v>
      </c>
      <c r="B2595" s="3" t="s">
        <v>2556</v>
      </c>
      <c r="C2595" s="3" t="str">
        <f>IFERROR(__xludf.DUMMYFUNCTION("GOOGLETRANSLATE(B2595,""id"",""en"")"),"['Price', 'specific', 'Happy']")</f>
        <v>['Price', 'specific', 'Happy']</v>
      </c>
      <c r="D2595" s="3">
        <v>5.0</v>
      </c>
    </row>
    <row r="2596" ht="15.75" customHeight="1">
      <c r="A2596" s="1">
        <v>2755.0</v>
      </c>
      <c r="B2596" s="3" t="s">
        <v>2557</v>
      </c>
      <c r="C2596" s="3" t="str">
        <f>IFERROR(__xludf.DUMMYFUNCTION("GOOGLETRANSLATE(B2596,""id"",""en"")"),"['Network', 'signal', 'worst', 'operator', 'use', 'Telkomsel', 'stress']")</f>
        <v>['Network', 'signal', 'worst', 'operator', 'use', 'Telkomsel', 'stress']</v>
      </c>
      <c r="D2596" s="3">
        <v>1.0</v>
      </c>
    </row>
    <row r="2597" ht="15.75" customHeight="1">
      <c r="A2597" s="1">
        <v>2756.0</v>
      </c>
      <c r="B2597" s="3" t="s">
        <v>2558</v>
      </c>
      <c r="C2597" s="3" t="str">
        <f>IFERROR(__xludf.DUMMYFUNCTION("GOOGLETRANSLATE(B2597,""id"",""en"")"),"['thank', 'love', 'lngsung', 'process', ""]")</f>
        <v>['thank', 'love', 'lngsung', 'process', "]</v>
      </c>
      <c r="D2597" s="3">
        <v>5.0</v>
      </c>
    </row>
    <row r="2598" ht="15.75" customHeight="1">
      <c r="A2598" s="1">
        <v>2758.0</v>
      </c>
      <c r="B2598" s="3" t="s">
        <v>2559</v>
      </c>
      <c r="C2598" s="3" t="str">
        <f>IFERROR(__xludf.DUMMYFUNCTION("GOOGLETRANSLATE(B2598,""id"",""en"")"),"['BGS', 'Signal', 'Clear', 'Voice']")</f>
        <v>['BGS', 'Signal', 'Clear', 'Voice']</v>
      </c>
      <c r="D2598" s="3">
        <v>4.0</v>
      </c>
    </row>
    <row r="2599" ht="15.75" customHeight="1">
      <c r="A2599" s="1">
        <v>2759.0</v>
      </c>
      <c r="B2599" s="3" t="s">
        <v>2560</v>
      </c>
      <c r="C2599" s="3" t="str">
        <f>IFERROR(__xludf.DUMMYFUNCTION("GOOGLETRANSLATE(B2599,""id"",""en"")"),"['Network', 'Telkomsel', 'ugly', 'really', 'kayak', '']")</f>
        <v>['Network', 'Telkomsel', 'ugly', 'really', 'kayak', '']</v>
      </c>
      <c r="D2599" s="3">
        <v>1.0</v>
      </c>
    </row>
    <row r="2600" ht="15.75" customHeight="1">
      <c r="A2600" s="1">
        <v>2760.0</v>
      </c>
      <c r="B2600" s="3" t="s">
        <v>2561</v>
      </c>
      <c r="C2600" s="3" t="str">
        <f>IFERROR(__xludf.DUMMYFUNCTION("GOOGLETRANSLATE(B2600,""id"",""en"")"),"['buy', 'package', 'application', 'pulse', 'eaten', 'package', 'enter', 'please', 'fix', 'please', 'suffer', 'Gara', ' Gara ',' ']")</f>
        <v>['buy', 'package', 'application', 'pulse', 'eaten', 'package', 'enter', 'please', 'fix', 'please', 'suffer', 'Gara', ' Gara ',' ']</v>
      </c>
      <c r="D2600" s="3">
        <v>1.0</v>
      </c>
    </row>
    <row r="2601" ht="15.75" customHeight="1">
      <c r="A2601" s="1">
        <v>2761.0</v>
      </c>
      <c r="B2601" s="3" t="s">
        <v>2562</v>
      </c>
      <c r="C2601" s="3" t="str">
        <f>IFERROR(__xludf.DUMMYFUNCTION("GOOGLETRANSLATE(B2601,""id"",""en"")"),"['Network', 'bad', 'connection', 'stable', 'shy', 'regret', 'card', 'Hello', 'Telkomsel']")</f>
        <v>['Network', 'bad', 'connection', 'stable', 'shy', 'regret', 'card', 'Hello', 'Telkomsel']</v>
      </c>
      <c r="D2601" s="3">
        <v>1.0</v>
      </c>
    </row>
    <row r="2602" ht="15.75" customHeight="1">
      <c r="A2602" s="1">
        <v>2762.0</v>
      </c>
      <c r="B2602" s="3" t="s">
        <v>2563</v>
      </c>
      <c r="C2602" s="3" t="str">
        <f>IFERROR(__xludf.DUMMYFUNCTION("GOOGLETRANSLATE(B2602,""id"",""en"")"),"['difficult', 'opened', 'application', 'Telkomsel', 'morning', ""]")</f>
        <v>['difficult', 'opened', 'application', 'Telkomsel', 'morning', "]</v>
      </c>
      <c r="D2602" s="3">
        <v>1.0</v>
      </c>
    </row>
    <row r="2603" ht="15.75" customHeight="1">
      <c r="A2603" s="1">
        <v>2763.0</v>
      </c>
      <c r="B2603" s="3" t="s">
        <v>2564</v>
      </c>
      <c r="C2603" s="3" t="str">
        <f>IFERROR(__xludf.DUMMYFUNCTION("GOOGLETRANSLATE(B2603,""id"",""en"")"),"['Please', 'Evaluation', 'Rates', 'Quota', 'Internet', 'Change', 'Price', 'Ganjil', '']")</f>
        <v>['Please', 'Evaluation', 'Rates', 'Quota', 'Internet', 'Change', 'Price', 'Ganjil', '']</v>
      </c>
      <c r="D2603" s="3">
        <v>4.0</v>
      </c>
    </row>
    <row r="2604" ht="15.75" customHeight="1">
      <c r="A2604" s="1">
        <v>2764.0</v>
      </c>
      <c r="B2604" s="3" t="s">
        <v>2565</v>
      </c>
      <c r="C2604" s="3" t="str">
        <f>IFERROR(__xludf.DUMMYFUNCTION("GOOGLETRANSLATE(B2604,""id"",""en"")"),"['happy', 'application']")</f>
        <v>['happy', 'application']</v>
      </c>
      <c r="D2604" s="3">
        <v>5.0</v>
      </c>
    </row>
    <row r="2605" ht="15.75" customHeight="1">
      <c r="A2605" s="1">
        <v>2765.0</v>
      </c>
      <c r="B2605" s="3" t="s">
        <v>2566</v>
      </c>
      <c r="C2605" s="3" t="str">
        <f>IFERROR(__xludf.DUMMYFUNCTION("GOOGLETRANSLATE(B2605,""id"",""en"")"),"['expensive', 'price', 'quota', 'Telkomsel', 'MyTelkomsel', 'bonus',' GB ',' price ',' missing ',' no ',' where ',' buy ',' Quota ',' expensive ',' BET ',' GDBY ',' MyTelkomsel ',' Good ',' Bet ',' Application ',' Love ',' Review ',' Bagu ',' Usually ',' "&amp;"Love ' , 'Review', 'ugly', 'please', 'reverse', 'quota', 'GB', 'price', 'kalok', 'no', 'forced', 'quota', ""]")</f>
        <v>['expensive', 'price', 'quota', 'Telkomsel', 'MyTelkomsel', 'bonus',' GB ',' price ',' missing ',' no ',' where ',' buy ',' Quota ',' expensive ',' BET ',' GDBY ',' MyTelkomsel ',' Good ',' Bet ',' Application ',' Love ',' Review ',' Bagu ',' Usually ',' Love ' , 'Review', 'ugly', 'please', 'reverse', 'quota', 'GB', 'price', 'kalok', 'no', 'forced', 'quota', "]</v>
      </c>
      <c r="D2605" s="3">
        <v>1.0</v>
      </c>
    </row>
    <row r="2606" ht="15.75" customHeight="1">
      <c r="A2606" s="1">
        <v>2767.0</v>
      </c>
      <c r="B2606" s="3" t="s">
        <v>2567</v>
      </c>
      <c r="C2606" s="3" t="str">
        <f>IFERROR(__xludf.DUMMYFUNCTION("GOOGLETRANSLATE(B2606,""id"",""en"")"),"['pulse', 'sumps', 'monkey', 'card', 'pig']")</f>
        <v>['pulse', 'sumps', 'monkey', 'card', 'pig']</v>
      </c>
      <c r="D2606" s="3">
        <v>1.0</v>
      </c>
    </row>
    <row r="2607" ht="15.75" customHeight="1">
      <c r="A2607" s="1">
        <v>2768.0</v>
      </c>
      <c r="B2607" s="3" t="s">
        <v>2568</v>
      </c>
      <c r="C2607" s="3" t="str">
        <f>IFERROR(__xludf.DUMMYFUNCTION("GOOGLETRANSLATE(B2607,""id"",""en"")"),"['already', 'matched', 'Telkomsel', 'Laen', 'Minggirr', ""]")</f>
        <v>['already', 'matched', 'Telkomsel', 'Laen', 'Minggirr', "]</v>
      </c>
      <c r="D2607" s="3">
        <v>5.0</v>
      </c>
    </row>
    <row r="2608" ht="15.75" customHeight="1">
      <c r="A2608" s="1">
        <v>2769.0</v>
      </c>
      <c r="B2608" s="3" t="s">
        <v>2569</v>
      </c>
      <c r="C2608" s="3" t="str">
        <f>IFERROR(__xludf.DUMMYFUNCTION("GOOGLETRANSLATE(B2608,""id"",""en"")"),"['Enter', 'eko']")</f>
        <v>['Enter', 'eko']</v>
      </c>
      <c r="D2608" s="3">
        <v>5.0</v>
      </c>
    </row>
    <row r="2609" ht="15.75" customHeight="1">
      <c r="A2609" s="1">
        <v>2770.0</v>
      </c>
      <c r="B2609" s="3" t="s">
        <v>2570</v>
      </c>
      <c r="C2609" s="3" t="str">
        <f>IFERROR(__xludf.DUMMYFUNCTION("GOOGLETRANSLATE(B2609,""id"",""en"")"),"['Try', 'dlu', 'mda', 'han', 'sllalu', 'tdak', 'mem', 'ngecahan']")</f>
        <v>['Try', 'dlu', 'mda', 'han', 'sllalu', 'tdak', 'mem', 'ngecahan']</v>
      </c>
      <c r="D2609" s="3">
        <v>4.0</v>
      </c>
    </row>
    <row r="2610" ht="15.75" customHeight="1">
      <c r="A2610" s="1">
        <v>2772.0</v>
      </c>
      <c r="B2610" s="3" t="s">
        <v>2571</v>
      </c>
      <c r="C2610" s="3" t="str">
        <f>IFERROR(__xludf.DUMMYFUNCTION("GOOGLETRANSLATE(B2610,""id"",""en"")"),"['Price', 'Package', 'Cheap', 'Promotion']")</f>
        <v>['Price', 'Package', 'Cheap', 'Promotion']</v>
      </c>
      <c r="D2610" s="3">
        <v>5.0</v>
      </c>
    </row>
    <row r="2611" ht="15.75" customHeight="1">
      <c r="A2611" s="1">
        <v>2773.0</v>
      </c>
      <c r="B2611" s="3" t="s">
        <v>2572</v>
      </c>
      <c r="C2611" s="3" t="str">
        <f>IFERROR(__xludf.DUMMYFUNCTION("GOOGLETRANSLATE(B2611,""id"",""en"")"),"['Written', 'Package', 'Internet', 'Eat', 'Credit']")</f>
        <v>['Written', 'Package', 'Internet', 'Eat', 'Credit']</v>
      </c>
      <c r="D2611" s="3">
        <v>1.0</v>
      </c>
    </row>
    <row r="2612" ht="15.75" customHeight="1">
      <c r="A2612" s="1">
        <v>2774.0</v>
      </c>
      <c r="B2612" s="3" t="s">
        <v>2573</v>
      </c>
      <c r="C2612" s="3" t="str">
        <f>IFERROR(__xludf.DUMMYFUNCTION("GOOGLETRANSLATE(B2612,""id"",""en"")"),"['reachable']")</f>
        <v>['reachable']</v>
      </c>
      <c r="D2612" s="3">
        <v>5.0</v>
      </c>
    </row>
    <row r="2613" ht="15.75" customHeight="1">
      <c r="A2613" s="1">
        <v>2775.0</v>
      </c>
      <c r="B2613" s="3" t="s">
        <v>2574</v>
      </c>
      <c r="C2613" s="3" t="str">
        <f>IFERROR(__xludf.DUMMYFUNCTION("GOOGLETRANSLATE(B2613,""id"",""en"")"),"['Severe', 'bar', 'Full', 'slow', 'severe', 'disappointing', '']")</f>
        <v>['Severe', 'bar', 'Full', 'slow', 'severe', 'disappointing', '']</v>
      </c>
      <c r="D2613" s="3">
        <v>1.0</v>
      </c>
    </row>
    <row r="2614" ht="15.75" customHeight="1">
      <c r="A2614" s="1">
        <v>2776.0</v>
      </c>
      <c r="B2614" s="3" t="s">
        <v>2575</v>
      </c>
      <c r="C2614" s="3" t="str">
        <f>IFERROR(__xludf.DUMMYFUNCTION("GOOGLETRANSLATE(B2614,""id"",""en"")"),"['Good', 'tuk', 'aps', 'telkom']")</f>
        <v>['Good', 'tuk', 'aps', 'telkom']</v>
      </c>
      <c r="D2614" s="3">
        <v>5.0</v>
      </c>
    </row>
    <row r="2615" ht="15.75" customHeight="1">
      <c r="A2615" s="1">
        <v>2777.0</v>
      </c>
      <c r="B2615" s="3" t="s">
        <v>2576</v>
      </c>
      <c r="C2615" s="3" t="str">
        <f>IFERROR(__xludf.DUMMYFUNCTION("GOOGLETRANSLATE(B2615,""id"",""en"")"),"['It's easy', 'update', 'data']")</f>
        <v>['It's easy', 'update', 'data']</v>
      </c>
      <c r="D2615" s="3">
        <v>4.0</v>
      </c>
    </row>
    <row r="2616" ht="15.75" customHeight="1">
      <c r="A2616" s="1">
        <v>2778.0</v>
      </c>
      <c r="B2616" s="3" t="s">
        <v>2577</v>
      </c>
      <c r="C2616" s="3" t="str">
        <f>IFERROR(__xludf.DUMMYFUNCTION("GOOGLETRANSLATE(B2616,""id"",""en"")"),"['Bugs', 'jammed', 'jammed', 'signal', 'sad', '']")</f>
        <v>['Bugs', 'jammed', 'jammed', 'signal', 'sad', '']</v>
      </c>
      <c r="D2616" s="3">
        <v>3.0</v>
      </c>
    </row>
    <row r="2617" ht="15.75" customHeight="1">
      <c r="A2617" s="1">
        <v>2779.0</v>
      </c>
      <c r="B2617" s="3" t="s">
        <v>2578</v>
      </c>
      <c r="C2617" s="3" t="str">
        <f>IFERROR(__xludf.DUMMYFUNCTION("GOOGLETRANSLATE(B2617,""id"",""en"")"),"['By the way', 'change']")</f>
        <v>['By the way', 'change']</v>
      </c>
      <c r="D2617" s="3">
        <v>1.0</v>
      </c>
    </row>
    <row r="2618" ht="15.75" customHeight="1">
      <c r="A2618" s="1">
        <v>2780.0</v>
      </c>
      <c r="B2618" s="3" t="s">
        <v>2579</v>
      </c>
      <c r="C2618" s="3" t="str">
        <f>IFERROR(__xludf.DUMMYFUNCTION("GOOGLETRANSLATE(B2618,""id"",""en"")"),"['Wear', 'Telkomsel', 'satisfying', ""]")</f>
        <v>['Wear', 'Telkomsel', 'satisfying', "]</v>
      </c>
      <c r="D2618" s="3">
        <v>5.0</v>
      </c>
    </row>
    <row r="2619" ht="15.75" customHeight="1">
      <c r="A2619" s="1">
        <v>2781.0</v>
      </c>
      <c r="B2619" s="3" t="s">
        <v>2580</v>
      </c>
      <c r="C2619" s="3" t="str">
        <f>IFERROR(__xludf.DUMMYFUNCTION("GOOGLETRANSLATE(B2619,""id"",""en"")"),"['Please', 'sorry', 'admin', 'signal', 'region', 'remote', 'especially', 'Cisagu', 'Dayeuhluhur', 'Kab', 'Cilacap', ' Please '' Explanation ',' ']")</f>
        <v>['Please', 'sorry', 'admin', 'signal', 'region', 'remote', 'especially', 'Cisagu', 'Dayeuhluhur', 'Kab', 'Cilacap', ' Please '' Explanation ',' ']</v>
      </c>
      <c r="D2619" s="3">
        <v>4.0</v>
      </c>
    </row>
    <row r="2620" ht="15.75" customHeight="1">
      <c r="A2620" s="1">
        <v>2782.0</v>
      </c>
      <c r="B2620" s="3" t="s">
        <v>2581</v>
      </c>
      <c r="C2620" s="3" t="str">
        <f>IFERROR(__xludf.DUMMYFUNCTION("GOOGLETRANSLATE(B2620,""id"",""en"")"),"['Please', 'payment', 'choice', 'bank', 'cook', 'really', 'bank', 'example', 'virtual', 'bri', 'there', 'bank', ' ']")</f>
        <v>['Please', 'payment', 'choice', 'bank', 'cook', 'really', 'bank', 'example', 'virtual', 'bri', 'there', 'bank', ' ']</v>
      </c>
      <c r="D2620" s="3">
        <v>3.0</v>
      </c>
    </row>
    <row r="2621" ht="15.75" customHeight="1">
      <c r="A2621" s="1">
        <v>2783.0</v>
      </c>
      <c r="B2621" s="3" t="s">
        <v>2582</v>
      </c>
      <c r="C2621" s="3" t="str">
        <f>IFERROR(__xludf.DUMMYFUNCTION("GOOGLETRANSLATE(B2621,""id"",""en"")"),"['Telkomsel', 'signal', 'Kayak', '']")</f>
        <v>['Telkomsel', 'signal', 'Kayak', '']</v>
      </c>
      <c r="D2621" s="3">
        <v>1.0</v>
      </c>
    </row>
    <row r="2622" ht="15.75" customHeight="1">
      <c r="A2622" s="1">
        <v>2784.0</v>
      </c>
      <c r="B2622" s="3" t="s">
        <v>2583</v>
      </c>
      <c r="C2622" s="3" t="str">
        <f>IFERROR(__xludf.DUMMYFUNCTION("GOOGLETRANSLATE(B2622,""id"",""en"")"),"['SGT', 'Useful']")</f>
        <v>['SGT', 'Useful']</v>
      </c>
      <c r="D2622" s="3">
        <v>5.0</v>
      </c>
    </row>
    <row r="2623" ht="15.75" customHeight="1">
      <c r="A2623" s="1">
        <v>2785.0</v>
      </c>
      <c r="B2623" s="3" t="s">
        <v>2584</v>
      </c>
      <c r="C2623" s="3" t="str">
        <f>IFERROR(__xludf.DUMMYFUNCTION("GOOGLETRANSLATE(B2623,""id"",""en"")"),"['Signal', 'Severe', 'Stay', 'Surabaya', 'Raya', ""]")</f>
        <v>['Signal', 'Severe', 'Stay', 'Surabaya', 'Raya', "]</v>
      </c>
      <c r="D2623" s="3">
        <v>2.0</v>
      </c>
    </row>
    <row r="2624" ht="15.75" customHeight="1">
      <c r="A2624" s="1">
        <v>2786.0</v>
      </c>
      <c r="B2624" s="3" t="s">
        <v>2585</v>
      </c>
      <c r="C2624" s="3" t="str">
        <f>IFERROR(__xludf.DUMMYFUNCTION("GOOGLETRANSLATE(B2624,""id"",""en"")"),"['Helpful', 'easy']")</f>
        <v>['Helpful', 'easy']</v>
      </c>
      <c r="D2624" s="3">
        <v>5.0</v>
      </c>
    </row>
    <row r="2625" ht="15.75" customHeight="1">
      <c r="A2625" s="1">
        <v>2788.0</v>
      </c>
      <c r="B2625" s="3" t="s">
        <v>2586</v>
      </c>
      <c r="C2625" s="3" t="str">
        <f>IFERROR(__xludf.DUMMYFUNCTION("GOOGLETRANSLATE(B2625,""id"",""en"")"),"['application', 'open', '']")</f>
        <v>['application', 'open', '']</v>
      </c>
      <c r="D2625" s="3">
        <v>1.0</v>
      </c>
    </row>
    <row r="2626" ht="15.75" customHeight="1">
      <c r="A2626" s="1">
        <v>2789.0</v>
      </c>
      <c r="B2626" s="3" t="s">
        <v>2587</v>
      </c>
      <c r="C2626" s="3" t="str">
        <f>IFERROR(__xludf.DUMMYFUNCTION("GOOGLETRANSLATE(B2626,""id"",""en"")"),"['Credit', 'Points',' Exchange ',' Points', 'Kouta', 'Credit', 'Cut', 'Stay', 'thousand', 'Points',' Cut ',' Severe ',' Telkomsel ',' monkey ']")</f>
        <v>['Credit', 'Points',' Exchange ',' Points', 'Kouta', 'Credit', 'Cut', 'Stay', 'thousand', 'Points',' Cut ',' Severe ',' Telkomsel ',' monkey ']</v>
      </c>
      <c r="D2626" s="3">
        <v>1.0</v>
      </c>
    </row>
    <row r="2627" ht="15.75" customHeight="1">
      <c r="A2627" s="1">
        <v>2790.0</v>
      </c>
      <c r="B2627" s="3" t="s">
        <v>2588</v>
      </c>
      <c r="C2627" s="3" t="str">
        <f>IFERROR(__xludf.DUMMYFUNCTION("GOOGLETRANSLATE(B2627,""id"",""en"")"),"['honest', 'card', 'Telkomsel', 'package', 'data', 'expensive', 'compared to', 'card', 'move', 'card', 'switch', 'card', ' Telkomsel ',' Believe ',' Srong ',' Pouch ']")</f>
        <v>['honest', 'card', 'Telkomsel', 'package', 'data', 'expensive', 'compared to', 'card', 'move', 'card', 'switch', 'card', ' Telkomsel ',' Believe ',' Srong ',' Pouch ']</v>
      </c>
      <c r="D2627" s="3">
        <v>1.0</v>
      </c>
    </row>
    <row r="2628" ht="15.75" customHeight="1">
      <c r="A2628" s="1">
        <v>2791.0</v>
      </c>
      <c r="B2628" s="3" t="s">
        <v>2589</v>
      </c>
      <c r="C2628" s="3" t="str">
        <f>IFERROR(__xludf.DUMMYFUNCTION("GOOGLETRANSLATE(B2628,""id"",""en"")"),"['Mantul', 'Telkomsel', 'Success']")</f>
        <v>['Mantul', 'Telkomsel', 'Success']</v>
      </c>
      <c r="D2628" s="3">
        <v>5.0</v>
      </c>
    </row>
    <row r="2629" ht="15.75" customHeight="1">
      <c r="A2629" s="1">
        <v>2792.0</v>
      </c>
      <c r="B2629" s="3" t="s">
        <v>2590</v>
      </c>
      <c r="C2629" s="3" t="str">
        <f>IFERROR(__xludf.DUMMYFUNCTION("GOOGLETRANSLATE(B2629,""id"",""en"")"),"['easy', 'buy', 'package', 'data']")</f>
        <v>['easy', 'buy', 'package', 'data']</v>
      </c>
      <c r="D2629" s="3">
        <v>5.0</v>
      </c>
    </row>
    <row r="2630" ht="15.75" customHeight="1">
      <c r="A2630" s="1">
        <v>2793.0</v>
      </c>
      <c r="B2630" s="3" t="s">
        <v>2591</v>
      </c>
      <c r="C2630" s="3" t="str">
        <f>IFERROR(__xludf.DUMMYFUNCTION("GOOGLETRANSLATE(B2630,""id"",""en"")"),"['signal', 'good', 'steady']")</f>
        <v>['signal', 'good', 'steady']</v>
      </c>
      <c r="D2630" s="3">
        <v>3.0</v>
      </c>
    </row>
    <row r="2631" ht="15.75" customHeight="1">
      <c r="A2631" s="1">
        <v>2794.0</v>
      </c>
      <c r="B2631" s="3" t="s">
        <v>2592</v>
      </c>
      <c r="C2631" s="3" t="str">
        <f>IFERROR(__xludf.DUMMYFUNCTION("GOOGLETRANSLATE(B2631,""id"",""en"")"),"['Cool', 'application', 'help']")</f>
        <v>['Cool', 'application', 'help']</v>
      </c>
      <c r="D2631" s="3">
        <v>5.0</v>
      </c>
    </row>
    <row r="2632" ht="15.75" customHeight="1">
      <c r="A2632" s="1">
        <v>2795.0</v>
      </c>
      <c r="B2632" s="3" t="s">
        <v>2593</v>
      </c>
      <c r="C2632" s="3" t="str">
        <f>IFERROR(__xludf.DUMMYFUNCTION("GOOGLETRANSLATE(B2632,""id"",""en"")"),"['The application']")</f>
        <v>['The application']</v>
      </c>
      <c r="D2632" s="3">
        <v>3.0</v>
      </c>
    </row>
    <row r="2633" ht="15.75" customHeight="1">
      <c r="A2633" s="1">
        <v>2796.0</v>
      </c>
      <c r="B2633" s="3" t="s">
        <v>2594</v>
      </c>
      <c r="C2633" s="3" t="str">
        <f>IFERROR(__xludf.DUMMYFUNCTION("GOOGLETRANSLATE(B2633,""id"",""en"")"),"['easy', 'use']")</f>
        <v>['easy', 'use']</v>
      </c>
      <c r="D2633" s="3">
        <v>5.0</v>
      </c>
    </row>
    <row r="2634" ht="15.75" customHeight="1">
      <c r="A2634" s="1">
        <v>2797.0</v>
      </c>
      <c r="B2634" s="3" t="s">
        <v>2595</v>
      </c>
      <c r="C2634" s="3" t="str">
        <f>IFERROR(__xludf.DUMMYFUNCTION("GOOGLETRANSLATE(B2634,""id"",""en"")"),"['signal', 'Telkomsel', 'Indihome', 'stable', 'purpose', 'Thank you', 'Telkomsel', 'Service', 'Package', 'Data', 'Reliable', 'expensive', ' Change ',' Indihome ',' Consider ',' replace it ',' ']")</f>
        <v>['signal', 'Telkomsel', 'Indihome', 'stable', 'purpose', 'Thank you', 'Telkomsel', 'Service', 'Package', 'Data', 'Reliable', 'expensive', ' Change ',' Indihome ',' Consider ',' replace it ',' ']</v>
      </c>
      <c r="D2634" s="3">
        <v>1.0</v>
      </c>
    </row>
    <row r="2635" ht="15.75" customHeight="1">
      <c r="A2635" s="1">
        <v>2798.0</v>
      </c>
      <c r="B2635" s="3" t="s">
        <v>2596</v>
      </c>
      <c r="C2635" s="3" t="str">
        <f>IFERROR(__xludf.DUMMYFUNCTION("GOOGLETRANSLATE(B2635,""id"",""en"")"),"['pulses', 'ilang', '']")</f>
        <v>['pulses', 'ilang', '']</v>
      </c>
      <c r="D2635" s="3">
        <v>2.0</v>
      </c>
    </row>
    <row r="2636" ht="15.75" customHeight="1">
      <c r="A2636" s="1">
        <v>2799.0</v>
      </c>
      <c r="B2636" s="3" t="s">
        <v>2597</v>
      </c>
      <c r="C2636" s="3" t="str">
        <f>IFERROR(__xludf.DUMMYFUNCTION("GOOGLETRANSLATE(B2636,""id"",""en"")"),"['Bosss',' Application ',' Install ',' Bosss', 'Process',' Download ',' Finish ',' Stay ',' Process', 'Install', 'Direct', 'Fail', ' Repeated ',' failed ',' Install ',' Bosss', 'quota', 'used', 'MB', 'Sampe', 'Boosss', ""]")</f>
        <v>['Bosss',' Application ',' Install ',' Bosss', 'Process',' Download ',' Finish ',' Stay ',' Process', 'Install', 'Direct', 'Fail', ' Repeated ',' failed ',' Install ',' Bosss', 'quota', 'used', 'MB', 'Sampe', 'Boosss', "]</v>
      </c>
      <c r="D2636" s="3">
        <v>2.0</v>
      </c>
    </row>
    <row r="2637" ht="15.75" customHeight="1">
      <c r="A2637" s="1">
        <v>2800.0</v>
      </c>
      <c r="B2637" s="3" t="s">
        <v>2598</v>
      </c>
      <c r="C2637" s="3" t="str">
        <f>IFERROR(__xludf.DUMMYFUNCTION("GOOGLETRANSLATE(B2637,""id"",""en"")"),"['hope', 'exchange', 'point', 'get', 'gift', 'person', 'rich', 'corruption', 'work', 'gift', 'kmi', 'work', ' Hard ',' Wear ',' Telkomsel ',' Blum ',' Gift ',' Barakalloh ',' ']")</f>
        <v>['hope', 'exchange', 'point', 'get', 'gift', 'person', 'rich', 'corruption', 'work', 'gift', 'kmi', 'work', ' Hard ',' Wear ',' Telkomsel ',' Blum ',' Gift ',' Barakalloh ',' ']</v>
      </c>
      <c r="D2637" s="3">
        <v>5.0</v>
      </c>
    </row>
    <row r="2638" ht="15.75" customHeight="1">
      <c r="A2638" s="1">
        <v>2801.0</v>
      </c>
      <c r="B2638" s="3" t="s">
        <v>2599</v>
      </c>
      <c r="C2638" s="3" t="str">
        <f>IFERROR(__xludf.DUMMYFUNCTION("GOOGLETRANSLATE(B2638,""id"",""en"")"),"['Taken', 'Kalimantan', 'Sulawesi', 'Telkomsel', 'No.', 'Wahid', 'Quality', 'Network', 'Signal']")</f>
        <v>['Taken', 'Kalimantan', 'Sulawesi', 'Telkomsel', 'No.', 'Wahid', 'Quality', 'Network', 'Signal']</v>
      </c>
      <c r="D2638" s="3">
        <v>5.0</v>
      </c>
    </row>
    <row r="2639" ht="15.75" customHeight="1">
      <c r="A2639" s="1">
        <v>2802.0</v>
      </c>
      <c r="B2639" s="3" t="s">
        <v>2600</v>
      </c>
      <c r="C2639" s="3" t="str">
        <f>IFERROR(__xludf.DUMMYFUNCTION("GOOGLETRANSLATE(B2639,""id"",""en"")"),"['happy', 'application', 'Telkomsel', 'easy', 'process', 'transaction', 'buy', 'anything', ""]")</f>
        <v>['happy', 'application', 'Telkomsel', 'easy', 'process', 'transaction', 'buy', 'anything', "]</v>
      </c>
      <c r="D2639" s="3">
        <v>5.0</v>
      </c>
    </row>
    <row r="2640" ht="15.75" customHeight="1">
      <c r="A2640" s="1">
        <v>2803.0</v>
      </c>
      <c r="B2640" s="3" t="s">
        <v>2601</v>
      </c>
      <c r="C2640" s="3" t="str">
        <f>IFERROR(__xludf.DUMMYFUNCTION("GOOGLETRANSLATE(B2640,""id"",""en"")"),"['iyaa', 'application', 'smooth', 'right', 'play', 'red', 'yellow', 'expensive', 'price', ""]")</f>
        <v>['iyaa', 'application', 'smooth', 'right', 'play', 'red', 'yellow', 'expensive', 'price', "]</v>
      </c>
      <c r="D2640" s="3">
        <v>1.0</v>
      </c>
    </row>
    <row r="2641" ht="15.75" customHeight="1">
      <c r="A2641" s="1">
        <v>2804.0</v>
      </c>
      <c r="B2641" s="3" t="s">
        <v>2602</v>
      </c>
      <c r="C2641" s="3" t="str">
        <f>IFERROR(__xludf.DUMMYFUNCTION("GOOGLETRANSLATE(B2641,""id"",""en"")"),"['Lemot', 'Anying', 'Ahh', 'battered', ""]")</f>
        <v>['Lemot', 'Anying', 'Ahh', 'battered', "]</v>
      </c>
      <c r="D2641" s="3">
        <v>1.0</v>
      </c>
    </row>
    <row r="2642" ht="15.75" customHeight="1">
      <c r="A2642" s="1">
        <v>2805.0</v>
      </c>
      <c r="B2642" s="3" t="s">
        <v>2603</v>
      </c>
      <c r="C2642" s="3" t="str">
        <f>IFERROR(__xludf.DUMMYFUNCTION("GOOGLETRANSLATE(B2642,""id"",""en"")"),"['Satisfied', 'no', 'promo', 'no', 'boss']")</f>
        <v>['Satisfied', 'no', 'promo', 'no', 'boss']</v>
      </c>
      <c r="D2642" s="3">
        <v>5.0</v>
      </c>
    </row>
    <row r="2643" ht="15.75" customHeight="1">
      <c r="A2643" s="1">
        <v>2806.0</v>
      </c>
      <c r="B2643" s="3" t="s">
        <v>2604</v>
      </c>
      <c r="C2643" s="3" t="str">
        <f>IFERROR(__xludf.DUMMYFUNCTION("GOOGLETRANSLATE(B2643,""id"",""en"")"),"['Application', 'slow', 'slow', 'buy', 'quota', 'smooth']")</f>
        <v>['Application', 'slow', 'slow', 'buy', 'quota', 'smooth']</v>
      </c>
      <c r="D2643" s="3">
        <v>2.0</v>
      </c>
    </row>
    <row r="2644" ht="15.75" customHeight="1">
      <c r="A2644" s="1">
        <v>2807.0</v>
      </c>
      <c r="B2644" s="3" t="s">
        <v>2605</v>
      </c>
      <c r="C2644" s="3" t="str">
        <f>IFERROR(__xludf.DUMMYFUNCTION("GOOGLETRANSLATE(B2644,""id"",""en"")"),"['thousand', '']")</f>
        <v>['thousand', '']</v>
      </c>
      <c r="D2644" s="3">
        <v>5.0</v>
      </c>
    </row>
    <row r="2645" ht="15.75" customHeight="1">
      <c r="A2645" s="1">
        <v>2808.0</v>
      </c>
      <c r="B2645" s="3" t="s">
        <v>409</v>
      </c>
      <c r="C2645" s="3" t="str">
        <f>IFERROR(__xludf.DUMMYFUNCTION("GOOGLETRANSLATE(B2645,""id"",""en"")"),"['easy']")</f>
        <v>['easy']</v>
      </c>
      <c r="D2645" s="3">
        <v>5.0</v>
      </c>
    </row>
    <row r="2646" ht="15.75" customHeight="1">
      <c r="A2646" s="1">
        <v>2809.0</v>
      </c>
      <c r="B2646" s="3" t="s">
        <v>2606</v>
      </c>
      <c r="C2646" s="3" t="str">
        <f>IFERROR(__xludf.DUMMYFUNCTION("GOOGLETRANSLATE(B2646,""id"",""en"")"),"['good', 'tauy', 'expensive', 'hrga', 'kuotany', 'drpd', 'network', 'signal', 'mah', ""]")</f>
        <v>['good', 'tauy', 'expensive', 'hrga', 'kuotany', 'drpd', 'network', 'signal', 'mah', "]</v>
      </c>
      <c r="D2646" s="3">
        <v>5.0</v>
      </c>
    </row>
    <row r="2647" ht="15.75" customHeight="1">
      <c r="A2647" s="1">
        <v>2810.0</v>
      </c>
      <c r="B2647" s="3" t="s">
        <v>2607</v>
      </c>
      <c r="C2647" s="3" t="str">
        <f>IFERROR(__xludf.DUMMYFUNCTION("GOOGLETRANSLATE(B2647,""id"",""en"")"),"['Help', 'please', 'fix', 'fast', 'network', 'thank you']")</f>
        <v>['Help', 'please', 'fix', 'fast', 'network', 'thank you']</v>
      </c>
      <c r="D2647" s="3">
        <v>5.0</v>
      </c>
    </row>
    <row r="2648" ht="15.75" customHeight="1">
      <c r="A2648" s="1">
        <v>2811.0</v>
      </c>
      <c r="B2648" s="3" t="s">
        <v>2608</v>
      </c>
      <c r="C2648" s="3" t="str">
        <f>IFERROR(__xludf.DUMMYFUNCTION("GOOGLETRANSLATE(B2648,""id"",""en"")"),"['Service', 'Telkomsel', 'Bad', 'Grapari', 'GraPARI', 'Cook', 'yeah', 'missing', 'take care', 'card', 'lost', 'process',' Alsan ',' list ',' yaa ',' community ',' lay ',' emang ',' missing ',' card ',' delicious', 'personnel', 'grapari', 'grapari', 'proce"&amp;"ss' , 'card', 'verification', 'wallet', 'digital']")</f>
        <v>['Service', 'Telkomsel', 'Bad', 'Grapari', 'GraPARI', 'Cook', 'yeah', 'missing', 'take care', 'card', 'lost', 'process',' Alsan ',' list ',' yaa ',' community ',' lay ',' emang ',' missing ',' card ',' delicious', 'personnel', 'grapari', 'grapari', 'process' , 'card', 'verification', 'wallet', 'digital']</v>
      </c>
      <c r="D2648" s="3">
        <v>1.0</v>
      </c>
    </row>
    <row r="2649" ht="15.75" customHeight="1">
      <c r="A2649" s="1">
        <v>2812.0</v>
      </c>
      <c r="B2649" s="3" t="s">
        <v>2609</v>
      </c>
      <c r="C2649" s="3" t="str">
        <f>IFERROR(__xludf.DUMMYFUNCTION("GOOGLETRANSLATE(B2649,""id"",""en"")"),"['updated', 'slow', 'see', 'leftover', 'quota', 'loading', 'logout', 'easy', 'check', 'quota', 'manual', 'application', ' The model ',' gini ',' ']")</f>
        <v>['updated', 'slow', 'see', 'leftover', 'quota', 'loading', 'logout', 'easy', 'check', 'quota', 'manual', 'application', ' The model ',' gini ',' ']</v>
      </c>
      <c r="D2649" s="3">
        <v>1.0</v>
      </c>
    </row>
    <row r="2650" ht="15.75" customHeight="1">
      <c r="A2650" s="1">
        <v>2813.0</v>
      </c>
      <c r="B2650" s="3" t="s">
        <v>2610</v>
      </c>
      <c r="C2650" s="3" t="str">
        <f>IFERROR(__xludf.DUMMYFUNCTION("GOOGLETRANSLATE(B2650,""id"",""en"")"),"['Telkomsel', 'followed', 'thieves', 'credit', 'credit', 'used', 'said', 'used', 'access', 'internet', 'non', 'quota']")</f>
        <v>['Telkomsel', 'followed', 'thieves', 'credit', 'credit', 'used', 'said', 'used', 'access', 'internet', 'non', 'quota']</v>
      </c>
      <c r="D2650" s="3">
        <v>1.0</v>
      </c>
    </row>
    <row r="2651" ht="15.75" customHeight="1">
      <c r="A2651" s="1">
        <v>2814.0</v>
      </c>
      <c r="B2651" s="3" t="s">
        <v>2611</v>
      </c>
      <c r="C2651" s="3" t="str">
        <f>IFERROR(__xludf.DUMMYFUNCTION("GOOGLETRANSLATE(B2651,""id"",""en"")"),"['Okay', 'Satisfied', 'Because', 'Awl', 'Saaja', 'Good', 'Besuk', 'Open', 'Check', 'Credit', 'Data', 'Notivikasi', ' registration ',' reset ',' loding ',' slow ',' table ',' bureaucracy ',' complicated ',' application ',' useful ', ""]")</f>
        <v>['Okay', 'Satisfied', 'Because', 'Awl', 'Saaja', 'Good', 'Besuk', 'Open', 'Check', 'Credit', 'Data', 'Notivikasi', ' registration ',' reset ',' loding ',' slow ',' table ',' bureaucracy ',' complicated ',' application ',' useful ', "]</v>
      </c>
      <c r="D2651" s="3">
        <v>2.0</v>
      </c>
    </row>
    <row r="2652" ht="15.75" customHeight="1">
      <c r="A2652" s="1">
        <v>2815.0</v>
      </c>
      <c r="B2652" s="3" t="s">
        <v>2612</v>
      </c>
      <c r="C2652" s="3" t="str">
        <f>IFERROR(__xludf.DUMMYFUNCTION("GOOGLETRANSLATE(B2652,""id"",""en"")"),"['Unfortunately', 'Open', 'Application', 'Telkomsel', 'Lemot']")</f>
        <v>['Unfortunately', 'Open', 'Application', 'Telkomsel', 'Lemot']</v>
      </c>
      <c r="D2652" s="3">
        <v>3.0</v>
      </c>
    </row>
    <row r="2653" ht="15.75" customHeight="1">
      <c r="A2653" s="1">
        <v>2817.0</v>
      </c>
      <c r="B2653" s="3" t="s">
        <v>2613</v>
      </c>
      <c r="C2653" s="3" t="str">
        <f>IFERROR(__xludf.DUMMYFUNCTION("GOOGLETRANSLATE(B2653,""id"",""en"")"),"['Application', 'Good', 'Features', 'Features', 'Available', 'Help', ""]")</f>
        <v>['Application', 'Good', 'Features', 'Features', 'Available', 'Help', "]</v>
      </c>
      <c r="D2653" s="3">
        <v>5.0</v>
      </c>
    </row>
    <row r="2654" ht="15.75" customHeight="1">
      <c r="A2654" s="1">
        <v>2818.0</v>
      </c>
      <c r="B2654" s="3" t="s">
        <v>2614</v>
      </c>
      <c r="C2654" s="3" t="str">
        <f>IFERROR(__xludf.DUMMYFUNCTION("GOOGLETRANSLATE(B2654,""id"",""en"")"),"['Sorry', 'Sis', 'Telkomsel', 'signal', 'difficult', 'please', 'repaired', ""]")</f>
        <v>['Sorry', 'Sis', 'Telkomsel', 'signal', 'difficult', 'please', 'repaired', "]</v>
      </c>
      <c r="D2654" s="3">
        <v>1.0</v>
      </c>
    </row>
    <row r="2655" ht="15.75" customHeight="1">
      <c r="A2655" s="1">
        <v>2819.0</v>
      </c>
      <c r="B2655" s="3" t="s">
        <v>2615</v>
      </c>
      <c r="C2655" s="3" t="str">
        <f>IFERROR(__xludf.DUMMYFUNCTION("GOOGLETRANSLATE(B2655,""id"",""en"")"),"['signal', 'Full', 'Speed', 'Dapi', 'Fake', 'Please', 'Fix', 'Jngan', 'Emotion', 'Disappointed', 'Fix', 'Sorry', ' Cave ',' Change ',' ']")</f>
        <v>['signal', 'Full', 'Speed', 'Dapi', 'Fake', 'Please', 'Fix', 'Jngan', 'Emotion', 'Disappointed', 'Fix', 'Sorry', ' Cave ',' Change ',' ']</v>
      </c>
      <c r="D2655" s="3">
        <v>1.0</v>
      </c>
    </row>
    <row r="2656" ht="15.75" customHeight="1">
      <c r="A2656" s="1">
        <v>2820.0</v>
      </c>
      <c r="B2656" s="3" t="s">
        <v>2616</v>
      </c>
      <c r="C2656" s="3" t="str">
        <f>IFERROR(__xludf.DUMMYFUNCTION("GOOGLETRANSLATE(B2656,""id"",""en"")"),"['', 'open', 'screen', 'white', 'continuous', 'severe', 'hbis', 'update']")</f>
        <v>['', 'open', 'screen', 'white', 'continuous', 'severe', 'hbis', 'update']</v>
      </c>
      <c r="D2656" s="3">
        <v>1.0</v>
      </c>
    </row>
    <row r="2657" ht="15.75" customHeight="1">
      <c r="A2657" s="1">
        <v>2821.0</v>
      </c>
      <c r="B2657" s="3" t="s">
        <v>2617</v>
      </c>
      <c r="C2657" s="3" t="str">
        <f>IFERROR(__xludf.DUMMYFUNCTION("GOOGLETRANSLATE(B2657,""id"",""en"")"),"['told', 'mode', 'Hello', 'signal', 'ugly', ""]")</f>
        <v>['told', 'mode', 'Hello', 'signal', 'ugly', "]</v>
      </c>
      <c r="D2657" s="3">
        <v>1.0</v>
      </c>
    </row>
    <row r="2658" ht="15.75" customHeight="1">
      <c r="A2658" s="1">
        <v>2822.0</v>
      </c>
      <c r="B2658" s="3" t="s">
        <v>2618</v>
      </c>
      <c r="C2658" s="3" t="str">
        <f>IFERROR(__xludf.DUMMYFUNCTION("GOOGLETRANSLATE(B2658,""id"",""en"")"),"['times',' buy ',' package ',' telephone ',' application ',' Telkomsel ',' sms', 'confirm', 'purchase', 'package', 'success',' sangay ',' disappointed']")</f>
        <v>['times',' buy ',' package ',' telephone ',' application ',' Telkomsel ',' sms', 'confirm', 'purchase', 'package', 'success',' sangay ',' disappointed']</v>
      </c>
      <c r="D2658" s="3">
        <v>1.0</v>
      </c>
    </row>
    <row r="2659" ht="15.75" customHeight="1">
      <c r="A2659" s="1">
        <v>2823.0</v>
      </c>
      <c r="B2659" s="3" t="s">
        <v>2619</v>
      </c>
      <c r="C2659" s="3" t="str">
        <f>IFERROR(__xludf.DUMMYFUNCTION("GOOGLETRANSLATE(B2659,""id"",""en"")"),"['Anyway', 'Network', 'Good']")</f>
        <v>['Anyway', 'Network', 'Good']</v>
      </c>
      <c r="D2659" s="3">
        <v>5.0</v>
      </c>
    </row>
    <row r="2660" ht="15.75" customHeight="1">
      <c r="A2660" s="1">
        <v>2824.0</v>
      </c>
      <c r="B2660" s="3" t="s">
        <v>2620</v>
      </c>
      <c r="C2660" s="3" t="str">
        <f>IFERROR(__xludf.DUMMYFUNCTION("GOOGLETRANSLATE(B2660,""id"",""en"")"),"Of course")</f>
        <v>Of course</v>
      </c>
      <c r="D2660" s="3">
        <v>5.0</v>
      </c>
    </row>
    <row r="2661" ht="15.75" customHeight="1">
      <c r="A2661" s="1">
        <v>2825.0</v>
      </c>
      <c r="B2661" s="3" t="s">
        <v>2621</v>
      </c>
      <c r="C2661" s="3" t="str">
        <f>IFERROR(__xludf.DUMMYFUNCTION("GOOGLETRANSLATE(B2661,""id"",""en"")"),"['Area', 'Maluku', 'Ambon', 'Signal', 'Good']")</f>
        <v>['Area', 'Maluku', 'Ambon', 'Signal', 'Good']</v>
      </c>
      <c r="D2661" s="3">
        <v>4.0</v>
      </c>
    </row>
    <row r="2662" ht="15.75" customHeight="1">
      <c r="A2662" s="1">
        <v>2826.0</v>
      </c>
      <c r="B2662" s="3" t="s">
        <v>2622</v>
      </c>
      <c r="C2662" s="3" t="str">
        <f>IFERROR(__xludf.DUMMYFUNCTION("GOOGLETRANSLATE(B2662,""id"",""en"")"),"['Jaya', 'Telkomsel', ""]")</f>
        <v>['Jaya', 'Telkomsel', "]</v>
      </c>
      <c r="D2662" s="3">
        <v>5.0</v>
      </c>
    </row>
    <row r="2663" ht="15.75" customHeight="1">
      <c r="A2663" s="1">
        <v>2827.0</v>
      </c>
      <c r="B2663" s="3" t="s">
        <v>2623</v>
      </c>
      <c r="C2663" s="3" t="str">
        <f>IFERROR(__xludf.DUMMYFUNCTION("GOOGLETRANSLATE(B2663,""id"",""en"")"),"['Gampang', 'use it']")</f>
        <v>['Gampang', 'use it']</v>
      </c>
      <c r="D2663" s="3">
        <v>5.0</v>
      </c>
    </row>
    <row r="2664" ht="15.75" customHeight="1">
      <c r="A2664" s="1">
        <v>2828.0</v>
      </c>
      <c r="B2664" s="3" t="s">
        <v>2624</v>
      </c>
      <c r="C2664" s="3" t="str">
        <f>IFERROR(__xludf.DUMMYFUNCTION("GOOGLETRANSLATE(B2664,""id"",""en"")"),"['', 'DLU', 'Exchange', 'Points', 'BLM', 'PRNH', 'DPT', 'Gift', 'Skali', 'Gmbar', 'sweetener', 'SJA', 'Winner' ',' BLM ',' PRNH ',' So ',' Winner ',' For ',' Tlkomsel ',' TTP ',' Cemubung ', ""]")</f>
        <v>['', 'DLU', 'Exchange', 'Points', 'BLM', 'PRNH', 'DPT', 'Gift', 'Skali', 'Gmbar', 'sweetener', 'SJA', 'Winner' ',' BLM ',' PRNH ',' So ',' Winner ',' For ',' Tlkomsel ',' TTP ',' Cemubung ', "]</v>
      </c>
      <c r="D2664" s="3">
        <v>1.0</v>
      </c>
    </row>
    <row r="2665" ht="15.75" customHeight="1">
      <c r="A2665" s="1">
        <v>2829.0</v>
      </c>
      <c r="B2665" s="3" t="s">
        <v>2625</v>
      </c>
      <c r="C2665" s="3" t="str">
        <f>IFERROR(__xludf.DUMMYFUNCTION("GOOGLETRANSLATE(B2665,""id"",""en"")"),"['use', 'network', 'wifi', 'pulse', 'truncated', 'reason', 'notification', 'sms', 'data', 'non', 'package', '']")</f>
        <v>['use', 'network', 'wifi', 'pulse', 'truncated', 'reason', 'notification', 'sms', 'data', 'non', 'package', '']</v>
      </c>
      <c r="D2665" s="3">
        <v>1.0</v>
      </c>
    </row>
    <row r="2666" ht="15.75" customHeight="1">
      <c r="A2666" s="1">
        <v>2830.0</v>
      </c>
      <c r="B2666" s="3" t="s">
        <v>2626</v>
      </c>
      <c r="C2666" s="3" t="str">
        <f>IFERROR(__xludf.DUMMYFUNCTION("GOOGLETRANSLATE(B2666,""id"",""en"")"),"['Upgrade', 'Android', 'Applications', 'Lost', 'Gbisa', 'Download', '']")</f>
        <v>['Upgrade', 'Android', 'Applications', 'Lost', 'Gbisa', 'Download', '']</v>
      </c>
      <c r="D2666" s="3">
        <v>2.0</v>
      </c>
    </row>
    <row r="2667" ht="15.75" customHeight="1">
      <c r="A2667" s="1">
        <v>2831.0</v>
      </c>
      <c r="B2667" s="3" t="s">
        <v>2627</v>
      </c>
      <c r="C2667" s="3" t="str">
        <f>IFERROR(__xludf.DUMMYFUNCTION("GOOGLETRANSLATE(B2667,""id"",""en"")"),"['Give', 'Bintang', 'CKCKCK', 'Play', 'Astrology', 'Google', 'Play']")</f>
        <v>['Give', 'Bintang', 'CKCKCK', 'Play', 'Astrology', 'Google', 'Play']</v>
      </c>
      <c r="D2667" s="3">
        <v>1.0</v>
      </c>
    </row>
    <row r="2668" ht="15.75" customHeight="1">
      <c r="A2668" s="1">
        <v>2832.0</v>
      </c>
      <c r="B2668" s="3" t="s">
        <v>2628</v>
      </c>
      <c r="C2668" s="3" t="str">
        <f>IFERROR(__xludf.DUMMYFUNCTION("GOOGLETRANSLATE(B2668,""id"",""en"")"),"['present']")</f>
        <v>['present']</v>
      </c>
      <c r="D2668" s="3">
        <v>5.0</v>
      </c>
    </row>
    <row r="2669" ht="15.75" customHeight="1">
      <c r="A2669" s="1">
        <v>2833.0</v>
      </c>
      <c r="B2669" s="3" t="s">
        <v>2629</v>
      </c>
      <c r="C2669" s="3" t="str">
        <f>IFERROR(__xludf.DUMMYFUNCTION("GOOGLETRANSLATE(B2669,""id"",""en"")"),"['Likes', 'Application', 'Help', ""]")</f>
        <v>['Likes', 'Application', 'Help', "]</v>
      </c>
      <c r="D2669" s="3">
        <v>5.0</v>
      </c>
    </row>
    <row r="2670" ht="15.75" customHeight="1">
      <c r="A2670" s="1">
        <v>2834.0</v>
      </c>
      <c r="B2670" s="3" t="s">
        <v>2630</v>
      </c>
      <c r="C2670" s="3" t="str">
        <f>IFERROR(__xludf.DUMMYFUNCTION("GOOGLETRANSLATE(B2670,""id"",""en"")"),"['Semuany', 'JDI', 'Easy', 'Save', 'JDI', 'Passlh', ""]")</f>
        <v>['Semuany', 'JDI', 'Easy', 'Save', 'JDI', 'Passlh', "]</v>
      </c>
      <c r="D2670" s="3">
        <v>3.0</v>
      </c>
    </row>
    <row r="2671" ht="15.75" customHeight="1">
      <c r="A2671" s="1">
        <v>2835.0</v>
      </c>
      <c r="B2671" s="3" t="s">
        <v>2631</v>
      </c>
      <c r="C2671" s="3" t="str">
        <f>IFERROR(__xludf.DUMMYFUNCTION("GOOGLETRANSLATE(B2671,""id"",""en"")"),"['Get', 'gift', 'prize', 'just', 'Tipu', 'Tipu', 'Doang']")</f>
        <v>['Get', 'gift', 'prize', 'just', 'Tipu', 'Tipu', 'Doang']</v>
      </c>
      <c r="D2671" s="3">
        <v>1.0</v>
      </c>
    </row>
    <row r="2672" ht="15.75" customHeight="1">
      <c r="A2672" s="1">
        <v>2836.0</v>
      </c>
      <c r="B2672" s="3" t="s">
        <v>2632</v>
      </c>
      <c r="C2672" s="3" t="str">
        <f>IFERROR(__xludf.DUMMYFUNCTION("GOOGLETRANSLATE(B2672,""id"",""en"")"),"['Min', 'asep']")</f>
        <v>['Min', 'asep']</v>
      </c>
      <c r="D2672" s="3">
        <v>5.0</v>
      </c>
    </row>
    <row r="2673" ht="15.75" customHeight="1">
      <c r="A2673" s="1">
        <v>2837.0</v>
      </c>
      <c r="B2673" s="3" t="s">
        <v>2633</v>
      </c>
      <c r="C2673" s="3" t="str">
        <f>IFERROR(__xludf.DUMMYFUNCTION("GOOGLETRANSLATE(B2673,""id"",""en"")"),"['Update', 'White', 'Screen', 'Kek', 'APK', '']")</f>
        <v>['Update', 'White', 'Screen', 'Kek', 'APK', '']</v>
      </c>
      <c r="D2673" s="3">
        <v>1.0</v>
      </c>
    </row>
    <row r="2674" ht="15.75" customHeight="1">
      <c r="A2674" s="1">
        <v>2839.0</v>
      </c>
      <c r="B2674" s="3" t="s">
        <v>2634</v>
      </c>
      <c r="C2674" s="3" t="str">
        <f>IFERROR(__xludf.DUMMYFUNCTION("GOOGLETRANSLATE(B2674,""id"",""en"")"),"['Mimin', 'Telkomsel', 'right', 'buy', 'Package', 'Game', 'Max', 'Gada', 'Vocher', 'Diamond', 'printed', 'Diamond', ' free']")</f>
        <v>['Mimin', 'Telkomsel', 'right', 'buy', 'Package', 'Game', 'Max', 'Gada', 'Vocher', 'Diamond', 'printed', 'Diamond', ' free']</v>
      </c>
      <c r="D2674" s="3">
        <v>2.0</v>
      </c>
    </row>
    <row r="2675" ht="15.75" customHeight="1">
      <c r="A2675" s="1">
        <v>2840.0</v>
      </c>
      <c r="B2675" s="3" t="s">
        <v>2635</v>
      </c>
      <c r="C2675" s="3" t="str">
        <f>IFERROR(__xludf.DUMMYFUNCTION("GOOGLETRANSLATE(B2675,""id"",""en"")"),"['loading', 'slow', 'please', 'repair']")</f>
        <v>['loading', 'slow', 'please', 'repair']</v>
      </c>
      <c r="D2675" s="3">
        <v>4.0</v>
      </c>
    </row>
    <row r="2676" ht="15.75" customHeight="1">
      <c r="A2676" s="1">
        <v>2841.0</v>
      </c>
      <c r="B2676" s="3" t="s">
        <v>2636</v>
      </c>
      <c r="C2676" s="3" t="str">
        <f>IFERROR(__xludf.DUMMYFUNCTION("GOOGLETRANSLATE(B2676,""id"",""en"")"),"['promo', 'quota', 'special', 'for', 'You', 'people', 'grade', 'gold', '']")</f>
        <v>['promo', 'quota', 'special', 'for', 'You', 'people', 'grade', 'gold', '']</v>
      </c>
      <c r="D2676" s="3">
        <v>3.0</v>
      </c>
    </row>
    <row r="2677" ht="15.75" customHeight="1">
      <c r="A2677" s="1">
        <v>2842.0</v>
      </c>
      <c r="B2677" s="3" t="s">
        <v>2637</v>
      </c>
      <c r="C2677" s="3" t="str">
        <f>IFERROR(__xludf.DUMMYFUNCTION("GOOGLETRANSLATE(B2677,""id"",""en"")"),"['Cool', 'easy', 'pakenya', 'purchase', 'package', 'internet', 'language', 'makes it easy']")</f>
        <v>['Cool', 'easy', 'pakenya', 'purchase', 'package', 'internet', 'language', 'makes it easy']</v>
      </c>
      <c r="D2677" s="3">
        <v>5.0</v>
      </c>
    </row>
    <row r="2678" ht="15.75" customHeight="1">
      <c r="A2678" s="1">
        <v>2843.0</v>
      </c>
      <c r="B2678" s="3" t="s">
        <v>2638</v>
      </c>
      <c r="C2678" s="3" t="str">
        <f>IFERROR(__xludf.DUMMYFUNCTION("GOOGLETRANSLATE(B2678,""id"",""en"")"),"['Steady', 'Lottery']")</f>
        <v>['Steady', 'Lottery']</v>
      </c>
      <c r="D2678" s="3">
        <v>5.0</v>
      </c>
    </row>
    <row r="2679" ht="15.75" customHeight="1">
      <c r="A2679" s="1">
        <v>2844.0</v>
      </c>
      <c r="B2679" s="3" t="s">
        <v>2639</v>
      </c>
      <c r="C2679" s="3" t="str">
        <f>IFERROR(__xludf.DUMMYFUNCTION("GOOGLETRANSLATE(B2679,""id"",""en"")"),"['Package', 'Best']")</f>
        <v>['Package', 'Best']</v>
      </c>
      <c r="D2679" s="3">
        <v>5.0</v>
      </c>
    </row>
    <row r="2680" ht="15.75" customHeight="1">
      <c r="A2680" s="1">
        <v>2845.0</v>
      </c>
      <c r="B2680" s="3" t="s">
        <v>2640</v>
      </c>
      <c r="C2680" s="3" t="str">
        <f>IFERROR(__xludf.DUMMYFUNCTION("GOOGLETRANSLATE(B2680,""id"",""en"")"),"['Sis', 'Kebaps', 'No', 'Lesson', 'Delicious', 'That's', 'Buy', 'Peket']")</f>
        <v>['Sis', 'Kebaps', 'No', 'Lesson', 'Delicious', 'That's', 'Buy', 'Peket']</v>
      </c>
      <c r="D2680" s="3">
        <v>2.0</v>
      </c>
    </row>
    <row r="2681" ht="15.75" customHeight="1">
      <c r="A2681" s="1">
        <v>2846.0</v>
      </c>
      <c r="B2681" s="3" t="s">
        <v>2641</v>
      </c>
      <c r="C2681" s="3" t="str">
        <f>IFERROR(__xludf.DUMMYFUNCTION("GOOGLETRANSLATE(B2681,""id"",""en"")"),"['Bacot', 'pulse', 'cave', 'lost', 'thousand', 'debt', 'mytelkomsel', 'apk', 'pig']")</f>
        <v>['Bacot', 'pulse', 'cave', 'lost', 'thousand', 'debt', 'mytelkomsel', 'apk', 'pig']</v>
      </c>
      <c r="D2681" s="3">
        <v>1.0</v>
      </c>
    </row>
    <row r="2682" ht="15.75" customHeight="1">
      <c r="A2682" s="1">
        <v>2847.0</v>
      </c>
      <c r="B2682" s="3" t="s">
        <v>2642</v>
      </c>
      <c r="C2682" s="3" t="str">
        <f>IFERROR(__xludf.DUMMYFUNCTION("GOOGLETRANSLATE(B2682,""id"",""en"")"),"['mantaaaaap', 'apk', 'Telkomsel', 'goood', 'just']")</f>
        <v>['mantaaaaap', 'apk', 'Telkomsel', 'goood', 'just']</v>
      </c>
      <c r="D2682" s="3">
        <v>5.0</v>
      </c>
    </row>
    <row r="2683" ht="15.75" customHeight="1">
      <c r="A2683" s="1">
        <v>2848.0</v>
      </c>
      <c r="B2683" s="3" t="s">
        <v>2643</v>
      </c>
      <c r="C2683" s="3" t="str">
        <f>IFERROR(__xludf.DUMMYFUNCTION("GOOGLETRANSLATE(B2683,""id"",""en"")"),"['Package', 'cheap', 'easy', 'activation', 'package', 'application', 'user', 'good', 'provider']")</f>
        <v>['Package', 'cheap', 'easy', 'activation', 'package', 'application', 'user', 'good', 'provider']</v>
      </c>
      <c r="D2683" s="3">
        <v>5.0</v>
      </c>
    </row>
    <row r="2684" ht="15.75" customHeight="1">
      <c r="A2684" s="1">
        <v>2850.0</v>
      </c>
      <c r="B2684" s="3" t="s">
        <v>2644</v>
      </c>
      <c r="C2684" s="3" t="str">
        <f>IFERROR(__xludf.DUMMYFUNCTION("GOOGLETRANSLATE(B2684,""id"",""en"")"),"['', 'Push', 'Rank', 'Network', 'Nge', 'santing', 'anjg']")</f>
        <v>['', 'Push', 'Rank', 'Network', 'Nge', 'santing', 'anjg']</v>
      </c>
      <c r="D2684" s="3">
        <v>1.0</v>
      </c>
    </row>
    <row r="2685" ht="15.75" customHeight="1">
      <c r="A2685" s="1">
        <v>2851.0</v>
      </c>
      <c r="B2685" s="3" t="s">
        <v>2645</v>
      </c>
      <c r="C2685" s="3" t="str">
        <f>IFERROR(__xludf.DUMMYFUNCTION("GOOGLETRANSLATE(B2685,""id"",""en"")"),"['Update', 'Hitler', 'Shake', 'Pargoy']")</f>
        <v>['Update', 'Hitler', 'Shake', 'Pargoy']</v>
      </c>
      <c r="D2685" s="3">
        <v>1.0</v>
      </c>
    </row>
    <row r="2686" ht="15.75" customHeight="1">
      <c r="A2686" s="1">
        <v>2852.0</v>
      </c>
      <c r="B2686" s="3" t="s">
        <v>2646</v>
      </c>
      <c r="C2686" s="3" t="str">
        <f>IFERROR(__xludf.DUMMYFUNCTION("GOOGLETRANSLATE(B2686,""id"",""en"")"),"['', 'Pisan', 'euy']")</f>
        <v>['', 'Pisan', 'euy']</v>
      </c>
      <c r="D2686" s="3">
        <v>5.0</v>
      </c>
    </row>
    <row r="2687" ht="15.75" customHeight="1">
      <c r="A2687" s="1">
        <v>2853.0</v>
      </c>
      <c r="B2687" s="3" t="s">
        <v>2647</v>
      </c>
      <c r="C2687" s="3" t="str">
        <f>IFERROR(__xludf.DUMMYFUNCTION("GOOGLETRANSLATE(B2687,""id"",""en"")"),"['Service', 'Access',' Network ',' Telkomsel ',' Severe ',' Very ',' Disconnect ',' Lost ',' Tel ',' Signal ',' Pandemic ',' Network ',' Doing business', 'struggling', 'Jabodetabek', 'subscribe', 'Post', 'Pay', 'Times',' Disappointed ',' Seburuk ',' Servi"&amp;"ce ',' Apps', 'Tsel', 'disappears' , 'change', 'MJD', 'Tsel', 'Lite', 'Featured', 'Complete', 'Customer', 'Disconnect', 'Relationship', 'Changed', 'Improved', ""]")</f>
        <v>['Service', 'Access',' Network ',' Telkomsel ',' Severe ',' Very ',' Disconnect ',' Lost ',' Tel ',' Signal ',' Pandemic ',' Network ',' Doing business', 'struggling', 'Jabodetabek', 'subscribe', 'Post', 'Pay', 'Times',' Disappointed ',' Seburuk ',' Service ',' Apps', 'Tsel', 'disappears' , 'change', 'MJD', 'Tsel', 'Lite', 'Featured', 'Complete', 'Customer', 'Disconnect', 'Relationship', 'Changed', 'Improved', "]</v>
      </c>
      <c r="D2687" s="3">
        <v>1.0</v>
      </c>
    </row>
    <row r="2688" ht="15.75" customHeight="1">
      <c r="A2688" s="1">
        <v>2854.0</v>
      </c>
      <c r="B2688" s="3" t="s">
        <v>2648</v>
      </c>
      <c r="C2688" s="3" t="str">
        <f>IFERROR(__xludf.DUMMYFUNCTION("GOOGLETRANSLATE(B2688,""id"",""en"")"),"['Package', 'cave', 'love', 'cheap', 'woi', 'expensive']")</f>
        <v>['Package', 'cave', 'love', 'cheap', 'woi', 'expensive']</v>
      </c>
      <c r="D2688" s="3">
        <v>1.0</v>
      </c>
    </row>
    <row r="2689" ht="15.75" customHeight="1">
      <c r="A2689" s="1">
        <v>2855.0</v>
      </c>
      <c r="B2689" s="3" t="s">
        <v>2649</v>
      </c>
      <c r="C2689" s="3" t="str">
        <f>IFERROR(__xludf.DUMMYFUNCTION("GOOGLETRANSLATE(B2689,""id"",""en"")"),"['Package', 'Internet', 'right', 'contents', 'pulses', 'directly', 'Abis', 'anjg']")</f>
        <v>['Package', 'Internet', 'right', 'contents', 'pulses', 'directly', 'Abis', 'anjg']</v>
      </c>
      <c r="D2689" s="3">
        <v>1.0</v>
      </c>
    </row>
    <row r="2690" ht="15.75" customHeight="1">
      <c r="A2690" s="1">
        <v>2857.0</v>
      </c>
      <c r="B2690" s="3" t="s">
        <v>2650</v>
      </c>
      <c r="C2690" s="3" t="str">
        <f>IFERROR(__xludf.DUMMYFUNCTION("GOOGLETRANSLATE(B2690,""id"",""en"")"),"['buy', 'package', 'failed', 'payment']")</f>
        <v>['buy', 'package', 'failed', 'payment']</v>
      </c>
      <c r="D2690" s="3">
        <v>3.0</v>
      </c>
    </row>
    <row r="2691" ht="15.75" customHeight="1">
      <c r="A2691" s="1">
        <v>2858.0</v>
      </c>
      <c r="B2691" s="3" t="s">
        <v>2651</v>
      </c>
      <c r="C2691" s="3" t="str">
        <f>IFERROR(__xludf.DUMMYFUNCTION("GOOGLETRANSLATE(B2691,""id"",""en"")"),"['information']")</f>
        <v>['information']</v>
      </c>
      <c r="D2691" s="3">
        <v>4.0</v>
      </c>
    </row>
    <row r="2692" ht="15.75" customHeight="1">
      <c r="A2692" s="1">
        <v>2860.0</v>
      </c>
      <c r="B2692" s="3" t="s">
        <v>2652</v>
      </c>
      <c r="C2692" s="3" t="str">
        <f>IFERROR(__xludf.DUMMYFUNCTION("GOOGLETRANSLATE(B2692,""id"",""en"")"),"['', 'Nahan', 'pulse', 'package', 'data', 'run out']")</f>
        <v>['', 'Nahan', 'pulse', 'package', 'data', 'run out']</v>
      </c>
      <c r="D2692" s="3">
        <v>3.0</v>
      </c>
    </row>
    <row r="2693" ht="15.75" customHeight="1">
      <c r="A2693" s="1">
        <v>2861.0</v>
      </c>
      <c r="B2693" s="3" t="s">
        <v>2653</v>
      </c>
      <c r="C2693" s="3" t="str">
        <f>IFERROR(__xludf.DUMMYFUNCTION("GOOGLETRANSLATE(B2693,""id"",""en"")"),"['Constraints', 'anything', 'hope', 'best', 'group', '']")</f>
        <v>['Constraints', 'anything', 'hope', 'best', 'group', '']</v>
      </c>
      <c r="D2693" s="3">
        <v>4.0</v>
      </c>
    </row>
    <row r="2694" ht="15.75" customHeight="1">
      <c r="A2694" s="1">
        <v>2863.0</v>
      </c>
      <c r="B2694" s="3" t="s">
        <v>2654</v>
      </c>
      <c r="C2694" s="3" t="str">
        <f>IFERROR(__xludf.DUMMYFUNCTION("GOOGLETRANSLATE(B2694,""id"",""en"")"),"['Supporting', 'work']")</f>
        <v>['Supporting', 'work']</v>
      </c>
      <c r="D2694" s="3">
        <v>5.0</v>
      </c>
    </row>
    <row r="2695" ht="15.75" customHeight="1">
      <c r="A2695" s="1">
        <v>2864.0</v>
      </c>
      <c r="B2695" s="3" t="s">
        <v>2655</v>
      </c>
      <c r="C2695" s="3" t="str">
        <f>IFERROR(__xludf.DUMMYFUNCTION("GOOGLETRANSLATE(B2695,""id"",""en"")"),"['Success', 'Telkomsel', 'Telkomsel', 'Hope']")</f>
        <v>['Success', 'Telkomsel', 'Telkomsel', 'Hope']</v>
      </c>
      <c r="D2695" s="3">
        <v>5.0</v>
      </c>
    </row>
    <row r="2696" ht="15.75" customHeight="1">
      <c r="A2696" s="1">
        <v>2865.0</v>
      </c>
      <c r="B2696" s="3" t="s">
        <v>2264</v>
      </c>
      <c r="C2696" s="3" t="str">
        <f>IFERROR(__xludf.DUMMYFUNCTION("GOOGLETRANSLATE(B2696,""id"",""en"")"),"['APK', 'good']")</f>
        <v>['APK', 'good']</v>
      </c>
      <c r="D2696" s="3">
        <v>5.0</v>
      </c>
    </row>
    <row r="2697" ht="15.75" customHeight="1">
      <c r="A2697" s="1">
        <v>2866.0</v>
      </c>
      <c r="B2697" s="3" t="s">
        <v>2656</v>
      </c>
      <c r="C2697" s="3" t="str">
        <f>IFERROR(__xludf.DUMMYFUNCTION("GOOGLETRANSLATE(B2697,""id"",""en"")"),"['Severe', 'complain', 'ugly', 'network']")</f>
        <v>['Severe', 'complain', 'ugly', 'network']</v>
      </c>
      <c r="D2697" s="3">
        <v>1.0</v>
      </c>
    </row>
    <row r="2698" ht="15.75" customHeight="1">
      <c r="A2698" s="1">
        <v>2867.0</v>
      </c>
      <c r="B2698" s="3" t="s">
        <v>2657</v>
      </c>
      <c r="C2698" s="3" t="str">
        <f>IFERROR(__xludf.DUMMYFUNCTION("GOOGLETRANSLATE(B2698,""id"",""en"")"),"['Event', 'Daily', 'Check', 'UDH', 'Good', 'Bngt', 'Download', 'Rayel', 'Seven', 'Derivative']")</f>
        <v>['Event', 'Daily', 'Check', 'UDH', 'Good', 'Bngt', 'Download', 'Rayel', 'Seven', 'Derivative']</v>
      </c>
      <c r="D2698" s="3">
        <v>5.0</v>
      </c>
    </row>
    <row r="2699" ht="15.75" customHeight="1">
      <c r="A2699" s="1">
        <v>2869.0</v>
      </c>
      <c r="B2699" s="3" t="s">
        <v>2658</v>
      </c>
      <c r="C2699" s="3" t="str">
        <f>IFERROR(__xludf.DUMMYFUNCTION("GOOGLETRANSLATE(B2699,""id"",""en"")"),"['Please', 'Fix', 'Sousal', 'ugly', 'Maen', 'Game', 'Most', 'Leg', 'Severe', 'City', ""]")</f>
        <v>['Please', 'Fix', 'Sousal', 'ugly', 'Maen', 'Game', 'Most', 'Leg', 'Severe', 'City', "]</v>
      </c>
      <c r="D2699" s="3">
        <v>1.0</v>
      </c>
    </row>
    <row r="2700" ht="15.75" customHeight="1">
      <c r="A2700" s="1">
        <v>2871.0</v>
      </c>
      <c r="B2700" s="3" t="s">
        <v>2659</v>
      </c>
      <c r="C2700" s="3" t="str">
        <f>IFERROR(__xludf.DUMMYFUNCTION("GOOGLETRANSLATE(B2700,""id"",""en"")"),"['slow', 'loading', 'trusss', 'operator', 'biggest', 'trusted']")</f>
        <v>['slow', 'loading', 'trusss', 'operator', 'biggest', 'trusted']</v>
      </c>
      <c r="D2700" s="3">
        <v>5.0</v>
      </c>
    </row>
    <row r="2701" ht="15.75" customHeight="1">
      <c r="A2701" s="1">
        <v>2872.0</v>
      </c>
      <c r="B2701" s="3" t="s">
        <v>2660</v>
      </c>
      <c r="C2701" s="3" t="str">
        <f>IFERROR(__xludf.DUMMYFUNCTION("GOOGLETRANSLATE(B2701,""id"",""en"")"),"['Knp', 'extra', 'unlimited', 'already', 'buy', 'youtube', 'gmn', 'solution', 'youtube', 'please', 'benerin']")</f>
        <v>['Knp', 'extra', 'unlimited', 'already', 'buy', 'youtube', 'gmn', 'solution', 'youtube', 'please', 'benerin']</v>
      </c>
      <c r="D2701" s="3">
        <v>1.0</v>
      </c>
    </row>
    <row r="2702" ht="15.75" customHeight="1">
      <c r="A2702" s="1">
        <v>2873.0</v>
      </c>
      <c r="B2702" s="3" t="s">
        <v>2661</v>
      </c>
      <c r="C2702" s="3" t="str">
        <f>IFERROR(__xludf.DUMMYFUNCTION("GOOGLETRANSLATE(B2702,""id"",""en"")"),"['cave', 'love', 'star', 'thanks', 'accompany', 'back', 'telkom', 'already', '']")</f>
        <v>['cave', 'love', 'star', 'thanks', 'accompany', 'back', 'telkom', 'already', '']</v>
      </c>
      <c r="D2702" s="3">
        <v>5.0</v>
      </c>
    </row>
    <row r="2703" ht="15.75" customHeight="1">
      <c r="A2703" s="1">
        <v>2874.0</v>
      </c>
      <c r="B2703" s="3" t="s">
        <v>2662</v>
      </c>
      <c r="C2703" s="3" t="str">
        <f>IFERROR(__xludf.DUMMYFUNCTION("GOOGLETRANSLATE(B2703,""id"",""en"")"),"['hope', 'in the future', '']")</f>
        <v>['hope', 'in the future', '']</v>
      </c>
      <c r="D2703" s="3">
        <v>5.0</v>
      </c>
    </row>
    <row r="2704" ht="15.75" customHeight="1">
      <c r="A2704" s="1">
        <v>2875.0</v>
      </c>
      <c r="B2704" s="3" t="s">
        <v>2663</v>
      </c>
      <c r="C2704" s="3" t="str">
        <f>IFERROR(__xludf.DUMMYFUNCTION("GOOGLETRANSLATE(B2704,""id"",""en"")"),"['Rain', 'signal', 'difficult', 'please', 'repaired', ""]")</f>
        <v>['Rain', 'signal', 'difficult', 'please', 'repaired', "]</v>
      </c>
      <c r="D2704" s="3">
        <v>1.0</v>
      </c>
    </row>
    <row r="2705" ht="15.75" customHeight="1">
      <c r="A2705" s="1">
        <v>2876.0</v>
      </c>
      <c r="B2705" s="3" t="s">
        <v>2664</v>
      </c>
      <c r="C2705" s="3" t="str">
        <f>IFERROR(__xludf.DUMMYFUNCTION("GOOGLETRANSLATE(B2705,""id"",""en"")"),"['sympathy', 'signal', 'bad', 'experience', 'game', 'threat']")</f>
        <v>['sympathy', 'signal', 'bad', 'experience', 'game', 'threat']</v>
      </c>
      <c r="D2705" s="3">
        <v>1.0</v>
      </c>
    </row>
    <row r="2706" ht="15.75" customHeight="1">
      <c r="A2706" s="1">
        <v>2877.0</v>
      </c>
      <c r="B2706" s="3" t="s">
        <v>2665</v>
      </c>
      <c r="C2706" s="3" t="str">
        <f>IFERROR(__xludf.DUMMYFUNCTION("GOOGLETRANSLATE(B2706,""id"",""en"")"),"['signal', 'severe', 'skrg', 'sympathy', 'udh', 'expensive', ""]")</f>
        <v>['signal', 'severe', 'skrg', 'sympathy', 'udh', 'expensive', "]</v>
      </c>
      <c r="D2706" s="3">
        <v>1.0</v>
      </c>
    </row>
    <row r="2707" ht="15.75" customHeight="1">
      <c r="A2707" s="1">
        <v>2878.0</v>
      </c>
      <c r="B2707" s="3" t="s">
        <v>2666</v>
      </c>
      <c r="C2707" s="3" t="str">
        <f>IFERROR(__xludf.DUMMYFUNCTION("GOOGLETRANSLATE(B2707,""id"",""en"")"),"['Redem', 'Point', 'Telkomsel', 'Telko', 'Credit', 'Benefit', 'Use', 'Telkomsel', 'Point', 'Point', 'Point', 'Credit', ' ']")</f>
        <v>['Redem', 'Point', 'Telkomsel', 'Telko', 'Credit', 'Benefit', 'Use', 'Telkomsel', 'Point', 'Point', 'Point', 'Credit', ' ']</v>
      </c>
      <c r="D2707" s="3">
        <v>3.0</v>
      </c>
    </row>
    <row r="2708" ht="15.75" customHeight="1">
      <c r="A2708" s="1">
        <v>2879.0</v>
      </c>
      <c r="B2708" s="3" t="s">
        <v>2667</v>
      </c>
      <c r="C2708" s="3" t="str">
        <f>IFERROR(__xludf.DUMMYFUNCTION("GOOGLETRANSLATE(B2708,""id"",""en"")"),"['connection', 'connected', 'buy', 'package', 'GB', 'parahhh', '']")</f>
        <v>['connection', 'connected', 'buy', 'package', 'GB', 'parahhh', '']</v>
      </c>
      <c r="D2708" s="3">
        <v>1.0</v>
      </c>
    </row>
    <row r="2709" ht="15.75" customHeight="1">
      <c r="A2709" s="1">
        <v>2880.0</v>
      </c>
      <c r="B2709" s="3" t="s">
        <v>2668</v>
      </c>
      <c r="C2709" s="3" t="str">
        <f>IFERROR(__xludf.DUMMYFUNCTION("GOOGLETRANSLATE(B2709,""id"",""en"")"),"['Signal', 'anywhere']")</f>
        <v>['Signal', 'anywhere']</v>
      </c>
      <c r="D2709" s="3">
        <v>5.0</v>
      </c>
    </row>
    <row r="2710" ht="15.75" customHeight="1">
      <c r="A2710" s="1">
        <v>2881.0</v>
      </c>
      <c r="B2710" s="3" t="s">
        <v>2669</v>
      </c>
      <c r="C2710" s="3" t="str">
        <f>IFERROR(__xludf.DUMMYFUNCTION("GOOGLETRANSLATE(B2710,""id"",""en"")"),"['APK', 'good', 'can', 'bonus', 'kak']")</f>
        <v>['APK', 'good', 'can', 'bonus', 'kak']</v>
      </c>
      <c r="D2710" s="3">
        <v>1.0</v>
      </c>
    </row>
    <row r="2711" ht="15.75" customHeight="1">
      <c r="A2711" s="1">
        <v>2882.0</v>
      </c>
      <c r="B2711" s="3" t="s">
        <v>2670</v>
      </c>
      <c r="C2711" s="3" t="str">
        <f>IFERROR(__xludf.DUMMYFUNCTION("GOOGLETRANSLATE(B2711,""id"",""en"")"),"['Good', 'promo']")</f>
        <v>['Good', 'promo']</v>
      </c>
      <c r="D2711" s="3">
        <v>5.0</v>
      </c>
    </row>
    <row r="2712" ht="15.75" customHeight="1">
      <c r="A2712" s="1">
        <v>2883.0</v>
      </c>
      <c r="B2712" s="3" t="s">
        <v>2671</v>
      </c>
      <c r="C2712" s="3" t="str">
        <f>IFERROR(__xludf.DUMMYFUNCTION("GOOGLETRANSLATE(B2712,""id"",""en"")"),"['Segini', 'Malik', 'Promo', 'Bintang', 'Full', 'Telkomsel']")</f>
        <v>['Segini', 'Malik', 'Promo', 'Bintang', 'Full', 'Telkomsel']</v>
      </c>
      <c r="D2712" s="3">
        <v>3.0</v>
      </c>
    </row>
    <row r="2713" ht="15.75" customHeight="1">
      <c r="A2713" s="1">
        <v>2884.0</v>
      </c>
      <c r="B2713" s="3" t="s">
        <v>2672</v>
      </c>
      <c r="C2713" s="3" t="str">
        <f>IFERROR(__xludf.DUMMYFUNCTION("GOOGLETRANSLATE(B2713,""id"",""en"")"),"['Network', 'stable', 'right', 'lights', 'go out', 'network', 'missing', '']")</f>
        <v>['Network', 'stable', 'right', 'lights', 'go out', 'network', 'missing', '']</v>
      </c>
      <c r="D2713" s="3">
        <v>5.0</v>
      </c>
    </row>
    <row r="2714" ht="15.75" customHeight="1">
      <c r="A2714" s="1">
        <v>2886.0</v>
      </c>
      <c r="B2714" s="3" t="s">
        <v>2673</v>
      </c>
      <c r="C2714" s="3" t="str">
        <f>IFERROR(__xludf.DUMMYFUNCTION("GOOGLETRANSLATE(B2714,""id"",""en"")"),"['Please', 'Love', 'Menu', 'Prevention', 'Credit', 'Cutting', 'Package', 'Data', 'Out', 'Axiata', 'Axiata']")</f>
        <v>['Please', 'Love', 'Menu', 'Prevention', 'Credit', 'Cutting', 'Package', 'Data', 'Out', 'Axiata', 'Axiata']</v>
      </c>
      <c r="D2714" s="3">
        <v>1.0</v>
      </c>
    </row>
    <row r="2715" ht="15.75" customHeight="1">
      <c r="A2715" s="1">
        <v>2887.0</v>
      </c>
      <c r="B2715" s="3" t="s">
        <v>2674</v>
      </c>
      <c r="C2715" s="3" t="str">
        <f>IFERROR(__xludf.DUMMYFUNCTION("GOOGLETRANSLATE(B2715,""id"",""en"")"),"['loss',' really ',' buy ',' package ',' divided ',' quota ',' internet ',' quota ',' multimedia ',' kepake ',' quota ',' internet ',' Mulu ',' PDHL ',' Open ',' Tiktok ',' Enter ',' Quota ',' Multimedia ',' TRS ',' PAS ',' Quota ',' Internet ',' Abis', '"&amp;"Live' , 'quota', 'multimedia', 'right', 'open', 'etc.', 'slow', 'really', 'pdhl', 'udh', 'quota', 'apk', 'sosmed', ' Chat ',' please ',' fix ']")</f>
        <v>['loss',' really ',' buy ',' package ',' divided ',' quota ',' internet ',' quota ',' multimedia ',' kepake ',' quota ',' internet ',' Mulu ',' PDHL ',' Open ',' Tiktok ',' Enter ',' Quota ',' Multimedia ',' TRS ',' PAS ',' Quota ',' Internet ',' Abis', 'Live' , 'quota', 'multimedia', 'right', 'open', 'etc.', 'slow', 'really', 'pdhl', 'udh', 'quota', 'apk', 'sosmed', ' Chat ',' please ',' fix ']</v>
      </c>
      <c r="D2715" s="3">
        <v>1.0</v>
      </c>
    </row>
    <row r="2716" ht="15.75" customHeight="1">
      <c r="A2716" s="1">
        <v>2888.0</v>
      </c>
      <c r="B2716" s="3" t="s">
        <v>2675</v>
      </c>
      <c r="C2716" s="3" t="str">
        <f>IFERROR(__xludf.DUMMYFUNCTION("GOOGLETRANSLATE(B2716,""id"",""en"")"),"['cave', 'suggestion', 'moved', 'card', 'bro', 'Telkomsel', 'expensive', 'doang', 'network', 'kek', 'garbage', ""]")</f>
        <v>['cave', 'suggestion', 'moved', 'card', 'bro', 'Telkomsel', 'expensive', 'doang', 'network', 'kek', 'garbage', "]</v>
      </c>
      <c r="D2716" s="3">
        <v>1.0</v>
      </c>
    </row>
    <row r="2717" ht="15.75" customHeight="1">
      <c r="A2717" s="1">
        <v>2889.0</v>
      </c>
      <c r="B2717" s="3" t="s">
        <v>2676</v>
      </c>
      <c r="C2717" s="3" t="str">
        <f>IFERROR(__xludf.DUMMYFUNCTION("GOOGLETRANSLATE(B2717,""id"",""en"")"),"['Please', 'APK', 'Update', 'Credit', 'Ourders', '']")</f>
        <v>['Please', 'APK', 'Update', 'Credit', 'Ourders', '']</v>
      </c>
      <c r="D2717" s="3">
        <v>2.0</v>
      </c>
    </row>
    <row r="2718" ht="15.75" customHeight="1">
      <c r="A2718" s="1">
        <v>2890.0</v>
      </c>
      <c r="B2718" s="3" t="s">
        <v>2677</v>
      </c>
      <c r="C2718" s="3" t="str">
        <f>IFERROR(__xludf.DUMMYFUNCTION("GOOGLETRANSLATE(B2718,""id"",""en"")"),"['signal', 'internet', 'ugly', 'sub-district', 'pecallungan', 'district', 'stem', 'Java']")</f>
        <v>['signal', 'internet', 'ugly', 'sub-district', 'pecallungan', 'district', 'stem', 'Java']</v>
      </c>
      <c r="D2718" s="3">
        <v>1.0</v>
      </c>
    </row>
    <row r="2719" ht="15.75" customHeight="1">
      <c r="A2719" s="1">
        <v>2891.0</v>
      </c>
      <c r="B2719" s="3" t="s">
        <v>2678</v>
      </c>
      <c r="C2719" s="3" t="str">
        <f>IFERROR(__xludf.DUMMYFUNCTION("GOOGLETRANSLATE(B2719,""id"",""en"")"),"['', 'easy', 'operational', 'features', 'shopping']")</f>
        <v>['', 'easy', 'operational', 'features', 'shopping']</v>
      </c>
      <c r="D2719" s="3">
        <v>5.0</v>
      </c>
    </row>
    <row r="2720" ht="15.75" customHeight="1">
      <c r="A2720" s="1">
        <v>2892.0</v>
      </c>
      <c r="B2720" s="3" t="s">
        <v>2679</v>
      </c>
      <c r="C2720" s="3" t="str">
        <f>IFERROR(__xludf.DUMMYFUNCTION("GOOGLETRANSLATE(B2720,""id"",""en"")"),"['Good', 'really', 'APK']")</f>
        <v>['Good', 'really', 'APK']</v>
      </c>
      <c r="D2720" s="3">
        <v>5.0</v>
      </c>
    </row>
    <row r="2721" ht="15.75" customHeight="1">
      <c r="A2721" s="1">
        <v>2893.0</v>
      </c>
      <c r="B2721" s="3" t="s">
        <v>2680</v>
      </c>
      <c r="C2721" s="3" t="str">
        <f>IFERROR(__xludf.DUMMYFUNCTION("GOOGLETRANSLATE(B2721,""id"",""en"")"),"['Buy', 'Package', 'Combo', 'Description', 'Credit', 'Adequate', 'Credit', 'Adequate', 'Buy', 'Package', 'Please', 'Repaired', ' ']")</f>
        <v>['Buy', 'Package', 'Combo', 'Description', 'Credit', 'Adequate', 'Credit', 'Adequate', 'Buy', 'Package', 'Please', 'Repaired', ' ']</v>
      </c>
      <c r="D2721" s="3">
        <v>5.0</v>
      </c>
    </row>
    <row r="2722" ht="15.75" customHeight="1">
      <c r="A2722" s="1">
        <v>2894.0</v>
      </c>
      <c r="B2722" s="3" t="s">
        <v>2681</v>
      </c>
      <c r="C2722" s="3" t="str">
        <f>IFERROR(__xludf.DUMMYFUNCTION("GOOGLETRANSLATE(B2722,""id"",""en"")"),"['Update']")</f>
        <v>['Update']</v>
      </c>
      <c r="D2722" s="3">
        <v>5.0</v>
      </c>
    </row>
    <row r="2723" ht="15.75" customHeight="1">
      <c r="A2723" s="1">
        <v>2895.0</v>
      </c>
      <c r="B2723" s="3" t="s">
        <v>2682</v>
      </c>
      <c r="C2723" s="3" t="str">
        <f>IFERROR(__xludf.DUMMYFUNCTION("GOOGLETRANSLATE(B2723,""id"",""en"")"),"['Application', 'Telkomsel', 'Pay', 'Credit', 'Please', 'Fix', 'Application', 'Register', 'Package', 'Pay', 'Pakek', 'plsa', ' ']")</f>
        <v>['Application', 'Telkomsel', 'Pay', 'Credit', 'Please', 'Fix', 'Application', 'Register', 'Package', 'Pay', 'Pakek', 'plsa', ' ']</v>
      </c>
      <c r="D2723" s="3">
        <v>1.0</v>
      </c>
    </row>
    <row r="2724" ht="15.75" customHeight="1">
      <c r="A2724" s="1">
        <v>2896.0</v>
      </c>
      <c r="B2724" s="3" t="s">
        <v>2683</v>
      </c>
      <c r="C2724" s="3" t="str">
        <f>IFERROR(__xludf.DUMMYFUNCTION("GOOGLETRANSLATE(B2724,""id"",""en"")"),"['Buy', 'Package', 'Good', 'Indosat', 'Selalau', 'Service', 'Saatain', 'Game', 'Pas',' Main ',' GAM ',' Satan ',' Expensive ',' Doang ', ""]")</f>
        <v>['Buy', 'Package', 'Good', 'Indosat', 'Selalau', 'Service', 'Saatain', 'Game', 'Pas',' Main ',' GAM ',' Satan ',' Expensive ',' Doang ', "]</v>
      </c>
      <c r="D2724" s="3">
        <v>1.0</v>
      </c>
    </row>
    <row r="2725" ht="15.75" customHeight="1">
      <c r="A2725" s="1">
        <v>2897.0</v>
      </c>
      <c r="B2725" s="3" t="s">
        <v>2684</v>
      </c>
      <c r="C2725" s="3" t="str">
        <f>IFERROR(__xludf.DUMMYFUNCTION("GOOGLETRANSLATE(B2725,""id"",""en"")"),"['Star', 'Bagusaya']")</f>
        <v>['Star', 'Bagusaya']</v>
      </c>
      <c r="D2725" s="3">
        <v>3.0</v>
      </c>
    </row>
    <row r="2726" ht="15.75" customHeight="1">
      <c r="A2726" s="1">
        <v>2898.0</v>
      </c>
      <c r="B2726" s="3" t="s">
        <v>2685</v>
      </c>
      <c r="C2726" s="3" t="str">
        <f>IFERROR(__xludf.DUMMYFUNCTION("GOOGLETRANSLATE(B2726,""id"",""en"")"),"['Bgus', 'satisfying']")</f>
        <v>['Bgus', 'satisfying']</v>
      </c>
      <c r="D2726" s="3">
        <v>5.0</v>
      </c>
    </row>
    <row r="2727" ht="15.75" customHeight="1">
      <c r="A2727" s="1">
        <v>2899.0</v>
      </c>
      <c r="B2727" s="3" t="s">
        <v>2686</v>
      </c>
      <c r="C2727" s="3" t="str">
        <f>IFERROR(__xludf.DUMMYFUNCTION("GOOGLETRANSLATE(B2727,""id"",""en"")"),"['Please', 'repaired', 'login', 'number', 'right', 'already', 'enter', 'there', 'writing', 'session', 'enter', 'exhaust', ' Login ',' already ',' run out ']")</f>
        <v>['Please', 'repaired', 'login', 'number', 'right', 'already', 'enter', 'there', 'writing', 'session', 'enter', 'exhaust', ' Login ',' already ',' run out ']</v>
      </c>
      <c r="D2727" s="3">
        <v>1.0</v>
      </c>
    </row>
    <row r="2728" ht="15.75" customHeight="1">
      <c r="A2728" s="1">
        <v>2900.0</v>
      </c>
      <c r="B2728" s="3" t="s">
        <v>2687</v>
      </c>
      <c r="C2728" s="3" t="str">
        <f>IFERROR(__xludf.DUMMYFUNCTION("GOOGLETRANSLATE(B2728,""id"",""en"")"),"['Hera', 'love', 'bonus',' pulse ',' just ',' suggestion ',' gave ',' bonus', 'entry', 'sense', 'pulse', 'cellular', ' She ',' ']")</f>
        <v>['Hera', 'love', 'bonus',' pulse ',' just ',' suggestion ',' gave ',' bonus', 'entry', 'sense', 'pulse', 'cellular', ' She ',' ']</v>
      </c>
      <c r="D2728" s="3">
        <v>3.0</v>
      </c>
    </row>
    <row r="2729" ht="15.75" customHeight="1">
      <c r="A2729" s="1">
        <v>2901.0</v>
      </c>
      <c r="B2729" s="3" t="s">
        <v>2688</v>
      </c>
      <c r="C2729" s="3" t="str">
        <f>IFERROR(__xludf.DUMMYFUNCTION("GOOGLETRANSLATE(B2729,""id"",""en"")"),"['application', 'good', 'easy']")</f>
        <v>['application', 'good', 'easy']</v>
      </c>
      <c r="D2729" s="3">
        <v>4.0</v>
      </c>
    </row>
    <row r="2730" ht="15.75" customHeight="1">
      <c r="A2730" s="1">
        <v>2902.0</v>
      </c>
      <c r="B2730" s="3" t="s">
        <v>2689</v>
      </c>
      <c r="C2730" s="3" t="str">
        <f>IFERROR(__xludf.DUMMYFUNCTION("GOOGLETRANSLATE(B2730,""id"",""en"")"),"['activation', 'package', 'failed']")</f>
        <v>['activation', 'package', 'failed']</v>
      </c>
      <c r="D2730" s="3">
        <v>1.0</v>
      </c>
    </row>
    <row r="2731" ht="15.75" customHeight="1">
      <c r="A2731" s="1">
        <v>2903.0</v>
      </c>
      <c r="B2731" s="3" t="s">
        <v>2690</v>
      </c>
      <c r="C2731" s="3" t="str">
        <f>IFERROR(__xludf.DUMMYFUNCTION("GOOGLETRANSLATE(B2731,""id"",""en"")"),"['MOTH', 'Credit', 'JLS', 'SMS', 'Telkomsel', 'Access',' Internet ',' Non ',' Package ',' PDHAL ',' Data ',' cellular ',' SLL ',' OFF ',' PKE ',' WIFI ',' Ngeuh ',' Credit ',' Cut ',' Untung ',' Bener ',' Donk ']")</f>
        <v>['MOTH', 'Credit', 'JLS', 'SMS', 'Telkomsel', 'Access',' Internet ',' Non ',' Package ',' PDHAL ',' Data ',' cellular ',' SLL ',' OFF ',' PKE ',' WIFI ',' Ngeuh ',' Credit ',' Cut ',' Untung ',' Bener ',' Donk ']</v>
      </c>
      <c r="D2731" s="3">
        <v>1.0</v>
      </c>
    </row>
    <row r="2732" ht="15.75" customHeight="1">
      <c r="A2732" s="1">
        <v>2904.0</v>
      </c>
      <c r="B2732" s="3" t="s">
        <v>2691</v>
      </c>
      <c r="C2732" s="3" t="str">
        <f>IFERROR(__xludf.DUMMYFUNCTION("GOOGLETRANSLATE(B2732,""id"",""en"")"),"['Good', 'Increase']")</f>
        <v>['Good', 'Increase']</v>
      </c>
      <c r="D2732" s="3">
        <v>5.0</v>
      </c>
    </row>
    <row r="2733" ht="15.75" customHeight="1">
      <c r="A2733" s="1">
        <v>2906.0</v>
      </c>
      <c r="B2733" s="3" t="s">
        <v>2692</v>
      </c>
      <c r="C2733" s="3" t="str">
        <f>IFERROR(__xludf.DUMMYFUNCTION("GOOGLETRANSLATE(B2733,""id"",""en"")"),"['subscription', 'Telkomsel', 'already', 'here', 'threat', 'signal', 'bad', 'stay', 'city', 'taste', 'kebon', 'difficult', ' Really ',' get ',' signal ',' Telkomsel ',' sad ']")</f>
        <v>['subscription', 'Telkomsel', 'already', 'here', 'threat', 'signal', 'bad', 'stay', 'city', 'taste', 'kebon', 'difficult', ' Really ',' get ',' signal ',' Telkomsel ',' sad ']</v>
      </c>
      <c r="D2733" s="3">
        <v>1.0</v>
      </c>
    </row>
    <row r="2734" ht="15.75" customHeight="1">
      <c r="A2734" s="1">
        <v>2907.0</v>
      </c>
      <c r="B2734" s="3" t="s">
        <v>2693</v>
      </c>
      <c r="C2734" s="3" t="str">
        <f>IFERROR(__xludf.DUMMYFUNCTION("GOOGLETRANSLATE(B2734,""id"",""en"")"),"['The network', 'error', 'ugly', 'just', 'wanted', 'repay', 'emm']")</f>
        <v>['The network', 'error', 'ugly', 'just', 'wanted', 'repay', 'emm']</v>
      </c>
      <c r="D2734" s="3">
        <v>1.0</v>
      </c>
    </row>
    <row r="2735" ht="15.75" customHeight="1">
      <c r="A2735" s="1">
        <v>2908.0</v>
      </c>
      <c r="B2735" s="3" t="s">
        <v>2694</v>
      </c>
      <c r="C2735" s="3" t="str">
        <f>IFERROR(__xludf.DUMMYFUNCTION("GOOGLETRANSLATE(B2735,""id"",""en"")"),"['sucked', 'pulse', 'knowledge', 'fraud', 'sms',' access', 'internet', 'non', 'package', 'reply', 'sms',' basics', ' cheating ',' be careful ',' sin ',' eat ',' haram ']")</f>
        <v>['sucked', 'pulse', 'knowledge', 'fraud', 'sms',' access', 'internet', 'non', 'package', 'reply', 'sms',' basics', ' cheating ',' be careful ',' sin ',' eat ',' haram ']</v>
      </c>
      <c r="D2735" s="3">
        <v>1.0</v>
      </c>
    </row>
    <row r="2736" ht="15.75" customHeight="1">
      <c r="A2736" s="1">
        <v>2910.0</v>
      </c>
      <c r="B2736" s="3" t="s">
        <v>2695</v>
      </c>
      <c r="C2736" s="3" t="str">
        <f>IFERROR(__xludf.DUMMYFUNCTION("GOOGLETRANSLATE(B2736,""id"",""en"")"),"['sekrang', 'Telkomsel', 'appears', 'like', 'gini', 'sorry', 'system', 'error', 'please', 'fix', 'plis', '']")</f>
        <v>['sekrang', 'Telkomsel', 'appears', 'like', 'gini', 'sorry', 'system', 'error', 'please', 'fix', 'plis', '']</v>
      </c>
      <c r="D2736" s="3">
        <v>3.0</v>
      </c>
    </row>
    <row r="2737" ht="15.75" customHeight="1">
      <c r="A2737" s="1">
        <v>2911.0</v>
      </c>
      <c r="B2737" s="3" t="s">
        <v>2696</v>
      </c>
      <c r="C2737" s="3" t="str">
        <f>IFERROR(__xludf.DUMMYFUNCTION("GOOGLETRANSLATE(B2737,""id"",""en"")"),"['network', 'advanced', 'Indonesia', 'internet', 'slow', 'play', 'game', 'online', 'lag', '']")</f>
        <v>['network', 'advanced', 'Indonesia', 'internet', 'slow', 'play', 'game', 'online', 'lag', '']</v>
      </c>
      <c r="D2737" s="3">
        <v>1.0</v>
      </c>
    </row>
    <row r="2738" ht="15.75" customHeight="1">
      <c r="A2738" s="1">
        <v>2913.0</v>
      </c>
      <c r="B2738" s="3" t="s">
        <v>2697</v>
      </c>
      <c r="C2738" s="3" t="str">
        <f>IFERROR(__xludf.DUMMYFUNCTION("GOOGLETRANSLATE(B2738,""id"",""en"")"),"['like', 'tone', 'Teng', 'Teng', 'Teng', 'Teng']")</f>
        <v>['like', 'tone', 'Teng', 'Teng', 'Teng', 'Teng']</v>
      </c>
      <c r="D2738" s="3">
        <v>5.0</v>
      </c>
    </row>
    <row r="2739" ht="15.75" customHeight="1">
      <c r="A2739" s="1">
        <v>2914.0</v>
      </c>
      <c r="B2739" s="3" t="s">
        <v>2698</v>
      </c>
      <c r="C2739" s="3" t="str">
        <f>IFERROR(__xludf.DUMMYFUNCTION("GOOGLETRANSLATE(B2739,""id"",""en"")"),"['Disappointed', 'like', 'Telkomsel', 'buy', 'Kuotaa', 'Mehong', 'really', 'signal', 'City', '']")</f>
        <v>['Disappointed', 'like', 'Telkomsel', 'buy', 'Kuotaa', 'Mehong', 'really', 'signal', 'City', '']</v>
      </c>
      <c r="D2739" s="3">
        <v>1.0</v>
      </c>
    </row>
    <row r="2740" ht="15.75" customHeight="1">
      <c r="A2740" s="1">
        <v>2915.0</v>
      </c>
      <c r="B2740" s="3" t="s">
        <v>2699</v>
      </c>
      <c r="C2740" s="3" t="str">
        <f>IFERROR(__xludf.DUMMYFUNCTION("GOOGLETRANSLATE(B2740,""id"",""en"")"),"['My APK', 'Not bad', 'Good', 'satisfying']")</f>
        <v>['My APK', 'Not bad', 'Good', 'satisfying']</v>
      </c>
      <c r="D2740" s="3">
        <v>5.0</v>
      </c>
    </row>
    <row r="2741" ht="15.75" customHeight="1">
      <c r="A2741" s="1">
        <v>2916.0</v>
      </c>
      <c r="B2741" s="3" t="s">
        <v>2700</v>
      </c>
      <c r="C2741" s="3" t="str">
        <f>IFERROR(__xludf.DUMMYFUNCTION("GOOGLETRANSLATE(B2741,""id"",""en"")"),"['easy', 'use']")</f>
        <v>['easy', 'use']</v>
      </c>
      <c r="D2741" s="3">
        <v>5.0</v>
      </c>
    </row>
    <row r="2742" ht="15.75" customHeight="1">
      <c r="A2742" s="1">
        <v>2917.0</v>
      </c>
      <c r="B2742" s="3" t="s">
        <v>1510</v>
      </c>
      <c r="C2742" s="3" t="str">
        <f>IFERROR(__xludf.DUMMYFUNCTION("GOOGLETRANSLATE(B2742,""id"",""en"")"),"['Satisfied', 'Telkomsel']")</f>
        <v>['Satisfied', 'Telkomsel']</v>
      </c>
      <c r="D2742" s="3">
        <v>5.0</v>
      </c>
    </row>
    <row r="2743" ht="15.75" customHeight="1">
      <c r="A2743" s="1">
        <v>2918.0</v>
      </c>
      <c r="B2743" s="3" t="s">
        <v>1017</v>
      </c>
      <c r="C2743" s="3" t="str">
        <f>IFERROR(__xludf.DUMMYFUNCTION("GOOGLETRANSLATE(B2743,""id"",""en"")"),"['application']")</f>
        <v>['application']</v>
      </c>
      <c r="D2743" s="3">
        <v>5.0</v>
      </c>
    </row>
    <row r="2744" ht="15.75" customHeight="1">
      <c r="A2744" s="1">
        <v>2919.0</v>
      </c>
      <c r="B2744" s="3" t="s">
        <v>2701</v>
      </c>
      <c r="C2744" s="3" t="str">
        <f>IFERROR(__xludf.DUMMYFUNCTION("GOOGLETRANSLATE(B2744,""id"",""en"")"),"['Not bad', 'The network', 'Enhanced', 'Ngelag', ""]")</f>
        <v>['Not bad', 'The network', 'Enhanced', 'Ngelag', "]</v>
      </c>
      <c r="D2744" s="3">
        <v>3.0</v>
      </c>
    </row>
    <row r="2745" ht="15.75" customHeight="1">
      <c r="A2745" s="1">
        <v>2920.0</v>
      </c>
      <c r="B2745" s="3" t="s">
        <v>2702</v>
      </c>
      <c r="C2745" s="3" t="str">
        <f>IFERROR(__xludf.DUMMYFUNCTION("GOOGLETRANSLATE(B2745,""id"",""en"")"),"['Please', 'Application', 'Fix', 'User', 'Faithful', 'Telkomsel', 'Wear', 'Application', 'Telkomsel', 'Routine', 'Following', 'PTogram', ' Daily ',' Check ',' Telkomsel ',' Upgrade ',' Open ',' Application ',' White ',' Screen ',' Litu ',' Try ',' Uninsta"&amp;"ll ',' Install ',' Please ' , 'Response', 'solution', 'concern', 'thank you']")</f>
        <v>['Please', 'Application', 'Fix', 'User', 'Faithful', 'Telkomsel', 'Wear', 'Application', 'Telkomsel', 'Routine', 'Following', 'PTogram', ' Daily ',' Check ',' Telkomsel ',' Upgrade ',' Open ',' Application ',' White ',' Screen ',' Litu ',' Try ',' Uninstall ',' Install ',' Please ' , 'Response', 'solution', 'concern', 'thank you']</v>
      </c>
      <c r="D2745" s="3">
        <v>2.0</v>
      </c>
    </row>
    <row r="2746" ht="15.75" customHeight="1">
      <c r="A2746" s="1">
        <v>2921.0</v>
      </c>
      <c r="B2746" s="3" t="s">
        <v>2703</v>
      </c>
      <c r="C2746" s="3" t="str">
        <f>IFERROR(__xludf.DUMMYFUNCTION("GOOGLETRANSLATE(B2746,""id"",""en"")"),"['very', 'good', 'success', 'Telkomsel']")</f>
        <v>['very', 'good', 'success', 'Telkomsel']</v>
      </c>
      <c r="D2746" s="3">
        <v>5.0</v>
      </c>
    </row>
    <row r="2747" ht="15.75" customHeight="1">
      <c r="A2747" s="1">
        <v>2922.0</v>
      </c>
      <c r="B2747" s="3" t="s">
        <v>2704</v>
      </c>
      <c r="C2747" s="3" t="str">
        <f>IFERROR(__xludf.DUMMYFUNCTION("GOOGLETRANSLATE(B2747,""id"",""en"")"),"['Steady', 'Continue']")</f>
        <v>['Steady', 'Continue']</v>
      </c>
      <c r="D2747" s="3">
        <v>5.0</v>
      </c>
    </row>
    <row r="2748" ht="15.75" customHeight="1">
      <c r="A2748" s="1">
        <v>2923.0</v>
      </c>
      <c r="B2748" s="3" t="s">
        <v>2705</v>
      </c>
      <c r="C2748" s="3" t="str">
        <f>IFERROR(__xludf.DUMMYFUNCTION("GOOGLETRANSLATE(B2748,""id"",""en"")"),"['Try', 'Increase', 'Feature', 'Credit', 'Safe', 'Package', 'Data', 'Pulses', 'Sucked', 'Crazy', 'Times', ""]")</f>
        <v>['Try', 'Increase', 'Feature', 'Credit', 'Safe', 'Package', 'Data', 'Pulses', 'Sucked', 'Crazy', 'Times', "]</v>
      </c>
      <c r="D2748" s="3">
        <v>3.0</v>
      </c>
    </row>
    <row r="2749" ht="15.75" customHeight="1">
      <c r="A2749" s="1">
        <v>2924.0</v>
      </c>
      <c r="B2749" s="3" t="s">
        <v>2706</v>
      </c>
      <c r="C2749" s="3" t="str">
        <f>IFERROR(__xludf.DUMMYFUNCTION("GOOGLETRANSLATE(B2749,""id"",""en"")"),"['signal', 'Bgus', 'TPI', 'Sometimes', 'Rain', 'Melehoy', 'Enhanced', 'LGI', 'signal']")</f>
        <v>['signal', 'Bgus', 'TPI', 'Sometimes', 'Rain', 'Melehoy', 'Enhanced', 'LGI', 'signal']</v>
      </c>
      <c r="D2749" s="3">
        <v>4.0</v>
      </c>
    </row>
    <row r="2750" ht="15.75" customHeight="1">
      <c r="A2750" s="1">
        <v>2925.0</v>
      </c>
      <c r="B2750" s="3" t="s">
        <v>2707</v>
      </c>
      <c r="C2750" s="3" t="str">
        <f>IFERROR(__xludf.DUMMYFUNCTION("GOOGLETRANSLATE(B2750,""id"",""en"")"),"['Log', 'number', 'bely', 'how', ""]")</f>
        <v>['Log', 'number', 'bely', 'how', "]</v>
      </c>
      <c r="D2750" s="3">
        <v>2.0</v>
      </c>
    </row>
    <row r="2751" ht="15.75" customHeight="1">
      <c r="A2751" s="1">
        <v>2926.0</v>
      </c>
      <c r="B2751" s="3" t="s">
        <v>2708</v>
      </c>
      <c r="C2751" s="3" t="str">
        <f>IFERROR(__xludf.DUMMYFUNCTION("GOOGLETRANSLATE(B2751,""id"",""en"")"),"['Good', 'fast', 'process']")</f>
        <v>['Good', 'fast', 'process']</v>
      </c>
      <c r="D2751" s="3">
        <v>5.0</v>
      </c>
    </row>
    <row r="2752" ht="15.75" customHeight="1">
      <c r="A2752" s="1">
        <v>2927.0</v>
      </c>
      <c r="B2752" s="3" t="s">
        <v>2709</v>
      </c>
      <c r="C2752" s="3" t="str">
        <f>IFERROR(__xludf.DUMMYFUNCTION("GOOGLETRANSLATE(B2752,""id"",""en"")"),"['quota', 'expensive', 'student', 'need', 'quota', 'affordable']")</f>
        <v>['quota', 'expensive', 'student', 'need', 'quota', 'affordable']</v>
      </c>
      <c r="D2752" s="3">
        <v>1.0</v>
      </c>
    </row>
    <row r="2753" ht="15.75" customHeight="1">
      <c r="A2753" s="1">
        <v>2929.0</v>
      </c>
      <c r="B2753" s="3" t="s">
        <v>885</v>
      </c>
      <c r="C2753" s="3" t="str">
        <f>IFERROR(__xludf.DUMMYFUNCTION("GOOGLETRANSLATE(B2753,""id"",""en"")"),"['Good', 'application']")</f>
        <v>['Good', 'application']</v>
      </c>
      <c r="D2753" s="3">
        <v>5.0</v>
      </c>
    </row>
    <row r="2754" ht="15.75" customHeight="1">
      <c r="A2754" s="1">
        <v>2930.0</v>
      </c>
      <c r="B2754" s="3" t="s">
        <v>2710</v>
      </c>
      <c r="C2754" s="3" t="str">
        <f>IFERROR(__xludf.DUMMYFUNCTION("GOOGLETRANSLATE(B2754,""id"",""en"")"),"['Telkomsel', 'lose', 'blast', 'maximum', 'already', 'give up', 'customer', 'loyal', 'gini', 'network', 'stable', 'internet', ' slow ',' expensive ',' according to ',' performance ']")</f>
        <v>['Telkomsel', 'lose', 'blast', 'maximum', 'already', 'give up', 'customer', 'loyal', 'gini', 'network', 'stable', 'internet', ' slow ',' expensive ',' according to ',' performance ']</v>
      </c>
      <c r="D2754" s="3">
        <v>1.0</v>
      </c>
    </row>
    <row r="2755" ht="15.75" customHeight="1">
      <c r="A2755" s="1">
        <v>2931.0</v>
      </c>
      <c r="B2755" s="3" t="s">
        <v>2711</v>
      </c>
      <c r="C2755" s="3" t="str">
        <f>IFERROR(__xludf.DUMMYFUNCTION("GOOGLETRANSLATE(B2755,""id"",""en"")"),"['apk', 'lalot', 'dog', 'package', 'expensive', 'expensive', 'dog']")</f>
        <v>['apk', 'lalot', 'dog', 'package', 'expensive', 'expensive', 'dog']</v>
      </c>
      <c r="D2755" s="3">
        <v>1.0</v>
      </c>
    </row>
    <row r="2756" ht="15.75" customHeight="1">
      <c r="A2756" s="1">
        <v>2932.0</v>
      </c>
      <c r="B2756" s="3" t="s">
        <v>2712</v>
      </c>
      <c r="C2756" s="3" t="str">
        <f>IFERROR(__xludf.DUMMYFUNCTION("GOOGLETRANSLATE(B2756,""id"",""en"")"),"['', 'like', 'Telkomsel']")</f>
        <v>['', 'like', 'Telkomsel']</v>
      </c>
      <c r="D2756" s="3">
        <v>4.0</v>
      </c>
    </row>
    <row r="2757" ht="15.75" customHeight="1">
      <c r="A2757" s="1">
        <v>2933.0</v>
      </c>
      <c r="B2757" s="3" t="s">
        <v>2620</v>
      </c>
      <c r="C2757" s="3" t="str">
        <f>IFERROR(__xludf.DUMMYFUNCTION("GOOGLETRANSLATE(B2757,""id"",""en"")"),"Of course")</f>
        <v>Of course</v>
      </c>
      <c r="D2757" s="3">
        <v>4.0</v>
      </c>
    </row>
    <row r="2758" ht="15.75" customHeight="1">
      <c r="A2758" s="1">
        <v>2934.0</v>
      </c>
      <c r="B2758" s="3" t="s">
        <v>2713</v>
      </c>
      <c r="C2758" s="3" t="str">
        <f>IFERROR(__xludf.DUMMYFUNCTION("GOOGLETRANSLATE(B2758,""id"",""en"")"),"['Telkomsel', 'Direct', 'Kemantol', 'compared', 'competitors',' competitors', 'pokonya', 'mytelkomsel', 'recommended', 'really', 'bonus',' difficult ',' move', '']")</f>
        <v>['Telkomsel', 'Direct', 'Kemantol', 'compared', 'competitors',' competitors', 'pokonya', 'mytelkomsel', 'recommended', 'really', 'bonus',' difficult ',' move', '']</v>
      </c>
      <c r="D2758" s="3">
        <v>5.0</v>
      </c>
    </row>
    <row r="2759" ht="15.75" customHeight="1">
      <c r="A2759" s="1">
        <v>2935.0</v>
      </c>
      <c r="B2759" s="3" t="s">
        <v>2714</v>
      </c>
      <c r="C2759" s="3" t="str">
        <f>IFERROR(__xludf.DUMMYFUNCTION("GOOGLETRANSLATE(B2759,""id"",""en"")"),"['Gift', 'Ntar', 'given', 'Bintang', '']")</f>
        <v>['Gift', 'Ntar', 'given', 'Bintang', '']</v>
      </c>
      <c r="D2759" s="3">
        <v>2.0</v>
      </c>
    </row>
    <row r="2760" ht="15.75" customHeight="1">
      <c r="A2760" s="1">
        <v>2936.0</v>
      </c>
      <c r="B2760" s="3" t="s">
        <v>2715</v>
      </c>
      <c r="C2760" s="3" t="str">
        <f>IFERROR(__xludf.DUMMYFUNCTION("GOOGLETRANSLATE(B2760,""id"",""en"")"),"['Disappointed', 'Telkomsel', 'Fill', 'Credit', 'Keep', 'Call', 'Internet', 'Use', 'Provider', 'Credit', 'Sumpot', 'Notif', ' SMS ',' Say ',' use ',' internet ',' pulse ',' wear ',' Telkomsel ',' internet ',' deliberate ',' sucked ',' pulse ',' reasons', "&amp;"'enter' , 'sense']")</f>
        <v>['Disappointed', 'Telkomsel', 'Fill', 'Credit', 'Keep', 'Call', 'Internet', 'Use', 'Provider', 'Credit', 'Sumpot', 'Notif', ' SMS ',' Say ',' use ',' internet ',' pulse ',' wear ',' Telkomsel ',' internet ',' deliberate ',' sucked ',' pulse ',' reasons', 'enter' , 'sense']</v>
      </c>
      <c r="D2760" s="3">
        <v>1.0</v>
      </c>
    </row>
    <row r="2761" ht="15.75" customHeight="1">
      <c r="A2761" s="1">
        <v>2937.0</v>
      </c>
      <c r="B2761" s="3" t="s">
        <v>2716</v>
      </c>
      <c r="C2761" s="3" t="str">
        <f>IFERROR(__xludf.DUMMYFUNCTION("GOOGLETRANSLATE(B2761,""id"",""en"")"),"['Please', 'users', 'Telkomsel', 'Application', 'Update', 'Performance', 'Backward', 'Repaired', 'Rating', 'Maximize']")</f>
        <v>['Please', 'users', 'Telkomsel', 'Application', 'Update', 'Performance', 'Backward', 'Repaired', 'Rating', 'Maximize']</v>
      </c>
      <c r="D2761" s="3">
        <v>1.0</v>
      </c>
    </row>
    <row r="2762" ht="15.75" customHeight="1">
      <c r="A2762" s="1">
        <v>2938.0</v>
      </c>
      <c r="B2762" s="3" t="s">
        <v>2717</v>
      </c>
      <c r="C2762" s="3" t="str">
        <f>IFERROR(__xludf.DUMMYFUNCTION("GOOGLETRANSLATE(B2762,""id"",""en"")"),"['smga', 'in the future', 'lbih', 'cheap']")</f>
        <v>['smga', 'in the future', 'lbih', 'cheap']</v>
      </c>
      <c r="D2762" s="3">
        <v>2.0</v>
      </c>
    </row>
    <row r="2763" ht="15.75" customHeight="1">
      <c r="A2763" s="1">
        <v>2939.0</v>
      </c>
      <c r="B2763" s="3" t="s">
        <v>2718</v>
      </c>
      <c r="C2763" s="3" t="str">
        <f>IFERROR(__xludf.DUMMYFUNCTION("GOOGLETRANSLATE(B2763,""id"",""en"")"),"['internet', 'LEG']")</f>
        <v>['internet', 'LEG']</v>
      </c>
      <c r="D2763" s="3">
        <v>1.0</v>
      </c>
    </row>
    <row r="2764" ht="15.75" customHeight="1">
      <c r="A2764" s="1">
        <v>2940.0</v>
      </c>
      <c r="B2764" s="3" t="s">
        <v>2719</v>
      </c>
      <c r="C2764" s="3" t="str">
        <f>IFERROR(__xludf.DUMMYFUNCTION("GOOGLETRANSLATE(B2764,""id"",""en"")"),"['Telkomsel', 'package', 'expensive', 'TPI', 'signal', 'according to']")</f>
        <v>['Telkomsel', 'package', 'expensive', 'TPI', 'signal', 'according to']</v>
      </c>
      <c r="D2764" s="3">
        <v>1.0</v>
      </c>
    </row>
    <row r="2765" ht="15.75" customHeight="1">
      <c r="A2765" s="1">
        <v>2941.0</v>
      </c>
      <c r="B2765" s="3" t="s">
        <v>2720</v>
      </c>
      <c r="C2765" s="3" t="str">
        <f>IFERROR(__xludf.DUMMYFUNCTION("GOOGLETRANSLATE(B2765,""id"",""en"")"),"['Please', 'fix', 'tower', 'village', 'lights', 'dead', 'signal', 'lost']")</f>
        <v>['Please', 'fix', 'tower', 'village', 'lights', 'dead', 'signal', 'lost']</v>
      </c>
      <c r="D2765" s="3">
        <v>4.0</v>
      </c>
    </row>
    <row r="2766" ht="15.75" customHeight="1">
      <c r="A2766" s="1">
        <v>2942.0</v>
      </c>
      <c r="B2766" s="3" t="s">
        <v>2721</v>
      </c>
      <c r="C2766" s="3" t="str">
        <f>IFERROR(__xludf.DUMMYFUNCTION("GOOGLETRANSLATE(B2766,""id"",""en"")"),"['Disorders', 'yaa']")</f>
        <v>['Disorders', 'yaa']</v>
      </c>
      <c r="D2766" s="3">
        <v>5.0</v>
      </c>
    </row>
    <row r="2767" ht="15.75" customHeight="1">
      <c r="A2767" s="1">
        <v>2943.0</v>
      </c>
      <c r="B2767" s="3" t="s">
        <v>2722</v>
      </c>
      <c r="C2767" s="3" t="str">
        <f>IFERROR(__xludf.DUMMYFUNCTION("GOOGLETRANSLATE(B2767,""id"",""en"")"),"['Gembel', 'because', 'buy', 'quota', 'link', 'paid', 'quota', 'tsb', 'add', 'active', 'complicated', 'really', ' buy ',' pulse ',' trs', 'buy', 'quota', 'data', 'work', 'forced', 'buy', 'active', 'menu', 'dial', 'tlvn' , 'work', 'kaga', 'Telkomsel', 'kup"&amp;"ret', 'weve', 'looked', 'luck', 'really']")</f>
        <v>['Gembel', 'because', 'buy', 'quota', 'link', 'paid', 'quota', 'tsb', 'add', 'active', 'complicated', 'really', ' buy ',' pulse ',' trs', 'buy', 'quota', 'data', 'work', 'forced', 'buy', 'active', 'menu', 'dial', 'tlvn' , 'work', 'kaga', 'Telkomsel', 'kupret', 'weve', 'looked', 'luck', 'really']</v>
      </c>
      <c r="D2767" s="3">
        <v>1.0</v>
      </c>
    </row>
    <row r="2768" ht="15.75" customHeight="1">
      <c r="A2768" s="1">
        <v>2944.0</v>
      </c>
      <c r="B2768" s="3" t="s">
        <v>2723</v>
      </c>
      <c r="C2768" s="3" t="str">
        <f>IFERROR(__xludf.DUMMYFUNCTION("GOOGLETRANSLATE(B2768,""id"",""en"")"),"['Help', 'run out', 'pulses']")</f>
        <v>['Help', 'run out', 'pulses']</v>
      </c>
      <c r="D2768" s="3">
        <v>5.0</v>
      </c>
    </row>
    <row r="2769" ht="15.75" customHeight="1">
      <c r="A2769" s="1">
        <v>2945.0</v>
      </c>
      <c r="B2769" s="3" t="s">
        <v>2724</v>
      </c>
      <c r="C2769" s="3" t="str">
        <f>IFERROR(__xludf.DUMMYFUNCTION("GOOGLETRANSLATE(B2769,""id"",""en"")"),"['noon', 'leg', 'Mulu', 'bangst', 'regret', 'cave', 'buy', ""]")</f>
        <v>['noon', 'leg', 'Mulu', 'bangst', 'regret', 'cave', 'buy', "]</v>
      </c>
      <c r="D2769" s="3">
        <v>2.0</v>
      </c>
    </row>
    <row r="2770" ht="15.75" customHeight="1">
      <c r="A2770" s="1">
        <v>2946.0</v>
      </c>
      <c r="B2770" s="3" t="s">
        <v>2725</v>
      </c>
      <c r="C2770" s="3" t="str">
        <f>IFERROR(__xludf.DUMMYFUNCTION("GOOGLETRANSLATE(B2770,""id"",""en"")"),"['Hopefully', 'Win', 'Amin', ""]")</f>
        <v>['Hopefully', 'Win', 'Amin', "]</v>
      </c>
      <c r="D2770" s="3">
        <v>5.0</v>
      </c>
    </row>
    <row r="2771" ht="15.75" customHeight="1">
      <c r="A2771" s="1">
        <v>2947.0</v>
      </c>
      <c r="B2771" s="3" t="s">
        <v>2726</v>
      </c>
      <c r="C2771" s="3" t="str">
        <f>IFERROR(__xludf.DUMMYFUNCTION("GOOGLETRANSLATE(B2771,""id"",""en"")"),"['Severe', 'tissue', 'kagak', 'ngeta', 'in', 'telephone', 'busy', 'because', 'operator', 'grandma', 'ancestors',' Ogah ',' Use ',' Telkomsel ',' ']")</f>
        <v>['Severe', 'tissue', 'kagak', 'ngeta', 'in', 'telephone', 'busy', 'because', 'operator', 'grandma', 'ancestors',' Ogah ',' Use ',' Telkomsel ',' ']</v>
      </c>
      <c r="D2771" s="3">
        <v>1.0</v>
      </c>
    </row>
    <row r="2772" ht="15.75" customHeight="1">
      <c r="A2772" s="1">
        <v>2948.0</v>
      </c>
      <c r="B2772" s="3" t="s">
        <v>2727</v>
      </c>
      <c r="C2772" s="3" t="str">
        <f>IFERROR(__xludf.DUMMYFUNCTION("GOOGLETRANSLATE(B2772,""id"",""en"")"),"['Mantab', 'Service', '']")</f>
        <v>['Mantab', 'Service', '']</v>
      </c>
      <c r="D2772" s="3">
        <v>3.0</v>
      </c>
    </row>
    <row r="2773" ht="15.75" customHeight="1">
      <c r="A2773" s="1">
        <v>2950.0</v>
      </c>
      <c r="B2773" s="3" t="s">
        <v>2728</v>
      </c>
      <c r="C2773" s="3" t="str">
        <f>IFERROR(__xludf.DUMMYFUNCTION("GOOGLETRANSLATE(B2773,""id"",""en"")"),"['Update', 'White', 'Screen', 'Application', 'Coding', 'Bener', 'Work', 'Bagain', 'Update', 'Application', 'Please', 'Affirm', ' ']")</f>
        <v>['Update', 'White', 'Screen', 'Application', 'Coding', 'Bener', 'Work', 'Bagain', 'Update', 'Application', 'Please', 'Affirm', ' ']</v>
      </c>
      <c r="D2773" s="3">
        <v>1.0</v>
      </c>
    </row>
    <row r="2774" ht="15.75" customHeight="1">
      <c r="A2774" s="1">
        <v>2951.0</v>
      </c>
      <c r="B2774" s="3" t="s">
        <v>2729</v>
      </c>
      <c r="C2774" s="3" t="str">
        <f>IFERROR(__xludf.DUMMYFUNCTION("GOOGLETRANSLATE(B2774,""id"",""en"")"),"['satisfying', 'Please', 'Hope', 'Network', 'Increase', 'Trrimakasih']")</f>
        <v>['satisfying', 'Please', 'Hope', 'Network', 'Increase', 'Trrimakasih']</v>
      </c>
      <c r="D2774" s="3">
        <v>5.0</v>
      </c>
    </row>
    <row r="2775" ht="15.75" customHeight="1">
      <c r="A2775" s="1">
        <v>2952.0</v>
      </c>
      <c r="B2775" s="3" t="s">
        <v>2730</v>
      </c>
      <c r="C2775" s="3" t="str">
        <f>IFERROR(__xludf.DUMMYFUNCTION("GOOGLETRANSLATE(B2775,""id"",""en"")"),"['success']")</f>
        <v>['success']</v>
      </c>
      <c r="D2775" s="3">
        <v>5.0</v>
      </c>
    </row>
    <row r="2776" ht="15.75" customHeight="1">
      <c r="A2776" s="1">
        <v>2953.0</v>
      </c>
      <c r="B2776" s="3" t="s">
        <v>2731</v>
      </c>
      <c r="C2776" s="3" t="str">
        <f>IFERROR(__xludf.DUMMYFUNCTION("GOOGLETRANSLATE(B2776,""id"",""en"")"),"['Please', 'Restore', 'Package', 'Unlimited']")</f>
        <v>['Please', 'Restore', 'Package', 'Unlimited']</v>
      </c>
      <c r="D2776" s="3">
        <v>1.0</v>
      </c>
    </row>
    <row r="2777" ht="15.75" customHeight="1">
      <c r="A2777" s="1">
        <v>2954.0</v>
      </c>
      <c r="B2777" s="3" t="s">
        <v>2732</v>
      </c>
      <c r="C2777" s="3" t="str">
        <f>IFERROR(__xludf.DUMMYFUNCTION("GOOGLETRANSLATE(B2777,""id"",""en"")"),"['Telkomsel', 'Network', 'stable', ""]")</f>
        <v>['Telkomsel', 'Network', 'stable', "]</v>
      </c>
      <c r="D2777" s="3">
        <v>1.0</v>
      </c>
    </row>
    <row r="2778" ht="15.75" customHeight="1">
      <c r="A2778" s="1">
        <v>2955.0</v>
      </c>
      <c r="B2778" s="3" t="s">
        <v>2733</v>
      </c>
      <c r="C2778" s="3" t="str">
        <f>IFERROR(__xludf.DUMMYFUNCTION("GOOGLETRANSLATE(B2778,""id"",""en"")"),"['willing', 'buy', 'package', 'internet', 'expensive', 'provider', 'hope', 'Telkomsel', 'network', 'good', 'network', 'get', ' Drizzle ',' Jam ',' Keboan ',' Anom ',' Sidoarjo ',' Loss', 'Costs',' Tickets', 'Train', 'Costs',' Antigen ',' Tek ',' Ojek ' , "&amp;"'Online', 'chaotic']")</f>
        <v>['willing', 'buy', 'package', 'internet', 'expensive', 'provider', 'hope', 'Telkomsel', 'network', 'good', 'network', 'get', ' Drizzle ',' Jam ',' Keboan ',' Anom ',' Sidoarjo ',' Loss', 'Costs',' Tickets', 'Train', 'Costs',' Antigen ',' Tek ',' Ojek ' , 'Online', 'chaotic']</v>
      </c>
      <c r="D2778" s="3">
        <v>1.0</v>
      </c>
    </row>
    <row r="2779" ht="15.75" customHeight="1">
      <c r="A2779" s="1">
        <v>2956.0</v>
      </c>
      <c r="B2779" s="3" t="s">
        <v>2734</v>
      </c>
      <c r="C2779" s="3" t="str">
        <f>IFERROR(__xludf.DUMMYFUNCTION("GOOGLETRANSLATE(B2779,""id"",""en"")"),"['putting', 'to be to', 'buy', 'package', 'or', 'pulse']")</f>
        <v>['putting', 'to be to', 'buy', 'package', 'or', 'pulse']</v>
      </c>
      <c r="D2779" s="3">
        <v>5.0</v>
      </c>
    </row>
    <row r="2780" ht="15.75" customHeight="1">
      <c r="A2780" s="1">
        <v>2957.0</v>
      </c>
      <c r="B2780" s="3" t="s">
        <v>2735</v>
      </c>
      <c r="C2780" s="3" t="str">
        <f>IFERROR(__xludf.DUMMYFUNCTION("GOOGLETRANSLATE(B2780,""id"",""en"")"),"['Provider', 'Network', 'lag']")</f>
        <v>['Provider', 'Network', 'lag']</v>
      </c>
      <c r="D2780" s="3">
        <v>1.0</v>
      </c>
    </row>
    <row r="2781" ht="15.75" customHeight="1">
      <c r="A2781" s="1">
        <v>2958.0</v>
      </c>
      <c r="B2781" s="3" t="s">
        <v>2736</v>
      </c>
      <c r="C2781" s="3" t="str">
        <f>IFERROR(__xludf.DUMMYFUNCTION("GOOGLETRANSLATE(B2781,""id"",""en"")"),"['APK', 'poor', 'no', 'profitable', 'user']")</f>
        <v>['APK', 'poor', 'no', 'profitable', 'user']</v>
      </c>
      <c r="D2781" s="3">
        <v>1.0</v>
      </c>
    </row>
    <row r="2782" ht="15.75" customHeight="1">
      <c r="A2782" s="1">
        <v>2959.0</v>
      </c>
      <c r="B2782" s="3" t="s">
        <v>2737</v>
      </c>
      <c r="C2782" s="3" t="str">
        <f>IFERROR(__xludf.DUMMYFUNCTION("GOOGLETRANSLATE(B2782,""id"",""en"")"),"['Signal', 'Banten', 'Bagusin']")</f>
        <v>['Signal', 'Banten', 'Bagusin']</v>
      </c>
      <c r="D2782" s="3">
        <v>5.0</v>
      </c>
    </row>
    <row r="2783" ht="15.75" customHeight="1">
      <c r="A2783" s="1">
        <v>2960.0</v>
      </c>
      <c r="B2783" s="3" t="s">
        <v>2738</v>
      </c>
      <c r="C2783" s="3" t="str">
        <f>IFERROR(__xludf.DUMMYFUNCTION("GOOGLETRANSLATE(B2783,""id"",""en"")"),"['Update', 'Login']")</f>
        <v>['Update', 'Login']</v>
      </c>
      <c r="D2783" s="3">
        <v>1.0</v>
      </c>
    </row>
    <row r="2784" ht="15.75" customHeight="1">
      <c r="A2784" s="1">
        <v>2962.0</v>
      </c>
      <c r="B2784" s="3" t="s">
        <v>2739</v>
      </c>
      <c r="C2784" s="3" t="str">
        <f>IFERROR(__xludf.DUMMYFUNCTION("GOOGLETRANSLATE(B2784,""id"",""en"")"),"['Berebelin', 'really', 'application', 'open', 'waste', 'download', 'sucks',' promo ',' GB ',' credit ',' truncated ',' ehhh ',' Internet packages']")</f>
        <v>['Berebelin', 'really', 'application', 'open', 'waste', 'download', 'sucks',' promo ',' GB ',' credit ',' truncated ',' ehhh ',' Internet packages']</v>
      </c>
      <c r="D2784" s="3">
        <v>1.0</v>
      </c>
    </row>
    <row r="2785" ht="15.75" customHeight="1">
      <c r="A2785" s="1">
        <v>2963.0</v>
      </c>
      <c r="B2785" s="3" t="s">
        <v>2740</v>
      </c>
      <c r="C2785" s="3" t="str">
        <f>IFERROR(__xludf.DUMMYFUNCTION("GOOGLETRANSLATE(B2785,""id"",""en"")"),"['Process', 'fast']")</f>
        <v>['Process', 'fast']</v>
      </c>
      <c r="D2785" s="3">
        <v>5.0</v>
      </c>
    </row>
    <row r="2786" ht="15.75" customHeight="1">
      <c r="A2786" s="1">
        <v>2964.0</v>
      </c>
      <c r="B2786" s="3" t="s">
        <v>2741</v>
      </c>
      <c r="C2786" s="3" t="str">
        <f>IFERROR(__xludf.DUMMYFUNCTION("GOOGLETRANSLATE(B2786,""id"",""en"")"),"['network', 'Tsel', 'bad', 'pulses', 'abis', 'package', 'data', '']")</f>
        <v>['network', 'Tsel', 'bad', 'pulses', 'abis', 'package', 'data', '']</v>
      </c>
      <c r="D2786" s="3">
        <v>1.0</v>
      </c>
    </row>
    <row r="2787" ht="15.75" customHeight="1">
      <c r="A2787" s="1">
        <v>2965.0</v>
      </c>
      <c r="B2787" s="3" t="s">
        <v>2742</v>
      </c>
      <c r="C2787" s="3" t="str">
        <f>IFERROR(__xludf.DUMMYFUNCTION("GOOGLETRANSLATE(B2787,""id"",""en"")"),"['Lally', 'promo', 'package', 'Telkomsel', 'mantapp', '']")</f>
        <v>['Lally', 'promo', 'package', 'Telkomsel', 'mantapp', '']</v>
      </c>
      <c r="D2787" s="3">
        <v>5.0</v>
      </c>
    </row>
    <row r="2788" ht="15.75" customHeight="1">
      <c r="A2788" s="1">
        <v>2966.0</v>
      </c>
      <c r="B2788" s="3" t="s">
        <v>2743</v>
      </c>
      <c r="C2788" s="3" t="str">
        <f>IFERROR(__xludf.DUMMYFUNCTION("GOOGLETRANSLATE(B2788,""id"",""en"")"),"['Joss',' Telkomsel ',' service ',' satisfying ',' products', 'package', 'data', 'expensive', 'bro', 'beg', 'price', 'special', ' Alias', 'best-selling', 'sweet', 'cheap', 'festive', '']")</f>
        <v>['Joss',' Telkomsel ',' service ',' satisfying ',' products', 'package', 'data', 'expensive', 'bro', 'beg', 'price', 'special', ' Alias', 'best-selling', 'sweet', 'cheap', 'festive', '']</v>
      </c>
      <c r="D2788" s="3">
        <v>4.0</v>
      </c>
    </row>
    <row r="2789" ht="15.75" customHeight="1">
      <c r="A2789" s="1">
        <v>2968.0</v>
      </c>
      <c r="B2789" s="3" t="s">
        <v>2744</v>
      </c>
      <c r="C2789" s="3" t="str">
        <f>IFERROR(__xludf.DUMMYFUNCTION("GOOGLETRANSLATE(B2789,""id"",""en"")"),"['vain', 'vain', 'belik', 'pakek', 'combo', 'unlimited', 'pakek', 'customer', 'tmkomsel', 'blur', 'because' sought ',' customer', '']")</f>
        <v>['vain', 'vain', 'belik', 'pakek', 'combo', 'unlimited', 'pakek', 'customer', 'tmkomsel', 'blur', 'because' sought ',' customer', '']</v>
      </c>
      <c r="D2789" s="3">
        <v>1.0</v>
      </c>
    </row>
    <row r="2790" ht="15.75" customHeight="1">
      <c r="A2790" s="1">
        <v>2969.0</v>
      </c>
      <c r="B2790" s="3" t="s">
        <v>2745</v>
      </c>
      <c r="C2790" s="3" t="str">
        <f>IFERROR(__xludf.DUMMYFUNCTION("GOOGLETRANSLATE(B2790,""id"",""en"")"),"['', 'contents', 'reset', 'love', 'point', 'minimal', 'contents', 'reset', 'goceng']")</f>
        <v>['', 'contents', 'reset', 'love', 'point', 'minimal', 'contents', 'reset', 'goceng']</v>
      </c>
      <c r="D2790" s="3">
        <v>4.0</v>
      </c>
    </row>
    <row r="2791" ht="15.75" customHeight="1">
      <c r="A2791" s="1">
        <v>2970.0</v>
      </c>
      <c r="B2791" s="3" t="s">
        <v>2746</v>
      </c>
      <c r="C2791" s="3" t="str">
        <f>IFERROR(__xludf.DUMMYFUNCTION("GOOGLETRANSLATE(B2791,""id"",""en"")"),"['', 'postpaid', 'card', 'Hello', 'use', 'leftover', 'run out', 'quota', 'date', 'card', 'package', 'data', 'additional ',' usage ',' package ',' card ',' Hallo ',' Marketing ',' Upgrade ',' Limit ',' Costs', '']")</f>
        <v>['', 'postpaid', 'card', 'Hello', 'use', 'leftover', 'run out', 'quota', 'date', 'card', 'package', 'data', 'additional ',' usage ',' package ',' card ',' Hallo ',' Marketing ',' Upgrade ',' Limit ',' Costs', '']</v>
      </c>
      <c r="D2791" s="3">
        <v>2.0</v>
      </c>
    </row>
    <row r="2792" ht="15.75" customHeight="1">
      <c r="A2792" s="1">
        <v>2971.0</v>
      </c>
      <c r="B2792" s="3" t="s">
        <v>2747</v>
      </c>
      <c r="C2792" s="3" t="str">
        <f>IFERROR(__xludf.DUMMYFUNCTION("GOOGLETRANSLATE(B2792,""id"",""en"")"),"['Problem', 'Telkomsel', 'buy', 'Kouta', 'unlimited', 'youtube', 'intention', 'kouta', 'main', 'sucked', 'quota', 'main', ' Nise ',' GB ',' imagine ',' already ',' pairs', 'kouta', 'unlimited', 'youtube', 'already', 'replace', 'card', 'lol', 'morning' , '"&amp;"GraPARI', 'sorry', 'provisions',' lapse ',' youtube ',' kouta ',' main ',' run out ',' heart ',' helloo ',' read ',' conditions', ' Provisions', 'LOL', 'Sulusi', ""]")</f>
        <v>['Problem', 'Telkomsel', 'buy', 'Kouta', 'unlimited', 'youtube', 'intention', 'kouta', 'main', 'sucked', 'quota', 'main', ' Nise ',' GB ',' imagine ',' already ',' pairs', 'kouta', 'unlimited', 'youtube', 'already', 'replace', 'card', 'lol', 'morning' , 'GraPARI', 'sorry', 'provisions',' lapse ',' youtube ',' kouta ',' main ',' run out ',' heart ',' helloo ',' read ',' conditions', ' Provisions', 'LOL', 'Sulusi', "]</v>
      </c>
      <c r="D2792" s="3">
        <v>1.0</v>
      </c>
    </row>
    <row r="2793" ht="15.75" customHeight="1">
      <c r="A2793" s="1">
        <v>2972.0</v>
      </c>
      <c r="B2793" s="3" t="s">
        <v>2748</v>
      </c>
      <c r="C2793" s="3" t="str">
        <f>IFERROR(__xludf.DUMMYFUNCTION("GOOGLETRANSLATE(B2793,""id"",""en"")"),"['Sousiny', 'ugly', 'really', 'price', 'package', 'expensive', 'expensive', 'buy', 'package', 'unlimited', 'use', 'play', ' game ',' price ',' item ']")</f>
        <v>['Sousiny', 'ugly', 'really', 'price', 'package', 'expensive', 'expensive', 'buy', 'package', 'unlimited', 'use', 'play', ' game ',' price ',' item ']</v>
      </c>
      <c r="D2793" s="3">
        <v>1.0</v>
      </c>
    </row>
    <row r="2794" ht="15.75" customHeight="1">
      <c r="A2794" s="1">
        <v>2973.0</v>
      </c>
      <c r="B2794" s="3" t="s">
        <v>2749</v>
      </c>
      <c r="C2794" s="3" t="str">
        <f>IFERROR(__xludf.DUMMYFUNCTION("GOOGLETRANSLATE(B2794,""id"",""en"")"),"['Hopefully', 'Win', 'Points', 'Motor', 'Adv']")</f>
        <v>['Hopefully', 'Win', 'Points', 'Motor', 'Adv']</v>
      </c>
      <c r="D2794" s="3">
        <v>5.0</v>
      </c>
    </row>
    <row r="2795" ht="15.75" customHeight="1">
      <c r="A2795" s="1">
        <v>2974.0</v>
      </c>
      <c r="B2795" s="3" t="s">
        <v>2750</v>
      </c>
      <c r="C2795" s="3" t="str">
        <f>IFERROR(__xludf.DUMMYFUNCTION("GOOGLETRANSLATE(B2795,""id"",""en"")"),"['Register', 'pulse', 'package', 'telephone', 'srbulan', 'difficult', 'difficult', 'Cikup', 'expensive', 'complaint', ""]")</f>
        <v>['Register', 'pulse', 'package', 'telephone', 'srbulan', 'difficult', 'difficult', 'Cikup', 'expensive', 'complaint', "]</v>
      </c>
      <c r="D2795" s="3">
        <v>5.0</v>
      </c>
    </row>
    <row r="2796" ht="15.75" customHeight="1">
      <c r="A2796" s="1">
        <v>2975.0</v>
      </c>
      <c r="B2796" s="3" t="s">
        <v>2751</v>
      </c>
      <c r="C2796" s="3" t="str">
        <f>IFERROR(__xludf.DUMMYFUNCTION("GOOGLETRANSLATE(B2796,""id"",""en"")"),"['please', 'Telkomsel', 'package', 'promo', 'missing', 'package', 'seriya', 'lost', 'gini', 'confused', 'buy', 'package', ' Move ',' card ',' times']")</f>
        <v>['please', 'Telkomsel', 'package', 'promo', 'missing', 'package', 'seriya', 'lost', 'gini', 'confused', 'buy', 'package', ' Move ',' card ',' times']</v>
      </c>
      <c r="D2796" s="3">
        <v>1.0</v>
      </c>
    </row>
    <row r="2797" ht="15.75" customHeight="1">
      <c r="A2797" s="1">
        <v>2976.0</v>
      </c>
      <c r="B2797" s="3" t="s">
        <v>2752</v>
      </c>
      <c r="C2797" s="3" t="str">
        <f>IFERROR(__xludf.DUMMYFUNCTION("GOOGLETRANSLATE(B2797,""id"",""en"")"),"['Telkomsel', 'speed', 'jossss']")</f>
        <v>['Telkomsel', 'speed', 'jossss']</v>
      </c>
      <c r="D2797" s="3">
        <v>5.0</v>
      </c>
    </row>
    <row r="2798" ht="15.75" customHeight="1">
      <c r="A2798" s="1">
        <v>2977.0</v>
      </c>
      <c r="B2798" s="3" t="s">
        <v>2753</v>
      </c>
      <c r="C2798" s="3" t="str">
        <f>IFERROR(__xludf.DUMMYFUNCTION("GOOGLETRANSLATE(B2798,""id"",""en"")"),"['Thanks', 'application', 'fuss']")</f>
        <v>['Thanks', 'application', 'fuss']</v>
      </c>
      <c r="D2798" s="3">
        <v>5.0</v>
      </c>
    </row>
    <row r="2799" ht="15.75" customHeight="1">
      <c r="A2799" s="1">
        <v>2978.0</v>
      </c>
      <c r="B2799" s="3" t="s">
        <v>2754</v>
      </c>
      <c r="C2799" s="3" t="str">
        <f>IFERROR(__xludf.DUMMYFUNCTION("GOOGLETRANSLATE(B2799,""id"",""en"")"),"['hope', 'Telkomsel', 'advanced', 'abandoned', 'customer', 'yes',' expensive ',' wasteful ',' internet ',' quality ',' Males', 'pakek', ' Internet ',' Telkomsel ',' buy ',' Paketan ',' Satisfied ',' Pakek ',' Card ',' Telkomsel ',' Untu ',' Tepon ',' Karn"&amp;"a ',' Card ',' Dibkenal ' , 'People', 'Internet', 'Sorry', 'Males', 'Difficult', 'People']")</f>
        <v>['hope', 'Telkomsel', 'advanced', 'abandoned', 'customer', 'yes',' expensive ',' wasteful ',' internet ',' quality ',' Males', 'pakek', ' Internet ',' Telkomsel ',' buy ',' Paketan ',' Satisfied ',' Pakek ',' Card ',' Telkomsel ',' Untu ',' Tepon ',' Karna ',' Card ',' Dibkenal ' , 'People', 'Internet', 'Sorry', 'Males', 'Difficult', 'People']</v>
      </c>
      <c r="D2799" s="3">
        <v>1.0</v>
      </c>
    </row>
    <row r="2800" ht="15.75" customHeight="1">
      <c r="A2800" s="1">
        <v>2980.0</v>
      </c>
      <c r="B2800" s="3" t="s">
        <v>2755</v>
      </c>
      <c r="C2800" s="3" t="str">
        <f>IFERROR(__xludf.DUMMYFUNCTION("GOOGLETRANSLATE(B2800,""id"",""en"")"),"['Cheap', 'package', 'internet']")</f>
        <v>['Cheap', 'package', 'internet']</v>
      </c>
      <c r="D2800" s="3">
        <v>5.0</v>
      </c>
    </row>
    <row r="2801" ht="15.75" customHeight="1">
      <c r="A2801" s="1">
        <v>2981.0</v>
      </c>
      <c r="B2801" s="3" t="s">
        <v>2756</v>
      </c>
      <c r="C2801" s="3" t="str">
        <f>IFERROR(__xludf.DUMMYFUNCTION("GOOGLETRANSLATE(B2801,""id"",""en"")"),"['APK', 'intention', 'ngeta']")</f>
        <v>['APK', 'intention', 'ngeta']</v>
      </c>
      <c r="D2801" s="3">
        <v>1.0</v>
      </c>
    </row>
    <row r="2802" ht="15.75" customHeight="1">
      <c r="A2802" s="1">
        <v>2982.0</v>
      </c>
      <c r="B2802" s="3" t="s">
        <v>2757</v>
      </c>
      <c r="C2802" s="3" t="str">
        <f>IFERROR(__xludf.DUMMYFUNCTION("GOOGLETRANSLATE(B2802,""id"",""en"")"),"['Network', 'strong']")</f>
        <v>['Network', 'strong']</v>
      </c>
      <c r="D2802" s="3">
        <v>4.0</v>
      </c>
    </row>
    <row r="2803" ht="15.75" customHeight="1">
      <c r="A2803" s="1">
        <v>2983.0</v>
      </c>
      <c r="B2803" s="3" t="s">
        <v>2758</v>
      </c>
      <c r="C2803" s="3" t="str">
        <f>IFERROR(__xludf.DUMMYFUNCTION("GOOGLETRANSLATE(B2803,""id"",""en"")"),"['update', 'opened', 'used', 'better', 'Delete', 'APK', '']")</f>
        <v>['update', 'opened', 'used', 'better', 'Delete', 'APK', '']</v>
      </c>
      <c r="D2803" s="3">
        <v>1.0</v>
      </c>
    </row>
    <row r="2804" ht="15.75" customHeight="1">
      <c r="A2804" s="1">
        <v>2985.0</v>
      </c>
      <c r="B2804" s="3" t="s">
        <v>2759</v>
      </c>
      <c r="C2804" s="3" t="str">
        <f>IFERROR(__xludf.DUMMYFUNCTION("GOOGLETRANSLATE(B2804,""id"",""en"")"),"['Knp', 'noon', 'signal', 'really', '']")</f>
        <v>['Knp', 'noon', 'signal', 'really', '']</v>
      </c>
      <c r="D2804" s="3">
        <v>1.0</v>
      </c>
    </row>
    <row r="2805" ht="15.75" customHeight="1">
      <c r="A2805" s="1">
        <v>2986.0</v>
      </c>
      <c r="B2805" s="3" t="s">
        <v>2760</v>
      </c>
      <c r="C2805" s="3" t="str">
        <f>IFERROR(__xludf.DUMMYFUNCTION("GOOGLETRANSLATE(B2805,""id"",""en"")"),"['Increase', 'Hopefully', 'in the future', 'Features', 'Lock', 'Credit', 'please', ""]")</f>
        <v>['Increase', 'Hopefully', 'in the future', 'Features', 'Lock', 'Credit', 'please', "]</v>
      </c>
      <c r="D2805" s="3">
        <v>5.0</v>
      </c>
    </row>
    <row r="2806" ht="15.75" customHeight="1">
      <c r="A2806" s="1">
        <v>2987.0</v>
      </c>
      <c r="B2806" s="3" t="s">
        <v>2761</v>
      </c>
      <c r="C2806" s="3" t="str">
        <f>IFERROR(__xludf.DUMMYFUNCTION("GOOGLETRANSLATE(B2806,""id"",""en"")"),"['petrified', 'checks', 'use', 'internet', 'package', 'data', 'take', 'promo']")</f>
        <v>['petrified', 'checks', 'use', 'internet', 'package', 'data', 'take', 'promo']</v>
      </c>
      <c r="D2806" s="3">
        <v>5.0</v>
      </c>
    </row>
    <row r="2807" ht="15.75" customHeight="1">
      <c r="A2807" s="1">
        <v>2988.0</v>
      </c>
      <c r="B2807" s="3" t="s">
        <v>2762</v>
      </c>
      <c r="C2807" s="3" t="str">
        <f>IFERROR(__xludf.DUMMYFUNCTION("GOOGLETRANSLATE(B2807,""id"",""en"")"),"['Recommendation', 'user']")</f>
        <v>['Recommendation', 'user']</v>
      </c>
      <c r="D2807" s="3">
        <v>5.0</v>
      </c>
    </row>
    <row r="2808" ht="15.75" customHeight="1">
      <c r="A2808" s="1">
        <v>2989.0</v>
      </c>
      <c r="B2808" s="3" t="s">
        <v>2763</v>
      </c>
      <c r="C2808" s="3" t="str">
        <f>IFERROR(__xludf.DUMMYFUNCTION("GOOGLETRANSLATE(B2808,""id"",""en"")"),"['sympathy', 'expensive', 'pket', 'data', 'promo', 'card', 'sya', 'use', '']")</f>
        <v>['sympathy', 'expensive', 'pket', 'data', 'promo', 'card', 'sya', 'use', '']</v>
      </c>
      <c r="D2808" s="3">
        <v>2.0</v>
      </c>
    </row>
    <row r="2809" ht="15.75" customHeight="1">
      <c r="A2809" s="1">
        <v>2990.0</v>
      </c>
      <c r="B2809" s="3" t="s">
        <v>2764</v>
      </c>
      <c r="C2809" s="3" t="str">
        <f>IFERROR(__xludf.DUMMYFUNCTION("GOOGLETRANSLATE(B2809,""id"",""en"")"),"['Update', 'slow', 'Bug', 'White', 'Screen', 'Mending', 'Uninstall']")</f>
        <v>['Update', 'slow', 'Bug', 'White', 'Screen', 'Mending', 'Uninstall']</v>
      </c>
      <c r="D2809" s="3">
        <v>1.0</v>
      </c>
    </row>
    <row r="2810" ht="15.75" customHeight="1">
      <c r="A2810" s="1">
        <v>2991.0</v>
      </c>
      <c r="B2810" s="3" t="s">
        <v>2765</v>
      </c>
      <c r="C2810" s="3" t="str">
        <f>IFERROR(__xludf.DUMMYFUNCTION("GOOGLETRANSLATE(B2810,""id"",""en"")"),"['application', 'good', 'really']")</f>
        <v>['application', 'good', 'really']</v>
      </c>
      <c r="D2810" s="3">
        <v>5.0</v>
      </c>
    </row>
    <row r="2811" ht="15.75" customHeight="1">
      <c r="A2811" s="1">
        <v>2992.0</v>
      </c>
      <c r="B2811" s="3" t="s">
        <v>2766</v>
      </c>
      <c r="C2811" s="3" t="str">
        <f>IFERROR(__xludf.DUMMYFUNCTION("GOOGLETRANSLATE(B2811,""id"",""en"")"),"['Package', 'Internet', 'Data']")</f>
        <v>['Package', 'Internet', 'Data']</v>
      </c>
      <c r="D2811" s="3">
        <v>5.0</v>
      </c>
    </row>
    <row r="2812" ht="15.75" customHeight="1">
      <c r="A2812" s="1">
        <v>2993.0</v>
      </c>
      <c r="B2812" s="3" t="s">
        <v>2767</v>
      </c>
      <c r="C2812" s="3" t="str">
        <f>IFERROR(__xludf.DUMMYFUNCTION("GOOGLETRANSLATE(B2812,""id"",""en"")"),"['It's easy', 'fill in', 'package', 'gaada', 'package', 'gabisa', 'check']")</f>
        <v>['It's easy', 'fill in', 'package', 'gaada', 'package', 'gabisa', 'check']</v>
      </c>
      <c r="D2812" s="3">
        <v>5.0</v>
      </c>
    </row>
    <row r="2813" ht="15.75" customHeight="1">
      <c r="A2813" s="1">
        <v>2994.0</v>
      </c>
      <c r="B2813" s="3" t="s">
        <v>2768</v>
      </c>
      <c r="C2813" s="3" t="str">
        <f>IFERROR(__xludf.DUMMYFUNCTION("GOOGLETRANSLATE(B2813,""id"",""en"")"),"['Lack', 'security', 'pulse', 'drained', 'wear', 'network', 'credit', 'reduced', 'please', 'setting', 'pulse', 'drained', ' Providers', 'settings',' pulses', 'thank', 'love']")</f>
        <v>['Lack', 'security', 'pulse', 'drained', 'wear', 'network', 'credit', 'reduced', 'please', 'setting', 'pulse', 'drained', ' Providers', 'settings',' pulses', 'thank', 'love']</v>
      </c>
      <c r="D2813" s="3">
        <v>1.0</v>
      </c>
    </row>
    <row r="2814" ht="15.75" customHeight="1">
      <c r="A2814" s="1">
        <v>2995.0</v>
      </c>
      <c r="B2814" s="3" t="s">
        <v>2769</v>
      </c>
      <c r="C2814" s="3" t="str">
        <f>IFERROR(__xludf.DUMMYFUNCTION("GOOGLETRANSLATE(B2814,""id"",""en"")"),"['Connection', 'Region', 'Gempol', 'Pasuruan', 'Javanese', 'East', 'ugly', 'Signal', 'Full', 'Severe', 'Sinyal', 'Gini', ' ']")</f>
        <v>['Connection', 'Region', 'Gempol', 'Pasuruan', 'Javanese', 'East', 'ugly', 'Signal', 'Full', 'Severe', 'Sinyal', 'Gini', ' ']</v>
      </c>
      <c r="D2814" s="3">
        <v>1.0</v>
      </c>
    </row>
    <row r="2815" ht="15.75" customHeight="1">
      <c r="A2815" s="1">
        <v>2996.0</v>
      </c>
      <c r="B2815" s="3" t="s">
        <v>2770</v>
      </c>
      <c r="C2815" s="3" t="str">
        <f>IFERROR(__xludf.DUMMYFUNCTION("GOOGLETRANSLATE(B2815,""id"",""en"")"),"['Increase', 'discount']")</f>
        <v>['Increase', 'discount']</v>
      </c>
      <c r="D2815" s="3">
        <v>5.0</v>
      </c>
    </row>
    <row r="2816" ht="15.75" customHeight="1">
      <c r="A2816" s="1">
        <v>2997.0</v>
      </c>
      <c r="B2816" s="3" t="s">
        <v>2771</v>
      </c>
      <c r="C2816" s="3" t="str">
        <f>IFERROR(__xludf.DUMMYFUNCTION("GOOGLETRANSLATE(B2816,""id"",""en"")"),"['', 'Mantap', 'Success']")</f>
        <v>['', 'Mantap', 'Success']</v>
      </c>
      <c r="D2816" s="3">
        <v>5.0</v>
      </c>
    </row>
    <row r="2817" ht="15.75" customHeight="1">
      <c r="A2817" s="1">
        <v>2998.0</v>
      </c>
      <c r="B2817" s="3" t="s">
        <v>2772</v>
      </c>
      <c r="C2817" s="3" t="str">
        <f>IFERROR(__xludf.DUMMYFUNCTION("GOOGLETRANSLATE(B2817,""id"",""en"")"),"['thank', 'love', 'convenience']")</f>
        <v>['thank', 'love', 'convenience']</v>
      </c>
      <c r="D2817" s="3">
        <v>2.0</v>
      </c>
    </row>
    <row r="2818" ht="15.75" customHeight="1">
      <c r="A2818" s="1">
        <v>2999.0</v>
      </c>
      <c r="B2818" s="3" t="s">
        <v>2773</v>
      </c>
      <c r="C2818" s="3" t="str">
        <f>IFERROR(__xludf.DUMMYFUNCTION("GOOGLETRANSLATE(B2818,""id"",""en"")"),"['Easy', 'fast', 'Ribet', '']")</f>
        <v>['Easy', 'fast', 'Ribet', '']</v>
      </c>
      <c r="D2818" s="3">
        <v>5.0</v>
      </c>
    </row>
    <row r="2819" ht="15.75" customHeight="1">
      <c r="A2819" s="1">
        <v>3000.0</v>
      </c>
      <c r="B2819" s="3" t="s">
        <v>2774</v>
      </c>
      <c r="C2819" s="3" t="str">
        <f>IFERROR(__xludf.DUMMYFUNCTION("GOOGLETRANSLATE(B2819,""id"",""en"")"),"['', 'Telkomsel', 'Good']")</f>
        <v>['', 'Telkomsel', 'Good']</v>
      </c>
      <c r="D2819" s="3">
        <v>5.0</v>
      </c>
    </row>
    <row r="2820" ht="15.75" customHeight="1">
      <c r="A2820" s="1">
        <v>3001.0</v>
      </c>
      <c r="B2820" s="3" t="s">
        <v>2775</v>
      </c>
      <c r="C2820" s="3" t="str">
        <f>IFERROR(__xludf.DUMMYFUNCTION("GOOGLETRANSLATE(B2820,""id"",""en"")"),"['facts',' Telkomsel ',' tariff ',' expensive ',' provider ',' check ',' notif ',' internet ',' run out ',' pulse ',' out ',' take ',' pulses', 'customers',' use ',' subscribe ',' knowledge ',' user ',' quota ',' internet ',' application ',' useful ',' ju"&amp;"dge ',' sorry ',' search ' , 'Cuan', 'Halal', 'Believe', 'Lord', ""]")</f>
        <v>['facts',' Telkomsel ',' tariff ',' expensive ',' provider ',' check ',' notif ',' internet ',' run out ',' pulse ',' out ',' take ',' pulses', 'customers',' use ',' subscribe ',' knowledge ',' user ',' quota ',' internet ',' application ',' useful ',' judge ',' sorry ',' search ' , 'Cuan', 'Halal', 'Believe', 'Lord', "]</v>
      </c>
      <c r="D2820" s="3">
        <v>1.0</v>
      </c>
    </row>
    <row r="2821" ht="15.75" customHeight="1">
      <c r="A2821" s="1">
        <v>3002.0</v>
      </c>
      <c r="B2821" s="3" t="s">
        <v>2776</v>
      </c>
      <c r="C2821" s="3" t="str">
        <f>IFERROR(__xludf.DUMMYFUNCTION("GOOGLETRANSLATE(B2821,""id"",""en"")"),"['Package', 'Purchase', 'Internet', 'Different', 'Price']")</f>
        <v>['Package', 'Purchase', 'Internet', 'Different', 'Price']</v>
      </c>
      <c r="D2821" s="3">
        <v>1.0</v>
      </c>
    </row>
    <row r="2822" ht="15.75" customHeight="1">
      <c r="A2822" s="1">
        <v>3003.0</v>
      </c>
      <c r="B2822" s="3" t="s">
        <v>2777</v>
      </c>
      <c r="C2822" s="3" t="str">
        <f>IFERROR(__xludf.DUMMYFUNCTION("GOOGLETRANSLATE(B2822,""id"",""en"")"),"['Good', 'easy', 'accessed']")</f>
        <v>['Good', 'easy', 'accessed']</v>
      </c>
      <c r="D2822" s="3">
        <v>5.0</v>
      </c>
    </row>
    <row r="2823" ht="15.75" customHeight="1">
      <c r="A2823" s="1">
        <v>3004.0</v>
      </c>
      <c r="B2823" s="3" t="s">
        <v>2778</v>
      </c>
      <c r="C2823" s="3" t="str">
        <f>IFERROR(__xludf.DUMMYFUNCTION("GOOGLETRANSLATE(B2823,""id"",""en"")"),"['primitip', 'like', 'speed', 'internet', 'find', 'provarder']")</f>
        <v>['primitip', 'like', 'speed', 'internet', 'find', 'provarder']</v>
      </c>
      <c r="D2823" s="3">
        <v>1.0</v>
      </c>
    </row>
    <row r="2824" ht="15.75" customHeight="1">
      <c r="A2824" s="1">
        <v>3005.0</v>
      </c>
      <c r="B2824" s="3" t="s">
        <v>2779</v>
      </c>
      <c r="C2824" s="3" t="str">
        <f>IFERROR(__xludf.DUMMYFUNCTION("GOOGLETRANSLATE(B2824,""id"",""en"")"),"['Package', 'cheap']")</f>
        <v>['Package', 'cheap']</v>
      </c>
      <c r="D2824" s="3">
        <v>3.0</v>
      </c>
    </row>
    <row r="2825" ht="15.75" customHeight="1">
      <c r="A2825" s="1">
        <v>3006.0</v>
      </c>
      <c r="B2825" s="3" t="s">
        <v>2780</v>
      </c>
      <c r="C2825" s="3" t="str">
        <f>IFERROR(__xludf.DUMMYFUNCTION("GOOGLETRANSLATE(B2825,""id"",""en"")"),"['Network', 'ugly', 'kayak', 'worker', 'boss']")</f>
        <v>['Network', 'ugly', 'kayak', 'worker', 'boss']</v>
      </c>
      <c r="D2825" s="3">
        <v>1.0</v>
      </c>
    </row>
    <row r="2826" ht="15.75" customHeight="1">
      <c r="A2826" s="1">
        <v>3007.0</v>
      </c>
      <c r="B2826" s="3" t="s">
        <v>2781</v>
      </c>
      <c r="C2826" s="3" t="str">
        <f>IFERROR(__xludf.DUMMYFUNCTION("GOOGLETRANSLATE(B2826,""id"",""en"")"),"['satisfying', 'use', 'application']")</f>
        <v>['satisfying', 'use', 'application']</v>
      </c>
      <c r="D2826" s="3">
        <v>4.0</v>
      </c>
    </row>
    <row r="2827" ht="15.75" customHeight="1">
      <c r="A2827" s="1">
        <v>3008.0</v>
      </c>
      <c r="B2827" s="3" t="s">
        <v>2782</v>
      </c>
      <c r="C2827" s="3" t="str">
        <f>IFERROR(__xludf.DUMMYFUNCTION("GOOGLETRANSLATE(B2827,""id"",""en"")"),"['happy', 'buy', 'quota', 'mytelkomsel', 'love', 'you', 'mytelkomsel', '']")</f>
        <v>['happy', 'buy', 'quota', 'mytelkomsel', 'love', 'you', 'mytelkomsel', '']</v>
      </c>
      <c r="D2827" s="3">
        <v>5.0</v>
      </c>
    </row>
    <row r="2828" ht="15.75" customHeight="1">
      <c r="A2828" s="1">
        <v>3009.0</v>
      </c>
      <c r="B2828" s="3" t="s">
        <v>2783</v>
      </c>
      <c r="C2828" s="3" t="str">
        <f>IFERROR(__xludf.DUMMYFUNCTION("GOOGLETRANSLATE(B2828,""id"",""en"")"),"['Telkomsel', 'skg', 'buy', 'quota', 'GB', 'can', 'bonus',' GB ',' morning ',' quota ',' ilang ',' tbtb ',' Changed ',' Package ',' GB ',' Woylah ',' ']")</f>
        <v>['Telkomsel', 'skg', 'buy', 'quota', 'GB', 'can', 'bonus',' GB ',' morning ',' quota ',' ilang ',' tbtb ',' Changed ',' Package ',' GB ',' Woylah ',' ']</v>
      </c>
      <c r="D2828" s="3">
        <v>4.0</v>
      </c>
    </row>
    <row r="2829" ht="15.75" customHeight="1">
      <c r="A2829" s="1">
        <v>3011.0</v>
      </c>
      <c r="B2829" s="3" t="s">
        <v>2784</v>
      </c>
      <c r="C2829" s="3" t="str">
        <f>IFERROR(__xludf.DUMMYFUNCTION("GOOGLETRANSLATE(B2829,""id"",""en"")"),"['Buy', 'Package', 'Combo', 'Chat', 'You', 'Tube', 'Etc.', 'Regular', 'Dahl', 'Chat', 'whole', 'fraud', ' Quota ',' Chat ',' Embed ',' Tetep ',' Quota ',' Raying ',' Buy ',' Heague ',' Cell ']")</f>
        <v>['Buy', 'Package', 'Combo', 'Chat', 'You', 'Tube', 'Etc.', 'Regular', 'Dahl', 'Chat', 'whole', 'fraud', ' Quota ',' Chat ',' Embed ',' Tetep ',' Quota ',' Raying ',' Buy ',' Heague ',' Cell ']</v>
      </c>
      <c r="D2829" s="3">
        <v>1.0</v>
      </c>
    </row>
    <row r="2830" ht="15.75" customHeight="1">
      <c r="A2830" s="1">
        <v>3012.0</v>
      </c>
      <c r="B2830" s="3" t="s">
        <v>2785</v>
      </c>
      <c r="C2830" s="3" t="str">
        <f>IFERROR(__xludf.DUMMYFUNCTION("GOOGLETRANSLATE(B2830,""id"",""en"")"),"['update', 'update', 'version', 'newest', 'find', 'already', '']")</f>
        <v>['update', 'update', 'version', 'newest', 'find', 'already', '']</v>
      </c>
      <c r="D2830" s="3">
        <v>3.0</v>
      </c>
    </row>
    <row r="2831" ht="15.75" customHeight="1">
      <c r="A2831" s="1">
        <v>3013.0</v>
      </c>
      <c r="B2831" s="3" t="s">
        <v>2786</v>
      </c>
      <c r="C2831" s="3" t="str">
        <f>IFERROR(__xludf.DUMMYFUNCTION("GOOGLETRANSLATE(B2831,""id"",""en"")"),"['Bad', 'suggest', 'Jngn', 'Telkomsel', '']")</f>
        <v>['Bad', 'suggest', 'Jngn', 'Telkomsel', '']</v>
      </c>
      <c r="D2831" s="3">
        <v>1.0</v>
      </c>
    </row>
    <row r="2832" ht="15.75" customHeight="1">
      <c r="A2832" s="1">
        <v>3014.0</v>
      </c>
      <c r="B2832" s="3" t="s">
        <v>2787</v>
      </c>
      <c r="C2832" s="3" t="str">
        <f>IFERROR(__xludf.DUMMYFUNCTION("GOOGLETRANSLATE(B2832,""id"",""en"")"),"['knp', 'Telkomsel', 'skrng', 'signal', 'ilang', 'open', 'slow', 'padhal', 'living', 'village', 'village', 'difficult', ' signal ',' Hadeh ',' BLI ',' quota ',' expensive ',' signal ',' good ', ""]")</f>
        <v>['knp', 'Telkomsel', 'skrng', 'signal', 'ilang', 'open', 'slow', 'padhal', 'living', 'village', 'village', 'difficult', ' signal ',' Hadeh ',' BLI ',' quota ',' expensive ',' signal ',' good ', "]</v>
      </c>
      <c r="D2832" s="3">
        <v>1.0</v>
      </c>
    </row>
    <row r="2833" ht="15.75" customHeight="1">
      <c r="A2833" s="1">
        <v>3015.0</v>
      </c>
      <c r="B2833" s="3" t="s">
        <v>2788</v>
      </c>
      <c r="C2833" s="3" t="str">
        <f>IFERROR(__xludf.DUMMYFUNCTION("GOOGLETRANSLATE(B2833,""id"",""en"")"),"['Good', 'really', 'application', 'buy', 'package', 'data', 'get', 'kouta', 'extra']")</f>
        <v>['Good', 'really', 'application', 'buy', 'package', 'data', 'get', 'kouta', 'extra']</v>
      </c>
      <c r="D2833" s="3">
        <v>5.0</v>
      </c>
    </row>
    <row r="2834" ht="15.75" customHeight="1">
      <c r="A2834" s="1">
        <v>3016.0</v>
      </c>
      <c r="B2834" s="3" t="s">
        <v>2789</v>
      </c>
      <c r="C2834" s="3" t="str">
        <f>IFERROR(__xludf.DUMMYFUNCTION("GOOGLETRANSLATE(B2834,""id"",""en"")"),"['Enk', 'BLI', 'package']")</f>
        <v>['Enk', 'BLI', 'package']</v>
      </c>
      <c r="D2834" s="3">
        <v>5.0</v>
      </c>
    </row>
    <row r="2835" ht="15.75" customHeight="1">
      <c r="A2835" s="1">
        <v>3017.0</v>
      </c>
      <c r="B2835" s="3" t="s">
        <v>2790</v>
      </c>
      <c r="C2835" s="3" t="str">
        <f>IFERROR(__xludf.DUMMYFUNCTION("GOOGLETRANSLATE(B2835,""id"",""en"")"),"['Safety', 'Cool']")</f>
        <v>['Safety', 'Cool']</v>
      </c>
      <c r="D2835" s="3">
        <v>5.0</v>
      </c>
    </row>
    <row r="2836" ht="15.75" customHeight="1">
      <c r="A2836" s="1">
        <v>3018.0</v>
      </c>
      <c r="B2836" s="3" t="s">
        <v>2791</v>
      </c>
      <c r="C2836" s="3" t="str">
        <f>IFERROR(__xludf.DUMMYFUNCTION("GOOGLETRANSLATE(B2836,""id"",""en"")"),"['Please', 'APK', 'Knp', 'Sihh', 'Exchange', 'Points',' Data ',' Sitem ',' Busy ',' Gimna ',' Sihh ',' Please ',' follow-up']")</f>
        <v>['Please', 'APK', 'Knp', 'Sihh', 'Exchange', 'Points',' Data ',' Sitem ',' Busy ',' Gimna ',' Sihh ',' Please ',' follow-up']</v>
      </c>
      <c r="D2836" s="3">
        <v>5.0</v>
      </c>
    </row>
    <row r="2837" ht="15.75" customHeight="1">
      <c r="A2837" s="1">
        <v>3019.0</v>
      </c>
      <c r="B2837" s="3" t="s">
        <v>2792</v>
      </c>
      <c r="C2837" s="3" t="str">
        <f>IFERROR(__xludf.DUMMYFUNCTION("GOOGLETRANSLATE(B2837,""id"",""en"")"),"['hilarious',' appears', 'notif', 'sms',' sdg ',' access', 'internet', 'tariff', 'non', 'package', 'data', 'Telkomsel', ' right ',' check ',' pulse ',' uda ',' reduced ',' bangkee ',' ']")</f>
        <v>['hilarious',' appears', 'notif', 'sms',' sdg ',' access', 'internet', 'tariff', 'non', 'package', 'data', 'Telkomsel', ' right ',' check ',' pulse ',' uda ',' reduced ',' bangkee ',' ']</v>
      </c>
      <c r="D2837" s="3">
        <v>1.0</v>
      </c>
    </row>
    <row r="2838" ht="15.75" customHeight="1">
      <c r="A2838" s="1">
        <v>3020.0</v>
      </c>
      <c r="B2838" s="3" t="s">
        <v>2793</v>
      </c>
      <c r="C2838" s="3" t="str">
        <f>IFERROR(__xludf.DUMMYFUNCTION("GOOGLETRANSLATE(B2838,""id"",""en"")"),"['Tsel', 'Benerin', 'signal', 'silly', 'disturbing', 'really', 'comfortable', 'service', 'fix', '']")</f>
        <v>['Tsel', 'Benerin', 'signal', 'silly', 'disturbing', 'really', 'comfortable', 'service', 'fix', '']</v>
      </c>
      <c r="D2838" s="3">
        <v>1.0</v>
      </c>
    </row>
    <row r="2839" ht="15.75" customHeight="1">
      <c r="A2839" s="1">
        <v>3021.0</v>
      </c>
      <c r="B2839" s="3" t="s">
        <v>2794</v>
      </c>
      <c r="C2839" s="3" t="str">
        <f>IFERROR(__xludf.DUMMYFUNCTION("GOOGLETRANSLATE(B2839,""id"",""en"")"),"['Mantap', 'Joss', 'MAYAL', '']")</f>
        <v>['Mantap', 'Joss', 'MAYAL', '']</v>
      </c>
      <c r="D2839" s="3">
        <v>5.0</v>
      </c>
    </row>
    <row r="2840" ht="15.75" customHeight="1">
      <c r="A2840" s="1">
        <v>3022.0</v>
      </c>
      <c r="B2840" s="3" t="s">
        <v>2795</v>
      </c>
      <c r="C2840" s="3" t="str">
        <f>IFERROR(__xludf.DUMMYFUNCTION("GOOGLETRANSLATE(B2840,""id"",""en"")"),"['Addin', 'promo', 'cheap', 'donk']")</f>
        <v>['Addin', 'promo', 'cheap', 'donk']</v>
      </c>
      <c r="D2840" s="3">
        <v>5.0</v>
      </c>
    </row>
    <row r="2841" ht="15.75" customHeight="1">
      <c r="A2841" s="1">
        <v>3023.0</v>
      </c>
      <c r="B2841" s="3" t="s">
        <v>1561</v>
      </c>
      <c r="C2841" s="3" t="str">
        <f>IFERROR(__xludf.DUMMYFUNCTION("GOOGLETRANSLATE(B2841,""id"",""en"")"),"['Good', 'Telkomsel']")</f>
        <v>['Good', 'Telkomsel']</v>
      </c>
      <c r="D2841" s="3">
        <v>5.0</v>
      </c>
    </row>
    <row r="2842" ht="15.75" customHeight="1">
      <c r="A2842" s="1">
        <v>3024.0</v>
      </c>
      <c r="B2842" s="3" t="s">
        <v>2796</v>
      </c>
      <c r="C2842" s="3" t="str">
        <f>IFERROR(__xludf.DUMMYFUNCTION("GOOGLETRANSLATE(B2842,""id"",""en"")"),"['Fix', 'signal', 'price', 'expensive', 'signal', 'ilang', 'Nilagan', 'medsos', 'play', 'game', 'online', 'gabisa']")</f>
        <v>['Fix', 'signal', 'price', 'expensive', 'signal', 'ilang', 'Nilagan', 'medsos', 'play', 'game', 'online', 'gabisa']</v>
      </c>
      <c r="D2842" s="3">
        <v>1.0</v>
      </c>
    </row>
    <row r="2843" ht="15.75" customHeight="1">
      <c r="A2843" s="1">
        <v>3025.0</v>
      </c>
      <c r="B2843" s="3" t="s">
        <v>2797</v>
      </c>
      <c r="C2843" s="3" t="str">
        <f>IFERROR(__xludf.DUMMYFUNCTION("GOOGLETRANSLATE(B2843,""id"",""en"")"),"['already', 'update', 'Aply', 'slow', 'please', 'fix']")</f>
        <v>['already', 'update', 'Aply', 'slow', 'please', 'fix']</v>
      </c>
      <c r="D2843" s="3">
        <v>1.0</v>
      </c>
    </row>
    <row r="2844" ht="15.75" customHeight="1">
      <c r="A2844" s="1">
        <v>3026.0</v>
      </c>
      <c r="B2844" s="3" t="s">
        <v>2798</v>
      </c>
      <c r="C2844" s="3" t="str">
        <f>IFERROR(__xludf.DUMMYFUNCTION("GOOGLETRANSLATE(B2844,""id"",""en"")"),"['price', 'expensive', 'contents',' package ',' little ',' beside ',' network ',' sometimes', 'ilang', 'comfortable', 'play', 'game', ' streaming ',' youtube ',' expensive ',' network ',' smooth ',' really ',' daddy ',' worth ',' price ',' quality ',' no "&amp;"',' price ',' quality ' ]")</f>
        <v>['price', 'expensive', 'contents',' package ',' little ',' beside ',' network ',' sometimes', 'ilang', 'comfortable', 'play', 'game', ' streaming ',' youtube ',' expensive ',' network ',' smooth ',' really ',' daddy ',' worth ',' price ',' quality ',' no ',' price ',' quality ' ]</v>
      </c>
      <c r="D2844" s="3">
        <v>2.0</v>
      </c>
    </row>
    <row r="2845" ht="15.75" customHeight="1">
      <c r="A2845" s="1">
        <v>3027.0</v>
      </c>
      <c r="B2845" s="3" t="s">
        <v>2799</v>
      </c>
      <c r="C2845" s="3" t="str">
        <f>IFERROR(__xludf.DUMMYFUNCTION("GOOGLETRANSLATE(B2845,""id"",""en"")"),"['Upgrade', 'Android', 'Application', 'Install']")</f>
        <v>['Upgrade', 'Android', 'Application', 'Install']</v>
      </c>
      <c r="D2845" s="3">
        <v>5.0</v>
      </c>
    </row>
    <row r="2846" ht="15.75" customHeight="1">
      <c r="A2846" s="1">
        <v>3028.0</v>
      </c>
      <c r="B2846" s="3" t="s">
        <v>2800</v>
      </c>
      <c r="C2846" s="3" t="str">
        <f>IFERROR(__xludf.DUMMYFUNCTION("GOOGLETRANSLATE(B2846,""id"",""en"")"),"['Telkomsel', 'Choose', 'Change', '']")</f>
        <v>['Telkomsel', 'Choose', 'Change', '']</v>
      </c>
      <c r="D2846" s="3">
        <v>5.0</v>
      </c>
    </row>
    <row r="2847" ht="15.75" customHeight="1">
      <c r="A2847" s="1">
        <v>3029.0</v>
      </c>
      <c r="B2847" s="3" t="s">
        <v>2801</v>
      </c>
      <c r="C2847" s="3" t="str">
        <f>IFERROR(__xludf.DUMMYFUNCTION("GOOGLETRANSLATE(B2847,""id"",""en"")"),"['parahhh', 'buy', 'package', 'TPI', 'package', 'enter', 'TPI', 'the money', 'take']")</f>
        <v>['parahhh', 'buy', 'package', 'TPI', 'package', 'enter', 'TPI', 'the money', 'take']</v>
      </c>
      <c r="D2847" s="3">
        <v>1.0</v>
      </c>
    </row>
    <row r="2848" ht="15.75" customHeight="1">
      <c r="A2848" s="1">
        <v>3030.0</v>
      </c>
      <c r="B2848" s="3" t="s">
        <v>2802</v>
      </c>
      <c r="C2848" s="3" t="str">
        <f>IFERROR(__xludf.DUMMYFUNCTION("GOOGLETRANSLATE(B2848,""id"",""en"")"),"['signal', 'bad', 'price', 'package', 'internet', '']")</f>
        <v>['signal', 'bad', 'price', 'package', 'internet', '']</v>
      </c>
      <c r="D2848" s="3">
        <v>1.0</v>
      </c>
    </row>
    <row r="2849" ht="15.75" customHeight="1">
      <c r="A2849" s="1">
        <v>3031.0</v>
      </c>
      <c r="B2849" s="3" t="s">
        <v>2803</v>
      </c>
      <c r="C2849" s="3" t="str">
        <f>IFERROR(__xludf.DUMMYFUNCTION("GOOGLETRANSLATE(B2849,""id"",""en"")"),"['Payment', 'Transfer', 'Bank']")</f>
        <v>['Payment', 'Transfer', 'Bank']</v>
      </c>
      <c r="D2849" s="3">
        <v>1.0</v>
      </c>
    </row>
    <row r="2850" ht="15.75" customHeight="1">
      <c r="A2850" s="1">
        <v>3032.0</v>
      </c>
      <c r="B2850" s="3" t="s">
        <v>2804</v>
      </c>
      <c r="C2850" s="3" t="str">
        <f>IFERROR(__xludf.DUMMYFUNCTION("GOOGLETRANSLATE(B2850,""id"",""en"")"),"['Good', 'Ngeload', 'Mulu', 'Lemot']")</f>
        <v>['Good', 'Ngeload', 'Mulu', 'Lemot']</v>
      </c>
      <c r="D2850" s="3">
        <v>4.0</v>
      </c>
    </row>
    <row r="2851" ht="15.75" customHeight="1">
      <c r="A2851" s="1">
        <v>3033.0</v>
      </c>
      <c r="B2851" s="3" t="s">
        <v>2805</v>
      </c>
      <c r="C2851" s="3" t="str">
        <f>IFERROR(__xludf.DUMMYFUNCTION("GOOGLETRANSLATE(B2851,""id"",""en"")"),"['application', 'easy', 'help', 'makes it easy', 'need', 'purposes', 'instant', 'digital', '']")</f>
        <v>['application', 'easy', 'help', 'makes it easy', 'need', 'purposes', 'instant', 'digital', '']</v>
      </c>
      <c r="D2851" s="3">
        <v>5.0</v>
      </c>
    </row>
    <row r="2852" ht="15.75" customHeight="1">
      <c r="A2852" s="1">
        <v>3034.0</v>
      </c>
      <c r="B2852" s="3" t="s">
        <v>2806</v>
      </c>
      <c r="C2852" s="3" t="str">
        <f>IFERROR(__xludf.DUMMYFUNCTION("GOOGLETRANSLATE(B2852,""id"",""en"")"),"['signal', 'Telkomsel', 'Padang', 'slow', 'reduced', 'quality', 'package', 'data', 'expensive', 'profider', 'try', 'buy', ' package ',' combo ',' for ',' sms', 'promotion', 'dear', 'package', 'signal', 'slow', 'move', 'use', 'wifi', 'msk' , 'entry', 'wag'"&amp;", 'promotion']")</f>
        <v>['signal', 'Telkomsel', 'Padang', 'slow', 'reduced', 'quality', 'package', 'data', 'expensive', 'profider', 'try', 'buy', ' package ',' combo ',' for ',' sms', 'promotion', 'dear', 'package', 'signal', 'slow', 'move', 'use', 'wifi', 'msk' , 'entry', 'wag', 'promotion']</v>
      </c>
      <c r="D2852" s="3">
        <v>1.0</v>
      </c>
    </row>
    <row r="2853" ht="15.75" customHeight="1">
      <c r="A2853" s="1">
        <v>3035.0</v>
      </c>
      <c r="B2853" s="3" t="s">
        <v>2807</v>
      </c>
      <c r="C2853" s="3" t="str">
        <f>IFERROR(__xludf.DUMMYFUNCTION("GOOGLETRANSLATE(B2853,""id"",""en"")"),"['Please', 'The application', 'fix', 'Klu', 'Sya', 'Delete', 'Application', '']")</f>
        <v>['Please', 'The application', 'fix', 'Klu', 'Sya', 'Delete', 'Application', '']</v>
      </c>
      <c r="D2853" s="3">
        <v>1.0</v>
      </c>
    </row>
    <row r="2854" ht="15.75" customHeight="1">
      <c r="A2854" s="1">
        <v>3036.0</v>
      </c>
      <c r="B2854" s="3" t="s">
        <v>2808</v>
      </c>
      <c r="C2854" s="3" t="str">
        <f>IFERROR(__xludf.DUMMYFUNCTION("GOOGLETRANSLATE(B2854,""id"",""en"")"),"['choice', 'package', 'reduced', 'here', 'gini', '']")</f>
        <v>['choice', 'package', 'reduced', 'here', 'gini', '']</v>
      </c>
      <c r="D2854" s="3">
        <v>2.0</v>
      </c>
    </row>
    <row r="2855" ht="15.75" customHeight="1">
      <c r="A2855" s="1">
        <v>3037.0</v>
      </c>
      <c r="B2855" s="3" t="s">
        <v>2809</v>
      </c>
      <c r="C2855" s="3" t="str">
        <f>IFERROR(__xludf.DUMMYFUNCTION("GOOGLETRANSLATE(B2855,""id"",""en"")"),"['megisi', 'pulse', 'buy', 'package', 'the rest', 'run out', 'Badahal']")</f>
        <v>['megisi', 'pulse', 'buy', 'package', 'the rest', 'run out', 'Badahal']</v>
      </c>
      <c r="D2855" s="3">
        <v>2.0</v>
      </c>
    </row>
    <row r="2856" ht="15.75" customHeight="1">
      <c r="A2856" s="1">
        <v>3038.0</v>
      </c>
      <c r="B2856" s="3" t="s">
        <v>2810</v>
      </c>
      <c r="C2856" s="3" t="str">
        <f>IFERROR(__xludf.DUMMYFUNCTION("GOOGLETRANSLATE(B2856,""id"",""en"")"),"['Baguss', 'ssequaliii']")</f>
        <v>['Baguss', 'ssequaliii']</v>
      </c>
      <c r="D2856" s="3">
        <v>5.0</v>
      </c>
    </row>
    <row r="2857" ht="15.75" customHeight="1">
      <c r="A2857" s="1">
        <v>3039.0</v>
      </c>
      <c r="B2857" s="3" t="s">
        <v>2811</v>
      </c>
      <c r="C2857" s="3" t="str">
        <f>IFERROR(__xludf.DUMMYFUNCTION("GOOGLETRANSLATE(B2857,""id"",""en"")"),"['already', 'difficult', 'buy', 'package', 'internet', 'day', 'mmg', 'mending', 'omitted', 'promo', '']")</f>
        <v>['already', 'difficult', 'buy', 'package', 'internet', 'day', 'mmg', 'mending', 'omitted', 'promo', '']</v>
      </c>
      <c r="D2857" s="3">
        <v>3.0</v>
      </c>
    </row>
    <row r="2858" ht="15.75" customHeight="1">
      <c r="A2858" s="1">
        <v>3040.0</v>
      </c>
      <c r="B2858" s="3" t="s">
        <v>2812</v>
      </c>
      <c r="C2858" s="3" t="str">
        <f>IFERROR(__xludf.DUMMYFUNCTION("GOOGLETRANSLATE(B2858,""id"",""en"")"),"['disorder', 'buy', 'package', 'pulse']")</f>
        <v>['disorder', 'buy', 'package', 'pulse']</v>
      </c>
      <c r="D2858" s="3">
        <v>1.0</v>
      </c>
    </row>
    <row r="2859" ht="15.75" customHeight="1">
      <c r="A2859" s="1">
        <v>3041.0</v>
      </c>
      <c r="B2859" s="3" t="s">
        <v>2813</v>
      </c>
      <c r="C2859" s="3" t="str">
        <f>IFERROR(__xludf.DUMMYFUNCTION("GOOGLETRANSLATE(B2859,""id"",""en"")"),"['Sometimes', 'package', 'like', 'change']")</f>
        <v>['Sometimes', 'package', 'like', 'change']</v>
      </c>
      <c r="D2859" s="3">
        <v>4.0</v>
      </c>
    </row>
    <row r="2860" ht="15.75" customHeight="1">
      <c r="A2860" s="1">
        <v>3042.0</v>
      </c>
      <c r="B2860" s="3" t="s">
        <v>2814</v>
      </c>
      <c r="C2860" s="3" t="str">
        <f>IFERROR(__xludf.DUMMYFUNCTION("GOOGLETRANSLATE(B2860,""id"",""en"")"),"['easy', 'cheap', 'festive']")</f>
        <v>['easy', 'cheap', 'festive']</v>
      </c>
      <c r="D2860" s="3">
        <v>4.0</v>
      </c>
    </row>
    <row r="2861" ht="15.75" customHeight="1">
      <c r="A2861" s="1">
        <v>3043.0</v>
      </c>
      <c r="B2861" s="3" t="s">
        <v>2815</v>
      </c>
      <c r="C2861" s="3" t="str">
        <f>IFERROR(__xludf.DUMMYFUNCTION("GOOGLETRANSLATE(B2861,""id"",""en"")"),"['Network', 'Telkomsel', 'bad']")</f>
        <v>['Network', 'Telkomsel', 'bad']</v>
      </c>
      <c r="D2861" s="3">
        <v>1.0</v>
      </c>
    </row>
    <row r="2862" ht="15.75" customHeight="1">
      <c r="A2862" s="1">
        <v>3044.0</v>
      </c>
      <c r="B2862" s="3" t="s">
        <v>2816</v>
      </c>
      <c r="C2862" s="3" t="str">
        <f>IFERROR(__xludf.DUMMYFUNCTION("GOOGLETRANSLATE(B2862,""id"",""en"")"),"['Good', 'application', 'simple', 'really']")</f>
        <v>['Good', 'application', 'simple', 'really']</v>
      </c>
      <c r="D2862" s="3">
        <v>2.0</v>
      </c>
    </row>
    <row r="2863" ht="15.75" customHeight="1">
      <c r="A2863" s="1">
        <v>3045.0</v>
      </c>
      <c r="B2863" s="3" t="s">
        <v>2817</v>
      </c>
      <c r="C2863" s="3" t="str">
        <f>IFERROR(__xludf.DUMMYFUNCTION("GOOGLETRANSLATE(B2863,""id"",""en"")"),"['Stabilized', 'signal', 'min', 'my room', 'sometimes',' networke ',' sometimes', 'networke', 'space', 'guest', 'wkwkw', 'city', ' Jogja ',' know ',' minn ',' mask ',' yes', 'signal', 'stable', 'then', 'at the same time', 'package', 'internet', 'contents'"&amp;",' pulses' , 'knp', 'sms', 'data', 'internet', 'non', 'package', 'run out', 'pulse']")</f>
        <v>['Stabilized', 'signal', 'min', 'my room', 'sometimes',' networke ',' sometimes', 'networke', 'space', 'guest', 'wkwkw', 'city', ' Jogja ',' know ',' minn ',' mask ',' yes', 'signal', 'stable', 'then', 'at the same time', 'package', 'internet', 'contents',' pulses' , 'knp', 'sms', 'data', 'internet', 'non', 'package', 'run out', 'pulse']</v>
      </c>
      <c r="D2863" s="3">
        <v>4.0</v>
      </c>
    </row>
    <row r="2864" ht="15.75" customHeight="1">
      <c r="A2864" s="1">
        <v>3046.0</v>
      </c>
      <c r="B2864" s="3" t="s">
        <v>2818</v>
      </c>
      <c r="C2864" s="3" t="str">
        <f>IFERROR(__xludf.DUMMYFUNCTION("GOOGLETRANSLATE(B2864,""id"",""en"")"),"['Application', 'difficult', 'opened', 'Android', 'Micedin', 'Donk', 'Good', 'It's easy', 'difficult', 'bills',' Hallo ',' Diligently ',' SMS ',' ']")</f>
        <v>['Application', 'difficult', 'opened', 'Android', 'Micedin', 'Donk', 'Good', 'It's easy', 'difficult', 'bills',' Hallo ',' Diligently ',' SMS ',' ']</v>
      </c>
      <c r="D2864" s="3">
        <v>1.0</v>
      </c>
    </row>
    <row r="2865" ht="15.75" customHeight="1">
      <c r="A2865" s="1">
        <v>3047.0</v>
      </c>
      <c r="B2865" s="3" t="s">
        <v>2819</v>
      </c>
      <c r="C2865" s="3" t="str">
        <f>IFERROR(__xludf.DUMMYFUNCTION("GOOGLETRANSLATE(B2865,""id"",""en"")"),"['Loading', 'slow']")</f>
        <v>['Loading', 'slow']</v>
      </c>
      <c r="D2865" s="3">
        <v>3.0</v>
      </c>
    </row>
    <row r="2866" ht="15.75" customHeight="1">
      <c r="A2866" s="1">
        <v>3049.0</v>
      </c>
      <c r="B2866" s="3" t="s">
        <v>2820</v>
      </c>
      <c r="C2866" s="3" t="str">
        <f>IFERROR(__xludf.DUMMYFUNCTION("GOOGLETRANSLATE(B2866,""id"",""en"")"),"['good', 'yaa', 'semena', 'ride', 'price', 'quota', 'cheats', 'price', 'price', 'promo', '']")</f>
        <v>['good', 'yaa', 'semena', 'ride', 'price', 'quota', 'cheats', 'price', 'price', 'promo', '']</v>
      </c>
      <c r="D2866" s="3">
        <v>1.0</v>
      </c>
    </row>
    <row r="2867" ht="15.75" customHeight="1">
      <c r="A2867" s="1">
        <v>3050.0</v>
      </c>
      <c r="B2867" s="3" t="s">
        <v>1435</v>
      </c>
      <c r="C2867" s="3" t="str">
        <f>IFERROR(__xludf.DUMMYFUNCTION("GOOGLETRANSLATE(B2867,""id"",""en"")"),"['help', '']")</f>
        <v>['help', '']</v>
      </c>
      <c r="D2867" s="3">
        <v>5.0</v>
      </c>
    </row>
    <row r="2868" ht="15.75" customHeight="1">
      <c r="A2868" s="1">
        <v>3051.0</v>
      </c>
      <c r="B2868" s="3" t="s">
        <v>2821</v>
      </c>
      <c r="C2868" s="3" t="str">
        <f>IFERROR(__xludf.DUMMYFUNCTION("GOOGLETRANSLATE(B2868,""id"",""en"")"),"['Price', 'Quota', 'Fast', 'Changed', '']")</f>
        <v>['Price', 'Quota', 'Fast', 'Changed', '']</v>
      </c>
      <c r="D2868" s="3">
        <v>2.0</v>
      </c>
    </row>
    <row r="2869" ht="15.75" customHeight="1">
      <c r="A2869" s="1">
        <v>3052.0</v>
      </c>
      <c r="B2869" s="3" t="s">
        <v>2822</v>
      </c>
      <c r="C2869" s="3" t="str">
        <f>IFERROR(__xludf.DUMMYFUNCTION("GOOGLETRANSLATE(B2869,""id"",""en"")"),"['Package', 'combo', 'missing', 'subscription']")</f>
        <v>['Package', 'combo', 'missing', 'subscription']</v>
      </c>
      <c r="D2869" s="3">
        <v>3.0</v>
      </c>
    </row>
    <row r="2870" ht="15.75" customHeight="1">
      <c r="A2870" s="1">
        <v>3053.0</v>
      </c>
      <c r="B2870" s="3" t="s">
        <v>2823</v>
      </c>
      <c r="C2870" s="3" t="str">
        <f>IFERROR(__xludf.DUMMYFUNCTION("GOOGLETRANSLATE(B2870,""id"",""en"")"),"['Package', 'Unlimited', 'Combo', 'Sakti', 'Disabled', 'As', 'Notified', 'Tik', 'Tok', 'Game', 'How', 'Telkomsel']")</f>
        <v>['Package', 'Unlimited', 'Combo', 'Sakti', 'Disabled', 'As', 'Notified', 'Tik', 'Tok', 'Game', 'How', 'Telkomsel']</v>
      </c>
      <c r="D2870" s="3">
        <v>1.0</v>
      </c>
    </row>
    <row r="2871" ht="15.75" customHeight="1">
      <c r="A2871" s="1">
        <v>3054.0</v>
      </c>
      <c r="B2871" s="3" t="s">
        <v>2824</v>
      </c>
      <c r="C2871" s="3" t="str">
        <f>IFERROR(__xludf.DUMMYFUNCTION("GOOGLETRANSLATE(B2871,""id"",""en"")"),"['Quality', 'Signal', 'Good', 'Region', 'Telkomsel', 'Increase', 'Quality', 'Signal', 'Easy', 'Login', ""]")</f>
        <v>['Quality', 'Signal', 'Good', 'Region', 'Telkomsel', 'Increase', 'Quality', 'Signal', 'Easy', 'Login', "]</v>
      </c>
      <c r="D2871" s="3">
        <v>5.0</v>
      </c>
    </row>
    <row r="2872" ht="15.75" customHeight="1">
      <c r="A2872" s="1">
        <v>3055.0</v>
      </c>
      <c r="B2872" s="3" t="s">
        <v>2825</v>
      </c>
      <c r="C2872" s="3" t="str">
        <f>IFERROR(__xludf.DUMMYFUNCTION("GOOGLETRANSLATE(B2872,""id"",""en"")"),"['sgt', 'help', 'thank', 'love']")</f>
        <v>['sgt', 'help', 'thank', 'love']</v>
      </c>
      <c r="D2872" s="3">
        <v>5.0</v>
      </c>
    </row>
    <row r="2873" ht="15.75" customHeight="1">
      <c r="A2873" s="1">
        <v>3056.0</v>
      </c>
      <c r="B2873" s="3" t="s">
        <v>2826</v>
      </c>
      <c r="C2873" s="3" t="str">
        <f>IFERROR(__xludf.DUMMYFUNCTION("GOOGLETRANSLATE(B2873,""id"",""en"")"),"['Telkomsel', 'already', 'error', 'system', 'hedeh']")</f>
        <v>['Telkomsel', 'already', 'error', 'system', 'hedeh']</v>
      </c>
      <c r="D2873" s="3">
        <v>2.0</v>
      </c>
    </row>
    <row r="2874" ht="15.75" customHeight="1">
      <c r="A2874" s="1">
        <v>3057.0</v>
      </c>
      <c r="B2874" s="3" t="s">
        <v>2827</v>
      </c>
      <c r="C2874" s="3" t="str">
        <f>IFERROR(__xludf.DUMMYFUNCTION("GOOGLETRANSLATE(B2874,""id"",""en"")"),"['Kasi', 'pulse', 'free', 'like', 'really', 'high school', 'apk', 'good', 'really']")</f>
        <v>['Kasi', 'pulse', 'free', 'like', 'really', 'high school', 'apk', 'good', 'really']</v>
      </c>
      <c r="D2874" s="3">
        <v>5.0</v>
      </c>
    </row>
    <row r="2875" ht="15.75" customHeight="1">
      <c r="A2875" s="1">
        <v>3058.0</v>
      </c>
      <c r="B2875" s="3" t="s">
        <v>2828</v>
      </c>
      <c r="C2875" s="3" t="str">
        <f>IFERROR(__xludf.DUMMYFUNCTION("GOOGLETRANSLATE(B2875,""id"",""en"")"),"['mqntap', 'reduction', 'price', 'application', 'Telkomsel']")</f>
        <v>['mqntap', 'reduction', 'price', 'application', 'Telkomsel']</v>
      </c>
      <c r="D2875" s="3">
        <v>5.0</v>
      </c>
    </row>
    <row r="2876" ht="15.75" customHeight="1">
      <c r="A2876" s="1">
        <v>3059.0</v>
      </c>
      <c r="B2876" s="3" t="s">
        <v>2829</v>
      </c>
      <c r="C2876" s="3" t="str">
        <f>IFERROR(__xludf.DUMMYFUNCTION("GOOGLETRANSLATE(B2876,""id"",""en"")"),"['Package', 'Telkomsel', 'Okay', 'Disconnect', 'Disconnect']")</f>
        <v>['Package', 'Telkomsel', 'Okay', 'Disconnect', 'Disconnect']</v>
      </c>
      <c r="D2876" s="3">
        <v>5.0</v>
      </c>
    </row>
    <row r="2877" ht="15.75" customHeight="1">
      <c r="A2877" s="1">
        <v>3060.0</v>
      </c>
      <c r="B2877" s="3" t="s">
        <v>2830</v>
      </c>
      <c r="C2877" s="3" t="str">
        <f>IFERROR(__xludf.DUMMYFUNCTION("GOOGLETRANSLATE(B2877,""id"",""en"")"),"['best', 'price', 'affordable', 'help', 'easy']")</f>
        <v>['best', 'price', 'affordable', 'help', 'easy']</v>
      </c>
      <c r="D2877" s="3">
        <v>5.0</v>
      </c>
    </row>
    <row r="2878" ht="15.75" customHeight="1">
      <c r="A2878" s="1">
        <v>3061.0</v>
      </c>
      <c r="B2878" s="3" t="s">
        <v>2831</v>
      </c>
      <c r="C2878" s="3" t="str">
        <f>IFERROR(__xludf.DUMMYFUNCTION("GOOGLETRANSLATE(B2878,""id"",""en"")"),"['best', 'tele']")</f>
        <v>['best', 'tele']</v>
      </c>
      <c r="D2878" s="3">
        <v>5.0</v>
      </c>
    </row>
    <row r="2879" ht="15.75" customHeight="1">
      <c r="A2879" s="1">
        <v>3062.0</v>
      </c>
      <c r="B2879" s="3" t="s">
        <v>2832</v>
      </c>
      <c r="C2879" s="3" t="str">
        <f>IFERROR(__xludf.DUMMYFUNCTION("GOOGLETRANSLATE(B2879,""id"",""en"")"),"['How', 'quota']")</f>
        <v>['How', 'quota']</v>
      </c>
      <c r="D2879" s="3">
        <v>1.0</v>
      </c>
    </row>
    <row r="2880" ht="15.75" customHeight="1">
      <c r="A2880" s="1">
        <v>3063.0</v>
      </c>
      <c r="B2880" s="3" t="s">
        <v>2833</v>
      </c>
      <c r="C2880" s="3" t="str">
        <f>IFERROR(__xludf.DUMMYFUNCTION("GOOGLETRANSLATE(B2880,""id"",""en"")"),"['trimakasih', 'help', 'expensive']")</f>
        <v>['trimakasih', 'help', 'expensive']</v>
      </c>
      <c r="D2880" s="3">
        <v>3.0</v>
      </c>
    </row>
    <row r="2881" ht="15.75" customHeight="1">
      <c r="A2881" s="1">
        <v>3064.0</v>
      </c>
      <c r="B2881" s="3" t="s">
        <v>2834</v>
      </c>
      <c r="C2881" s="3" t="str">
        <f>IFERROR(__xludf.DUMMYFUNCTION("GOOGLETRANSLATE(B2881,""id"",""en"")"),"['Help', 'Gulses']")</f>
        <v>['Help', 'Gulses']</v>
      </c>
      <c r="D2881" s="3">
        <v>5.0</v>
      </c>
    </row>
    <row r="2882" ht="15.75" customHeight="1">
      <c r="A2882" s="1">
        <v>3065.0</v>
      </c>
      <c r="B2882" s="3" t="s">
        <v>2835</v>
      </c>
      <c r="C2882" s="3" t="str">
        <f>IFERROR(__xludf.DUMMYFUNCTION("GOOGLETRANSLATE(B2882,""id"",""en"")"),"['Listen', 'Read', 'Review', 'Complaints', 'Improvement', 'Tetep', 'Severe', 'Quota', 'Pulse', 'Lost', 'Use', ""]")</f>
        <v>['Listen', 'Read', 'Review', 'Complaints', 'Improvement', 'Tetep', 'Severe', 'Quota', 'Pulse', 'Lost', 'Use', "]</v>
      </c>
      <c r="D2882" s="3">
        <v>1.0</v>
      </c>
    </row>
    <row r="2883" ht="15.75" customHeight="1">
      <c r="A2883" s="1">
        <v>3066.0</v>
      </c>
      <c r="B2883" s="3" t="s">
        <v>2836</v>
      </c>
      <c r="C2883" s="3" t="str">
        <f>IFERROR(__xludf.DUMMYFUNCTION("GOOGLETRANSLATE(B2883,""id"",""en"")"),"['Help', 'price', 'cheap']")</f>
        <v>['Help', 'price', 'cheap']</v>
      </c>
      <c r="D2883" s="3">
        <v>5.0</v>
      </c>
    </row>
    <row r="2884" ht="15.75" customHeight="1">
      <c r="A2884" s="1">
        <v>3067.0</v>
      </c>
      <c r="B2884" s="3" t="s">
        <v>2837</v>
      </c>
      <c r="C2884" s="3" t="str">
        <f>IFERROR(__xludf.DUMMYFUNCTION("GOOGLETRANSLATE(B2884,""id"",""en"")"),"['fast service']")</f>
        <v>['fast service']</v>
      </c>
      <c r="D2884" s="3">
        <v>5.0</v>
      </c>
    </row>
    <row r="2885" ht="15.75" customHeight="1">
      <c r="A2885" s="1">
        <v>3068.0</v>
      </c>
      <c r="B2885" s="3" t="s">
        <v>2838</v>
      </c>
      <c r="C2885" s="3" t="str">
        <f>IFERROR(__xludf.DUMMYFUNCTION("GOOGLETRANSLATE(B2885,""id"",""en"")"),"['card', 'Hello', 'steady', '']")</f>
        <v>['card', 'Hello', 'steady', '']</v>
      </c>
      <c r="D2885" s="3">
        <v>5.0</v>
      </c>
    </row>
    <row r="2886" ht="15.75" customHeight="1">
      <c r="A2886" s="1">
        <v>3069.0</v>
      </c>
      <c r="B2886" s="3" t="s">
        <v>2839</v>
      </c>
      <c r="C2886" s="3" t="str">
        <f>IFERROR(__xludf.DUMMYFUNCTION("GOOGLETRANSLATE(B2886,""id"",""en"")"),"['The application', 'already', 'update', 'makes it easy', 'buy', 'quota', 'internet', 'contents', 'reset', 'pulses', 'easy', 'easy']")</f>
        <v>['The application', 'already', 'update', 'makes it easy', 'buy', 'quota', 'internet', 'contents', 'reset', 'pulses', 'easy', 'easy']</v>
      </c>
      <c r="D2886" s="3">
        <v>5.0</v>
      </c>
    </row>
    <row r="2887" ht="15.75" customHeight="1">
      <c r="A2887" s="1">
        <v>3070.0</v>
      </c>
      <c r="B2887" s="3" t="s">
        <v>2840</v>
      </c>
      <c r="C2887" s="3" t="str">
        <f>IFERROR(__xludf.DUMMYFUNCTION("GOOGLETRANSLATE(B2887,""id"",""en"")"),"['trimayih', 'additional', 'kouta', '']")</f>
        <v>['trimayih', 'additional', 'kouta', '']</v>
      </c>
      <c r="D2887" s="3">
        <v>5.0</v>
      </c>
    </row>
    <row r="2888" ht="15.75" customHeight="1">
      <c r="A2888" s="1">
        <v>3071.0</v>
      </c>
      <c r="B2888" s="3" t="s">
        <v>2841</v>
      </c>
      <c r="C2888" s="3" t="str">
        <f>IFERROR(__xludf.DUMMYFUNCTION("GOOGLETRANSLATE(B2888,""id"",""en"")"),"['Telkomsel', 'Taik', 'Sya', 'already', 'buy', 'package', 'internet', 'pulza', 'msh', 'ties',' search ',' luck ',' Jngn ',' Nipu ',' Donk ',' Sya ',' Stirs', 'Keminfo', 'Krna', 'Penipua', 'Kyk', 'Taik', 'Gini', 'Mending', 'Pkek' , 'pket', 'cheap', 'bnyak'"&amp;", 'bonus', 'cheater', 'kyk', 'Telkomsel', '']")</f>
        <v>['Telkomsel', 'Taik', 'Sya', 'already', 'buy', 'package', 'internet', 'pulza', 'msh', 'ties',' search ',' luck ',' Jngn ',' Nipu ',' Donk ',' Sya ',' Stirs', 'Keminfo', 'Krna', 'Penipua', 'Kyk', 'Taik', 'Gini', 'Mending', 'Pkek' , 'pket', 'cheap', 'bnyak', 'bonus', 'cheater', 'kyk', 'Telkomsel', '']</v>
      </c>
      <c r="D2888" s="3">
        <v>1.0</v>
      </c>
    </row>
    <row r="2889" ht="15.75" customHeight="1">
      <c r="A2889" s="1">
        <v>3072.0</v>
      </c>
      <c r="B2889" s="3" t="s">
        <v>2842</v>
      </c>
      <c r="C2889" s="3" t="str">
        <f>IFERROR(__xludf.DUMMYFUNCTION("GOOGLETRANSLATE(B2889,""id"",""en"")"),"['Service', 'fast', 'promo']")</f>
        <v>['Service', 'fast', 'promo']</v>
      </c>
      <c r="D2889" s="3">
        <v>5.0</v>
      </c>
    </row>
    <row r="2890" ht="15.75" customHeight="1">
      <c r="A2890" s="1">
        <v>3073.0</v>
      </c>
      <c r="B2890" s="3" t="s">
        <v>565</v>
      </c>
      <c r="C2890" s="3" t="str">
        <f>IFERROR(__xludf.DUMMYFUNCTION("GOOGLETRANSLATE(B2890,""id"",""en"")"),"['disturbance', '']")</f>
        <v>['disturbance', '']</v>
      </c>
      <c r="D2890" s="3">
        <v>1.0</v>
      </c>
    </row>
    <row r="2891" ht="15.75" customHeight="1">
      <c r="A2891" s="1">
        <v>3074.0</v>
      </c>
      <c r="B2891" s="3" t="s">
        <v>2843</v>
      </c>
      <c r="C2891" s="3" t="str">
        <f>IFERROR(__xludf.DUMMYFUNCTION("GOOGLETRANSLATE(B2891,""id"",""en"")"),"['signal', 'package', 'data', 'smooth', 'disorder', 'love', 'star', 'hope', 'gift', 'Telkomsel', ""]")</f>
        <v>['signal', 'package', 'data', 'smooth', 'disorder', 'love', 'star', 'hope', 'gift', 'Telkomsel', "]</v>
      </c>
      <c r="D2891" s="3">
        <v>5.0</v>
      </c>
    </row>
    <row r="2892" ht="15.75" customHeight="1">
      <c r="A2892" s="1">
        <v>3075.0</v>
      </c>
      <c r="B2892" s="3" t="s">
        <v>2844</v>
      </c>
      <c r="C2892" s="3" t="str">
        <f>IFERROR(__xludf.DUMMYFUNCTION("GOOGLETRANSLATE(B2892,""id"",""en"")"),"['wide network']")</f>
        <v>['wide network']</v>
      </c>
      <c r="D2892" s="3">
        <v>5.0</v>
      </c>
    </row>
    <row r="2893" ht="15.75" customHeight="1">
      <c r="A2893" s="1">
        <v>3076.0</v>
      </c>
      <c r="B2893" s="3" t="s">
        <v>2845</v>
      </c>
      <c r="C2893" s="3" t="str">
        <f>IFERROR(__xludf.DUMMYFUNCTION("GOOGLETRANSLATE(B2893,""id"",""en"")"),"['apk', 'good', 'package', 'run out', 'pulse', 'run out', '']")</f>
        <v>['apk', 'good', 'package', 'run out', 'pulse', 'run out', '']</v>
      </c>
      <c r="D2893" s="3">
        <v>5.0</v>
      </c>
    </row>
    <row r="2894" ht="15.75" customHeight="1">
      <c r="A2894" s="1">
        <v>3077.0</v>
      </c>
      <c r="B2894" s="3" t="s">
        <v>2846</v>
      </c>
      <c r="C2894" s="3" t="str">
        <f>IFERROR(__xludf.DUMMYFUNCTION("GOOGLETRANSLATE(B2894,""id"",""en"")"),"['Sorry', 'love', 'star', 'replace', 'provider', 'signal', 'stable', 'network', 'telephone', 'solution', 'call', 'term', ' Sunday ',' service ',' disappointing ',' service ',' hope ',' do ',' improvement ',' customer ',' comfortable ',' service ',' Telkom"&amp;"sel ',' thank you ']")</f>
        <v>['Sorry', 'love', 'star', 'replace', 'provider', 'signal', 'stable', 'network', 'telephone', 'solution', 'call', 'term', ' Sunday ',' service ',' disappointing ',' service ',' hope ',' do ',' improvement ',' customer ',' comfortable ',' service ',' Telkomsel ',' thank you ']</v>
      </c>
      <c r="D2894" s="3">
        <v>1.0</v>
      </c>
    </row>
    <row r="2895" ht="15.75" customHeight="1">
      <c r="A2895" s="1">
        <v>3078.0</v>
      </c>
      <c r="B2895" s="3" t="s">
        <v>2847</v>
      </c>
      <c r="C2895" s="3" t="str">
        <f>IFERROR(__xludf.DUMMYFUNCTION("GOOGLETRANSLATE(B2895,""id"",""en"")"),"['contents',' package ',' applied ',' TPI ',' enter ',' Veronika ',' email ',' capturan ',' proof ',' believe ',' check ',' email ',' Clarity ',' FAILUR ',' YES ',' FAILURE ',' SUCCESS ',' SUCCESS ',' Click ',' Clarity ',' Jdi ',' Confused ']")</f>
        <v>['contents',' package ',' applied ',' TPI ',' enter ',' Veronika ',' email ',' capturan ',' proof ',' believe ',' check ',' email ',' Clarity ',' FAILUR ',' YES ',' FAILURE ',' SUCCESS ',' SUCCESS ',' Click ',' Clarity ',' Jdi ',' Confused ']</v>
      </c>
      <c r="D2895" s="3">
        <v>1.0</v>
      </c>
    </row>
    <row r="2896" ht="15.75" customHeight="1">
      <c r="A2896" s="1">
        <v>3079.0</v>
      </c>
      <c r="B2896" s="3" t="s">
        <v>2848</v>
      </c>
      <c r="C2896" s="3" t="str">
        <f>IFERROR(__xludf.DUMMYFUNCTION("GOOGLETRANSLATE(B2896,""id"",""en"")"),"['Signal', 'Treac', 'Nusatenggra']")</f>
        <v>['Signal', 'Treac', 'Nusatenggra']</v>
      </c>
      <c r="D2896" s="3">
        <v>5.0</v>
      </c>
    </row>
    <row r="2897" ht="15.75" customHeight="1">
      <c r="A2897" s="1">
        <v>3080.0</v>
      </c>
      <c r="B2897" s="3" t="s">
        <v>2849</v>
      </c>
      <c r="C2897" s="3" t="str">
        <f>IFERROR(__xludf.DUMMYFUNCTION("GOOGLETRANSLATE(B2897,""id"",""en"")"),"['Good', 'easy', 'in', 'information', 'card', 'can', 'anywhere', 'yrs', 'pke', 'Telkomsel', 'satisfied']")</f>
        <v>['Good', 'easy', 'in', 'information', 'card', 'can', 'anywhere', 'yrs', 'pke', 'Telkomsel', 'satisfied']</v>
      </c>
      <c r="D2897" s="3">
        <v>5.0</v>
      </c>
    </row>
    <row r="2898" ht="15.75" customHeight="1">
      <c r="A2898" s="1">
        <v>3082.0</v>
      </c>
      <c r="B2898" s="3" t="s">
        <v>2850</v>
      </c>
      <c r="C2898" s="3" t="str">
        <f>IFERROR(__xludf.DUMMYFUNCTION("GOOGLETRANSLATE(B2898,""id"",""en"")"),"['menu', 'complete']")</f>
        <v>['menu', 'complete']</v>
      </c>
      <c r="D2898" s="3">
        <v>4.0</v>
      </c>
    </row>
    <row r="2899" ht="15.75" customHeight="1">
      <c r="A2899" s="1">
        <v>3083.0</v>
      </c>
      <c r="B2899" s="3" t="s">
        <v>2851</v>
      </c>
      <c r="C2899" s="3" t="str">
        <f>IFERROR(__xludf.DUMMYFUNCTION("GOOGLETRANSLATE(B2899,""id"",""en"")"),"['application', 'good', 'helpful']")</f>
        <v>['application', 'good', 'helpful']</v>
      </c>
      <c r="D2899" s="3">
        <v>5.0</v>
      </c>
    </row>
    <row r="2900" ht="15.75" customHeight="1">
      <c r="A2900" s="1">
        <v>3085.0</v>
      </c>
      <c r="B2900" s="3" t="s">
        <v>2852</v>
      </c>
      <c r="C2900" s="3" t="str">
        <f>IFERROR(__xludf.DUMMYFUNCTION("GOOGLETRANSLATE(B2900,""id"",""en"")"),"['', 'consistent', 'package', 'promo']")</f>
        <v>['', 'consistent', 'package', 'promo']</v>
      </c>
      <c r="D2900" s="3">
        <v>3.0</v>
      </c>
    </row>
    <row r="2901" ht="15.75" customHeight="1">
      <c r="A2901" s="1">
        <v>3086.0</v>
      </c>
      <c r="B2901" s="3" t="s">
        <v>639</v>
      </c>
      <c r="C2901" s="3" t="str">
        <f>IFERROR(__xludf.DUMMYFUNCTION("GOOGLETRANSLATE(B2901,""id"",""en"")"),"['application', 'it's easy']")</f>
        <v>['application', 'it's easy']</v>
      </c>
      <c r="D2901" s="3">
        <v>5.0</v>
      </c>
    </row>
    <row r="2902" ht="15.75" customHeight="1">
      <c r="A2902" s="1">
        <v>3087.0</v>
      </c>
      <c r="B2902" s="3" t="s">
        <v>2853</v>
      </c>
      <c r="C2902" s="3" t="str">
        <f>IFERROR(__xludf.DUMMYFUNCTION("GOOGLETRANSLATE(B2902,""id"",""en"")"),"['Sorry', 'Disappointed', 'Naturally', 'People', 'Credit', 'Reduced', 'Try', 'Content', 'Credit', 'let stand', 'use', 'oprator', ' The pulses', 'reduced', 'Please', 'oprator', 'Telkomsel', 'fix', 'credit', 'missing']")</f>
        <v>['Sorry', 'Disappointed', 'Naturally', 'People', 'Credit', 'Reduced', 'Try', 'Content', 'Credit', 'let stand', 'use', 'oprator', ' The pulses', 'reduced', 'Please', 'oprator', 'Telkomsel', 'fix', 'credit', 'missing']</v>
      </c>
      <c r="D2902" s="3">
        <v>3.0</v>
      </c>
    </row>
    <row r="2903" ht="15.75" customHeight="1">
      <c r="A2903" s="1">
        <v>3088.0</v>
      </c>
      <c r="B2903" s="3" t="s">
        <v>2854</v>
      </c>
      <c r="C2903" s="3" t="str">
        <f>IFERROR(__xludf.DUMMYFUNCTION("GOOGLETRANSLATE(B2903,""id"",""en"")"),"['responsible', 'knph', 'all', 'network', 'Telkomsel', 'experience', 'ganguan', 'brikan', 'star', 'hope', 'CPT', 'fix', ' Please ',' his responses', 'thank you']")</f>
        <v>['responsible', 'knph', 'all', 'network', 'Telkomsel', 'experience', 'ganguan', 'brikan', 'star', 'hope', 'CPT', 'fix', ' Please ',' his responses', 'thank you']</v>
      </c>
      <c r="D2903" s="3">
        <v>2.0</v>
      </c>
    </row>
    <row r="2904" ht="15.75" customHeight="1">
      <c r="A2904" s="1">
        <v>3089.0</v>
      </c>
      <c r="B2904" s="3" t="s">
        <v>2855</v>
      </c>
      <c r="C2904" s="3" t="str">
        <f>IFERROR(__xludf.DUMMYFUNCTION("GOOGLETRANSLATE(B2904,""id"",""en"")"),"['Hebbbat', 'price', 'package', 'continued']")</f>
        <v>['Hebbbat', 'price', 'package', 'continued']</v>
      </c>
      <c r="D2904" s="3">
        <v>3.0</v>
      </c>
    </row>
    <row r="2905" ht="15.75" customHeight="1">
      <c r="A2905" s="1">
        <v>3090.0</v>
      </c>
      <c r="B2905" s="3" t="s">
        <v>2856</v>
      </c>
      <c r="C2905" s="3" t="str">
        <f>IFERROR(__xludf.DUMMYFUNCTION("GOOGLETRANSLATE(B2905,""id"",""en"")"),"['If', 'MyTelkomsel', 'Features',' Control ',' Credit ',' Application ',' MyXL ',' Good ',' Credit ',' Sumpot ',' Package ',' Internet ',' run out ',' Hopefully ',' Happy ',' Feature ']")</f>
        <v>['If', 'MyTelkomsel', 'Features',' Control ',' Credit ',' Application ',' MyXL ',' Good ',' Credit ',' Sumpot ',' Package ',' Internet ',' run out ',' Hopefully ',' Happy ',' Feature ']</v>
      </c>
      <c r="D2905" s="3">
        <v>2.0</v>
      </c>
    </row>
    <row r="2906" ht="15.75" customHeight="1">
      <c r="A2906" s="1">
        <v>3091.0</v>
      </c>
      <c r="B2906" s="3" t="s">
        <v>2857</v>
      </c>
      <c r="C2906" s="3" t="str">
        <f>IFERROR(__xludf.DUMMYFUNCTION("GOOGLETRANSLATE(B2906,""id"",""en"")"),"['Telkomsel', 'good', 'program', 'gift', '']")</f>
        <v>['Telkomsel', 'good', 'program', 'gift', '']</v>
      </c>
      <c r="D2906" s="3">
        <v>5.0</v>
      </c>
    </row>
    <row r="2907" ht="15.75" customHeight="1">
      <c r="A2907" s="1">
        <v>3092.0</v>
      </c>
      <c r="B2907" s="3" t="s">
        <v>2858</v>
      </c>
      <c r="C2907" s="3" t="str">
        <f>IFERROR(__xludf.DUMMYFUNCTION("GOOGLETRANSLATE(B2907,""id"",""en"")"),"['', 'package', 'combo', 'cheap', 'expensive', '']")</f>
        <v>['', 'package', 'combo', 'cheap', 'expensive', '']</v>
      </c>
      <c r="D2907" s="3">
        <v>4.0</v>
      </c>
    </row>
    <row r="2908" ht="15.75" customHeight="1">
      <c r="A2908" s="1">
        <v>3093.0</v>
      </c>
      <c r="B2908" s="3" t="s">
        <v>2859</v>
      </c>
      <c r="C2908" s="3" t="str">
        <f>IFERROR(__xludf.DUMMYFUNCTION("GOOGLETRANSLATE(B2908,""id"",""en"")"),"['BRGUNA', 'bronsen']")</f>
        <v>['BRGUNA', 'bronsen']</v>
      </c>
      <c r="D2908" s="3">
        <v>5.0</v>
      </c>
    </row>
    <row r="2909" ht="15.75" customHeight="1">
      <c r="A2909" s="1">
        <v>3094.0</v>
      </c>
      <c r="B2909" s="3" t="s">
        <v>2860</v>
      </c>
      <c r="C2909" s="3" t="str">
        <f>IFERROR(__xludf.DUMMYFUNCTION("GOOGLETRANSLATE(B2909,""id"",""en"")"),"['Steady', 'Telkomsel', 'help']")</f>
        <v>['Steady', 'Telkomsel', 'help']</v>
      </c>
      <c r="D2909" s="3">
        <v>5.0</v>
      </c>
    </row>
    <row r="2910" ht="15.75" customHeight="1">
      <c r="A2910" s="1">
        <v>3095.0</v>
      </c>
      <c r="B2910" s="3" t="s">
        <v>2861</v>
      </c>
      <c r="C2910" s="3" t="str">
        <f>IFERROR(__xludf.DUMMYFUNCTION("GOOGLETRANSLATE(B2910,""id"",""en"")"),"['card', 'package', 'run out', 'direct', 'sucked', 'run out', 'pulse', 'kayak', 'card', 'package', 'run out', 'pulsa', ' safe ',' package ',' run out ',' direct ',' sucked ',' pulse ',' loss', 'package', 'run out', 'direct', 'automatic', 'buy', 'quota' , "&amp;"'Ketengeng', 'main', 'price', 'sucked', 'pulse', 'loss']")</f>
        <v>['card', 'package', 'run out', 'direct', 'sucked', 'run out', 'pulse', 'kayak', 'card', 'package', 'run out', 'pulsa', ' safe ',' package ',' run out ',' direct ',' sucked ',' pulse ',' loss', 'package', 'run out', 'direct', 'automatic', 'buy', 'quota' , 'Ketengeng', 'main', 'price', 'sucked', 'pulse', 'loss']</v>
      </c>
      <c r="D2910" s="3">
        <v>1.0</v>
      </c>
    </row>
    <row r="2911" ht="15.75" customHeight="1">
      <c r="A2911" s="1">
        <v>3096.0</v>
      </c>
      <c r="B2911" s="3" t="s">
        <v>2862</v>
      </c>
      <c r="C2911" s="3" t="str">
        <f>IFERROR(__xludf.DUMMYFUNCTION("GOOGLETRANSLATE(B2911,""id"",""en"")"),"['Application', 'heavy', 'run', 'Please', 'repaired', 'thank', 'love', ""]")</f>
        <v>['Application', 'heavy', 'run', 'Please', 'repaired', 'thank', 'love', "]</v>
      </c>
      <c r="D2911" s="3">
        <v>5.0</v>
      </c>
    </row>
    <row r="2912" ht="15.75" customHeight="1">
      <c r="A2912" s="1">
        <v>3097.0</v>
      </c>
      <c r="B2912" s="3" t="s">
        <v>2863</v>
      </c>
      <c r="C2912" s="3" t="str">
        <f>IFERROR(__xludf.DUMMYFUNCTION("GOOGLETRANSLATE(B2912,""id"",""en"")"),"['Nice', 'help', 'bnget']")</f>
        <v>['Nice', 'help', 'bnget']</v>
      </c>
      <c r="D2912" s="3">
        <v>5.0</v>
      </c>
    </row>
    <row r="2913" ht="15.75" customHeight="1">
      <c r="A2913" s="1">
        <v>3098.0</v>
      </c>
      <c r="B2913" s="3" t="s">
        <v>2864</v>
      </c>
      <c r="C2913" s="3" t="str">
        <f>IFERROR(__xludf.DUMMYFUNCTION("GOOGLETRANSLATE(B2913,""id"",""en"")"),"['application', 'petrified', 'feature', 'petrified', 'purchase', 'package', 'internet']")</f>
        <v>['application', 'petrified', 'feature', 'petrified', 'purchase', 'package', 'internet']</v>
      </c>
      <c r="D2913" s="3">
        <v>5.0</v>
      </c>
    </row>
    <row r="2914" ht="15.75" customHeight="1">
      <c r="A2914" s="1">
        <v>3099.0</v>
      </c>
      <c r="B2914" s="3" t="s">
        <v>2865</v>
      </c>
      <c r="C2914" s="3" t="str">
        <f>IFERROR(__xludf.DUMMYFUNCTION("GOOGLETRANSLATE(B2914,""id"",""en"")"),"['expensive', 'price', 'cheap']")</f>
        <v>['expensive', 'price', 'cheap']</v>
      </c>
      <c r="D2914" s="3">
        <v>4.0</v>
      </c>
    </row>
    <row r="2915" ht="15.75" customHeight="1">
      <c r="A2915" s="1">
        <v>3100.0</v>
      </c>
      <c r="B2915" s="3" t="s">
        <v>2866</v>
      </c>
      <c r="C2915" s="3" t="str">
        <f>IFERROR(__xludf.DUMMYFUNCTION("GOOGLETRANSLATE(B2915,""id"",""en"")"),"['Network', 'Not bad', 'darling', 'price', 'Mahall']")</f>
        <v>['Network', 'Not bad', 'darling', 'price', 'Mahall']</v>
      </c>
      <c r="D2915" s="3">
        <v>5.0</v>
      </c>
    </row>
    <row r="2916" ht="15.75" customHeight="1">
      <c r="A2916" s="1">
        <v>3101.0</v>
      </c>
      <c r="B2916" s="3" t="s">
        <v>2867</v>
      </c>
      <c r="C2916" s="3" t="str">
        <f>IFERROR(__xludf.DUMMYFUNCTION("GOOGLETRANSLATE(B2916,""id"",""en"")"),"['Good', 'really', 'applikasih']")</f>
        <v>['Good', 'really', 'applikasih']</v>
      </c>
      <c r="D2916" s="3">
        <v>5.0</v>
      </c>
    </row>
    <row r="2917" ht="15.75" customHeight="1">
      <c r="A2917" s="1">
        <v>3102.0</v>
      </c>
      <c r="B2917" s="3" t="s">
        <v>2868</v>
      </c>
      <c r="C2917" s="3" t="str">
        <f>IFERROR(__xludf.DUMMYFUNCTION("GOOGLETRANSLATE(B2917,""id"",""en"")"),"['quality', 'according to', 'dng', 'price', 'application', 'trouble', 'stlh', 'update', ""]")</f>
        <v>['quality', 'according to', 'dng', 'price', 'application', 'trouble', 'stlh', 'update', "]</v>
      </c>
      <c r="D2917" s="3">
        <v>1.0</v>
      </c>
    </row>
    <row r="2918" ht="15.75" customHeight="1">
      <c r="A2918" s="1">
        <v>3103.0</v>
      </c>
      <c r="B2918" s="3" t="s">
        <v>2869</v>
      </c>
      <c r="C2918" s="3" t="str">
        <f>IFERROR(__xludf.DUMMYFUNCTION("GOOGLETRANSLATE(B2918,""id"",""en"")"),"['Satisfied', 'use', 'Telkomsel']")</f>
        <v>['Satisfied', 'use', 'Telkomsel']</v>
      </c>
      <c r="D2918" s="3">
        <v>5.0</v>
      </c>
    </row>
    <row r="2919" ht="15.75" customHeight="1">
      <c r="A2919" s="1">
        <v>3105.0</v>
      </c>
      <c r="B2919" s="3" t="s">
        <v>2870</v>
      </c>
      <c r="C2919" s="3" t="str">
        <f>IFERROR(__xludf.DUMMYFUNCTION("GOOGLETRANSLATE(B2919,""id"",""en"")"),"['It's easier for', 'Daan', 'Choice']")</f>
        <v>['It's easier for', 'Daan', 'Choice']</v>
      </c>
      <c r="D2919" s="3">
        <v>5.0</v>
      </c>
    </row>
    <row r="2920" ht="15.75" customHeight="1">
      <c r="A2920" s="1">
        <v>3106.0</v>
      </c>
      <c r="B2920" s="3" t="s">
        <v>2871</v>
      </c>
      <c r="C2920" s="3" t="str">
        <f>IFERROR(__xludf.DUMMYFUNCTION("GOOGLETRANSLATE(B2920,""id"",""en"")"),"['Easy', 'fill', 'package', 'easy']")</f>
        <v>['Easy', 'fill', 'package', 'easy']</v>
      </c>
      <c r="D2920" s="3">
        <v>4.0</v>
      </c>
    </row>
    <row r="2921" ht="15.75" customHeight="1">
      <c r="A2921" s="1">
        <v>3107.0</v>
      </c>
      <c r="B2921" s="3" t="s">
        <v>2872</v>
      </c>
      <c r="C2921" s="3" t="str">
        <f>IFERROR(__xludf.DUMMYFUNCTION("GOOGLETRANSLATE(B2921,""id"",""en"")"),"['Good', 'check', 'kouta']")</f>
        <v>['Good', 'check', 'kouta']</v>
      </c>
      <c r="D2921" s="3">
        <v>4.0</v>
      </c>
    </row>
    <row r="2922" ht="15.75" customHeight="1">
      <c r="A2922" s="1">
        <v>3108.0</v>
      </c>
      <c r="B2922" s="3" t="s">
        <v>2873</v>
      </c>
      <c r="C2922" s="3" t="str">
        <f>IFERROR(__xludf.DUMMYFUNCTION("GOOGLETRANSLATE(B2922,""id"",""en"")"),"['Satisfied', 'Comfortable', 'Application', 'Telkomsel']")</f>
        <v>['Satisfied', 'Comfortable', 'Application', 'Telkomsel']</v>
      </c>
      <c r="D2922" s="3">
        <v>5.0</v>
      </c>
    </row>
    <row r="2923" ht="15.75" customHeight="1">
      <c r="A2923" s="1">
        <v>3109.0</v>
      </c>
      <c r="B2923" s="3" t="s">
        <v>2874</v>
      </c>
      <c r="C2923" s="3" t="str">
        <f>IFERROR(__xludf.DUMMYFUNCTION("GOOGLETRANSLATE(B2923,""id"",""en"")"),"['destroyed', 'network', 'kayak', 'operator', 'next door']")</f>
        <v>['destroyed', 'network', 'kayak', 'operator', 'next door']</v>
      </c>
      <c r="D2923" s="3">
        <v>1.0</v>
      </c>
    </row>
    <row r="2924" ht="15.75" customHeight="1">
      <c r="A2924" s="1">
        <v>3110.0</v>
      </c>
      <c r="B2924" s="3" t="s">
        <v>2875</v>
      </c>
      <c r="C2924" s="3" t="str">
        <f>IFERROR(__xludf.DUMMYFUNCTION("GOOGLETRANSLATE(B2924,""id"",""en"")"),"['Masya', 'Allah', 'Alhamdulillah', 'Mantabs', 'Recommended']")</f>
        <v>['Masya', 'Allah', 'Alhamdulillah', 'Mantabs', 'Recommended']</v>
      </c>
      <c r="D2924" s="3">
        <v>5.0</v>
      </c>
    </row>
    <row r="2925" ht="15.75" customHeight="1">
      <c r="A2925" s="1">
        <v>3111.0</v>
      </c>
      <c r="B2925" s="3" t="s">
        <v>2876</v>
      </c>
      <c r="C2925" s="3" t="str">
        <f>IFERROR(__xludf.DUMMYFUNCTION("GOOGLETRANSLATE(B2925,""id"",""en"")"),"['signal', 'ugly', 'Alhamdulillah', 'good', 'please', 'enhanced', 'thank you', ""]")</f>
        <v>['signal', 'ugly', 'Alhamdulillah', 'good', 'please', 'enhanced', 'thank you', "]</v>
      </c>
      <c r="D2925" s="3">
        <v>5.0</v>
      </c>
    </row>
    <row r="2926" ht="15.75" customHeight="1">
      <c r="A2926" s="1">
        <v>3112.0</v>
      </c>
      <c r="B2926" s="3" t="s">
        <v>2877</v>
      </c>
      <c r="C2926" s="3" t="str">
        <f>IFERROR(__xludf.DUMMYFUNCTION("GOOGLETRANSLATE(B2926,""id"",""en"")"),"['Use', 'Telkomsel', 'Alhamdulillah', 'Current', 'Jaya', 'Nyerepet', 'Syg', 'Dead', 'Lights', 'Network', 'Dead', 'Total']")</f>
        <v>['Use', 'Telkomsel', 'Alhamdulillah', 'Current', 'Jaya', 'Nyerepet', 'Syg', 'Dead', 'Lights', 'Network', 'Dead', 'Total']</v>
      </c>
      <c r="D2926" s="3">
        <v>5.0</v>
      </c>
    </row>
    <row r="2927" ht="15.75" customHeight="1">
      <c r="A2927" s="1">
        <v>3114.0</v>
      </c>
      <c r="B2927" s="3" t="s">
        <v>2878</v>
      </c>
      <c r="C2927" s="3" t="str">
        <f>IFERROR(__xludf.DUMMYFUNCTION("GOOGLETRANSLATE(B2927,""id"",""en"")"),"['Signal', 'Enhanced', 'Disruption']")</f>
        <v>['Signal', 'Enhanced', 'Disruption']</v>
      </c>
      <c r="D2927" s="3">
        <v>5.0</v>
      </c>
    </row>
    <row r="2928" ht="15.75" customHeight="1">
      <c r="A2928" s="1">
        <v>3115.0</v>
      </c>
      <c r="B2928" s="3" t="s">
        <v>2879</v>
      </c>
      <c r="C2928" s="3" t="str">
        <f>IFERROR(__xludf.DUMMYFUNCTION("GOOGLETRANSLATE(B2928,""id"",""en"")"),"['application', 'block']")</f>
        <v>['application', 'block']</v>
      </c>
      <c r="D2928" s="3">
        <v>1.0</v>
      </c>
    </row>
    <row r="2929" ht="15.75" customHeight="1">
      <c r="A2929" s="1">
        <v>3116.0</v>
      </c>
      <c r="B2929" s="3" t="s">
        <v>2880</v>
      </c>
      <c r="C2929" s="3" t="str">
        <f>IFERROR(__xludf.DUMMYFUNCTION("GOOGLETRANSLATE(B2929,""id"",""en"")"),"['rival', 'Telkomsel', 'network', 'area', 'thank', 'love', 'Telkomsel']")</f>
        <v>['rival', 'Telkomsel', 'network', 'area', 'thank', 'love', 'Telkomsel']</v>
      </c>
      <c r="D2929" s="3">
        <v>5.0</v>
      </c>
    </row>
    <row r="2930" ht="15.75" customHeight="1">
      <c r="A2930" s="1">
        <v>3117.0</v>
      </c>
      <c r="B2930" s="3" t="s">
        <v>2881</v>
      </c>
      <c r="C2930" s="3" t="str">
        <f>IFERROR(__xludf.DUMMYFUNCTION("GOOGLETRANSLATE(B2930,""id"",""en"")"),"['PAS', 'OTP', 'Payment', 'Fund', 'Application', 'Account', 'Fund', 'Freezes', 'ACU', 'Application']")</f>
        <v>['PAS', 'OTP', 'Payment', 'Fund', 'Application', 'Account', 'Fund', 'Freezes', 'ACU', 'Application']</v>
      </c>
      <c r="D2930" s="3">
        <v>1.0</v>
      </c>
    </row>
    <row r="2931" ht="15.75" customHeight="1">
      <c r="A2931" s="1">
        <v>3118.0</v>
      </c>
      <c r="B2931" s="3" t="s">
        <v>2882</v>
      </c>
      <c r="C2931" s="3" t="str">
        <f>IFERROR(__xludf.DUMMYFUNCTION("GOOGLETRANSLATE(B2931,""id"",""en"")"),"['Telkomsel', 'Makinnn', 'Parahh', 'Dlu', 'as expensive', 'Severe', 'Ngertiin', 'Student', 'Please']")</f>
        <v>['Telkomsel', 'Makinnn', 'Parahh', 'Dlu', 'as expensive', 'Severe', 'Ngertiin', 'Student', 'Please']</v>
      </c>
      <c r="D2931" s="3">
        <v>1.0</v>
      </c>
    </row>
    <row r="2932" ht="15.75" customHeight="1">
      <c r="A2932" s="1">
        <v>3119.0</v>
      </c>
      <c r="B2932" s="3" t="s">
        <v>2883</v>
      </c>
      <c r="C2932" s="3" t="str">
        <f>IFERROR(__xludf.DUMMYFUNCTION("GOOGLETRANSLATE(B2932,""id"",""en"")"),"['artisan', 'suck', 'pulse']")</f>
        <v>['artisan', 'suck', 'pulse']</v>
      </c>
      <c r="D2932" s="3">
        <v>1.0</v>
      </c>
    </row>
    <row r="2933" ht="15.75" customHeight="1">
      <c r="A2933" s="1">
        <v>3120.0</v>
      </c>
      <c r="B2933" s="3" t="s">
        <v>2884</v>
      </c>
      <c r="C2933" s="3" t="str">
        <f>IFERROR(__xludf.DUMMYFUNCTION("GOOGLETRANSLATE(B2933,""id"",""en"")"),"['Search', 'offer', 'special', 'Telkomsel', 'thank', 'love', 'please', 'Increase', ""]")</f>
        <v>['Search', 'offer', 'special', 'Telkomsel', 'thank', 'love', 'please', 'Increase', "]</v>
      </c>
      <c r="D2933" s="3">
        <v>4.0</v>
      </c>
    </row>
    <row r="2934" ht="15.75" customHeight="1">
      <c r="A2934" s="1">
        <v>3121.0</v>
      </c>
      <c r="B2934" s="3" t="s">
        <v>2885</v>
      </c>
      <c r="C2934" s="3" t="str">
        <f>IFERROR(__xludf.DUMMYFUNCTION("GOOGLETRANSLATE(B2934,""id"",""en"")"),"['Ksini', 'Severe', 'quota', 'expensive', 'slow', 'service', 'as good', 'customer', 'looked', 'lucky', 'Telkomsel', 'thought', ' replace ',' card ',' disappointed ',' customer ',' loyal ',' Telkomsel ',' disappointed ',' ending ',' mem ',' bagwalkan ', """&amp;"]")</f>
        <v>['Ksini', 'Severe', 'quota', 'expensive', 'slow', 'service', 'as good', 'customer', 'looked', 'lucky', 'Telkomsel', 'thought', ' replace ',' card ',' disappointed ',' customer ',' loyal ',' Telkomsel ',' disappointed ',' ending ',' mem ',' bagwalkan ', "]</v>
      </c>
      <c r="D2934" s="3">
        <v>1.0</v>
      </c>
    </row>
    <row r="2935" ht="15.75" customHeight="1">
      <c r="A2935" s="1">
        <v>3122.0</v>
      </c>
      <c r="B2935" s="3" t="s">
        <v>2886</v>
      </c>
      <c r="C2935" s="3" t="str">
        <f>IFERROR(__xludf.DUMMYFUNCTION("GOOGLETRANSLATE(B2935,""id"",""en"")"),"['Mantul', 'access', 'fast']")</f>
        <v>['Mantul', 'access', 'fast']</v>
      </c>
      <c r="D2935" s="3">
        <v>5.0</v>
      </c>
    </row>
    <row r="2936" ht="15.75" customHeight="1">
      <c r="A2936" s="1">
        <v>3123.0</v>
      </c>
      <c r="B2936" s="3" t="s">
        <v>2887</v>
      </c>
      <c r="C2936" s="3" t="str">
        <f>IFERROR(__xludf.DUMMYFUNCTION("GOOGLETRANSLATE(B2936,""id"",""en"")"),"['', 'good', 'just', 'really', 'pulse', 'buy', 'package', 'please', 'repaired', '']")</f>
        <v>['', 'good', 'just', 'really', 'pulse', 'buy', 'package', 'please', 'repaired', '']</v>
      </c>
      <c r="D2936" s="3">
        <v>3.0</v>
      </c>
    </row>
    <row r="2937" ht="15.75" customHeight="1">
      <c r="A2937" s="1">
        <v>3124.0</v>
      </c>
      <c r="B2937" s="3" t="s">
        <v>2888</v>
      </c>
      <c r="C2937" s="3" t="str">
        <f>IFERROR(__xludf.DUMMYFUNCTION("GOOGLETRANSLATE(B2937,""id"",""en"")"),"['Practical', 'Facilitates', 'Customer']")</f>
        <v>['Practical', 'Facilitates', 'Customer']</v>
      </c>
      <c r="D2937" s="3">
        <v>5.0</v>
      </c>
    </row>
    <row r="2938" ht="15.75" customHeight="1">
      <c r="A2938" s="1">
        <v>3125.0</v>
      </c>
      <c r="B2938" s="3" t="s">
        <v>2889</v>
      </c>
      <c r="C2938" s="3" t="str">
        <f>IFERROR(__xludf.DUMMYFUNCTION("GOOGLETRANSLATE(B2938,""id"",""en"")"),"['', 'quota', 'Telkomsel', 'expensive', 'ngasain', 'all', 'ngab', 'ngasain', 'kah', 'knpa', 'price', 'quota', 'soaring ',' Stinggi ',' ']")</f>
        <v>['', 'quota', 'Telkomsel', 'expensive', 'ngasain', 'all', 'ngab', 'ngasain', 'kah', 'knpa', 'price', 'quota', 'soaring ',' Stinggi ',' ']</v>
      </c>
      <c r="D2938" s="3">
        <v>2.0</v>
      </c>
    </row>
    <row r="2939" ht="15.75" customHeight="1">
      <c r="A2939" s="1">
        <v>3126.0</v>
      </c>
      <c r="B2939" s="3" t="s">
        <v>2890</v>
      </c>
      <c r="C2939" s="3" t="str">
        <f>IFERROR(__xludf.DUMMYFUNCTION("GOOGLETRANSLATE(B2939,""id"",""en"")"),"['Likes', 'Application', 'Compare']")</f>
        <v>['Likes', 'Application', 'Compare']</v>
      </c>
      <c r="D2939" s="3">
        <v>4.0</v>
      </c>
    </row>
    <row r="2940" ht="15.75" customHeight="1">
      <c r="A2940" s="1">
        <v>3127.0</v>
      </c>
      <c r="B2940" s="3" t="s">
        <v>2891</v>
      </c>
      <c r="C2940" s="3" t="str">
        <f>IFERROR(__xludf.DUMMYFUNCTION("GOOGLETRANSLATE(B2940,""id"",""en"")"),"['Telkomsel', 'Please', 'Fix', 'System', 'Daily', 'Check', 'Cook', 'Uda', 'Claim', 'Notif', 'Redem', 'Point', ' succeeded ',' sorry ',' reach ',' boundary ',' exchange ',' point ',' maximum ',' times', 'please', 'try', 'chance', 'uda', 'try' , 'repeat', '"&amp;"reset', 'that's',' animation ',' claim ',' uda ',' kouta ',' GB ',' check ',' kaga ',' kouta ',' entry ',' times', 'yesterday', 'right', 'GB', 'that's',' as a result ',' pulse ',' buy ',' package ',' sucked ',' krena ',' I think ',' uda ' , 'DPT', 'Kouta'"&amp;", 'loss', 'leftover', ""]")</f>
        <v>['Telkomsel', 'Please', 'Fix', 'System', 'Daily', 'Check', 'Cook', 'Uda', 'Claim', 'Notif', 'Redem', 'Point', ' succeeded ',' sorry ',' reach ',' boundary ',' exchange ',' point ',' maximum ',' times', 'please', 'try', 'chance', 'uda', 'try' , 'repeat', 'reset', 'that's',' animation ',' claim ',' uda ',' kouta ',' GB ',' check ',' kaga ',' kouta ',' entry ',' times', 'yesterday', 'right', 'GB', 'that's',' as a result ',' pulse ',' buy ',' package ',' sucked ',' krena ',' I think ',' uda ' , 'DPT', 'Kouta', 'loss', 'leftover', "]</v>
      </c>
      <c r="D2940" s="3">
        <v>1.0</v>
      </c>
    </row>
    <row r="2941" ht="15.75" customHeight="1">
      <c r="A2941" s="1">
        <v>3128.0</v>
      </c>
      <c r="B2941" s="3" t="s">
        <v>2892</v>
      </c>
      <c r="C2941" s="3" t="str">
        <f>IFERROR(__xludf.DUMMYFUNCTION("GOOGLETRANSLATE(B2941,""id"",""en"")"),"['Cool', 'gift', 'access', 'buy', 'quota', 'cheap']")</f>
        <v>['Cool', 'gift', 'access', 'buy', 'quota', 'cheap']</v>
      </c>
      <c r="D2941" s="3">
        <v>5.0</v>
      </c>
    </row>
    <row r="2942" ht="15.75" customHeight="1">
      <c r="A2942" s="1">
        <v>3129.0</v>
      </c>
      <c r="B2942" s="3" t="s">
        <v>2893</v>
      </c>
      <c r="C2942" s="3" t="str">
        <f>IFERROR(__xludf.DUMMYFUNCTION("GOOGLETRANSLATE(B2942,""id"",""en"")"),"['PESK']")</f>
        <v>['PESK']</v>
      </c>
      <c r="D2942" s="3">
        <v>5.0</v>
      </c>
    </row>
    <row r="2943" ht="15.75" customHeight="1">
      <c r="A2943" s="1">
        <v>3130.0</v>
      </c>
      <c r="B2943" s="3" t="s">
        <v>2894</v>
      </c>
      <c r="C2943" s="3" t="str">
        <f>IFERROR(__xludf.DUMMYFUNCTION("GOOGLETRANSLATE(B2943,""id"",""en"")"),"['The application', 'bug', 'RAM', 'already', 'dizziness', 'Kirain', 'HP', 'lag', 'APK', 'Relog', 'profider', 'that's']")</f>
        <v>['The application', 'bug', 'RAM', 'already', 'dizziness', 'Kirain', 'HP', 'lag', 'APK', 'Relog', 'profider', 'that's']</v>
      </c>
      <c r="D2943" s="3">
        <v>2.0</v>
      </c>
    </row>
    <row r="2944" ht="15.75" customHeight="1">
      <c r="A2944" s="1">
        <v>3131.0</v>
      </c>
      <c r="B2944" s="3" t="s">
        <v>2895</v>
      </c>
      <c r="C2944" s="3" t="str">
        <f>IFERROR(__xludf.DUMMYFUNCTION("GOOGLETRANSLATE(B2944,""id"",""en"")"),"['application', 'easy', '']")</f>
        <v>['application', 'easy', '']</v>
      </c>
      <c r="D2944" s="3">
        <v>5.0</v>
      </c>
    </row>
    <row r="2945" ht="15.75" customHeight="1">
      <c r="A2945" s="1">
        <v>3132.0</v>
      </c>
      <c r="B2945" s="3" t="s">
        <v>2896</v>
      </c>
      <c r="C2945" s="3" t="str">
        <f>IFERROR(__xludf.DUMMYFUNCTION("GOOGLETRANSLATE(B2945,""id"",""en"")"),"['signal', 'severe', 'destroyed', 'die', 'lights',' signal ',' lost ',' rain ',' slow ',' signal ',' kagak ',' stable ',' Ouch ',' threat ']")</f>
        <v>['signal', 'severe', 'destroyed', 'die', 'lights',' signal ',' lost ',' rain ',' slow ',' signal ',' kagak ',' stable ',' Ouch ',' threat ']</v>
      </c>
      <c r="D2945" s="3">
        <v>1.0</v>
      </c>
    </row>
    <row r="2946" ht="15.75" customHeight="1">
      <c r="A2946" s="1">
        <v>3133.0</v>
      </c>
      <c r="B2946" s="3" t="s">
        <v>2897</v>
      </c>
      <c r="C2946" s="3" t="str">
        <f>IFERROR(__xludf.DUMMYFUNCTION("GOOGLETRANSLATE(B2946,""id"",""en"")"),"['My APK', 'good', 'please', 'fix', 'network', 'Telkomsel', 'remote', 'network', 'TLPN', 'internet', 'bad', 'Misool', ' Regency ',' King ',' Ampat ',' Papua ',' West ',' thank you ']")</f>
        <v>['My APK', 'good', 'please', 'fix', 'network', 'Telkomsel', 'remote', 'network', 'TLPN', 'internet', 'bad', 'Misool', ' Regency ',' King ',' Ampat ',' Papua ',' West ',' thank you ']</v>
      </c>
      <c r="D2946" s="3">
        <v>5.0</v>
      </c>
    </row>
    <row r="2947" ht="15.75" customHeight="1">
      <c r="A2947" s="1">
        <v>3134.0</v>
      </c>
      <c r="B2947" s="3" t="s">
        <v>2898</v>
      </c>
      <c r="C2947" s="3" t="str">
        <f>IFERROR(__xludf.DUMMYFUNCTION("GOOGLETRANSLATE(B2947,""id"",""en"")"),"['good luck']")</f>
        <v>['good luck']</v>
      </c>
      <c r="D2947" s="3">
        <v>5.0</v>
      </c>
    </row>
    <row r="2948" ht="15.75" customHeight="1">
      <c r="A2948" s="1">
        <v>3135.0</v>
      </c>
      <c r="B2948" s="3" t="s">
        <v>2899</v>
      </c>
      <c r="C2948" s="3" t="str">
        <f>IFERROR(__xludf.DUMMYFUNCTION("GOOGLETRANSLATE(B2948,""id"",""en"")"),"['Lemot', 'Open', 'The application']")</f>
        <v>['Lemot', 'Open', 'The application']</v>
      </c>
      <c r="D2948" s="3">
        <v>4.0</v>
      </c>
    </row>
    <row r="2949" ht="15.75" customHeight="1">
      <c r="A2949" s="1">
        <v>3136.0</v>
      </c>
      <c r="B2949" s="3" t="s">
        <v>2900</v>
      </c>
      <c r="C2949" s="3" t="str">
        <f>IFERROR(__xludf.DUMMYFUNCTION("GOOGLETRANSLATE(B2949,""id"",""en"")"),"['User', 'Gold', 'Buy', 'Package', 'Internet', 'Affordable', 'Package', 'Combo', 'Sakti', 'Affordable', 'Lost', 'Package', ' available ',' standard ',' GB ',' bring ',' already ',' please ',' Telkomsel ',' repair ']")</f>
        <v>['User', 'Gold', 'Buy', 'Package', 'Internet', 'Affordable', 'Package', 'Combo', 'Sakti', 'Affordable', 'Lost', 'Package', ' available ',' standard ',' GB ',' bring ',' already ',' please ',' Telkomsel ',' repair ']</v>
      </c>
      <c r="D2949" s="3">
        <v>1.0</v>
      </c>
    </row>
    <row r="2950" ht="15.75" customHeight="1">
      <c r="A2950" s="1">
        <v>3137.0</v>
      </c>
      <c r="B2950" s="3" t="s">
        <v>2901</v>
      </c>
      <c r="C2950" s="3" t="str">
        <f>IFERROR(__xludf.DUMMYFUNCTION("GOOGLETRANSLATE(B2950,""id"",""en"")"),"['proomonya', 'reproduced', 'lgi', 'gannn']")</f>
        <v>['proomonya', 'reproduced', 'lgi', 'gannn']</v>
      </c>
      <c r="D2950" s="3">
        <v>5.0</v>
      </c>
    </row>
    <row r="2951" ht="15.75" customHeight="1">
      <c r="A2951" s="1">
        <v>3138.0</v>
      </c>
      <c r="B2951" s="3" t="s">
        <v>2902</v>
      </c>
      <c r="C2951" s="3" t="str">
        <f>IFERROR(__xludf.DUMMYFUNCTION("GOOGLETRANSLATE(B2951,""id"",""en"")"),"['Network', 'fast', 'anti', 'lemoOoot', 'steady', 'brooo']")</f>
        <v>['Network', 'fast', 'anti', 'lemoOoot', 'steady', 'brooo']</v>
      </c>
      <c r="D2951" s="3">
        <v>5.0</v>
      </c>
    </row>
    <row r="2952" ht="15.75" customHeight="1">
      <c r="A2952" s="1">
        <v>3139.0</v>
      </c>
      <c r="B2952" s="3" t="s">
        <v>2903</v>
      </c>
      <c r="C2952" s="3" t="str">
        <f>IFERROR(__xludf.DUMMYFUNCTION("GOOGLETRANSLATE(B2952,""id"",""en"")"),"['Speed', 'Internet', 'Region', 'Ponorogo', 'Kecamatan', 'Milank', 'Kecamatan', 'Kauman', 'ugly', 'signal', 'good', 'forced', ' Buy ',' Provider ',' Simcard ',' Internet ',' ']")</f>
        <v>['Speed', 'Internet', 'Region', 'Ponorogo', 'Kecamatan', 'Milank', 'Kecamatan', 'Kauman', 'ugly', 'signal', 'good', 'forced', ' Buy ',' Provider ',' Simcard ',' Internet ',' ']</v>
      </c>
      <c r="D2952" s="3">
        <v>2.0</v>
      </c>
    </row>
    <row r="2953" ht="15.75" customHeight="1">
      <c r="A2953" s="1">
        <v>3140.0</v>
      </c>
      <c r="B2953" s="3" t="s">
        <v>2904</v>
      </c>
      <c r="C2953" s="3" t="str">
        <f>IFERROR(__xludf.DUMMYFUNCTION("GOOGLETRANSLATE(B2953,""id"",""en"")"),"['signal', 'stable', 'price', 'stable', '']")</f>
        <v>['signal', 'stable', 'price', 'stable', '']</v>
      </c>
      <c r="D2953" s="3">
        <v>5.0</v>
      </c>
    </row>
    <row r="2954" ht="15.75" customHeight="1">
      <c r="A2954" s="1">
        <v>3141.0</v>
      </c>
      <c r="B2954" s="3" t="s">
        <v>2905</v>
      </c>
      <c r="C2954" s="3" t="str">
        <f>IFERROR(__xludf.DUMMYFUNCTION("GOOGLETRANSLATE(B2954,""id"",""en"")"),"['already', 'signal', 'ugly', 'stable', 'package', 'abis',' pulses', 'sumps',' abis', 'notif', 'late', 'pulses',' already ',' abis', 'motif', 'entered', 'then', 'claim', 'reward', 'point', 'daily', 'chek', 'point', 'already', 'reduced' , 'then', 'status',"&amp;"' already ',' claimed ',' quota ',' entry ',' strange ',' price ',' quota ',' expensive ',' comparable ',' service ',' Quality ',' You ',' Disappointed ',' Telkomsel ',' Rich ',' Reliable ',' Reasons', 'Reasons',' Cable ',' Bitten ',' Fish ',' Shark ', """&amp;"]")</f>
        <v>['already', 'signal', 'ugly', 'stable', 'package', 'abis',' pulses', 'sumps',' abis', 'notif', 'late', 'pulses',' already ',' abis', 'motif', 'entered', 'then', 'claim', 'reward', 'point', 'daily', 'chek', 'point', 'already', 'reduced' , 'then', 'status',' already ',' claimed ',' quota ',' entry ',' strange ',' price ',' quota ',' expensive ',' comparable ',' service ',' Quality ',' You ',' Disappointed ',' Telkomsel ',' Rich ',' Reliable ',' Reasons', 'Reasons',' Cable ',' Bitten ',' Fish ',' Shark ', "]</v>
      </c>
      <c r="D2954" s="3">
        <v>1.0</v>
      </c>
    </row>
    <row r="2955" ht="15.75" customHeight="1">
      <c r="A2955" s="1">
        <v>3142.0</v>
      </c>
      <c r="B2955" s="3" t="s">
        <v>2906</v>
      </c>
      <c r="C2955" s="3" t="str">
        <f>IFERROR(__xludf.DUMMYFUNCTION("GOOGLETRANSLATE(B2955,""id"",""en"")"),"['strange', 'bin', 'magical', 'package', 'right', 'check', 'Telkomsel', 'auto', 'crazy', 'emang', ""]")</f>
        <v>['strange', 'bin', 'magical', 'package', 'right', 'check', 'Telkomsel', 'auto', 'crazy', 'emang', "]</v>
      </c>
      <c r="D2955" s="3">
        <v>3.0</v>
      </c>
    </row>
    <row r="2956" ht="15.75" customHeight="1">
      <c r="A2956" s="1">
        <v>3143.0</v>
      </c>
      <c r="B2956" s="3" t="s">
        <v>2907</v>
      </c>
      <c r="C2956" s="3" t="str">
        <f>IFERROR(__xludf.DUMMYFUNCTION("GOOGLETRANSLATE(B2956,""id"",""en"")"),"['Disappointed', 'really', 'Telkomsel', 'buy', 'pulse', 'clock', 'credit', 'ngilance', 'pulse', 'dark', 'appain', 'kouta', ' ']")</f>
        <v>['Disappointed', 'really', 'Telkomsel', 'buy', 'pulse', 'clock', 'credit', 'ngilance', 'pulse', 'dark', 'appain', 'kouta', ' ']</v>
      </c>
      <c r="D2956" s="3">
        <v>1.0</v>
      </c>
    </row>
    <row r="2957" ht="15.75" customHeight="1">
      <c r="A2957" s="1">
        <v>3144.0</v>
      </c>
      <c r="B2957" s="3" t="s">
        <v>2908</v>
      </c>
      <c r="C2957" s="3" t="str">
        <f>IFERROR(__xludf.DUMMYFUNCTION("GOOGLETRANSLATE(B2957,""id"",""en"")"),"['Hello', 'Samsung', 'recommendation', 'for you', 'appears',' run out ',' Delete ',' Data ',' installation ',' reset ',' appears', 'missing', ' right ',' open ',' application ',' time ',' beg ',' updated ',' thank ',' love ']")</f>
        <v>['Hello', 'Samsung', 'recommendation', 'for you', 'appears',' run out ',' Delete ',' Data ',' installation ',' reset ',' appears', 'missing', ' right ',' open ',' application ',' time ',' beg ',' updated ',' thank ',' love ']</v>
      </c>
      <c r="D2957" s="3">
        <v>3.0</v>
      </c>
    </row>
    <row r="2958" ht="15.75" customHeight="1">
      <c r="A2958" s="1">
        <v>3145.0</v>
      </c>
      <c r="B2958" s="3" t="s">
        <v>2909</v>
      </c>
      <c r="C2958" s="3" t="str">
        <f>IFERROR(__xludf.DUMMYFUNCTION("GOOGLETRANSLATE(B2958,""id"",""en"")"),"['Package', 'cheap', 'cmn', 'buy', 'please', 'in the future', 'fix']")</f>
        <v>['Package', 'cheap', 'cmn', 'buy', 'please', 'in the future', 'fix']</v>
      </c>
      <c r="D2958" s="3">
        <v>3.0</v>
      </c>
    </row>
    <row r="2959" ht="15.75" customHeight="1">
      <c r="A2959" s="1">
        <v>3146.0</v>
      </c>
      <c r="B2959" s="3" t="s">
        <v>2910</v>
      </c>
      <c r="C2959" s="3" t="str">
        <f>IFERROR(__xludf.DUMMYFUNCTION("GOOGLETRANSLATE(B2959,""id"",""en"")"),"['Good', 'fast', 'response', 'sealny']")</f>
        <v>['Good', 'fast', 'response', 'sealny']</v>
      </c>
      <c r="D2959" s="3">
        <v>5.0</v>
      </c>
    </row>
    <row r="2960" ht="15.75" customHeight="1">
      <c r="A2960" s="1">
        <v>3147.0</v>
      </c>
      <c r="B2960" s="3" t="s">
        <v>2911</v>
      </c>
      <c r="C2960" s="3" t="str">
        <f>IFERROR(__xludf.DUMMYFUNCTION("GOOGLETRANSLATE(B2960,""id"",""en"")"),"['installed', 'device', 'Android', '']")</f>
        <v>['installed', 'device', 'Android', '']</v>
      </c>
      <c r="D2960" s="3">
        <v>3.0</v>
      </c>
    </row>
    <row r="2961" ht="15.75" customHeight="1">
      <c r="A2961" s="1">
        <v>3148.0</v>
      </c>
      <c r="B2961" s="3" t="s">
        <v>2912</v>
      </c>
      <c r="C2961" s="3" t="str">
        <f>IFERROR(__xludf.DUMMYFUNCTION("GOOGLETRANSLATE(B2961,""id"",""en"")"),"['Increase', 'Sampe', 'Login', 'APK', 'Leg', 'Loading', 'Lotsin', 'Promo', 'Attractive', 'User', 'Telkomsel', 'Increases',' Signal ',' Region ',' Bogor ',' Special ',' Dramaga ',' Ciherang ',' Cibinong ',' Signal ',' Friendly ']")</f>
        <v>['Increase', 'Sampe', 'Login', 'APK', 'Leg', 'Loading', 'Lotsin', 'Promo', 'Attractive', 'User', 'Telkomsel', 'Increases',' Signal ',' Region ',' Bogor ',' Special ',' Dramaga ',' Ciherang ',' Cibinong ',' Signal ',' Friendly ']</v>
      </c>
      <c r="D2961" s="3">
        <v>5.0</v>
      </c>
    </row>
    <row r="2962" ht="15.75" customHeight="1">
      <c r="A2962" s="1">
        <v>3149.0</v>
      </c>
      <c r="B2962" s="3" t="s">
        <v>2913</v>
      </c>
      <c r="C2962" s="3" t="str">
        <f>IFERROR(__xludf.DUMMYFUNCTION("GOOGLETRANSLATE(B2962,""id"",""en"")"),"['less', 'star', 'because', 'package', 'buy', 'list', 'list', 'package', 'expensive', 'Telkomsel', ""]")</f>
        <v>['less', 'star', 'because', 'package', 'buy', 'list', 'list', 'package', 'expensive', 'Telkomsel', "]</v>
      </c>
      <c r="D2962" s="3">
        <v>1.0</v>
      </c>
    </row>
    <row r="2963" ht="15.75" customHeight="1">
      <c r="A2963" s="1">
        <v>3150.0</v>
      </c>
      <c r="B2963" s="3" t="s">
        <v>1605</v>
      </c>
      <c r="C2963" s="3" t="str">
        <f>IFERROR(__xludf.DUMMYFUNCTION("GOOGLETRANSLATE(B2963,""id"",""en"")"),"['Buy', 'Package']")</f>
        <v>['Buy', 'Package']</v>
      </c>
      <c r="D2963" s="3">
        <v>1.0</v>
      </c>
    </row>
    <row r="2964" ht="15.75" customHeight="1">
      <c r="A2964" s="1">
        <v>3151.0</v>
      </c>
      <c r="B2964" s="3" t="s">
        <v>2169</v>
      </c>
      <c r="C2964" s="3" t="str">
        <f>IFERROR(__xludf.DUMMYFUNCTION("GOOGLETRANSLATE(B2964,""id"",""en"")"),"['bad signal']")</f>
        <v>['bad signal']</v>
      </c>
      <c r="D2964" s="3">
        <v>2.0</v>
      </c>
    </row>
    <row r="2965" ht="15.75" customHeight="1">
      <c r="A2965" s="1">
        <v>3152.0</v>
      </c>
      <c r="B2965" s="3" t="s">
        <v>2914</v>
      </c>
      <c r="C2965" s="3" t="str">
        <f>IFERROR(__xludf.DUMMYFUNCTION("GOOGLETRANSLATE(B2965,""id"",""en"")"),"['Good', 'help']")</f>
        <v>['Good', 'help']</v>
      </c>
      <c r="D2965" s="3">
        <v>5.0</v>
      </c>
    </row>
    <row r="2966" ht="15.75" customHeight="1">
      <c r="A2966" s="1">
        <v>3153.0</v>
      </c>
      <c r="B2966" s="3" t="s">
        <v>2915</v>
      </c>
      <c r="C2966" s="3" t="str">
        <f>IFERROR(__xludf.DUMMYFUNCTION("GOOGLETRANSLATE(B2966,""id"",""en"")"),"['Aksistension', 'Good', 'Enhanced', 'Thank', 'Love', 'Telkomsel', 'Good', 'Job']")</f>
        <v>['Aksistension', 'Good', 'Enhanced', 'Thank', 'Love', 'Telkomsel', 'Good', 'Job']</v>
      </c>
      <c r="D2966" s="3">
        <v>5.0</v>
      </c>
    </row>
    <row r="2967" ht="15.75" customHeight="1">
      <c r="A2967" s="1">
        <v>3154.0</v>
      </c>
      <c r="B2967" s="3" t="s">
        <v>2916</v>
      </c>
      <c r="C2967" s="3" t="str">
        <f>IFERROR(__xludf.DUMMYFUNCTION("GOOGLETRANSLATE(B2967,""id"",""en"")"),"['ugly', 'difficult', 'opened', 'Loading']")</f>
        <v>['ugly', 'difficult', 'opened', 'Loading']</v>
      </c>
      <c r="D2967" s="3">
        <v>2.0</v>
      </c>
    </row>
    <row r="2968" ht="15.75" customHeight="1">
      <c r="A2968" s="1">
        <v>3155.0</v>
      </c>
      <c r="B2968" s="3" t="s">
        <v>2917</v>
      </c>
      <c r="C2968" s="3" t="str">
        <f>IFERROR(__xludf.DUMMYFUNCTION("GOOGLETRANSLATE(B2968,""id"",""en"")"),"['mantapp', 'use']")</f>
        <v>['mantapp', 'use']</v>
      </c>
      <c r="D2968" s="3">
        <v>5.0</v>
      </c>
    </row>
    <row r="2969" ht="15.75" customHeight="1">
      <c r="A2969" s="1">
        <v>3156.0</v>
      </c>
      <c r="B2969" s="3" t="s">
        <v>2918</v>
      </c>
      <c r="C2969" s="3" t="str">
        <f>IFERROR(__xludf.DUMMYFUNCTION("GOOGLETRANSLATE(B2969,""id"",""en"")"),"['Application', 'Help', 'Thank you', 'Telkomsel', ""]")</f>
        <v>['Application', 'Help', 'Thank you', 'Telkomsel', "]</v>
      </c>
      <c r="D2969" s="3">
        <v>5.0</v>
      </c>
    </row>
    <row r="2970" ht="15.75" customHeight="1">
      <c r="A2970" s="1">
        <v>3159.0</v>
      </c>
      <c r="B2970" s="3" t="s">
        <v>2919</v>
      </c>
      <c r="C2970" s="3" t="str">
        <f>IFERROR(__xludf.DUMMYFUNCTION("GOOGLETRANSLATE(B2970,""id"",""en"")"),"['Like', 'Telkomsel']")</f>
        <v>['Like', 'Telkomsel']</v>
      </c>
      <c r="D2970" s="3">
        <v>5.0</v>
      </c>
    </row>
    <row r="2971" ht="15.75" customHeight="1">
      <c r="A2971" s="1">
        <v>3160.0</v>
      </c>
      <c r="B2971" s="3" t="s">
        <v>2920</v>
      </c>
      <c r="C2971" s="3" t="str">
        <f>IFERROR(__xludf.DUMMYFUNCTION("GOOGLETRANSLATE(B2971,""id"",""en"")"),"['take', 'package', 'emergency', 'TPI']")</f>
        <v>['take', 'package', 'emergency', 'TPI']</v>
      </c>
      <c r="D2971" s="3">
        <v>5.0</v>
      </c>
    </row>
    <row r="2972" ht="15.75" customHeight="1">
      <c r="A2972" s="1">
        <v>3161.0</v>
      </c>
      <c r="B2972" s="3" t="s">
        <v>298</v>
      </c>
      <c r="C2972" s="3" t="str">
        <f>IFERROR(__xludf.DUMMYFUNCTION("GOOGLETRANSLATE(B2972,""id"",""en"")"),"['APK', 'good', 'help']")</f>
        <v>['APK', 'good', 'help']</v>
      </c>
      <c r="D2972" s="3">
        <v>5.0</v>
      </c>
    </row>
    <row r="2973" ht="15.75" customHeight="1">
      <c r="A2973" s="1">
        <v>3163.0</v>
      </c>
      <c r="B2973" s="3" t="s">
        <v>2921</v>
      </c>
      <c r="C2973" s="3" t="str">
        <f>IFERROR(__xludf.DUMMYFUNCTION("GOOGLETRANSLATE(B2973,""id"",""en"")"),"['so great']")</f>
        <v>['so great']</v>
      </c>
      <c r="D2973" s="3">
        <v>5.0</v>
      </c>
    </row>
    <row r="2974" ht="15.75" customHeight="1">
      <c r="A2974" s="1">
        <v>3164.0</v>
      </c>
      <c r="B2974" s="3" t="s">
        <v>2922</v>
      </c>
      <c r="C2974" s="3" t="str">
        <f>IFERROR(__xludf.DUMMYFUNCTION("GOOGLETRANSLATE(B2974,""id"",""en"")"),"['application', 'idiot', 'like', 'ngebug', 'the network', 'like', 'idiot', 'edit', 'Tay', 'pulse', 'me', 'reduced', ' Gajelas', 'Telkomsel', 'Anying', '']")</f>
        <v>['application', 'idiot', 'like', 'ngebug', 'the network', 'like', 'idiot', 'edit', 'Tay', 'pulse', 'me', 'reduced', ' Gajelas', 'Telkomsel', 'Anying', '']</v>
      </c>
      <c r="D2974" s="3">
        <v>1.0</v>
      </c>
    </row>
    <row r="2975" ht="15.75" customHeight="1">
      <c r="A2975" s="1">
        <v>3165.0</v>
      </c>
      <c r="B2975" s="3" t="s">
        <v>2923</v>
      </c>
      <c r="C2975" s="3" t="str">
        <f>IFERROR(__xludf.DUMMYFUNCTION("GOOGLETRANSLATE(B2975,""id"",""en"")"),"['Good', 'Fund', 'Balikin', 'Signal', 'Good']")</f>
        <v>['Good', 'Fund', 'Balikin', 'Signal', 'Good']</v>
      </c>
      <c r="D2975" s="3">
        <v>5.0</v>
      </c>
    </row>
    <row r="2976" ht="15.75" customHeight="1">
      <c r="A2976" s="1">
        <v>3166.0</v>
      </c>
      <c r="B2976" s="3" t="s">
        <v>2924</v>
      </c>
      <c r="C2976" s="3" t="str">
        <f>IFERROR(__xludf.DUMMYFUNCTION("GOOGLETRANSLATE(B2976,""id"",""en"")"),"['Sorry', 'Network', 'Error', 'Transaction', 'Pay', 'Internet', '']")</f>
        <v>['Sorry', 'Network', 'Error', 'Transaction', 'Pay', 'Internet', '']</v>
      </c>
      <c r="D2976" s="3">
        <v>5.0</v>
      </c>
    </row>
    <row r="2977" ht="15.75" customHeight="1">
      <c r="A2977" s="1">
        <v>3167.0</v>
      </c>
      <c r="B2977" s="3" t="s">
        <v>2925</v>
      </c>
      <c r="C2977" s="3" t="str">
        <f>IFERROR(__xludf.DUMMYFUNCTION("GOOGLETRANSLATE(B2977,""id"",""en"")"),"['improvement', 'network', 'please', 'notification', 'network', 'full', 'open', 'already', 'kouta', 'expensive', 'person', 'play', ' Game ',' Juha ',' please ',' cooperation ',' ']")</f>
        <v>['improvement', 'network', 'please', 'notification', 'network', 'full', 'open', 'already', 'kouta', 'expensive', 'person', 'play', ' Game ',' Juha ',' please ',' cooperation ',' ']</v>
      </c>
      <c r="D2977" s="3">
        <v>1.0</v>
      </c>
    </row>
    <row r="2978" ht="15.75" customHeight="1">
      <c r="A2978" s="1">
        <v>3168.0</v>
      </c>
      <c r="B2978" s="3" t="s">
        <v>2926</v>
      </c>
      <c r="C2978" s="3" t="str">
        <f>IFERROR(__xludf.DUMMYFUNCTION("GOOGLETRANSLATE(B2978,""id"",""en"")"),"['MyTelkomsel', 'Gift', 'Lottery', 'Betol', '']")</f>
        <v>['MyTelkomsel', 'Gift', 'Lottery', 'Betol', '']</v>
      </c>
      <c r="D2978" s="3">
        <v>5.0</v>
      </c>
    </row>
    <row r="2979" ht="15.75" customHeight="1">
      <c r="A2979" s="1">
        <v>3169.0</v>
      </c>
      <c r="B2979" s="3" t="s">
        <v>2927</v>
      </c>
      <c r="C2979" s="3" t="str">
        <f>IFERROR(__xludf.DUMMYFUNCTION("GOOGLETRANSLATE(B2979,""id"",""en"")"),"['Good', 'really', 'skrng', 'expensive', 'slow', 'APK', 'network', 'troubled', 'ngeblank', 'loading', 'my APK', 'the network', ' ']")</f>
        <v>['Good', 'really', 'skrng', 'expensive', 'slow', 'APK', 'network', 'troubled', 'ngeblank', 'loading', 'my APK', 'the network', ' ']</v>
      </c>
      <c r="D2979" s="3">
        <v>5.0</v>
      </c>
    </row>
    <row r="2980" ht="15.75" customHeight="1">
      <c r="A2980" s="1">
        <v>3170.0</v>
      </c>
      <c r="B2980" s="3" t="s">
        <v>2928</v>
      </c>
      <c r="C2980" s="3" t="str">
        <f>IFERROR(__xludf.DUMMYFUNCTION("GOOGLETRANSLATE(B2980,""id"",""en"")"),"['App', 'Easy', 'Understand', 'Help']")</f>
        <v>['App', 'Easy', 'Understand', 'Help']</v>
      </c>
      <c r="D2980" s="3">
        <v>4.0</v>
      </c>
    </row>
    <row r="2981" ht="15.75" customHeight="1">
      <c r="A2981" s="1">
        <v>3171.0</v>
      </c>
      <c r="B2981" s="3" t="s">
        <v>2929</v>
      </c>
      <c r="C2981" s="3" t="str">
        <f>IFERROR(__xludf.DUMMYFUNCTION("GOOGLETRANSLATE(B2981,""id"",""en"")"),"['Update', 'bnyak', 'choice', 'buy', 'package', 'kouta', 'unlimited', '']")</f>
        <v>['Update', 'bnyak', 'choice', 'buy', 'package', 'kouta', 'unlimited', '']</v>
      </c>
      <c r="D2981" s="3">
        <v>1.0</v>
      </c>
    </row>
    <row r="2982" ht="15.75" customHeight="1">
      <c r="A2982" s="1">
        <v>3172.0</v>
      </c>
      <c r="B2982" s="3" t="s">
        <v>2930</v>
      </c>
      <c r="C2982" s="3" t="str">
        <f>IFERROR(__xludf.DUMMYFUNCTION("GOOGLETRANSLATE(B2982,""id"",""en"")"),"['', 'Pakek', 'Telkomsel', 'Signal', 'Blood', 'Slow', 'Segra', 'Fix', 'Quality', 'Network', 'Dead', 'Lights',' Direct ',' ilang ',' sinya ',' ']")</f>
        <v>['', 'Pakek', 'Telkomsel', 'Signal', 'Blood', 'Slow', 'Segra', 'Fix', 'Quality', 'Network', 'Dead', 'Lights',' Direct ',' ilang ',' sinya ',' ']</v>
      </c>
      <c r="D2982" s="3">
        <v>1.0</v>
      </c>
    </row>
    <row r="2983" ht="15.75" customHeight="1">
      <c r="A2983" s="1">
        <v>3173.0</v>
      </c>
      <c r="B2983" s="3" t="s">
        <v>2931</v>
      </c>
      <c r="C2983" s="3" t="str">
        <f>IFERROR(__xludf.DUMMYFUNCTION("GOOGLETRANSLATE(B2983,""id"",""en"")"),"['no', 'quota', 'package', 'national', 'no', 'package', 'bundling', 'application', 'complicated', 'really', 'Telkomsel', 'Nyari', ' Fortunately ',' buy ',' quota ',' no ',' She ',' Cloudmax ',' MusicMax ',' pls', 'Follow', ""]")</f>
        <v>['no', 'quota', 'package', 'national', 'no', 'package', 'bundling', 'application', 'complicated', 'really', 'Telkomsel', 'Nyari', ' Fortunately ',' buy ',' quota ',' no ',' She ',' Cloudmax ',' MusicMax ',' pls', 'Follow', "]</v>
      </c>
      <c r="D2983" s="3">
        <v>5.0</v>
      </c>
    </row>
    <row r="2984" ht="15.75" customHeight="1">
      <c r="A2984" s="1">
        <v>3174.0</v>
      </c>
      <c r="B2984" s="3" t="s">
        <v>2932</v>
      </c>
      <c r="C2984" s="3" t="str">
        <f>IFERROR(__xludf.DUMMYFUNCTION("GOOGLETRANSLATE(B2984,""id"",""en"")"),"['application', 'buy', 'package', 'UDH', 'Kenceng', 'signal']")</f>
        <v>['application', 'buy', 'package', 'UDH', 'Kenceng', 'signal']</v>
      </c>
      <c r="D2984" s="3">
        <v>1.0</v>
      </c>
    </row>
    <row r="2985" ht="15.75" customHeight="1">
      <c r="A2985" s="1">
        <v>3175.0</v>
      </c>
      <c r="B2985" s="3" t="s">
        <v>2933</v>
      </c>
      <c r="C2985" s="3" t="str">
        <f>IFERROR(__xludf.DUMMYFUNCTION("GOOGLETRANSLATE(B2985,""id"",""en"")"),"['The application', 'steady', 'Telkomsel', 'buy', 'package', 'data', 'cheap']")</f>
        <v>['The application', 'steady', 'Telkomsel', 'buy', 'package', 'data', 'cheap']</v>
      </c>
      <c r="D2985" s="3">
        <v>5.0</v>
      </c>
    </row>
    <row r="2986" ht="15.75" customHeight="1">
      <c r="A2986" s="1">
        <v>3176.0</v>
      </c>
      <c r="B2986" s="3" t="s">
        <v>2934</v>
      </c>
      <c r="C2986" s="3" t="str">
        <f>IFERROR(__xludf.DUMMYFUNCTION("GOOGLETRANSLATE(B2986,""id"",""en"")"),"['apk', 'tlkomsel', 'update', 'udh', 'finished', 'contents',' pulse ',' buy ',' package ',' error ',' keep ',' am here ',' WHIRAA ',' Woyyyyy ',' Taikk ', ""]")</f>
        <v>['apk', 'tlkomsel', 'update', 'udh', 'finished', 'contents',' pulse ',' buy ',' package ',' error ',' keep ',' am here ',' WHIRAA ',' Woyyyyy ',' Taikk ', "]</v>
      </c>
      <c r="D2986" s="3">
        <v>1.0</v>
      </c>
    </row>
    <row r="2987" ht="15.75" customHeight="1">
      <c r="A2987" s="1">
        <v>3177.0</v>
      </c>
      <c r="B2987" s="3" t="s">
        <v>2935</v>
      </c>
      <c r="C2987" s="3" t="str">
        <f>IFERROR(__xludf.DUMMYFUNCTION("GOOGLETRANSLATE(B2987,""id"",""en"")"),"['APK', 'Severe', 'Disruption']")</f>
        <v>['APK', 'Severe', 'Disruption']</v>
      </c>
      <c r="D2987" s="3">
        <v>1.0</v>
      </c>
    </row>
    <row r="2988" ht="15.75" customHeight="1">
      <c r="A2988" s="1">
        <v>3178.0</v>
      </c>
      <c r="B2988" s="3" t="s">
        <v>2936</v>
      </c>
      <c r="C2988" s="3" t="str">
        <f>IFERROR(__xludf.DUMMYFUNCTION("GOOGLETRANSLATE(B2988,""id"",""en"")"),"['Nge', 'crash', 'app']")</f>
        <v>['Nge', 'crash', 'app']</v>
      </c>
      <c r="D2988" s="3">
        <v>3.0</v>
      </c>
    </row>
    <row r="2989" ht="15.75" customHeight="1">
      <c r="A2989" s="1">
        <v>3179.0</v>
      </c>
      <c r="B2989" s="3" t="s">
        <v>2937</v>
      </c>
      <c r="C2989" s="3" t="str">
        <f>IFERROR(__xludf.DUMMYFUNCTION("GOOGLETRANSLATE(B2989,""id"",""en"")"),"['Gabisa', 'Open']")</f>
        <v>['Gabisa', 'Open']</v>
      </c>
      <c r="D2989" s="3">
        <v>1.0</v>
      </c>
    </row>
    <row r="2990" ht="15.75" customHeight="1">
      <c r="A2990" s="1">
        <v>3180.0</v>
      </c>
      <c r="B2990" s="3" t="s">
        <v>2938</v>
      </c>
      <c r="C2990" s="3" t="str">
        <f>IFERROR(__xludf.DUMMYFUNCTION("GOOGLETRANSLATE(B2990,""id"",""en"")"),"['Ngellag', 'really', 'oath']")</f>
        <v>['Ngellag', 'really', 'oath']</v>
      </c>
      <c r="D2990" s="3">
        <v>1.0</v>
      </c>
    </row>
    <row r="2991" ht="15.75" customHeight="1">
      <c r="A2991" s="1">
        <v>3181.0</v>
      </c>
      <c r="B2991" s="3" t="s">
        <v>2939</v>
      </c>
      <c r="C2991" s="3" t="str">
        <f>IFERROR(__xludf.DUMMYFUNCTION("GOOGLETRANSLATE(B2991,""id"",""en"")"),"['Network', 'Down', 'Mulu', 'Play', 'Game', 'How', 'Price', 'Package', 'Dinaikin', 'Signal', 'Threat']")</f>
        <v>['Network', 'Down', 'Mulu', 'Play', 'Game', 'How', 'Price', 'Package', 'Dinaikin', 'Signal', 'Threat']</v>
      </c>
      <c r="D2991" s="3">
        <v>2.0</v>
      </c>
    </row>
    <row r="2992" ht="15.75" customHeight="1">
      <c r="A2992" s="1">
        <v>3182.0</v>
      </c>
      <c r="B2992" s="3" t="s">
        <v>2940</v>
      </c>
      <c r="C2992" s="3" t="str">
        <f>IFERROR(__xludf.DUMMYFUNCTION("GOOGLETRANSLATE(B2992,""id"",""en"")"),"['Woe', 'how', 'the application', 'Error', 'Ahk']")</f>
        <v>['Woe', 'how', 'the application', 'Error', 'Ahk']</v>
      </c>
      <c r="D2992" s="3">
        <v>1.0</v>
      </c>
    </row>
    <row r="2993" ht="15.75" customHeight="1">
      <c r="A2993" s="1">
        <v>3183.0</v>
      </c>
      <c r="B2993" s="3" t="s">
        <v>2941</v>
      </c>
      <c r="C2993" s="3" t="str">
        <f>IFERROR(__xludf.DUMMYFUNCTION("GOOGLETRANSLATE(B2993,""id"",""en"")"),"['Subuh', 'application', 'like', 'Error', ""]")</f>
        <v>['Subuh', 'application', 'like', 'Error', "]</v>
      </c>
      <c r="D2993" s="3">
        <v>1.0</v>
      </c>
    </row>
    <row r="2994" ht="15.75" customHeight="1">
      <c r="A2994" s="1">
        <v>3184.0</v>
      </c>
      <c r="B2994" s="3" t="s">
        <v>2942</v>
      </c>
      <c r="C2994" s="3" t="str">
        <f>IFERROR(__xludf.DUMMYFUNCTION("GOOGLETRANSLATE(B2994,""id"",""en"")"),"['', 'UDH', 'APDET', 'AJAH', 'Chance', 'What']")</f>
        <v>['', 'UDH', 'APDET', 'AJAH', 'Chance', 'What']</v>
      </c>
      <c r="D2994" s="3">
        <v>1.0</v>
      </c>
    </row>
    <row r="2995" ht="15.75" customHeight="1">
      <c r="A2995" s="1">
        <v>3185.0</v>
      </c>
      <c r="B2995" s="3" t="s">
        <v>2943</v>
      </c>
      <c r="C2995" s="3" t="str">
        <f>IFERROR(__xludf.DUMMYFUNCTION("GOOGLETRANSLATE(B2995,""id"",""en"")"),"['APK', 'problematic', 'trs']")</f>
        <v>['APK', 'problematic', 'trs']</v>
      </c>
      <c r="D2995" s="3">
        <v>1.0</v>
      </c>
    </row>
    <row r="2996" ht="15.75" customHeight="1">
      <c r="A2996" s="1">
        <v>3186.0</v>
      </c>
      <c r="B2996" s="3" t="s">
        <v>2944</v>
      </c>
      <c r="C2996" s="3" t="str">
        <f>IFERROR(__xludf.DUMMYFUNCTION("GOOGLETRANSLATE(B2996,""id"",""en"")"),"['Good', 'APL', 'People', 'ugly', 'GPP', '']")</f>
        <v>['Good', 'APL', 'People', 'ugly', 'GPP', '']</v>
      </c>
      <c r="D2996" s="3">
        <v>5.0</v>
      </c>
    </row>
    <row r="2997" ht="15.75" customHeight="1">
      <c r="A2997" s="1">
        <v>3187.0</v>
      </c>
      <c r="B2997" s="3" t="s">
        <v>286</v>
      </c>
      <c r="C2997" s="3" t="str">
        <f>IFERROR(__xludf.DUMMYFUNCTION("GOOGLETRANSLATE(B2997,""id"",""en"")"),"['good']")</f>
        <v>['good']</v>
      </c>
      <c r="D2997" s="3">
        <v>5.0</v>
      </c>
    </row>
    <row r="2998" ht="15.75" customHeight="1">
      <c r="A2998" s="1">
        <v>3188.0</v>
      </c>
      <c r="B2998" s="3" t="s">
        <v>2945</v>
      </c>
      <c r="C2998" s="3" t="str">
        <f>IFERROR(__xludf.DUMMYFUNCTION("GOOGLETRANSLATE(B2998,""id"",""en"")"),"['Lally', 'bonus', 'kaka']")</f>
        <v>['Lally', 'bonus', 'kaka']</v>
      </c>
      <c r="D2998" s="3">
        <v>4.0</v>
      </c>
    </row>
    <row r="2999" ht="15.75" customHeight="1">
      <c r="A2999" s="1">
        <v>3189.0</v>
      </c>
      <c r="B2999" s="3" t="s">
        <v>2946</v>
      </c>
      <c r="C2999" s="3" t="str">
        <f>IFERROR(__xludf.DUMMYFUNCTION("GOOGLETRANSLATE(B2999,""id"",""en"")"),"['Easy', 'Telkomel']")</f>
        <v>['Easy', 'Telkomel']</v>
      </c>
      <c r="D2999" s="3">
        <v>4.0</v>
      </c>
    </row>
    <row r="3000" ht="15.75" customHeight="1">
      <c r="A3000" s="1">
        <v>3190.0</v>
      </c>
      <c r="B3000" s="3" t="s">
        <v>2947</v>
      </c>
      <c r="C3000" s="3" t="str">
        <f>IFERROR(__xludf.DUMMYFUNCTION("GOOGLETRANSLATE(B3000,""id"",""en"")"),"['package', 'direct', 'extension', 'automatic', 'pulse', 'run out', 'package', 'missing', 'severe', '']")</f>
        <v>['package', 'direct', 'extension', 'automatic', 'pulse', 'run out', 'package', 'missing', 'severe', '']</v>
      </c>
      <c r="D3000" s="3">
        <v>1.0</v>
      </c>
    </row>
    <row r="3001" ht="15.75" customHeight="1">
      <c r="A3001" s="1">
        <v>3191.0</v>
      </c>
      <c r="B3001" s="3" t="s">
        <v>2948</v>
      </c>
      <c r="C3001" s="3" t="str">
        <f>IFERROR(__xludf.DUMMYFUNCTION("GOOGLETRANSLATE(B3001,""id"",""en"")"),"['Provider', 'Quality', 'Bad', 'Recommended', '']")</f>
        <v>['Provider', 'Quality', 'Bad', 'Recommended', '']</v>
      </c>
      <c r="D3001" s="3">
        <v>1.0</v>
      </c>
    </row>
    <row r="3002" ht="15.75" customHeight="1">
      <c r="A3002" s="1">
        <v>3192.0</v>
      </c>
      <c r="B3002" s="3" t="s">
        <v>2949</v>
      </c>
      <c r="C3002" s="3" t="str">
        <f>IFERROR(__xludf.DUMMYFUNCTION("GOOGLETRANSLATE(B3002,""id"",""en"")"),"['Network', 'tlongg', 'stable', 'pare "",' package ',' cheap ',' smooth ',' cman ',' chatt ',' do ',' nge ',' game ',' Open ',' Application ',' Wait ',' Watch ',' WIB ',' Bagus', 'Tlonggg', 'Listen', 'Complaints',' Oath ',' Network ',' Superr ',' Nga ' , "&amp;"'JLassss']")</f>
        <v>['Network', 'tlongg', 'stable', 'pare ",' package ',' cheap ',' smooth ',' cman ',' chatt ',' do ',' nge ',' game ',' Open ',' Application ',' Wait ',' Watch ',' WIB ',' Bagus', 'Tlonggg', 'Listen', 'Complaints',' Oath ',' Network ',' Superr ',' Nga ' , 'JLassss']</v>
      </c>
      <c r="D3002" s="3">
        <v>2.0</v>
      </c>
    </row>
    <row r="3003" ht="15.75" customHeight="1">
      <c r="A3003" s="1">
        <v>3193.0</v>
      </c>
      <c r="B3003" s="3" t="s">
        <v>2950</v>
      </c>
      <c r="C3003" s="3" t="str">
        <f>IFERROR(__xludf.DUMMYFUNCTION("GOOGLETRANSLATE(B3003,""id"",""en"")"),"['network', 'connective', 'internet', 'quota', 'filled', 'provider', 'smooth', 'smooth', 'please', 'fix']")</f>
        <v>['network', 'connective', 'internet', 'quota', 'filled', 'provider', 'smooth', 'smooth', 'please', 'fix']</v>
      </c>
      <c r="D3003" s="3">
        <v>1.0</v>
      </c>
    </row>
    <row r="3004" ht="15.75" customHeight="1">
      <c r="A3004" s="1">
        <v>3194.0</v>
      </c>
      <c r="B3004" s="3" t="s">
        <v>2951</v>
      </c>
      <c r="C3004" s="3" t="str">
        <f>IFERROR(__xludf.DUMMYFUNCTION("GOOGLETRANSLATE(B3004,""id"",""en"")"),"['buy', 'qaota', 'difficult', 'really', 'entered', 'enter', ""]")</f>
        <v>['buy', 'qaota', 'difficult', 'really', 'entered', 'enter', "]</v>
      </c>
      <c r="D3004" s="3">
        <v>1.0</v>
      </c>
    </row>
    <row r="3005" ht="15.75" customHeight="1">
      <c r="A3005" s="1">
        <v>3195.0</v>
      </c>
      <c r="B3005" s="3" t="s">
        <v>2952</v>
      </c>
      <c r="C3005" s="3" t="str">
        <f>IFERROR(__xludf.DUMMYFUNCTION("GOOGLETRANSLATE(B3005,""id"",""en"")"),"['Good', 'easy', 'application', 'Belik', 'data', 'internet']")</f>
        <v>['Good', 'easy', 'application', 'Belik', 'data', 'internet']</v>
      </c>
      <c r="D3005" s="3">
        <v>4.0</v>
      </c>
    </row>
    <row r="3006" ht="15.75" customHeight="1">
      <c r="A3006" s="1">
        <v>3196.0</v>
      </c>
      <c r="B3006" s="3" t="s">
        <v>2953</v>
      </c>
      <c r="C3006" s="3" t="str">
        <f>IFERROR(__xludf.DUMMYFUNCTION("GOOGLETRANSLATE(B3006,""id"",""en"")"),"['Application', 'Helpful']")</f>
        <v>['Application', 'Helpful']</v>
      </c>
      <c r="D3006" s="3">
        <v>5.0</v>
      </c>
    </row>
    <row r="3007" ht="15.75" customHeight="1">
      <c r="A3007" s="1">
        <v>3197.0</v>
      </c>
      <c r="B3007" s="3" t="s">
        <v>2954</v>
      </c>
      <c r="C3007" s="3" t="str">
        <f>IFERROR(__xludf.DUMMYFUNCTION("GOOGLETRANSLATE(B3007,""id"",""en"")"),"['Good', 'love', 'hope', 'in the future', 'good', 'satisfying', '']")</f>
        <v>['Good', 'love', 'hope', 'in the future', 'good', 'satisfying', '']</v>
      </c>
      <c r="D3007" s="3">
        <v>5.0</v>
      </c>
    </row>
    <row r="3008" ht="15.75" customHeight="1">
      <c r="A3008" s="1">
        <v>3198.0</v>
      </c>
      <c r="B3008" s="3" t="s">
        <v>2955</v>
      </c>
      <c r="C3008" s="3" t="str">
        <f>IFERROR(__xludf.DUMMYFUNCTION("GOOGLETRANSLATE(B3008,""id"",""en"")"),"['Feature', 'Live', 'Chat', 'Function', 'Quota', 'Multimedia', 'Use', '']")</f>
        <v>['Feature', 'Live', 'Chat', 'Function', 'Quota', 'Multimedia', 'Use', '']</v>
      </c>
      <c r="D3008" s="3">
        <v>4.0</v>
      </c>
    </row>
    <row r="3009" ht="15.75" customHeight="1">
      <c r="A3009" s="1">
        <v>3199.0</v>
      </c>
      <c r="B3009" s="3" t="s">
        <v>2956</v>
      </c>
      <c r="C3009" s="3" t="str">
        <f>IFERROR(__xludf.DUMMYFUNCTION("GOOGLETRANSLATE(B3009,""id"",""en"")"),"['Destroyed', 'Caringan', 'Lelettttttttt', '']")</f>
        <v>['Destroyed', 'Caringan', 'Lelettttttttt', '']</v>
      </c>
      <c r="D3009" s="3">
        <v>2.0</v>
      </c>
    </row>
    <row r="3010" ht="15.75" customHeight="1">
      <c r="A3010" s="1">
        <v>3200.0</v>
      </c>
      <c r="B3010" s="3" t="s">
        <v>2957</v>
      </c>
      <c r="C3010" s="3" t="str">
        <f>IFERROR(__xludf.DUMMYFUNCTION("GOOGLETRANSLATE(B3010,""id"",""en"")"),"['dqn', 'good']")</f>
        <v>['dqn', 'good']</v>
      </c>
      <c r="D3010" s="3">
        <v>5.0</v>
      </c>
    </row>
    <row r="3011" ht="15.75" customHeight="1">
      <c r="A3011" s="1">
        <v>3201.0</v>
      </c>
      <c r="B3011" s="3" t="s">
        <v>2958</v>
      </c>
      <c r="C3011" s="3" t="str">
        <f>IFERROR(__xludf.DUMMYFUNCTION("GOOGLETRANSLATE(B3011,""id"",""en"")"),"['already', 'package', 'expensive', 'quota', 'tetep', 'ngelag', 'please', 'telkom', 'chairman', 'telkom', 'repaired', 'network', ' ilang ',' geny ',' star ',' min ',' lover ',' telkom ',' because ',' already ',' love ',' heavy ',' heart ']")</f>
        <v>['already', 'package', 'expensive', 'quota', 'tetep', 'ngelag', 'please', 'telkom', 'chairman', 'telkom', 'repaired', 'network', ' ilang ',' geny ',' star ',' min ',' lover ',' telkom ',' because ',' already ',' love ',' heavy ',' heart ']</v>
      </c>
      <c r="D3011" s="3">
        <v>1.0</v>
      </c>
    </row>
    <row r="3012" ht="15.75" customHeight="1">
      <c r="A3012" s="1">
        <v>3202.0</v>
      </c>
      <c r="B3012" s="3" t="s">
        <v>2959</v>
      </c>
      <c r="C3012" s="3" t="str">
        <f>IFERROR(__xludf.DUMMYFUNCTION("GOOGLETRANSLATE(B3012,""id"",""en"")"),"['Telkomsel', 'intention', 'ngak', 'ksh', 'free', 'pls', 'data', 'already', 'chek', 'claims', 'gift', 'must "",' pls', 'klu', 'ksh', 'free', 'ksh', 'ngak', '']")</f>
        <v>['Telkomsel', 'intention', 'ngak', 'ksh', 'free', 'pls', 'data', 'already', 'chek', 'claims', 'gift', 'must ",' pls', 'klu', 'ksh', 'free', 'ksh', 'ngak', '']</v>
      </c>
      <c r="D3012" s="3">
        <v>1.0</v>
      </c>
    </row>
    <row r="3013" ht="15.75" customHeight="1">
      <c r="A3013" s="1">
        <v>3203.0</v>
      </c>
      <c r="B3013" s="3" t="s">
        <v>2960</v>
      </c>
      <c r="C3013" s="3" t="str">
        <f>IFERROR(__xludf.DUMMYFUNCTION("GOOGLETRANSLATE(B3013,""id"",""en"")"),"['Congratulations',' night ',' please ',' love ',' explanation ',' contents', 'pulse', 'package', 'combo', 'Sakti', 'internet', 'Sakti', ' Lost ',' experience ',' minded ',' negative ',' Telkomsel ',' please ',' explanation ', ""]")</f>
        <v>['Congratulations',' night ',' please ',' love ',' explanation ',' contents', 'pulse', 'package', 'combo', 'Sakti', 'internet', 'Sakti', ' Lost ',' experience ',' minded ',' negative ',' Telkomsel ',' please ',' explanation ', "]</v>
      </c>
      <c r="D3013" s="3">
        <v>1.0</v>
      </c>
    </row>
    <row r="3014" ht="15.75" customHeight="1">
      <c r="A3014" s="1">
        <v>3204.0</v>
      </c>
      <c r="B3014" s="3" t="s">
        <v>2961</v>
      </c>
      <c r="C3014" s="3" t="str">
        <f>IFERROR(__xludf.DUMMYFUNCTION("GOOGLETRANSLATE(B3014,""id"",""en"")"),"['expensive', 'okay', 'network', 'ugly', '']")</f>
        <v>['expensive', 'okay', 'network', 'ugly', '']</v>
      </c>
      <c r="D3014" s="3">
        <v>1.0</v>
      </c>
    </row>
    <row r="3015" ht="15.75" customHeight="1">
      <c r="A3015" s="1">
        <v>3205.0</v>
      </c>
      <c r="B3015" s="3" t="s">
        <v>2962</v>
      </c>
      <c r="C3015" s="3" t="str">
        <f>IFERROR(__xludf.DUMMYFUNCTION("GOOGLETRANSLATE(B3015,""id"",""en"")"),"['Alsi', 'regret', 'bgd', 'me', 'buy', 'credit', 'telkomnyet', 'succeed', 'pulse', 'entry', 'already', 'report', ' auruh ',' Wait ',' work ',' process', 'refund', 'already', 'heart', 'bank', 'related', 'problematic', 'I', 'swear', 'Banhkrut' , 'meal', 'mo"&amp;"ney', 'people', 'oath', 'I', 'GAM', 'sincere', 'Life', 'Life', 'Bangsattt', 'Dsar', 'Telkomnyet']")</f>
        <v>['Alsi', 'regret', 'bgd', 'me', 'buy', 'credit', 'telkomnyet', 'succeed', 'pulse', 'entry', 'already', 'report', ' auruh ',' Wait ',' work ',' process', 'refund', 'already', 'heart', 'bank', 'related', 'problematic', 'I', 'swear', 'Banhkrut' , 'meal', 'money', 'people', 'oath', 'I', 'GAM', 'sincere', 'Life', 'Life', 'Bangsattt', 'Dsar', 'Telkomnyet']</v>
      </c>
      <c r="D3015" s="3">
        <v>1.0</v>
      </c>
    </row>
    <row r="3016" ht="15.75" customHeight="1">
      <c r="A3016" s="1">
        <v>3206.0</v>
      </c>
      <c r="B3016" s="3" t="s">
        <v>2963</v>
      </c>
      <c r="C3016" s="3" t="str">
        <f>IFERROR(__xludf.DUMMYFUNCTION("GOOGLETRANSLATE(B3016,""id"",""en"")"),"['Telkomsel', 'Best', 'Hopefully', 'Gift', 'Car', 'Motor', 'Telkomsel']")</f>
        <v>['Telkomsel', 'Best', 'Hopefully', 'Gift', 'Car', 'Motor', 'Telkomsel']</v>
      </c>
      <c r="D3016" s="3">
        <v>5.0</v>
      </c>
    </row>
    <row r="3017" ht="15.75" customHeight="1">
      <c r="A3017" s="1">
        <v>3207.0</v>
      </c>
      <c r="B3017" s="3" t="s">
        <v>2964</v>
      </c>
      <c r="C3017" s="3" t="str">
        <f>IFERROR(__xludf.DUMMYFUNCTION("GOOGLETRANSLATE(B3017,""id"",""en"")"),"['Please', 'Payment', 'Hold', 'Via', 'Bank', 'Delicious', 'Purchase']")</f>
        <v>['Please', 'Payment', 'Hold', 'Via', 'Bank', 'Delicious', 'Purchase']</v>
      </c>
      <c r="D3017" s="3">
        <v>4.0</v>
      </c>
    </row>
    <row r="3018" ht="15.75" customHeight="1">
      <c r="A3018" s="1">
        <v>3208.0</v>
      </c>
      <c r="B3018" s="3" t="s">
        <v>2965</v>
      </c>
      <c r="C3018" s="3" t="str">
        <f>IFERROR(__xludf.DUMMYFUNCTION("GOOGLETRANSLATE(B3018,""id"",""en"")"),"['Telkomsel', 'koplok', 'pdhl', 'internet', 'network', 'wifi', 'that's',' package ',' data ',' make ',' simcard ',' ttp ',' Cut ',' pulse ',' name ',' idolater ',' covert ']")</f>
        <v>['Telkomsel', 'koplok', 'pdhl', 'internet', 'network', 'wifi', 'that's',' package ',' data ',' make ',' simcard ',' ttp ',' Cut ',' pulse ',' name ',' idolater ',' covert ']</v>
      </c>
      <c r="D3018" s="3">
        <v>1.0</v>
      </c>
    </row>
    <row r="3019" ht="15.75" customHeight="1">
      <c r="A3019" s="1">
        <v>3209.0</v>
      </c>
      <c r="B3019" s="3" t="s">
        <v>2966</v>
      </c>
      <c r="C3019" s="3" t="str">
        <f>IFERROR(__xludf.DUMMYFUNCTION("GOOGLETRANSLATE(B3019,""id"",""en"")"),"['Increase', 'quality', 'application', 'supports', 'mode', 'dark', 'night', ""]")</f>
        <v>['Increase', 'quality', 'application', 'supports', 'mode', 'dark', 'night', "]</v>
      </c>
      <c r="D3019" s="3">
        <v>3.0</v>
      </c>
    </row>
    <row r="3020" ht="15.75" customHeight="1">
      <c r="A3020" s="1">
        <v>3210.0</v>
      </c>
      <c r="B3020" s="3" t="s">
        <v>2967</v>
      </c>
      <c r="C3020" s="3" t="str">
        <f>IFERROR(__xludf.DUMMYFUNCTION("GOOGLETRANSLATE(B3020,""id"",""en"")"),"['network', 'Telkomsel', 'ngak', 'good', 'it costs', 'expensive', 'Please', 'fix', '']")</f>
        <v>['network', 'Telkomsel', 'ngak', 'good', 'it costs', 'expensive', 'Please', 'fix', '']</v>
      </c>
      <c r="D3020" s="3">
        <v>1.0</v>
      </c>
    </row>
    <row r="3021" ht="15.75" customHeight="1">
      <c r="A3021" s="1">
        <v>3211.0</v>
      </c>
      <c r="B3021" s="3" t="s">
        <v>2968</v>
      </c>
      <c r="C3021" s="3" t="str">
        <f>IFERROR(__xludf.DUMMYFUNCTION("GOOGLETRANSLATE(B3021,""id"",""en"")"),"['Telkomsel', 'Network', 'like', 'ngeleg', ""]")</f>
        <v>['Telkomsel', 'Network', 'like', 'ngeleg', "]</v>
      </c>
      <c r="D3021" s="3">
        <v>1.0</v>
      </c>
    </row>
    <row r="3022" ht="15.75" customHeight="1">
      <c r="A3022" s="1">
        <v>3212.0</v>
      </c>
      <c r="B3022" s="3" t="s">
        <v>2969</v>
      </c>
      <c r="C3022" s="3" t="str">
        <f>IFERROR(__xludf.DUMMYFUNCTION("GOOGLETRANSLATE(B3022,""id"",""en"")"),"['Help', 'Telkomsel']")</f>
        <v>['Help', 'Telkomsel']</v>
      </c>
      <c r="D3022" s="3">
        <v>3.0</v>
      </c>
    </row>
    <row r="3023" ht="15.75" customHeight="1">
      <c r="A3023" s="1">
        <v>3213.0</v>
      </c>
      <c r="B3023" s="3" t="s">
        <v>2970</v>
      </c>
      <c r="C3023" s="3" t="str">
        <f>IFERROR(__xludf.DUMMYFUNCTION("GOOGLETRANSLATE(B3023,""id"",""en"")"),"['Signal', 'diarea', 'mountains', 'difficult']")</f>
        <v>['Signal', 'diarea', 'mountains', 'difficult']</v>
      </c>
      <c r="D3023" s="3">
        <v>5.0</v>
      </c>
    </row>
    <row r="3024" ht="15.75" customHeight="1">
      <c r="A3024" s="1">
        <v>3214.0</v>
      </c>
      <c r="B3024" s="3" t="s">
        <v>2971</v>
      </c>
      <c r="C3024" s="3" t="str">
        <f>IFERROR(__xludf.DUMMYFUNCTION("GOOGLETRANSLATE(B3024,""id"",""en"")"),"['Out', 'Upgrade', 'Android', 'Application', 'Telkomsel', 'Download']")</f>
        <v>['Out', 'Upgrade', 'Android', 'Application', 'Telkomsel', 'Download']</v>
      </c>
      <c r="D3024" s="3">
        <v>1.0</v>
      </c>
    </row>
    <row r="3025" ht="15.75" customHeight="1">
      <c r="A3025" s="1">
        <v>3215.0</v>
      </c>
      <c r="B3025" s="3" t="s">
        <v>2972</v>
      </c>
      <c r="C3025" s="3" t="str">
        <f>IFERROR(__xludf.DUMMYFUNCTION("GOOGLETRANSLATE(B3025,""id"",""en"")"),"['bad network']")</f>
        <v>['bad network']</v>
      </c>
      <c r="D3025" s="3">
        <v>1.0</v>
      </c>
    </row>
    <row r="3026" ht="15.75" customHeight="1">
      <c r="A3026" s="1">
        <v>3216.0</v>
      </c>
      <c r="B3026" s="3" t="s">
        <v>2973</v>
      </c>
      <c r="C3026" s="3" t="str">
        <f>IFERROR(__xludf.DUMMYFUNCTION("GOOGLETRANSLATE(B3026,""id"",""en"")"),"['easy', '']")</f>
        <v>['easy', '']</v>
      </c>
      <c r="D3026" s="3">
        <v>4.0</v>
      </c>
    </row>
    <row r="3027" ht="15.75" customHeight="1">
      <c r="A3027" s="1">
        <v>3217.0</v>
      </c>
      <c r="B3027" s="3" t="s">
        <v>2974</v>
      </c>
      <c r="C3027" s="3" t="str">
        <f>IFERROR(__xludf.DUMMYFUNCTION("GOOGLETRANSLATE(B3027,""id"",""en"")"),"['Telkomsel', 'signal', 'full', 'Bukak', 'NGX', 'buy', 'Package', '']")</f>
        <v>['Telkomsel', 'signal', 'full', 'Bukak', 'NGX', 'buy', 'Package', '']</v>
      </c>
      <c r="D3027" s="3">
        <v>1.0</v>
      </c>
    </row>
    <row r="3028" ht="15.75" customHeight="1">
      <c r="A3028" s="1">
        <v>3219.0</v>
      </c>
      <c r="B3028" s="3" t="s">
        <v>2975</v>
      </c>
      <c r="C3028" s="3" t="str">
        <f>IFERROR(__xludf.DUMMYFUNCTION("GOOGLETRANSLATE(B3028,""id"",""en"")"),"['Telkomsel', 'darling', 'as lucky', 'user', 'gift']")</f>
        <v>['Telkomsel', 'darling', 'as lucky', 'user', 'gift']</v>
      </c>
      <c r="D3028" s="3">
        <v>5.0</v>
      </c>
    </row>
    <row r="3029" ht="15.75" customHeight="1">
      <c r="A3029" s="1">
        <v>3220.0</v>
      </c>
      <c r="B3029" s="3" t="s">
        <v>2976</v>
      </c>
      <c r="C3029" s="3" t="str">
        <f>IFERROR(__xludf.DUMMYFUNCTION("GOOGLETRANSLATE(B3029,""id"",""en"")"),"['Hopefully', 'chance', 'Win', 'Thank you', 'Telkomsel']")</f>
        <v>['Hopefully', 'chance', 'Win', 'Thank you', 'Telkomsel']</v>
      </c>
      <c r="D3029" s="3">
        <v>5.0</v>
      </c>
    </row>
    <row r="3030" ht="15.75" customHeight="1">
      <c r="A3030" s="1">
        <v>3221.0</v>
      </c>
      <c r="B3030" s="3" t="s">
        <v>2977</v>
      </c>
      <c r="C3030" s="3" t="str">
        <f>IFERROR(__xludf.DUMMYFUNCTION("GOOGLETRANSLATE(B3030,""id"",""en"")"),"['', 'update', 'adequate', 'thanks',' Lenovo ',' old ',' apk ',' defective ',' buy ',' expensive ',' different ',' price ',' buy ',' GB ',' Telkomsel ',' ']")</f>
        <v>['', 'update', 'adequate', 'thanks',' Lenovo ',' old ',' apk ',' defective ',' buy ',' expensive ',' different ',' price ',' buy ',' GB ',' Telkomsel ',' ']</v>
      </c>
      <c r="D3030" s="3">
        <v>5.0</v>
      </c>
    </row>
    <row r="3031" ht="15.75" customHeight="1">
      <c r="A3031" s="1">
        <v>3222.0</v>
      </c>
      <c r="B3031" s="3" t="s">
        <v>2978</v>
      </c>
      <c r="C3031" s="3" t="str">
        <f>IFERROR(__xludf.DUMMYFUNCTION("GOOGLETRANSLATE(B3031,""id"",""en"")"),"['Quality', 'Signal', 'Severe']")</f>
        <v>['Quality', 'Signal', 'Severe']</v>
      </c>
      <c r="D3031" s="3">
        <v>1.0</v>
      </c>
    </row>
    <row r="3032" ht="15.75" customHeight="1">
      <c r="A3032" s="1">
        <v>3224.0</v>
      </c>
      <c r="B3032" s="3" t="s">
        <v>2979</v>
      </c>
      <c r="C3032" s="3" t="str">
        <f>IFERROR(__xludf.DUMMYFUNCTION("GOOGLETRANSLATE(B3032,""id"",""en"")"),"['Telkomsel', 'here', 'expensive', 'subscribe', 'package', 'internet', 'Giganet', 'GB', 'a month', 'eliminated', 'what', 'fate', ' Pelangan ',' suitable ',' package ',' price ',' so ',' option ',' choice ',' offered ',' price ',' package ',' expensive ','"&amp;" please ',' eliminate ' , 'option', 'choice', 'bought', 'customer']")</f>
        <v>['Telkomsel', 'here', 'expensive', 'subscribe', 'package', 'internet', 'Giganet', 'GB', 'a month', 'eliminated', 'what', 'fate', ' Pelangan ',' suitable ',' package ',' price ',' so ',' option ',' choice ',' offered ',' price ',' package ',' expensive ',' please ',' eliminate ' , 'option', 'choice', 'bought', 'customer']</v>
      </c>
      <c r="D3032" s="3">
        <v>1.0</v>
      </c>
    </row>
    <row r="3033" ht="15.75" customHeight="1">
      <c r="A3033" s="1">
        <v>3225.0</v>
      </c>
      <c r="B3033" s="3" t="s">
        <v>2980</v>
      </c>
      <c r="C3033" s="3" t="str">
        <f>IFERROR(__xludf.DUMMYFUNCTION("GOOGLETRANSLATE(B3033,""id"",""en"")"),"['Sorry', 'appreciates',' service ',' good ',' really ',' sinyall ',' forgiveness', 'dehhh', 'kedesa', 'signal', 'ugly', 'in the city', ' signal ',' ugly ',' planet ',' Mars', 'signal', 'good', 'disappointedaaaaaaa', 'no', 'lazy', 'guile', 'contact', 'twi"&amp;"tter', 'lazy' , 'bangetttt']")</f>
        <v>['Sorry', 'appreciates',' service ',' good ',' really ',' sinyall ',' forgiveness', 'dehhh', 'kedesa', 'signal', 'ugly', 'in the city', ' signal ',' ugly ',' planet ',' Mars', 'signal', 'good', 'disappointedaaaaaaa', 'no', 'lazy', 'guile', 'contact', 'twitter', 'lazy' , 'bangetttt']</v>
      </c>
      <c r="D3033" s="3">
        <v>1.0</v>
      </c>
    </row>
    <row r="3034" ht="15.75" customHeight="1">
      <c r="A3034" s="1">
        <v>3226.0</v>
      </c>
      <c r="B3034" s="3" t="s">
        <v>2981</v>
      </c>
      <c r="C3034" s="3" t="str">
        <f>IFERROR(__xludf.DUMMYFUNCTION("GOOGLETRANSLATE(B3034,""id"",""en"")"),"['Hopefully', 'Telkomsel', 'Slalu', 'Good', 'Sinyal']")</f>
        <v>['Hopefully', 'Telkomsel', 'Slalu', 'Good', 'Sinyal']</v>
      </c>
      <c r="D3034" s="3">
        <v>5.0</v>
      </c>
    </row>
    <row r="3035" ht="15.75" customHeight="1">
      <c r="A3035" s="1">
        <v>3227.0</v>
      </c>
      <c r="B3035" s="3" t="s">
        <v>2982</v>
      </c>
      <c r="C3035" s="3" t="str">
        <f>IFERROR(__xludf.DUMMYFUNCTION("GOOGLETRANSLATE(B3035,""id"",""en"")"),"['Telkomsel', 'easy', '']")</f>
        <v>['Telkomsel', 'easy', '']</v>
      </c>
      <c r="D3035" s="3">
        <v>5.0</v>
      </c>
    </row>
    <row r="3036" ht="15.75" customHeight="1">
      <c r="A3036" s="1">
        <v>3228.0</v>
      </c>
      <c r="B3036" s="3" t="s">
        <v>2983</v>
      </c>
      <c r="C3036" s="3" t="str">
        <f>IFERROR(__xludf.DUMMYFUNCTION("GOOGLETRANSLATE(B3036,""id"",""en"")"),"['Putie', 'Telkomsel', 'Top', 'Markotop', '']")</f>
        <v>['Putie', 'Telkomsel', 'Top', 'Markotop', '']</v>
      </c>
      <c r="D3036" s="3">
        <v>5.0</v>
      </c>
    </row>
    <row r="3037" ht="15.75" customHeight="1">
      <c r="A3037" s="1">
        <v>3229.0</v>
      </c>
      <c r="B3037" s="3" t="s">
        <v>245</v>
      </c>
      <c r="C3037" s="3" t="str">
        <f>IFERROR(__xludf.DUMMYFUNCTION("GOOGLETRANSLATE(B3037,""id"",""en"")"),"['Mantap', 'Increase']")</f>
        <v>['Mantap', 'Increase']</v>
      </c>
      <c r="D3037" s="3">
        <v>5.0</v>
      </c>
    </row>
    <row r="3038" ht="15.75" customHeight="1">
      <c r="A3038" s="1">
        <v>3230.0</v>
      </c>
      <c r="B3038" s="3" t="s">
        <v>2984</v>
      </c>
      <c r="C3038" s="3" t="str">
        <f>IFERROR(__xludf.DUMMYFUNCTION("GOOGLETRANSLATE(B3038,""id"",""en"")"),"['Mentang', 'package', 'quota', 'combo', 'Sakti', 'already', 'expensive', 'signal', 'ugly', 'really', 'keslalll', 'really', ' play ',' game ',' lag ',' open ',' application ',' lag ',' dahlah ',' males']")</f>
        <v>['Mentang', 'package', 'quota', 'combo', 'Sakti', 'already', 'expensive', 'signal', 'ugly', 'really', 'keslalll', 'really', ' play ',' game ',' lag ',' open ',' application ',' lag ',' dahlah ',' males']</v>
      </c>
      <c r="D3038" s="3">
        <v>1.0</v>
      </c>
    </row>
    <row r="3039" ht="15.75" customHeight="1">
      <c r="A3039" s="1">
        <v>3231.0</v>
      </c>
      <c r="B3039" s="3" t="s">
        <v>2985</v>
      </c>
      <c r="C3039" s="3" t="str">
        <f>IFERROR(__xludf.DUMMYFUNCTION("GOOGLETRANSLATE(B3039,""id"",""en"")"),"['User', 'Easy', 'Understand']")</f>
        <v>['User', 'Easy', 'Understand']</v>
      </c>
      <c r="D3039" s="3">
        <v>5.0</v>
      </c>
    </row>
    <row r="3040" ht="15.75" customHeight="1">
      <c r="A3040" s="1">
        <v>3232.0</v>
      </c>
      <c r="B3040" s="3" t="s">
        <v>2986</v>
      </c>
      <c r="C3040" s="3" t="str">
        <f>IFERROR(__xludf.DUMMYFUNCTION("GOOGLETRANSLATE(B3040,""id"",""en"")"),"['Package', 'according to', 'rules', '']")</f>
        <v>['Package', 'according to', 'rules', '']</v>
      </c>
      <c r="D3040" s="3">
        <v>1.0</v>
      </c>
    </row>
    <row r="3041" ht="15.75" customHeight="1">
      <c r="A3041" s="1">
        <v>3233.0</v>
      </c>
      <c r="B3041" s="3" t="s">
        <v>2987</v>
      </c>
      <c r="C3041" s="3" t="str">
        <f>IFERROR(__xludf.DUMMYFUNCTION("GOOGLETRANSLATE(B3041,""id"",""en"")"),"['enter', 'apk', 'difficult', 'signal', 'naeik', 'down', 'package', 'already', 'expensive', 'network', 'difficult', 'please', ' Repaired ',' Thinking ',' Untung ',' ']")</f>
        <v>['enter', 'apk', 'difficult', 'signal', 'naeik', 'down', 'package', 'already', 'expensive', 'network', 'difficult', 'please', ' Repaired ',' Thinking ',' Untung ',' ']</v>
      </c>
      <c r="D3041" s="3">
        <v>5.0</v>
      </c>
    </row>
    <row r="3042" ht="15.75" customHeight="1">
      <c r="A3042" s="1">
        <v>3235.0</v>
      </c>
      <c r="B3042" s="3" t="s">
        <v>2988</v>
      </c>
      <c r="C3042" s="3" t="str">
        <f>IFERROR(__xludf.DUMMYFUNCTION("GOOGLETRANSLATE(B3042,""id"",""en"")"),"['gave', 'bonus', 'intention', 'hope', 'your day', 'gloomy']")</f>
        <v>['gave', 'bonus', 'intention', 'hope', 'your day', 'gloomy']</v>
      </c>
      <c r="D3042" s="3">
        <v>1.0</v>
      </c>
    </row>
    <row r="3043" ht="15.75" customHeight="1">
      <c r="A3043" s="1">
        <v>3236.0</v>
      </c>
      <c r="B3043" s="3" t="s">
        <v>2989</v>
      </c>
      <c r="C3043" s="3" t="str">
        <f>IFERROR(__xludf.DUMMYFUNCTION("GOOGLETRANSLATE(B3043,""id"",""en"")"),"['network', 'broken', 'price', 'expensive', 'network', 'good', 'fix']")</f>
        <v>['network', 'broken', 'price', 'expensive', 'network', 'good', 'fix']</v>
      </c>
      <c r="D3043" s="3">
        <v>1.0</v>
      </c>
    </row>
    <row r="3044" ht="15.75" customHeight="1">
      <c r="A3044" s="1">
        <v>3237.0</v>
      </c>
      <c r="B3044" s="3" t="s">
        <v>2990</v>
      </c>
      <c r="C3044" s="3" t="str">
        <f>IFERROR(__xludf.DUMMYFUNCTION("GOOGLETRANSLATE(B3044,""id"",""en"")"),"['difficult', 'entry', 'app', 'since', 'upgred', 'please', 'repaired', 'complian', 'responded', 'app', 'uninstall']")</f>
        <v>['difficult', 'entry', 'app', 'since', 'upgred', 'please', 'repaired', 'complian', 'responded', 'app', 'uninstall']</v>
      </c>
      <c r="D3044" s="3">
        <v>1.0</v>
      </c>
    </row>
    <row r="3045" ht="15.75" customHeight="1">
      <c r="A3045" s="1">
        <v>3238.0</v>
      </c>
      <c r="B3045" s="3" t="s">
        <v>2991</v>
      </c>
      <c r="C3045" s="3" t="str">
        <f>IFERROR(__xludf.DUMMYFUNCTION("GOOGLETRANSLATE(B3045,""id"",""en"")"),"['Steady', 'Package', 'Internet', 'GB', 'Thanks', 'MyTelkomsel', '']")</f>
        <v>['Steady', 'Package', 'Internet', 'GB', 'Thanks', 'MyTelkomsel', '']</v>
      </c>
      <c r="D3045" s="3">
        <v>5.0</v>
      </c>
    </row>
    <row r="3046" ht="15.75" customHeight="1">
      <c r="A3046" s="1">
        <v>3239.0</v>
      </c>
      <c r="B3046" s="3" t="s">
        <v>2992</v>
      </c>
      <c r="C3046" s="3" t="str">
        <f>IFERROR(__xludf.DUMMYFUNCTION("GOOGLETRANSLATE(B3046,""id"",""en"")"),"['Please', 'Choice', 'Package', 'Hold', 'Special', 'Internet', 'Knaw', 'Package', 'Combined', 'JLS']")</f>
        <v>['Please', 'Choice', 'Package', 'Hold', 'Special', 'Internet', 'Knaw', 'Package', 'Combined', 'JLS']</v>
      </c>
      <c r="D3046" s="3">
        <v>2.0</v>
      </c>
    </row>
    <row r="3047" ht="15.75" customHeight="1">
      <c r="A3047" s="1">
        <v>3240.0</v>
      </c>
      <c r="B3047" s="3" t="s">
        <v>2993</v>
      </c>
      <c r="C3047" s="3" t="str">
        <f>IFERROR(__xludf.DUMMYFUNCTION("GOOGLETRANSLATE(B3047,""id"",""en"")"),"['Sorry', 'ask', 'Samsung', 'Ultra', 'Update', 'version', 'Android', 'Application', 'Telkomsel', 'Lost', 'Download', 'Please', ' The solution is', '']")</f>
        <v>['Sorry', 'ask', 'Samsung', 'Ultra', 'Update', 'version', 'Android', 'Application', 'Telkomsel', 'Lost', 'Download', 'Please', ' The solution is', '']</v>
      </c>
      <c r="D3047" s="3">
        <v>3.0</v>
      </c>
    </row>
    <row r="3048" ht="15.75" customHeight="1">
      <c r="A3048" s="1">
        <v>3241.0</v>
      </c>
      <c r="B3048" s="3" t="s">
        <v>2994</v>
      </c>
      <c r="C3048" s="3" t="str">
        <f>IFERROR(__xludf.DUMMYFUNCTION("GOOGLETRANSLATE(B3048,""id"",""en"")"),"['Love', 'discount', 'list', 'internet', 'expensive']")</f>
        <v>['Love', 'discount', 'list', 'internet', 'expensive']</v>
      </c>
      <c r="D3048" s="3">
        <v>5.0</v>
      </c>
    </row>
    <row r="3049" ht="15.75" customHeight="1">
      <c r="A3049" s="1">
        <v>3242.0</v>
      </c>
      <c r="B3049" s="3" t="s">
        <v>2995</v>
      </c>
      <c r="C3049" s="3" t="str">
        <f>IFERROR(__xludf.DUMMYFUNCTION("GOOGLETRANSLATE(B3049,""id"",""en"")"),"['Pride', 'family']")</f>
        <v>['Pride', 'family']</v>
      </c>
      <c r="D3049" s="3">
        <v>5.0</v>
      </c>
    </row>
    <row r="3050" ht="15.75" customHeight="1">
      <c r="A3050" s="1">
        <v>3243.0</v>
      </c>
      <c r="B3050" s="3" t="s">
        <v>2996</v>
      </c>
      <c r="C3050" s="3" t="str">
        <f>IFERROR(__xludf.DUMMYFUNCTION("GOOGLETRANSLATE(B3050,""id"",""en"")"),"['signal', 'ugly', 'stable']")</f>
        <v>['signal', 'ugly', 'stable']</v>
      </c>
      <c r="D3050" s="3">
        <v>1.0</v>
      </c>
    </row>
    <row r="3051" ht="15.75" customHeight="1">
      <c r="A3051" s="1">
        <v>3245.0</v>
      </c>
      <c r="B3051" s="3" t="s">
        <v>2997</v>
      </c>
      <c r="C3051" s="3" t="str">
        <f>IFERROR(__xludf.DUMMYFUNCTION("GOOGLETRANSLATE(B3051,""id"",""en"")"),"['Ngak', 'internet', 'quota']")</f>
        <v>['Ngak', 'internet', 'quota']</v>
      </c>
      <c r="D3051" s="3">
        <v>1.0</v>
      </c>
    </row>
    <row r="3052" ht="15.75" customHeight="1">
      <c r="A3052" s="1">
        <v>3246.0</v>
      </c>
      <c r="B3052" s="3" t="s">
        <v>2998</v>
      </c>
      <c r="C3052" s="3" t="str">
        <f>IFERROR(__xludf.DUMMYFUNCTION("GOOGLETRANSLATE(B3052,""id"",""en"")"),"['Wear', 'card', 'accept', 'love', 'Telkomsel', 'package', 'internet', 'price', 'cheap', 'hope', '']")</f>
        <v>['Wear', 'card', 'accept', 'love', 'Telkomsel', 'package', 'internet', 'price', 'cheap', 'hope', '']</v>
      </c>
      <c r="D3052" s="3">
        <v>5.0</v>
      </c>
    </row>
    <row r="3053" ht="15.75" customHeight="1">
      <c r="A3053" s="1">
        <v>3247.0</v>
      </c>
      <c r="B3053" s="3" t="s">
        <v>2999</v>
      </c>
      <c r="C3053" s="3" t="str">
        <f>IFERROR(__xludf.DUMMYFUNCTION("GOOGLETRANSLATE(B3053,""id"",""en"")"),"['service', 'sip', 'star', 'a week', 'jammed']")</f>
        <v>['service', 'sip', 'star', 'a week', 'jammed']</v>
      </c>
      <c r="D3053" s="3">
        <v>4.0</v>
      </c>
    </row>
    <row r="3054" ht="15.75" customHeight="1">
      <c r="A3054" s="1">
        <v>3248.0</v>
      </c>
      <c r="B3054" s="3" t="s">
        <v>3000</v>
      </c>
      <c r="C3054" s="3" t="str">
        <f>IFERROR(__xludf.DUMMYFUNCTION("GOOGLETRANSLATE(B3054,""id"",""en"")"),"['Thank you', 'Telkomsel', 'hobby', 'Sya', 'wear', 'card', 'Perdana', 'Telkomsel', 'hopefully', 'endikung', 'gift', 'Jaya', ' Telkom ',' Amin ']")</f>
        <v>['Thank you', 'Telkomsel', 'hobby', 'Sya', 'wear', 'card', 'Perdana', 'Telkomsel', 'hopefully', 'endikung', 'gift', 'Jaya', ' Telkom ',' Amin ']</v>
      </c>
      <c r="D3054" s="3">
        <v>5.0</v>
      </c>
    </row>
    <row r="3055" ht="15.75" customHeight="1">
      <c r="A3055" s="1">
        <v>3249.0</v>
      </c>
      <c r="B3055" s="3" t="s">
        <v>3001</v>
      </c>
      <c r="C3055" s="3" t="str">
        <f>IFERROR(__xludf.DUMMYFUNCTION("GOOGLETRANSLATE(B3055,""id"",""en"")"),"['Please', 'Down', 'Price', 'Package', 'NLP', 'Internet', '']")</f>
        <v>['Please', 'Down', 'Price', 'Package', 'NLP', 'Internet', '']</v>
      </c>
      <c r="D3055" s="3">
        <v>5.0</v>
      </c>
    </row>
    <row r="3056" ht="15.75" customHeight="1">
      <c r="A3056" s="1">
        <v>3250.0</v>
      </c>
      <c r="B3056" s="3" t="s">
        <v>3002</v>
      </c>
      <c r="C3056" s="3" t="str">
        <f>IFERROR(__xludf.DUMMYFUNCTION("GOOGLETRANSLATE(B3056,""id"",""en"")"),"['Thank God', 'Application', 'Help', '']")</f>
        <v>['Thank God', 'Application', 'Help', '']</v>
      </c>
      <c r="D3056" s="3">
        <v>5.0</v>
      </c>
    </row>
    <row r="3057" ht="15.75" customHeight="1">
      <c r="A3057" s="1">
        <v>3251.0</v>
      </c>
      <c r="B3057" s="3" t="s">
        <v>3003</v>
      </c>
      <c r="C3057" s="3" t="str">
        <f>IFERROR(__xludf.DUMMYFUNCTION("GOOGLETRANSLATE(B3057,""id"",""en"")"),"['Kasi', 'Star', 'Network', 'Internet', 'Thank', 'Good', 'TRMKS', '']")</f>
        <v>['Kasi', 'Star', 'Network', 'Internet', 'Thank', 'Good', 'TRMKS', '']</v>
      </c>
      <c r="D3057" s="3">
        <v>4.0</v>
      </c>
    </row>
    <row r="3058" ht="15.75" customHeight="1">
      <c r="A3058" s="1">
        <v>3252.0</v>
      </c>
      <c r="B3058" s="3" t="s">
        <v>3004</v>
      </c>
      <c r="C3058" s="3" t="str">
        <f>IFERROR(__xludf.DUMMYFUNCTION("GOOGLETRANSLATE(B3058,""id"",""en"")"),"['Ngellag', 'Mulu', 'PDHAL', 'Pay', 'Make', 'Quota', 'Etc.', 'Expensive', 'Damn']")</f>
        <v>['Ngellag', 'Mulu', 'PDHAL', 'Pay', 'Make', 'Quota', 'Etc.', 'Expensive', 'Damn']</v>
      </c>
      <c r="D3058" s="3">
        <v>2.0</v>
      </c>
    </row>
    <row r="3059" ht="15.75" customHeight="1">
      <c r="A3059" s="1">
        <v>3253.0</v>
      </c>
      <c r="B3059" s="3" t="s">
        <v>3005</v>
      </c>
      <c r="C3059" s="3" t="str">
        <f>IFERROR(__xludf.DUMMYFUNCTION("GOOGLETRANSLATE(B3059,""id"",""en"")"),"['Enhanced', 'Quality', 'Network']")</f>
        <v>['Enhanced', 'Quality', 'Network']</v>
      </c>
      <c r="D3059" s="3">
        <v>4.0</v>
      </c>
    </row>
    <row r="3060" ht="15.75" customHeight="1">
      <c r="A3060" s="1">
        <v>3254.0</v>
      </c>
      <c r="B3060" s="3" t="s">
        <v>3006</v>
      </c>
      <c r="C3060" s="3" t="str">
        <f>IFERROR(__xludf.DUMMYFUNCTION("GOOGLETRANSLATE(B3060,""id"",""en"")"),"['Dear', 'Please', 'Improvement', 'Region', 'Alue', 'Bilie', 'Special', 'Village', 'Panton', 'Bayu', 'Karna', 'Network', ' Drop ',' Network ',' Telkomsel ',' Normal ',' Full ',' Network ',' Speed ​​',' Low ',' Please ',' Fix ',' Admin ',' User ',' Complai"&amp;"ning ' , 'tks']")</f>
        <v>['Dear', 'Please', 'Improvement', 'Region', 'Alue', 'Bilie', 'Special', 'Village', 'Panton', 'Bayu', 'Karna', 'Network', ' Drop ',' Network ',' Telkomsel ',' Normal ',' Full ',' Network ',' Speed ​​',' Low ',' Please ',' Fix ',' Admin ',' User ',' Complaining ' , 'tks']</v>
      </c>
      <c r="D3060" s="3">
        <v>3.0</v>
      </c>
    </row>
    <row r="3061" ht="15.75" customHeight="1">
      <c r="A3061" s="1">
        <v>3255.0</v>
      </c>
      <c r="B3061" s="3" t="s">
        <v>3007</v>
      </c>
      <c r="C3061" s="3" t="str">
        <f>IFERROR(__xludf.DUMMYFUNCTION("GOOGLETRANSLATE(B3061,""id"",""en"")"),"['signal', 'slow', 'sound', 'open', 'Telkomsel', 'remove', '']")</f>
        <v>['signal', 'slow', 'sound', 'open', 'Telkomsel', 'remove', '']</v>
      </c>
      <c r="D3061" s="3">
        <v>1.0</v>
      </c>
    </row>
    <row r="3062" ht="15.75" customHeight="1">
      <c r="A3062" s="1">
        <v>3256.0</v>
      </c>
      <c r="B3062" s="3" t="s">
        <v>3008</v>
      </c>
      <c r="C3062" s="3" t="str">
        <f>IFERROR(__xludf.DUMMYFUNCTION("GOOGLETRANSLATE(B3062,""id"",""en"")"),"['thank', 'love', 'making easier', 'purchase', 'quota', 'pulses',' reproduced ',' promo ',' point ',' redeem ',' quota ',' Sis', ' Trims', '']")</f>
        <v>['thank', 'love', 'making easier', 'purchase', 'quota', 'pulses',' reproduced ',' promo ',' point ',' redeem ',' quota ',' Sis', ' Trims', '']</v>
      </c>
      <c r="D3062" s="3">
        <v>5.0</v>
      </c>
    </row>
    <row r="3063" ht="15.75" customHeight="1">
      <c r="A3063" s="1">
        <v>3257.0</v>
      </c>
      <c r="B3063" s="3" t="s">
        <v>3009</v>
      </c>
      <c r="C3063" s="3" t="str">
        <f>IFERROR(__xludf.DUMMYFUNCTION("GOOGLETRANSLATE(B3063,""id"",""en"")"),"['Cherangan', 'Help', 'MyTelkomsel', 'Reward', 'buy', 'quota', 'no', 'complicated', 'cool']")</f>
        <v>['Cherangan', 'Help', 'MyTelkomsel', 'Reward', 'buy', 'quota', 'no', 'complicated', 'cool']</v>
      </c>
      <c r="D3063" s="3">
        <v>5.0</v>
      </c>
    </row>
    <row r="3064" ht="15.75" customHeight="1">
      <c r="A3064" s="1">
        <v>3258.0</v>
      </c>
      <c r="B3064" s="3" t="s">
        <v>3010</v>
      </c>
      <c r="C3064" s="3" t="str">
        <f>IFERROR(__xludf.DUMMYFUNCTION("GOOGLETRANSLATE(B3064,""id"",""en"")"),"['application', 'use', 'check', 'quota', 'doang', 'price', 'package', 'internet', 'change', 'change', 'fast', 'price', ' Cave ',' Change ',' Indosat ',' Buy ',' Package ',' Internet ']")</f>
        <v>['application', 'use', 'check', 'quota', 'doang', 'price', 'package', 'internet', 'change', 'change', 'fast', 'price', ' Cave ',' Change ',' Indosat ',' Buy ',' Package ',' Internet ']</v>
      </c>
      <c r="D3064" s="3">
        <v>1.0</v>
      </c>
    </row>
    <row r="3065" ht="15.75" customHeight="1">
      <c r="A3065" s="1">
        <v>3259.0</v>
      </c>
      <c r="B3065" s="3" t="s">
        <v>3011</v>
      </c>
      <c r="C3065" s="3" t="str">
        <f>IFERROR(__xludf.DUMMYFUNCTION("GOOGLETRANSLATE(B3065,""id"",""en"")"),"['Increases', 'Service', 'Hopefully', 'Win', 'Telomsel', 'Points', '']")</f>
        <v>['Increases', 'Service', 'Hopefully', 'Win', 'Telomsel', 'Points', '']</v>
      </c>
      <c r="D3065" s="3">
        <v>5.0</v>
      </c>
    </row>
    <row r="3066" ht="15.75" customHeight="1">
      <c r="A3066" s="1">
        <v>3260.0</v>
      </c>
      <c r="B3066" s="3" t="s">
        <v>3012</v>
      </c>
      <c r="C3066" s="3" t="str">
        <f>IFERROR(__xludf.DUMMYFUNCTION("GOOGLETRANSLATE(B3066,""id"",""en"")"),"['Raying', 'Download', 'Lemt']")</f>
        <v>['Raying', 'Download', 'Lemt']</v>
      </c>
      <c r="D3066" s="3">
        <v>1.0</v>
      </c>
    </row>
    <row r="3067" ht="15.75" customHeight="1">
      <c r="A3067" s="1">
        <v>3261.0</v>
      </c>
      <c r="B3067" s="3" t="s">
        <v>3013</v>
      </c>
      <c r="C3067" s="3" t="str">
        <f>IFERROR(__xludf.DUMMYFUNCTION("GOOGLETRANSLATE(B3067,""id"",""en"")"),"['gabisa', 'activation', 'quota', 'already', 'complain', 'a week', 'change', '']")</f>
        <v>['gabisa', 'activation', 'quota', 'already', 'complain', 'a week', 'change', '']</v>
      </c>
      <c r="D3067" s="3">
        <v>1.0</v>
      </c>
    </row>
    <row r="3068" ht="15.75" customHeight="1">
      <c r="A3068" s="1">
        <v>3262.0</v>
      </c>
      <c r="B3068" s="3" t="s">
        <v>3014</v>
      </c>
      <c r="C3068" s="3" t="str">
        <f>IFERROR(__xludf.DUMMYFUNCTION("GOOGLETRANSLATE(B3068,""id"",""en"")"),"['Convenience']")</f>
        <v>['Convenience']</v>
      </c>
      <c r="D3068" s="3">
        <v>4.0</v>
      </c>
    </row>
    <row r="3069" ht="15.75" customHeight="1">
      <c r="A3069" s="1">
        <v>3263.0</v>
      </c>
      <c r="B3069" s="3" t="s">
        <v>3015</v>
      </c>
      <c r="C3069" s="3" t="str">
        <f>IFERROR(__xludf.DUMMYFUNCTION("GOOGLETRANSLATE(B3069,""id"",""en"")"),"['Telkomsel', 'satisfying']")</f>
        <v>['Telkomsel', 'satisfying']</v>
      </c>
      <c r="D3069" s="3">
        <v>5.0</v>
      </c>
    </row>
    <row r="3070" ht="15.75" customHeight="1">
      <c r="A3070" s="1">
        <v>3265.0</v>
      </c>
      <c r="B3070" s="3" t="s">
        <v>3016</v>
      </c>
      <c r="C3070" s="3" t="str">
        <f>IFERROR(__xludf.DUMMYFUNCTION("GOOGLETRANSLATE(B3070,""id"",""en"")"),"['already', 'package', 'expensive', 'point', 'tuker', 'package', 'telco', 'product', 'application', 'bobbrok']")</f>
        <v>['already', 'package', 'expensive', 'point', 'tuker', 'package', 'telco', 'product', 'application', 'bobbrok']</v>
      </c>
      <c r="D3070" s="3">
        <v>1.0</v>
      </c>
    </row>
    <row r="3071" ht="15.75" customHeight="1">
      <c r="A3071" s="1">
        <v>3266.0</v>
      </c>
      <c r="B3071" s="3" t="s">
        <v>3017</v>
      </c>
      <c r="C3071" s="3" t="str">
        <f>IFERROR(__xludf.DUMMYFUNCTION("GOOGLETRANSLATE(B3071,""id"",""en"")"),"['Easy', 'enter', 'MyTelkomsel', '']")</f>
        <v>['Easy', 'enter', 'MyTelkomsel', '']</v>
      </c>
      <c r="D3071" s="3">
        <v>5.0</v>
      </c>
    </row>
    <row r="3072" ht="15.75" customHeight="1">
      <c r="A3072" s="1">
        <v>3267.0</v>
      </c>
      <c r="B3072" s="3" t="s">
        <v>3018</v>
      </c>
      <c r="C3072" s="3" t="str">
        <f>IFERROR(__xludf.DUMMYFUNCTION("GOOGLETRANSLATE(B3072,""id"",""en"")"),"['signal', 'good', 'ngabrettt', 'pisan', 'help', 'really', 'child', 'school', 'basics', 'telkomsel', 'jempolll']")</f>
        <v>['signal', 'good', 'ngabrettt', 'pisan', 'help', 'really', 'child', 'school', 'basics', 'telkomsel', 'jempolll']</v>
      </c>
      <c r="D3072" s="3">
        <v>5.0</v>
      </c>
    </row>
    <row r="3073" ht="15.75" customHeight="1">
      <c r="A3073" s="1">
        <v>3268.0</v>
      </c>
      <c r="B3073" s="3" t="s">
        <v>3019</v>
      </c>
      <c r="C3073" s="3" t="str">
        <f>IFERROR(__xludf.DUMMYFUNCTION("GOOGLETRANSLATE(B3073,""id"",""en"")"),"['Habits',' Telkomsel ',' Buy ',' Package ',' Special ',' Game ',' Turn ',' Package ',' Main ',' Out ',' Credit ',' Credit ',' Harmed ',' Customer ',' Setia ',' ']")</f>
        <v>['Habits',' Telkomsel ',' Buy ',' Package ',' Special ',' Game ',' Turn ',' Package ',' Main ',' Out ',' Credit ',' Credit ',' Harmed ',' Customer ',' Setia ',' ']</v>
      </c>
      <c r="D3073" s="3">
        <v>1.0</v>
      </c>
    </row>
    <row r="3074" ht="15.75" customHeight="1">
      <c r="A3074" s="1">
        <v>3269.0</v>
      </c>
      <c r="B3074" s="3" t="s">
        <v>3020</v>
      </c>
      <c r="C3074" s="3" t="str">
        <f>IFERROR(__xludf.DUMMYFUNCTION("GOOGLETRANSLATE(B3074,""id"",""en"")"),"['Appreciation', 'Dlurunin', 'Price', 'Package', 'OMG']")</f>
        <v>['Appreciation', 'Dlurunin', 'Price', 'Package', 'OMG']</v>
      </c>
      <c r="D3074" s="3">
        <v>5.0</v>
      </c>
    </row>
    <row r="3075" ht="15.75" customHeight="1">
      <c r="A3075" s="1">
        <v>3270.0</v>
      </c>
      <c r="B3075" s="3" t="s">
        <v>3021</v>
      </c>
      <c r="C3075" s="3" t="str">
        <f>IFERROR(__xludf.DUMMYFUNCTION("GOOGLETRANSLATE(B3075,""id"",""en"")"),"['Telkomsel', 'Jaya']")</f>
        <v>['Telkomsel', 'Jaya']</v>
      </c>
      <c r="D3075" s="3">
        <v>5.0</v>
      </c>
    </row>
    <row r="3076" ht="15.75" customHeight="1">
      <c r="A3076" s="1">
        <v>3271.0</v>
      </c>
      <c r="B3076" s="3" t="s">
        <v>3022</v>
      </c>
      <c r="C3076" s="3" t="str">
        <f>IFERROR(__xludf.DUMMYFUNCTION("GOOGLETRANSLATE(B3076,""id"",""en"")"),"['Please', 'Clarification', 'Internet', 'Quota', 'Out', 'Take', 'Credit', 'Mending', 'Network', 'Internet', 'Disconnected', 'Expends',' pulse ',' cellular ']")</f>
        <v>['Please', 'Clarification', 'Internet', 'Quota', 'Out', 'Take', 'Credit', 'Mending', 'Network', 'Internet', 'Disconnected', 'Expends',' pulse ',' cellular ']</v>
      </c>
      <c r="D3076" s="3">
        <v>3.0</v>
      </c>
    </row>
    <row r="3077" ht="15.75" customHeight="1">
      <c r="A3077" s="1">
        <v>3272.0</v>
      </c>
      <c r="B3077" s="3" t="s">
        <v>3023</v>
      </c>
      <c r="C3077" s="3" t="str">
        <f>IFERROR(__xludf.DUMMYFUNCTION("GOOGLETRANSLATE(B3077,""id"",""en"")"),"['Network', 'Telkomsel', 'Disorders', 'Kah', '']")</f>
        <v>['Network', 'Telkomsel', 'Disorders', 'Kah', '']</v>
      </c>
      <c r="D3077" s="3">
        <v>1.0</v>
      </c>
    </row>
    <row r="3078" ht="15.75" customHeight="1">
      <c r="A3078" s="1">
        <v>3273.0</v>
      </c>
      <c r="B3078" s="3" t="s">
        <v>3024</v>
      </c>
      <c r="C3078" s="3" t="str">
        <f>IFERROR(__xludf.DUMMYFUNCTION("GOOGLETRANSLATE(B3078,""id"",""en"")"),"['Telkomsel', 'Please', 'Fix', 'Your Network', 'Uda', 'Buy', 'Package', 'Expensive', 'Rid', 'According to', 'Price', 'boss',' price ',' expensive ',' finger ',' ngan ',' kek ',' taiii ']")</f>
        <v>['Telkomsel', 'Please', 'Fix', 'Your Network', 'Uda', 'Buy', 'Package', 'Expensive', 'Rid', 'According to', 'Price', 'boss',' price ',' expensive ',' finger ',' ngan ',' kek ',' taiii ']</v>
      </c>
      <c r="D3078" s="3">
        <v>1.0</v>
      </c>
    </row>
    <row r="3079" ht="15.75" customHeight="1">
      <c r="A3079" s="1">
        <v>3274.0</v>
      </c>
      <c r="B3079" s="3" t="s">
        <v>3025</v>
      </c>
      <c r="C3079" s="3" t="str">
        <f>IFERROR(__xludf.DUMMYFUNCTION("GOOGLETRANSLATE(B3079,""id"",""en"")"),"['Quota', 'Masi', 'Internet', 'Credit', 'Cut', 'Corruptor', 'Nastard', ""]")</f>
        <v>['Quota', 'Masi', 'Internet', 'Credit', 'Cut', 'Corruptor', 'Nastard', "]</v>
      </c>
      <c r="D3079" s="3">
        <v>1.0</v>
      </c>
    </row>
    <row r="3080" ht="15.75" customHeight="1">
      <c r="A3080" s="1">
        <v>3275.0</v>
      </c>
      <c r="B3080" s="3" t="s">
        <v>3026</v>
      </c>
      <c r="C3080" s="3" t="str">
        <f>IFERROR(__xludf.DUMMYFUNCTION("GOOGLETRANSLATE(B3080,""id"",""en"")"),"['Thanks', 'Satisfied']")</f>
        <v>['Thanks', 'Satisfied']</v>
      </c>
      <c r="D3080" s="3">
        <v>5.0</v>
      </c>
    </row>
    <row r="3081" ht="15.75" customHeight="1">
      <c r="A3081" s="1">
        <v>3276.0</v>
      </c>
      <c r="B3081" s="3" t="s">
        <v>3027</v>
      </c>
      <c r="C3081" s="3" t="str">
        <f>IFERROR(__xludf.DUMMYFUNCTION("GOOGLETRANSLATE(B3081,""id"",""en"")"),"['signal', 'rotten', 'package', 'card', 'signal', 'payaaaah']")</f>
        <v>['signal', 'rotten', 'package', 'card', 'signal', 'payaaaah']</v>
      </c>
      <c r="D3081" s="3">
        <v>1.0</v>
      </c>
    </row>
    <row r="3082" ht="15.75" customHeight="1">
      <c r="A3082" s="1">
        <v>3277.0</v>
      </c>
      <c r="B3082" s="3" t="s">
        <v>3028</v>
      </c>
      <c r="C3082" s="3" t="str">
        <f>IFERROR(__xludf.DUMMYFUNCTION("GOOGLETRANSLATE(B3082,""id"",""en"")"),"['Ouch', 'Please', 'Sorry', 'Pulses',' Cut ',' Hahaha ',' Sukurin ',' Complaint ',' Change ',' Love ',' Link ',' Complaint ',' read ',' comment ',' disappointment ',' basic ',' thief ']")</f>
        <v>['Ouch', 'Please', 'Sorry', 'Pulses',' Cut ',' Hahaha ',' Sukurin ',' Complaint ',' Change ',' Love ',' Link ',' Complaint ',' read ',' comment ',' disappointment ',' basic ',' thief ']</v>
      </c>
      <c r="D3082" s="3">
        <v>1.0</v>
      </c>
    </row>
    <row r="3083" ht="15.75" customHeight="1">
      <c r="A3083" s="1">
        <v>3278.0</v>
      </c>
      <c r="B3083" s="3" t="s">
        <v>3029</v>
      </c>
      <c r="C3083" s="3" t="str">
        <f>IFERROR(__xludf.DUMMYFUNCTION("GOOGLETRANSLATE(B3083,""id"",""en"")"),"['Sinyal', 'ugly', 'Region', 'Kelurahan', 'Lubuk', 'Tanjung', 'City', 'Lubuklinggau', '']")</f>
        <v>['Sinyal', 'ugly', 'Region', 'Kelurahan', 'Lubuk', 'Tanjung', 'City', 'Lubuklinggau', '']</v>
      </c>
      <c r="D3083" s="3">
        <v>1.0</v>
      </c>
    </row>
    <row r="3084" ht="15.75" customHeight="1">
      <c r="A3084" s="1">
        <v>3279.0</v>
      </c>
      <c r="B3084" s="3" t="s">
        <v>3030</v>
      </c>
      <c r="C3084" s="3" t="str">
        <f>IFERROR(__xludf.DUMMYFUNCTION("GOOGLETRANSLATE(B3084,""id"",""en"")"),"['Signal', 'missing', 'error', 'package', 'combo', 'ride', 'populat', 'sms', 'every minute', 'minister']")</f>
        <v>['Signal', 'missing', 'error', 'package', 'combo', 'ride', 'populat', 'sms', 'every minute', 'minister']</v>
      </c>
      <c r="D3084" s="3">
        <v>1.0</v>
      </c>
    </row>
    <row r="3085" ht="15.75" customHeight="1">
      <c r="A3085" s="1">
        <v>3280.0</v>
      </c>
      <c r="B3085" s="3" t="s">
        <v>3031</v>
      </c>
      <c r="C3085" s="3" t="str">
        <f>IFERROR(__xludf.DUMMYFUNCTION("GOOGLETRANSLATE(B3085,""id"",""en"")"),"['open', 'application', 'Please', 'explanation', 'upset', 'task', 'kouta', 'buy', 'apj', 'opened', '']")</f>
        <v>['open', 'application', 'Please', 'explanation', 'upset', 'task', 'kouta', 'buy', 'apj', 'opened', '']</v>
      </c>
      <c r="D3085" s="3">
        <v>1.0</v>
      </c>
    </row>
    <row r="3086" ht="15.75" customHeight="1">
      <c r="A3086" s="1">
        <v>3281.0</v>
      </c>
      <c r="B3086" s="3" t="s">
        <v>3032</v>
      </c>
      <c r="C3086" s="3" t="str">
        <f>IFERROR(__xludf.DUMMYFUNCTION("GOOGLETRANSLATE(B3086,""id"",""en"")"),"['Please', 'Activate', 'Package', 'Internet', 'buy', 'package', 'conect', 'internet', 'check', 'quota', 'quota', 'version', ' Login ',' update ']")</f>
        <v>['Please', 'Activate', 'Package', 'Internet', 'buy', 'package', 'conect', 'internet', 'check', 'quota', 'quota', 'version', ' Login ',' update ']</v>
      </c>
      <c r="D3086" s="3">
        <v>1.0</v>
      </c>
    </row>
    <row r="3087" ht="15.75" customHeight="1">
      <c r="A3087" s="1">
        <v>3282.0</v>
      </c>
      <c r="B3087" s="3" t="s">
        <v>3033</v>
      </c>
      <c r="C3087" s="3" t="str">
        <f>IFERROR(__xludf.DUMMYFUNCTION("GOOGLETRANSLATE(B3087,""id"",""en"")"),"['Sometimes', 'like', 'dizziness', 'promo', 'already', 'buy', 'package', 'taunya', 'cheap', ""]")</f>
        <v>['Sometimes', 'like', 'dizziness', 'promo', 'already', 'buy', 'package', 'taunya', 'cheap', "]</v>
      </c>
      <c r="D3087" s="3">
        <v>5.0</v>
      </c>
    </row>
    <row r="3088" ht="15.75" customHeight="1">
      <c r="A3088" s="1">
        <v>3283.0</v>
      </c>
      <c r="B3088" s="3" t="s">
        <v>3034</v>
      </c>
      <c r="C3088" s="3" t="str">
        <f>IFERROR(__xludf.DUMMYFUNCTION("GOOGLETRANSLATE(B3088,""id"",""en"")"),"['UDH', 'Network', 'slow', 'contents', 'reset', 'package', 'data', 'no', 'ngotak', 'expensive']")</f>
        <v>['UDH', 'Network', 'slow', 'contents', 'reset', 'package', 'data', 'no', 'ngotak', 'expensive']</v>
      </c>
      <c r="D3088" s="3">
        <v>1.0</v>
      </c>
    </row>
    <row r="3089" ht="15.75" customHeight="1">
      <c r="A3089" s="1">
        <v>3284.0</v>
      </c>
      <c r="B3089" s="3" t="s">
        <v>3035</v>
      </c>
      <c r="C3089" s="3" t="str">
        <f>IFERROR(__xludf.DUMMYFUNCTION("GOOGLETRANSLATE(B3089,""id"",""en"")"),"['network', 'weak', 'quality', 'access', 'redah', 'poor', 'slow', '']")</f>
        <v>['network', 'weak', 'quality', 'access', 'redah', 'poor', 'slow', '']</v>
      </c>
      <c r="D3089" s="3">
        <v>3.0</v>
      </c>
    </row>
    <row r="3090" ht="15.75" customHeight="1">
      <c r="A3090" s="1">
        <v>3285.0</v>
      </c>
      <c r="B3090" s="3" t="s">
        <v>3036</v>
      </c>
      <c r="C3090" s="3" t="str">
        <f>IFERROR(__xludf.DUMMYFUNCTION("GOOGLETRANSLATE(B3090,""id"",""en"")"),"['min', 'package', 'daily', 'active', 'list', 'clock', 'date', 'abis',' clock ',' dated ',' clock ',' hours', ' next day']")</f>
        <v>['min', 'package', 'daily', 'active', 'list', 'clock', 'date', 'abis',' clock ',' dated ',' clock ',' hours', ' next day']</v>
      </c>
      <c r="D3090" s="3">
        <v>3.0</v>
      </c>
    </row>
    <row r="3091" ht="15.75" customHeight="1">
      <c r="A3091" s="1">
        <v>3286.0</v>
      </c>
      <c r="B3091" s="3" t="s">
        <v>3037</v>
      </c>
      <c r="C3091" s="3" t="str">
        <f>IFERROR(__xludf.DUMMYFUNCTION("GOOGLETRANSLATE(B3091,""id"",""en"")"),"['Pliss',' knpaa ',' Telkomsel ',' like ',' package ',' unlimitid ',' replace ',' see ',' Review ',' all ',' citizen ',' net ',' GTU ',' Pliss', 'Fix', 'again', 'here', 'Teeth', 'Network', 'ugly', 'pdhal', 'Telkomsel', 'priceless',' sngat ',' good ' , 'Kl"&amp;"angan', 'community', 'knpaa', 'here', 'acting', 'buy', 'pulse', 'run out', 'data', 'sumps',' already ',' Matiin ',' Thanks', 'loss',' please ',' fix ',' ssya ',' like ',' ']")</f>
        <v>['Pliss',' knpaa ',' Telkomsel ',' like ',' package ',' unlimitid ',' replace ',' see ',' Review ',' all ',' citizen ',' net ',' GTU ',' Pliss', 'Fix', 'again', 'here', 'Teeth', 'Network', 'ugly', 'pdhal', 'Telkomsel', 'priceless',' sngat ',' good ' , 'Klangan', 'community', 'knpaa', 'here', 'acting', 'buy', 'pulse', 'run out', 'data', 'sumps',' already ',' Matiin ',' Thanks', 'loss',' please ',' fix ',' ssya ',' like ',' ']</v>
      </c>
      <c r="D3091" s="3">
        <v>1.0</v>
      </c>
    </row>
    <row r="3092" ht="15.75" customHeight="1">
      <c r="A3092" s="1">
        <v>3287.0</v>
      </c>
      <c r="B3092" s="3" t="s">
        <v>3038</v>
      </c>
      <c r="C3092" s="3" t="str">
        <f>IFERROR(__xludf.DUMMYFUNCTION("GOOGLETRANSLATE(B3092,""id"",""en"")"),"['France', 'update']")</f>
        <v>['France', 'update']</v>
      </c>
      <c r="D3092" s="3">
        <v>3.0</v>
      </c>
    </row>
    <row r="3093" ht="15.75" customHeight="1">
      <c r="A3093" s="1">
        <v>3288.0</v>
      </c>
      <c r="B3093" s="3" t="s">
        <v>3039</v>
      </c>
      <c r="C3093" s="3" t="str">
        <f>IFERROR(__xludf.DUMMYFUNCTION("GOOGLETRANSLATE(B3093,""id"",""en"")"),"['Choice', 'Package']")</f>
        <v>['Choice', 'Package']</v>
      </c>
      <c r="D3093" s="3">
        <v>1.0</v>
      </c>
    </row>
    <row r="3094" ht="15.75" customHeight="1">
      <c r="A3094" s="1">
        <v>3289.0</v>
      </c>
      <c r="B3094" s="3" t="s">
        <v>3040</v>
      </c>
      <c r="C3094" s="3" t="str">
        <f>IFERROR(__xludf.DUMMYFUNCTION("GOOGLETRANSLATE(B3094,""id"",""en"")"),"['Cool', 'Josss', 'help']")</f>
        <v>['Cool', 'Josss', 'help']</v>
      </c>
      <c r="D3094" s="3">
        <v>5.0</v>
      </c>
    </row>
    <row r="3095" ht="15.75" customHeight="1">
      <c r="A3095" s="1">
        <v>3290.0</v>
      </c>
      <c r="B3095" s="3" t="s">
        <v>3041</v>
      </c>
      <c r="C3095" s="3" t="str">
        <f>IFERROR(__xludf.DUMMYFUNCTION("GOOGLETRANSLATE(B3095,""id"",""en"")"),"['Thank you', 'Network', 'Bad', '']")</f>
        <v>['Thank you', 'Network', 'Bad', '']</v>
      </c>
      <c r="D3095" s="3">
        <v>1.0</v>
      </c>
    </row>
    <row r="3096" ht="15.75" customHeight="1">
      <c r="A3096" s="1">
        <v>3291.0</v>
      </c>
      <c r="B3096" s="3" t="s">
        <v>3042</v>
      </c>
      <c r="C3096" s="3" t="str">
        <f>IFERROR(__xludf.DUMMYFUNCTION("GOOGLETRANSLATE(B3096,""id"",""en"")"),"['Winning', ""]")</f>
        <v>['Winning', "]</v>
      </c>
      <c r="D3096" s="3">
        <v>5.0</v>
      </c>
    </row>
    <row r="3097" ht="15.75" customHeight="1">
      <c r="A3097" s="1">
        <v>3292.0</v>
      </c>
      <c r="B3097" s="3" t="s">
        <v>3043</v>
      </c>
      <c r="C3097" s="3" t="str">
        <f>IFERROR(__xludf.DUMMYFUNCTION("GOOGLETRANSLATE(B3097,""id"",""en"")"),"['Network', 'please', 'fix', 'good']")</f>
        <v>['Network', 'please', 'fix', 'good']</v>
      </c>
      <c r="D3097" s="3">
        <v>3.0</v>
      </c>
    </row>
    <row r="3098" ht="15.75" customHeight="1">
      <c r="A3098" s="1">
        <v>3293.0</v>
      </c>
      <c r="B3098" s="3" t="s">
        <v>3044</v>
      </c>
      <c r="C3098" s="3" t="str">
        <f>IFERROR(__xludf.DUMMYFUNCTION("GOOGLETRANSLATE(B3098,""id"",""en"")"),"['BUMN', 'Price', 'Package', 'Friendly', 'People', 'Expensive', 'Expensive', '']")</f>
        <v>['BUMN', 'Price', 'Package', 'Friendly', 'People', 'Expensive', 'Expensive', '']</v>
      </c>
      <c r="D3098" s="3">
        <v>1.0</v>
      </c>
    </row>
    <row r="3099" ht="15.75" customHeight="1">
      <c r="A3099" s="1">
        <v>3294.0</v>
      </c>
      <c r="B3099" s="3" t="s">
        <v>3045</v>
      </c>
      <c r="C3099" s="3" t="str">
        <f>IFERROR(__xludf.DUMMYFUNCTION("GOOGLETRANSLATE(B3099,""id"",""en"")"),"['Network', 'Surabaya', 'Severe', 'Poll', 'Poll', 'Signal', 'Ngegrab', 'Network', 'Weak']")</f>
        <v>['Network', 'Surabaya', 'Severe', 'Poll', 'Poll', 'Signal', 'Ngegrab', 'Network', 'Weak']</v>
      </c>
      <c r="D3099" s="3">
        <v>1.0</v>
      </c>
    </row>
    <row r="3100" ht="15.75" customHeight="1">
      <c r="A3100" s="1">
        <v>3295.0</v>
      </c>
      <c r="B3100" s="3" t="s">
        <v>3046</v>
      </c>
      <c r="C3100" s="3" t="str">
        <f>IFERROR(__xludf.DUMMYFUNCTION("GOOGLETRANSLATE(B3100,""id"",""en"")"),"['SNAGAT', 'Help', 'cheap']")</f>
        <v>['SNAGAT', 'Help', 'cheap']</v>
      </c>
      <c r="D3100" s="3">
        <v>5.0</v>
      </c>
    </row>
    <row r="3101" ht="15.75" customHeight="1">
      <c r="A3101" s="1">
        <v>3296.0</v>
      </c>
      <c r="B3101" s="3" t="s">
        <v>3047</v>
      </c>
      <c r="C3101" s="3" t="str">
        <f>IFERROR(__xludf.DUMMYFUNCTION("GOOGLETRANSLATE(B3101,""id"",""en"")"),"['hey', 'tsel', 'bambang', 'cave', 'want', 'love', 'idea', 'feature', 'internet', 'just', 'quota', 'no', ' the quota ',' automatic ',' despair ',' data ',' cellular ',' features', 'useful', 'really', 'please']")</f>
        <v>['hey', 'tsel', 'bambang', 'cave', 'want', 'love', 'idea', 'feature', 'internet', 'just', 'quota', 'no', ' the quota ',' automatic ',' despair ',' data ',' cellular ',' features', 'useful', 'really', 'please']</v>
      </c>
      <c r="D3101" s="3">
        <v>1.0</v>
      </c>
    </row>
    <row r="3102" ht="15.75" customHeight="1">
      <c r="A3102" s="1">
        <v>3297.0</v>
      </c>
      <c r="B3102" s="3" t="s">
        <v>3048</v>
      </c>
      <c r="C3102" s="3" t="str">
        <f>IFERROR(__xludf.DUMMYFUNCTION("GOOGLETRANSLATE(B3102,""id"",""en"")"),"['buy', 'quota', 'system', 'busy', 'busy', 'bujang', 'buy', 'quota', 'use', 'pay', 'card', 'bujang']")</f>
        <v>['buy', 'quota', 'system', 'busy', 'busy', 'bujang', 'buy', 'quota', 'use', 'pay', 'card', 'bujang']</v>
      </c>
      <c r="D3102" s="3">
        <v>1.0</v>
      </c>
    </row>
    <row r="3103" ht="15.75" customHeight="1">
      <c r="A3103" s="1">
        <v>3298.0</v>
      </c>
      <c r="B3103" s="3" t="s">
        <v>3049</v>
      </c>
      <c r="C3103" s="3" t="str">
        <f>IFERROR(__xludf.DUMMYFUNCTION("GOOGLETRANSLATE(B3103,""id"",""en"")"),"['Network', 'stable']")</f>
        <v>['Network', 'stable']</v>
      </c>
      <c r="D3103" s="3">
        <v>1.0</v>
      </c>
    </row>
    <row r="3104" ht="15.75" customHeight="1">
      <c r="A3104" s="1">
        <v>3299.0</v>
      </c>
      <c r="B3104" s="3" t="s">
        <v>3050</v>
      </c>
      <c r="C3104" s="3" t="str">
        <f>IFERROR(__xludf.DUMMYFUNCTION("GOOGLETRANSLATE(B3104,""id"",""en"")"),"['Good', 'promo', 'down', 'promo', '']")</f>
        <v>['Good', 'promo', 'down', 'promo', '']</v>
      </c>
      <c r="D3104" s="3">
        <v>3.0</v>
      </c>
    </row>
    <row r="3105" ht="15.75" customHeight="1">
      <c r="A3105" s="1">
        <v>3300.0</v>
      </c>
      <c r="B3105" s="3" t="s">
        <v>3051</v>
      </c>
      <c r="C3105" s="3" t="str">
        <f>IFERROR(__xludf.DUMMYFUNCTION("GOOGLETRANSLATE(B3105,""id"",""en"")"),"['Fun', 'watch', 'Desney', ""]")</f>
        <v>['Fun', 'watch', 'Desney', "]</v>
      </c>
      <c r="D3105" s="3">
        <v>5.0</v>
      </c>
    </row>
    <row r="3106" ht="15.75" customHeight="1">
      <c r="A3106" s="1">
        <v>3301.0</v>
      </c>
      <c r="B3106" s="3" t="s">
        <v>3052</v>
      </c>
      <c r="C3106" s="3" t="str">
        <f>IFERROR(__xludf.DUMMYFUNCTION("GOOGLETRANSLATE(B3106,""id"",""en"")"),"['Service', 'Costumer', 'Service', 'Slow']")</f>
        <v>['Service', 'Costumer', 'Service', 'Slow']</v>
      </c>
      <c r="D3106" s="3">
        <v>1.0</v>
      </c>
    </row>
    <row r="3107" ht="15.75" customHeight="1">
      <c r="A3107" s="1">
        <v>3302.0</v>
      </c>
      <c r="B3107" s="3" t="s">
        <v>3053</v>
      </c>
      <c r="C3107" s="3" t="str">
        <f>IFERROR(__xludf.DUMMYFUNCTION("GOOGLETRANSLATE(B3107,""id"",""en"")"),"['already', 'update', 'right', 'open', 'told', 'buy', 'quota', 'atw', 'mode', 'free', 'inj', 'quota', ' Masi ',' Disturbs', 'already', 'That's',' Three ',' Asa ',' Response ',' Profider ']")</f>
        <v>['already', 'update', 'right', 'open', 'told', 'buy', 'quota', 'atw', 'mode', 'free', 'inj', 'quota', ' Masi ',' Disturbs', 'already', 'That's',' Three ',' Asa ',' Response ',' Profider ']</v>
      </c>
      <c r="D3107" s="3">
        <v>1.0</v>
      </c>
    </row>
    <row r="3108" ht="15.75" customHeight="1">
      <c r="A3108" s="1">
        <v>3303.0</v>
      </c>
      <c r="B3108" s="3" t="s">
        <v>1435</v>
      </c>
      <c r="C3108" s="3" t="str">
        <f>IFERROR(__xludf.DUMMYFUNCTION("GOOGLETRANSLATE(B3108,""id"",""en"")"),"['help', '']")</f>
        <v>['help', '']</v>
      </c>
      <c r="D3108" s="3">
        <v>5.0</v>
      </c>
    </row>
    <row r="3109" ht="15.75" customHeight="1">
      <c r="A3109" s="1">
        <v>3304.0</v>
      </c>
      <c r="B3109" s="3" t="s">
        <v>3054</v>
      </c>
      <c r="C3109" s="3" t="str">
        <f>IFERROR(__xludf.DUMMYFUNCTION("GOOGLETRANSLATE(B3109,""id"",""en"")"),"['The network', 'smooth', 'rare', 'slow', ""]")</f>
        <v>['The network', 'smooth', 'rare', 'slow', "]</v>
      </c>
      <c r="D3109" s="3">
        <v>5.0</v>
      </c>
    </row>
    <row r="3110" ht="15.75" customHeight="1">
      <c r="A3110" s="1">
        <v>3305.0</v>
      </c>
      <c r="B3110" s="3" t="s">
        <v>3055</v>
      </c>
      <c r="C3110" s="3" t="str">
        <f>IFERROR(__xludf.DUMMYFUNCTION("GOOGLETRANSLATE(B3110,""id"",""en"")"),"['', 'fast', 'service', 'contents', 'quota', '']")</f>
        <v>['', 'fast', 'service', 'contents', 'quota', '']</v>
      </c>
      <c r="D3110" s="3">
        <v>5.0</v>
      </c>
    </row>
    <row r="3111" ht="15.75" customHeight="1">
      <c r="A3111" s="1">
        <v>3306.0</v>
      </c>
      <c r="B3111" s="3" t="s">
        <v>3056</v>
      </c>
      <c r="C3111" s="3" t="str">
        <f>IFERROR(__xludf.DUMMYFUNCTION("GOOGLETRANSLATE(B3111,""id"",""en"")"),"['Loading', 'page', 'a month', 'change']")</f>
        <v>['Loading', 'page', 'a month', 'change']</v>
      </c>
      <c r="D3111" s="3">
        <v>1.0</v>
      </c>
    </row>
    <row r="3112" ht="15.75" customHeight="1">
      <c r="A3112" s="1">
        <v>3307.0</v>
      </c>
      <c r="B3112" s="3" t="s">
        <v>3057</v>
      </c>
      <c r="C3112" s="3" t="str">
        <f>IFERROR(__xludf.DUMMYFUNCTION("GOOGLETRANSLATE(B3112,""id"",""en"")"),"['wasteful', 'quota', 'open', 'application', 'Telkomsel', 'directly', 'speeding', 'suck', 'quota', 'open', 'lgsg', 'abis',' ']")</f>
        <v>['wasteful', 'quota', 'open', 'application', 'Telkomsel', 'directly', 'speeding', 'suck', 'quota', 'open', 'lgsg', 'abis',' ']</v>
      </c>
      <c r="D3112" s="3">
        <v>1.0</v>
      </c>
    </row>
    <row r="3113" ht="15.75" customHeight="1">
      <c r="A3113" s="1">
        <v>3308.0</v>
      </c>
      <c r="B3113" s="3" t="s">
        <v>3058</v>
      </c>
      <c r="C3113" s="3" t="str">
        <f>IFERROR(__xludf.DUMMYFUNCTION("GOOGLETRANSLATE(B3113,""id"",""en"")"),"['Good', 'klu', 'use', 'ojol']")</f>
        <v>['Good', 'klu', 'use', 'ojol']</v>
      </c>
      <c r="D3113" s="3">
        <v>5.0</v>
      </c>
    </row>
    <row r="3114" ht="15.75" customHeight="1">
      <c r="A3114" s="1">
        <v>3309.0</v>
      </c>
      <c r="B3114" s="3" t="s">
        <v>3059</v>
      </c>
      <c r="C3114" s="3" t="str">
        <f>IFERROR(__xludf.DUMMYFUNCTION("GOOGLETRANSLATE(B3114,""id"",""en"")"),"['Apps', 'right', 'opened', 'right', 'Diunistal', 'Install', 'Login', 'Tetep', 'Mulu', 'Apps', ""]")</f>
        <v>['Apps', 'right', 'opened', 'right', 'Diunistal', 'Install', 'Login', 'Tetep', 'Mulu', 'Apps', "]</v>
      </c>
      <c r="D3114" s="3">
        <v>1.0</v>
      </c>
    </row>
    <row r="3115" ht="15.75" customHeight="1">
      <c r="A3115" s="1">
        <v>3310.0</v>
      </c>
      <c r="B3115" s="3" t="s">
        <v>3060</v>
      </c>
      <c r="C3115" s="3" t="str">
        <f>IFERROR(__xludf.DUMMYFUNCTION("GOOGLETRANSLATE(B3115,""id"",""en"")"),"['Easy', 'Shopink', 'Chat', 'Date', 'Thank you', 'Telkomsel']")</f>
        <v>['Easy', 'Shopink', 'Chat', 'Date', 'Thank you', 'Telkomsel']</v>
      </c>
      <c r="D3115" s="3">
        <v>5.0</v>
      </c>
    </row>
    <row r="3116" ht="15.75" customHeight="1">
      <c r="A3116" s="1">
        <v>3311.0</v>
      </c>
      <c r="B3116" s="3" t="s">
        <v>3061</v>
      </c>
      <c r="C3116" s="3" t="str">
        <f>IFERROR(__xludf.DUMMYFUNCTION("GOOGLETRANSLATE(B3116,""id"",""en"")"),"['Bener', 'Bener', 'Telkom', 'Package', 'Internet', 'UDH', 'Expensive', 'Pas',' Pketan ',' Udh ',' Out ',' Pulse ',' Suck ',' Jga ',' Stock ',' Credit ',' RB ',' Direct ',' Suck ',' Jga ',' Live ',' Rb ',' Listen ',' Telkom ',' must be ' , 'weve', 'intern"&amp;"et', 'run out', 'access',' internet ',' break up ',' play ',' suck ',' pulse ',' emang ',' buy ',' pulse ',' boss', 'money', 'cukkk', 'emang', 'make', 'bot']")</f>
        <v>['Bener', 'Bener', 'Telkom', 'Package', 'Internet', 'UDH', 'Expensive', 'Pas',' Pketan ',' Udh ',' Out ',' Pulse ',' Suck ',' Jga ',' Stock ',' Credit ',' RB ',' Direct ',' Suck ',' Jga ',' Live ',' Rb ',' Listen ',' Telkom ',' must be ' , 'weve', 'internet', 'run out', 'access',' internet ',' break up ',' play ',' suck ',' pulse ',' emang ',' buy ',' pulse ',' boss', 'money', 'cukkk', 'emang', 'make', 'bot']</v>
      </c>
      <c r="D3116" s="3">
        <v>1.0</v>
      </c>
    </row>
    <row r="3117" ht="15.75" customHeight="1">
      <c r="A3117" s="1">
        <v>3312.0</v>
      </c>
      <c r="B3117" s="3" t="s">
        <v>3062</v>
      </c>
      <c r="C3117" s="3" t="str">
        <f>IFERROR(__xludf.DUMMYFUNCTION("GOOGLETRANSLATE(B3117,""id"",""en"")"),"['Current', 'Telkomsel', 'hope', 'promo', ""]")</f>
        <v>['Current', 'Telkomsel', 'hope', 'promo', "]</v>
      </c>
      <c r="D3117" s="3">
        <v>5.0</v>
      </c>
    </row>
    <row r="3118" ht="15.75" customHeight="1">
      <c r="A3118" s="1">
        <v>3313.0</v>
      </c>
      <c r="B3118" s="3" t="s">
        <v>3063</v>
      </c>
      <c r="C3118" s="3" t="str">
        <f>IFERROR(__xludf.DUMMYFUNCTION("GOOGLETRANSLATE(B3118,""id"",""en"")"),"['Inet', 'East Java', 'slow', 'Fucking']")</f>
        <v>['Inet', 'East Java', 'slow', 'Fucking']</v>
      </c>
      <c r="D3118" s="3">
        <v>1.0</v>
      </c>
    </row>
    <row r="3119" ht="15.75" customHeight="1">
      <c r="A3119" s="1">
        <v>3314.0</v>
      </c>
      <c r="B3119" s="3" t="s">
        <v>3064</v>
      </c>
      <c r="C3119" s="3" t="str">
        <f>IFERROR(__xludf.DUMMYFUNCTION("GOOGLETRANSLATE(B3119,""id"",""en"")"),"['Cave', 'Download', 'Application', 'Karna', 'Canin', 'Package', 'Data', 'Switch', 'Point', 'Telkomsel', 'Download', 'Exchange', ' Successful ',' Disappointed ',' Unistal ',' The application ',' Switch ',' Oredo ',' buy ',' pulse ',' thousand ',' free ','"&amp;" package ',' data ',' skrng ' , 'Telkomsel', 'Network', 'Good', 'Ngelaq', 'Main', 'Game', ""]")</f>
        <v>['Cave', 'Download', 'Application', 'Karna', 'Canin', 'Package', 'Data', 'Switch', 'Point', 'Telkomsel', 'Download', 'Exchange', ' Successful ',' Disappointed ',' Unistal ',' The application ',' Switch ',' Oredo ',' buy ',' pulse ',' thousand ',' free ',' package ',' data ',' skrng ' , 'Telkomsel', 'Network', 'Good', 'Ngelaq', 'Main', 'Game', "]</v>
      </c>
      <c r="D3119" s="3">
        <v>1.0</v>
      </c>
    </row>
    <row r="3120" ht="15.75" customHeight="1">
      <c r="A3120" s="1">
        <v>3315.0</v>
      </c>
      <c r="B3120" s="3" t="s">
        <v>3065</v>
      </c>
      <c r="C3120" s="3" t="str">
        <f>IFERROR(__xludf.DUMMYFUNCTION("GOOGLETRANSLATE(B3120,""id"",""en"")"),"[ 'Quotas', 'ketenganya', 'kntolllllllllllllllllllllllllllllllll', 'pulse', 'Abis', 'surf', 'second', 'kntollll']")</f>
        <v>[ 'Quotas', 'ketenganya', 'kntolllllllllllllllllllllllllllllllll', 'pulse', 'Abis', 'surf', 'second', 'kntollll']</v>
      </c>
      <c r="D3120" s="3">
        <v>1.0</v>
      </c>
    </row>
    <row r="3121" ht="15.75" customHeight="1">
      <c r="A3121" s="1">
        <v>3316.0</v>
      </c>
      <c r="B3121" s="3" t="s">
        <v>3066</v>
      </c>
      <c r="C3121" s="3" t="str">
        <f>IFERROR(__xludf.DUMMYFUNCTION("GOOGLETRANSLATE(B3121,""id"",""en"")"),"['Telkomsel', 'thieves', 'pulses', 'pulses', 'abis', 'quota', 'like', 'type', 'strange', ""]")</f>
        <v>['Telkomsel', 'thieves', 'pulses', 'pulses', 'abis', 'quota', 'like', 'type', 'strange', "]</v>
      </c>
      <c r="D3121" s="3">
        <v>1.0</v>
      </c>
    </row>
    <row r="3122" ht="15.75" customHeight="1">
      <c r="A3122" s="1">
        <v>3317.0</v>
      </c>
      <c r="B3122" s="3" t="s">
        <v>3067</v>
      </c>
      <c r="C3122" s="3" t="str">
        <f>IFERROR(__xludf.DUMMYFUNCTION("GOOGLETRANSLATE(B3122,""id"",""en"")"),"['Klau', 'good', 'love', 'star']")</f>
        <v>['Klau', 'good', 'love', 'star']</v>
      </c>
      <c r="D3122" s="3">
        <v>3.0</v>
      </c>
    </row>
    <row r="3123" ht="15.75" customHeight="1">
      <c r="A3123" s="1">
        <v>3318.0</v>
      </c>
      <c r="B3123" s="3" t="s">
        <v>3068</v>
      </c>
      <c r="C3123" s="3" t="str">
        <f>IFERROR(__xludf.DUMMYFUNCTION("GOOGLETRANSLATE(B3123,""id"",""en"")"),"['Promo', 'like']")</f>
        <v>['Promo', 'like']</v>
      </c>
      <c r="D3123" s="3">
        <v>4.0</v>
      </c>
    </row>
    <row r="3124" ht="15.75" customHeight="1">
      <c r="A3124" s="1">
        <v>3320.0</v>
      </c>
      <c r="B3124" s="3" t="s">
        <v>3069</v>
      </c>
      <c r="C3124" s="3" t="str">
        <f>IFERROR(__xludf.DUMMYFUNCTION("GOOGLETRANSLATE(B3124,""id"",""en"")"),"['Please', 'here', 'decreases',' example ',' simple ',' open ',' the application ',' difficult ',' sometimes', 'blank', 'loading', 'said', ' network ',' buset ',' expensive ',' doang ',' quality ',' Tiarp ',' lose ',' provider ',' next door ',' Ancuur ','"&amp;" threat ',' cave ',' post ' , 'Review', 'really', 'Loading', '']")</f>
        <v>['Please', 'here', 'decreases',' example ',' simple ',' open ',' the application ',' difficult ',' sometimes', 'blank', 'loading', 'said', ' network ',' buset ',' expensive ',' doang ',' quality ',' Tiarp ',' lose ',' provider ',' next door ',' Ancuur ',' threat ',' cave ',' post ' , 'Review', 'really', 'Loading', '']</v>
      </c>
      <c r="D3124" s="3">
        <v>1.0</v>
      </c>
    </row>
    <row r="3125" ht="15.75" customHeight="1">
      <c r="A3125" s="1">
        <v>3321.0</v>
      </c>
      <c r="B3125" s="3" t="s">
        <v>3070</v>
      </c>
      <c r="C3125" s="3" t="str">
        <f>IFERROR(__xludf.DUMMYFUNCTION("GOOGLETRANSLATE(B3125,""id"",""en"")"),"['HeeMmm', 'severe', 'network', 'Telkomsel', 'signal', 'ilang', 'slow', 'network', 'TPI', 'Internet', 'signal', 'strong', ' Stable ',' Hopefully ',' users', 'Telokmsel', 'turn', '']")</f>
        <v>['HeeMmm', 'severe', 'network', 'Telkomsel', 'signal', 'ilang', 'slow', 'network', 'TPI', 'Internet', 'signal', 'strong', ' Stable ',' Hopefully ',' users', 'Telokmsel', 'turn', '']</v>
      </c>
      <c r="D3125" s="3">
        <v>1.0</v>
      </c>
    </row>
    <row r="3126" ht="15.75" customHeight="1">
      <c r="A3126" s="1">
        <v>3322.0</v>
      </c>
      <c r="B3126" s="3" t="s">
        <v>3071</v>
      </c>
      <c r="C3126" s="3" t="str">
        <f>IFERROR(__xludf.DUMMYFUNCTION("GOOGLETRANSLATE(B3126,""id"",""en"")"),"['Increasing', 'Telkomsel', 'Supports', 'TKS', 'The Info']")</f>
        <v>['Increasing', 'Telkomsel', 'Supports', 'TKS', 'The Info']</v>
      </c>
      <c r="D3126" s="3">
        <v>5.0</v>
      </c>
    </row>
    <row r="3127" ht="15.75" customHeight="1">
      <c r="A3127" s="1">
        <v>3323.0</v>
      </c>
      <c r="B3127" s="3" t="s">
        <v>3072</v>
      </c>
      <c r="C3127" s="3" t="str">
        <f>IFERROR(__xludf.DUMMYFUNCTION("GOOGLETRANSLATE(B3127,""id"",""en"")"),"['pulse', 'run out', 'use', 'internet']")</f>
        <v>['pulse', 'run out', 'use', 'internet']</v>
      </c>
      <c r="D3127" s="3">
        <v>2.0</v>
      </c>
    </row>
    <row r="3128" ht="15.75" customHeight="1">
      <c r="A3128" s="1">
        <v>3324.0</v>
      </c>
      <c r="B3128" s="3" t="s">
        <v>3073</v>
      </c>
      <c r="C3128" s="3" t="str">
        <f>IFERROR(__xludf.DUMMYFUNCTION("GOOGLETRANSLATE(B3128,""id"",""en"")"),"['card', 'anjeng', 'gada', 'wind', 'meek', 'ujan', 'signal', 'Ilangga', 'pig', 'devil', 'cave', 'lose', ' Ranked ']")</f>
        <v>['card', 'anjeng', 'gada', 'wind', 'meek', 'ujan', 'signal', 'Ilangga', 'pig', 'devil', 'cave', 'lose', ' Ranked ']</v>
      </c>
      <c r="D3128" s="3">
        <v>1.0</v>
      </c>
    </row>
    <row r="3129" ht="15.75" customHeight="1">
      <c r="A3129" s="1">
        <v>3325.0</v>
      </c>
      <c r="B3129" s="3" t="s">
        <v>3074</v>
      </c>
      <c r="C3129" s="3" t="str">
        <f>IFERROR(__xludf.DUMMYFUNCTION("GOOGLETRANSLATE(B3129,""id"",""en"")"),"['disappointing']")</f>
        <v>['disappointing']</v>
      </c>
      <c r="D3129" s="3">
        <v>1.0</v>
      </c>
    </row>
    <row r="3130" ht="15.75" customHeight="1">
      <c r="A3130" s="1">
        <v>3326.0</v>
      </c>
      <c r="B3130" s="3" t="s">
        <v>3075</v>
      </c>
      <c r="C3130" s="3" t="str">
        <f>IFERROR(__xludf.DUMMYFUNCTION("GOOGLETRANSLATE(B3130,""id"",""en"")"),"['Telkomsel', 'ugly', 'signal']")</f>
        <v>['Telkomsel', 'ugly', 'signal']</v>
      </c>
      <c r="D3130" s="3">
        <v>1.0</v>
      </c>
    </row>
    <row r="3131" ht="15.75" customHeight="1">
      <c r="A3131" s="1">
        <v>3327.0</v>
      </c>
      <c r="B3131" s="3" t="s">
        <v>3076</v>
      </c>
      <c r="C3131" s="3" t="str">
        <f>IFERROR(__xludf.DUMMYFUNCTION("GOOGLETRANSLATE(B3131,""id"",""en"")"),"['expensive', 'doang', 'ngelag', 'mending', 'cheap', 'smooth', 'habit', 'expensive', 'yes', 'ngelag', 'yes']")</f>
        <v>['expensive', 'doang', 'ngelag', 'mending', 'cheap', 'smooth', 'habit', 'expensive', 'yes', 'ngelag', 'yes']</v>
      </c>
      <c r="D3131" s="3">
        <v>1.0</v>
      </c>
    </row>
    <row r="3132" ht="15.75" customHeight="1">
      <c r="A3132" s="1">
        <v>3328.0</v>
      </c>
      <c r="B3132" s="3" t="s">
        <v>3077</v>
      </c>
      <c r="C3132" s="3" t="str">
        <f>IFERROR(__xludf.DUMMYFUNCTION("GOOGLETRANSLATE(B3132,""id"",""en"")"),"['knp', 'unlimeted', 'signal', 'ugly', 'really', 'line', 'open', 'application', 'nyiasi', 'direct', 'broken', 'omg', ' unlimited ',' pdhal ',' stay ',' city ',' signal ',' ugly ',' strange ',' tlng ',' fix ',' signal ',' Tangerang ',' city ',' TDI ' , 'bu"&amp;"y', 'quota', 'application', 'Telkomsel', 'notif', 'success',' right ',' open ',' apk ',' sms', 'cut', 'data', ' Matiin ',' Cut ',' thousand ',' Week ',' kmrn ',' that's', 'BLI', 'APK', 'MSK', 'SKLS', 'Telkomsel', 'APK', 'trobel' ]")</f>
        <v>['knp', 'unlimeted', 'signal', 'ugly', 'really', 'line', 'open', 'application', 'nyiasi', 'direct', 'broken', 'omg', ' unlimited ',' pdhal ',' stay ',' city ',' signal ',' ugly ',' strange ',' tlng ',' fix ',' signal ',' Tangerang ',' city ',' TDI ' , 'buy', 'quota', 'application', 'Telkomsel', 'notif', 'success',' right ',' open ',' apk ',' sms', 'cut', 'data', ' Matiin ',' Cut ',' thousand ',' Week ',' kmrn ',' that's', 'BLI', 'APK', 'MSK', 'SKLS', 'Telkomsel', 'APK', 'trobel' ]</v>
      </c>
      <c r="D3132" s="3">
        <v>1.0</v>
      </c>
    </row>
    <row r="3133" ht="15.75" customHeight="1">
      <c r="A3133" s="1">
        <v>3329.0</v>
      </c>
      <c r="B3133" s="3" t="s">
        <v>3078</v>
      </c>
      <c r="C3133" s="3" t="str">
        <f>IFERROR(__xludf.DUMMYFUNCTION("GOOGLETRANSLATE(B3133,""id"",""en"")"),"['here', 'severe', 'signal', 'quota', 'already', 'may', 'expensive', 'call', 'flashlight', 'slalu', 'network', 'that's']")</f>
        <v>['here', 'severe', 'signal', 'quota', 'already', 'may', 'expensive', 'call', 'flashlight', 'slalu', 'network', 'that's']</v>
      </c>
      <c r="D3133" s="3">
        <v>1.0</v>
      </c>
    </row>
    <row r="3134" ht="15.75" customHeight="1">
      <c r="A3134" s="1">
        <v>3330.0</v>
      </c>
      <c r="B3134" s="3" t="s">
        <v>3079</v>
      </c>
      <c r="C3134" s="3" t="str">
        <f>IFERROR(__xludf.DUMMYFUNCTION("GOOGLETRANSLATE(B3134,""id"",""en"")"),"['display', 'simple', 'description', 'like', 'promo', 'price', 'package', 'top', 'pulses', ""]")</f>
        <v>['display', 'simple', 'description', 'like', 'promo', 'price', 'package', 'top', 'pulses', "]</v>
      </c>
      <c r="D3134" s="3">
        <v>4.0</v>
      </c>
    </row>
    <row r="3135" ht="15.75" customHeight="1">
      <c r="A3135" s="1">
        <v>3331.0</v>
      </c>
      <c r="B3135" s="3" t="s">
        <v>3080</v>
      </c>
      <c r="C3135" s="3" t="str">
        <f>IFERROR(__xludf.DUMMYFUNCTION("GOOGLETRANSLATE(B3135,""id"",""en"")"),"['Give', 'quota']")</f>
        <v>['Give', 'quota']</v>
      </c>
      <c r="D3135" s="3">
        <v>5.0</v>
      </c>
    </row>
    <row r="3136" ht="15.75" customHeight="1">
      <c r="A3136" s="1">
        <v>3332.0</v>
      </c>
      <c r="B3136" s="3" t="s">
        <v>3081</v>
      </c>
      <c r="C3136" s="3" t="str">
        <f>IFERROR(__xludf.DUMMYFUNCTION("GOOGLETRANSLATE(B3136,""id"",""en"")"),"['Telkomsel', 'network', 'slow', 'lose', 'oprator', 'users', 'telkomsel', 'hbis', 'sya', 'seller', 'lemottt', 'mksih']")</f>
        <v>['Telkomsel', 'network', 'slow', 'lose', 'oprator', 'users', 'telkomsel', 'hbis', 'sya', 'seller', 'lemottt', 'mksih']</v>
      </c>
      <c r="D3136" s="3">
        <v>5.0</v>
      </c>
    </row>
    <row r="3137" ht="15.75" customHeight="1">
      <c r="A3137" s="1">
        <v>3333.0</v>
      </c>
      <c r="B3137" s="3" t="s">
        <v>3082</v>
      </c>
      <c r="C3137" s="3" t="str">
        <f>IFERROR(__xludf.DUMMYFUNCTION("GOOGLETRANSLATE(B3137,""id"",""en"")"),"['Assalamualaikum', 'Min', 'Adin', 'Reedem', 'Code', 'MLBB', 'Min', 'please', ""]")</f>
        <v>['Assalamualaikum', 'Min', 'Adin', 'Reedem', 'Code', 'MLBB', 'Min', 'please', "]</v>
      </c>
      <c r="D3137" s="3">
        <v>5.0</v>
      </c>
    </row>
    <row r="3138" ht="15.75" customHeight="1">
      <c r="A3138" s="1">
        <v>3334.0</v>
      </c>
      <c r="B3138" s="3" t="s">
        <v>3083</v>
      </c>
      <c r="C3138" s="3" t="str">
        <f>IFERROR(__xludf.DUMMYFUNCTION("GOOGLETRANSLATE(B3138,""id"",""en"")"),"['Loss', 'signal', 'visits', 'normal', 'already', 'user', 'network', 'Telkomsel', 'disappointed']")</f>
        <v>['Loss', 'signal', 'visits', 'normal', 'already', 'user', 'network', 'Telkomsel', 'disappointed']</v>
      </c>
      <c r="D3138" s="3">
        <v>1.0</v>
      </c>
    </row>
    <row r="3139" ht="15.75" customHeight="1">
      <c r="A3139" s="1">
        <v>3335.0</v>
      </c>
      <c r="B3139" s="3" t="s">
        <v>3084</v>
      </c>
      <c r="C3139" s="3" t="str">
        <f>IFERROR(__xludf.DUMMYFUNCTION("GOOGLETRANSLATE(B3139,""id"",""en"")"),"['disappointed', 'already', 'package', 'expensive', 'signal', 'slow', 'please', 'please', 'please', 'repaired', 'network', 'internet', ' ']")</f>
        <v>['disappointed', 'already', 'package', 'expensive', 'signal', 'slow', 'please', 'please', 'please', 'repaired', 'network', 'internet', ' ']</v>
      </c>
      <c r="D3139" s="3">
        <v>1.0</v>
      </c>
    </row>
    <row r="3140" ht="15.75" customHeight="1">
      <c r="A3140" s="1">
        <v>3336.0</v>
      </c>
      <c r="B3140" s="3" t="s">
        <v>3085</v>
      </c>
      <c r="C3140" s="3" t="str">
        <f>IFERROR(__xludf.DUMMYFUNCTION("GOOGLETRANSLATE(B3140,""id"",""en"")"),"['Cool', 'Application', 'Inch', 'Help', 'Peblianpakketan', 'Suguh', 'Satisfied', 'Guudlcak']")</f>
        <v>['Cool', 'Application', 'Inch', 'Help', 'Peblianpakketan', 'Suguh', 'Satisfied', 'Guudlcak']</v>
      </c>
      <c r="D3140" s="3">
        <v>5.0</v>
      </c>
    </row>
    <row r="3141" ht="15.75" customHeight="1">
      <c r="A3141" s="1">
        <v>3337.0</v>
      </c>
      <c r="B3141" s="3" t="s">
        <v>3086</v>
      </c>
      <c r="C3141" s="3" t="str">
        <f>IFERROR(__xludf.DUMMYFUNCTION("GOOGLETRANSLATE(B3141,""id"",""en"")"),"['Please', 'Fix', 'Signal', 'Good', 'Like', 'Ngelag', 'Please', 'Help', ""]")</f>
        <v>['Please', 'Fix', 'Signal', 'Good', 'Like', 'Ngelag', 'Please', 'Help', "]</v>
      </c>
      <c r="D3141" s="3">
        <v>5.0</v>
      </c>
    </row>
    <row r="3142" ht="15.75" customHeight="1">
      <c r="A3142" s="1">
        <v>3338.0</v>
      </c>
      <c r="B3142" s="3" t="s">
        <v>3087</v>
      </c>
      <c r="C3142" s="3" t="str">
        <f>IFERROR(__xludf.DUMMYFUNCTION("GOOGLETRANSLATE(B3142,""id"",""en"")"),"['easy', 'check', 'quota']")</f>
        <v>['easy', 'check', 'quota']</v>
      </c>
      <c r="D3142" s="3">
        <v>5.0</v>
      </c>
    </row>
    <row r="3143" ht="15.75" customHeight="1">
      <c r="A3143" s="1">
        <v>3339.0</v>
      </c>
      <c r="B3143" s="3" t="s">
        <v>3088</v>
      </c>
      <c r="C3143" s="3" t="str">
        <f>IFERROR(__xludf.DUMMYFUNCTION("GOOGLETRANSLATE(B3143,""id"",""en"")"),"['satisfying', 'star']")</f>
        <v>['satisfying', 'star']</v>
      </c>
      <c r="D3143" s="3">
        <v>5.0</v>
      </c>
    </row>
    <row r="3144" ht="15.75" customHeight="1">
      <c r="A3144" s="1">
        <v>3340.0</v>
      </c>
      <c r="B3144" s="3" t="s">
        <v>3089</v>
      </c>
      <c r="C3144" s="3" t="str">
        <f>IFERROR(__xludf.DUMMYFUNCTION("GOOGLETRANSLATE(B3144,""id"",""en"")"),"['network', 'slow', 'price', 'package', 'expensive', '']")</f>
        <v>['network', 'slow', 'price', 'package', 'expensive', '']</v>
      </c>
      <c r="D3144" s="3">
        <v>1.0</v>
      </c>
    </row>
    <row r="3145" ht="15.75" customHeight="1">
      <c r="A3145" s="1">
        <v>3342.0</v>
      </c>
      <c r="B3145" s="3" t="s">
        <v>3090</v>
      </c>
      <c r="C3145" s="3" t="str">
        <f>IFERROR(__xludf.DUMMYFUNCTION("GOOGLETRANSLATE(B3145,""id"",""en"")"),"['Error', 'APK', 'Screen', 'Kadi', 'White', 'Log', 'Offer', 'Since', 'Update']")</f>
        <v>['Error', 'APK', 'Screen', 'Kadi', 'White', 'Log', 'Offer', 'Since', 'Update']</v>
      </c>
      <c r="D3145" s="3">
        <v>1.0</v>
      </c>
    </row>
    <row r="3146" ht="15.75" customHeight="1">
      <c r="A3146" s="1">
        <v>3343.0</v>
      </c>
      <c r="B3146" s="3" t="s">
        <v>3091</v>
      </c>
      <c r="C3146" s="3" t="str">
        <f>IFERROR(__xludf.DUMMYFUNCTION("GOOGLETRANSLATE(B3146,""id"",""en"")"),"['Increase', 'Network', 'Comfortable']")</f>
        <v>['Increase', 'Network', 'Comfortable']</v>
      </c>
      <c r="D3146" s="3">
        <v>4.0</v>
      </c>
    </row>
    <row r="3147" ht="15.75" customHeight="1">
      <c r="A3147" s="1">
        <v>3344.0</v>
      </c>
      <c r="B3147" s="3" t="s">
        <v>3092</v>
      </c>
      <c r="C3147" s="3" t="str">
        <f>IFERROR(__xludf.DUMMYFUNCTION("GOOGLETRANSLATE(B3147,""id"",""en"")"),"['buy', 'package', 'might', 'expensive']")</f>
        <v>['buy', 'package', 'might', 'expensive']</v>
      </c>
      <c r="D3147" s="3">
        <v>2.0</v>
      </c>
    </row>
    <row r="3148" ht="15.75" customHeight="1">
      <c r="A3148" s="1">
        <v>3345.0</v>
      </c>
      <c r="B3148" s="3" t="s">
        <v>3093</v>
      </c>
      <c r="C3148" s="3" t="str">
        <f>IFERROR(__xludf.DUMMYFUNCTION("GOOGLETRANSLATE(B3148,""id"",""en"")"),"['signal', 'Mantab', 'rates', 'Kulaitas', 'Menunununnnn', 'disappointing']")</f>
        <v>['signal', 'Mantab', 'rates', 'Kulaitas', 'Menunununnnn', 'disappointing']</v>
      </c>
      <c r="D3148" s="3">
        <v>1.0</v>
      </c>
    </row>
    <row r="3149" ht="15.75" customHeight="1">
      <c r="A3149" s="1">
        <v>3347.0</v>
      </c>
      <c r="B3149" s="3" t="s">
        <v>3094</v>
      </c>
      <c r="C3149" s="3" t="str">
        <f>IFERROR(__xludf.DUMMYFUNCTION("GOOGLETRANSLATE(B3149,""id"",""en"")"),"['Ngilake', 'Price', ""]")</f>
        <v>['Ngilake', 'Price', "]</v>
      </c>
      <c r="D3149" s="3">
        <v>1.0</v>
      </c>
    </row>
    <row r="3150" ht="15.75" customHeight="1">
      <c r="A3150" s="1">
        <v>3348.0</v>
      </c>
      <c r="B3150" s="3" t="s">
        <v>3095</v>
      </c>
      <c r="C3150" s="3" t="str">
        <f>IFERROR(__xludf.DUMMYFUNCTION("GOOGLETRANSLATE(B3150,""id"",""en"")"),"['Credit check']")</f>
        <v>['Credit check']</v>
      </c>
      <c r="D3150" s="3">
        <v>5.0</v>
      </c>
    </row>
    <row r="3151" ht="15.75" customHeight="1">
      <c r="A3151" s="1">
        <v>3349.0</v>
      </c>
      <c r="B3151" s="3" t="s">
        <v>3096</v>
      </c>
      <c r="C3151" s="3" t="str">
        <f>IFERROR(__xludf.DUMMYFUNCTION("GOOGLETRANSLATE(B3151,""id"",""en"")"),"['network', 'Telkomsel', 'uda', 'expensive', 'network', 'difficult', 'uda', 'lose', 'network', 'please', 'repair', 'person', ' switch']")</f>
        <v>['network', 'Telkomsel', 'uda', 'expensive', 'network', 'difficult', 'uda', 'lose', 'network', 'please', 'repair', 'person', ' switch']</v>
      </c>
      <c r="D3151" s="3">
        <v>1.0</v>
      </c>
    </row>
    <row r="3152" ht="15.75" customHeight="1">
      <c r="A3152" s="1">
        <v>3350.0</v>
      </c>
      <c r="B3152" s="3" t="s">
        <v>3097</v>
      </c>
      <c r="C3152" s="3" t="str">
        <f>IFERROR(__xludf.DUMMYFUNCTION("GOOGLETRANSLATE(B3152,""id"",""en"")"),"['Facilitates', 'Purchase', 'Package']")</f>
        <v>['Facilitates', 'Purchase', 'Package']</v>
      </c>
      <c r="D3152" s="3">
        <v>5.0</v>
      </c>
    </row>
    <row r="3153" ht="15.75" customHeight="1">
      <c r="A3153" s="1">
        <v>3351.0</v>
      </c>
      <c r="B3153" s="3" t="s">
        <v>2264</v>
      </c>
      <c r="C3153" s="3" t="str">
        <f>IFERROR(__xludf.DUMMYFUNCTION("GOOGLETRANSLATE(B3153,""id"",""en"")"),"['APK', 'good']")</f>
        <v>['APK', 'good']</v>
      </c>
      <c r="D3153" s="3">
        <v>5.0</v>
      </c>
    </row>
    <row r="3154" ht="15.75" customHeight="1">
      <c r="A3154" s="1">
        <v>3352.0</v>
      </c>
      <c r="B3154" s="3" t="s">
        <v>3098</v>
      </c>
      <c r="C3154" s="3" t="str">
        <f>IFERROR(__xludf.DUMMYFUNCTION("GOOGLETRANSLATE(B3154,""id"",""en"")"),"['Satisfied', 'Denga', 'Network']")</f>
        <v>['Satisfied', 'Denga', 'Network']</v>
      </c>
      <c r="D3154" s="3">
        <v>5.0</v>
      </c>
    </row>
    <row r="3155" ht="15.75" customHeight="1">
      <c r="A3155" s="1">
        <v>3353.0</v>
      </c>
      <c r="B3155" s="3" t="s">
        <v>3099</v>
      </c>
      <c r="C3155" s="3" t="str">
        <f>IFERROR(__xludf.DUMMYFUNCTION("GOOGLETRANSLATE(B3155,""id"",""en"")"),"['', 'Telkomsel', 'Best', '']")</f>
        <v>['', 'Telkomsel', 'Best', '']</v>
      </c>
      <c r="D3155" s="3">
        <v>5.0</v>
      </c>
    </row>
    <row r="3156" ht="15.75" customHeight="1">
      <c r="A3156" s="1">
        <v>3354.0</v>
      </c>
      <c r="B3156" s="3" t="s">
        <v>3100</v>
      </c>
      <c r="C3156" s="3" t="str">
        <f>IFERROR(__xludf.DUMMYFUNCTION("GOOGLETRANSLATE(B3156,""id"",""en"")"),"['Steady', 'just', 'AGK', 'Lemot', 'Letoy', 'bro', ""]")</f>
        <v>['Steady', 'just', 'AGK', 'Lemot', 'Letoy', 'bro', "]</v>
      </c>
      <c r="D3156" s="3">
        <v>4.0</v>
      </c>
    </row>
    <row r="3157" ht="15.75" customHeight="1">
      <c r="A3157" s="1">
        <v>3355.0</v>
      </c>
      <c r="B3157" s="3" t="s">
        <v>3101</v>
      </c>
      <c r="C3157" s="3" t="str">
        <f>IFERROR(__xludf.DUMMYFUNCTION("GOOGLETRANSLATE(B3157,""id"",""en"")"),"['Network', 'Network', 'poor', 'really', '']")</f>
        <v>['Network', 'Network', 'poor', 'really', '']</v>
      </c>
      <c r="D3157" s="3">
        <v>1.0</v>
      </c>
    </row>
    <row r="3158" ht="15.75" customHeight="1">
      <c r="A3158" s="1">
        <v>3356.0</v>
      </c>
      <c r="B3158" s="3" t="s">
        <v>3102</v>
      </c>
      <c r="C3158" s="3" t="str">
        <f>IFERROR(__xludf.DUMMYFUNCTION("GOOGLETRANSLATE(B3158,""id"",""en"")"),"['Tlkom', 'Points', 'UDH', 'BNYK', 'TPI', 'Diredeem']")</f>
        <v>['Tlkom', 'Points', 'UDH', 'BNYK', 'TPI', 'Diredeem']</v>
      </c>
      <c r="D3158" s="3">
        <v>1.0</v>
      </c>
    </row>
    <row r="3159" ht="15.75" customHeight="1">
      <c r="A3159" s="1">
        <v>3357.0</v>
      </c>
      <c r="B3159" s="3" t="s">
        <v>3103</v>
      </c>
      <c r="C3159" s="3" t="str">
        <f>IFERROR(__xludf.DUMMYFUNCTION("GOOGLETRANSLATE(B3159,""id"",""en"")"),"['convenience', 'application', 'good', 'package', 'combo', 'saktinya', 'unfortunate', 'expensive', 'quota', 'cause', 'quota', 'used', ' Active ',' hope ',' combo ',' Sakti ',' quota ',' quota ',' wasted ',' vain ',' vain ',' person ',' reach ',' bought ',"&amp;"' thank you ' ]")</f>
        <v>['convenience', 'application', 'good', 'package', 'combo', 'saktinya', 'unfortunate', 'expensive', 'quota', 'cause', 'quota', 'used', ' Active ',' hope ',' combo ',' Sakti ',' quota ',' quota ',' wasted ',' vain ',' vain ',' person ',' reach ',' bought ',' thank you ' ]</v>
      </c>
      <c r="D3159" s="3">
        <v>3.0</v>
      </c>
    </row>
    <row r="3160" ht="15.75" customHeight="1">
      <c r="A3160" s="1">
        <v>3358.0</v>
      </c>
      <c r="B3160" s="3" t="s">
        <v>3104</v>
      </c>
      <c r="C3160" s="3" t="str">
        <f>IFERROR(__xludf.DUMMYFUNCTION("GOOGLETRANSLATE(B3160,""id"",""en"")"),"['Application', 'Slow', 'Severe', 'Open', 'Application', 'Wait']")</f>
        <v>['Application', 'Slow', 'Severe', 'Open', 'Application', 'Wait']</v>
      </c>
      <c r="D3160" s="3">
        <v>1.0</v>
      </c>
    </row>
    <row r="3161" ht="15.75" customHeight="1">
      <c r="A3161" s="1">
        <v>3359.0</v>
      </c>
      <c r="B3161" s="3" t="s">
        <v>3105</v>
      </c>
      <c r="C3161" s="3" t="str">
        <f>IFERROR(__xludf.DUMMYFUNCTION("GOOGLETRANSLATE(B3161,""id"",""en"")"),"['Open', 'Application', 'Lemot', 'Change', 'Logo']")</f>
        <v>['Open', 'Application', 'Lemot', 'Change', 'Logo']</v>
      </c>
      <c r="D3161" s="3">
        <v>3.0</v>
      </c>
    </row>
    <row r="3162" ht="15.75" customHeight="1">
      <c r="A3162" s="1">
        <v>3360.0</v>
      </c>
      <c r="B3162" s="3" t="s">
        <v>3106</v>
      </c>
      <c r="C3162" s="3" t="str">
        <f>IFERROR(__xludf.DUMMYFUNCTION("GOOGLETRANSLATE(B3162,""id"",""en"")"),"['Good', 'Klok', 'Loding', '']")</f>
        <v>['Good', 'Klok', 'Loding', '']</v>
      </c>
      <c r="D3162" s="3">
        <v>4.0</v>
      </c>
    </row>
    <row r="3163" ht="15.75" customHeight="1">
      <c r="A3163" s="1">
        <v>3361.0</v>
      </c>
      <c r="B3163" s="3" t="s">
        <v>3107</v>
      </c>
      <c r="C3163" s="3" t="str">
        <f>IFERROR(__xludf.DUMMYFUNCTION("GOOGLETRANSLATE(B3163,""id"",""en"")"),"['Lumping', 'Credit', 'Direct', 'Sumpot', 'Out', '']")</f>
        <v>['Lumping', 'Credit', 'Direct', 'Sumpot', 'Out', '']</v>
      </c>
      <c r="D3163" s="3">
        <v>5.0</v>
      </c>
    </row>
    <row r="3164" ht="15.75" customHeight="1">
      <c r="A3164" s="1">
        <v>3363.0</v>
      </c>
      <c r="B3164" s="3" t="s">
        <v>3108</v>
      </c>
      <c r="C3164" s="3" t="str">
        <f>IFERROR(__xludf.DUMMYFUNCTION("GOOGLETRANSLATE(B3164,""id"",""en"")"),"['package', 'expensive', 'obstacle', 'network', '']")</f>
        <v>['package', 'expensive', 'obstacle', 'network', '']</v>
      </c>
      <c r="D3164" s="3">
        <v>2.0</v>
      </c>
    </row>
    <row r="3165" ht="15.75" customHeight="1">
      <c r="A3165" s="1">
        <v>3364.0</v>
      </c>
      <c r="B3165" s="3" t="s">
        <v>3109</v>
      </c>
      <c r="C3165" s="3" t="str">
        <f>IFERROR(__xludf.DUMMYFUNCTION("GOOGLETRANSLATE(B3165,""id"",""en"")"),"['BISMILLAHIRRAHMANIRRAHIM', 'Hopefully', 'Help', ""]")</f>
        <v>['BISMILLAHIRRAHMANIRRAHIM', 'Hopefully', 'Help', "]</v>
      </c>
      <c r="D3165" s="3">
        <v>5.0</v>
      </c>
    </row>
    <row r="3166" ht="15.75" customHeight="1">
      <c r="A3166" s="1">
        <v>3365.0</v>
      </c>
      <c r="B3166" s="3" t="s">
        <v>3110</v>
      </c>
      <c r="C3166" s="3" t="str">
        <f>IFERROR(__xludf.DUMMYFUNCTION("GOOGLETRANSLATE(B3166,""id"",""en"")"),"['Alhamdulillah', 'Rupiah']")</f>
        <v>['Alhamdulillah', 'Rupiah']</v>
      </c>
      <c r="D3166" s="3">
        <v>4.0</v>
      </c>
    </row>
    <row r="3167" ht="15.75" customHeight="1">
      <c r="A3167" s="1">
        <v>3366.0</v>
      </c>
      <c r="B3167" s="3" t="s">
        <v>3111</v>
      </c>
      <c r="C3167" s="3" t="str">
        <f>IFERROR(__xludf.DUMMYFUNCTION("GOOGLETRANSLATE(B3167,""id"",""en"")"),"['Please', 'Fix', 'Network', 'Internet', 'Maluku', 'The Network', 'Slow', '']")</f>
        <v>['Please', 'Fix', 'Network', 'Internet', 'Maluku', 'The Network', 'Slow', '']</v>
      </c>
      <c r="D3167" s="3">
        <v>1.0</v>
      </c>
    </row>
    <row r="3168" ht="15.75" customHeight="1">
      <c r="A3168" s="1">
        <v>3367.0</v>
      </c>
      <c r="B3168" s="3" t="s">
        <v>3112</v>
      </c>
      <c r="C3168" s="3" t="str">
        <f>IFERROR(__xludf.DUMMYFUNCTION("GOOGLETRANSLATE(B3168,""id"",""en"")"),"['Satisfied', 'really', 'weans', 'the application', '']")</f>
        <v>['Satisfied', 'really', 'weans', 'the application', '']</v>
      </c>
      <c r="D3168" s="3">
        <v>3.0</v>
      </c>
    </row>
    <row r="3169" ht="15.75" customHeight="1">
      <c r="A3169" s="1">
        <v>3368.0</v>
      </c>
      <c r="B3169" s="3" t="s">
        <v>3113</v>
      </c>
      <c r="C3169" s="3" t="str">
        <f>IFERROR(__xludf.DUMMYFUNCTION("GOOGLETRANSLATE(B3169,""id"",""en"")"),"['Error', 'Asik', ""]")</f>
        <v>['Error', 'Asik', "]</v>
      </c>
      <c r="D3169" s="3">
        <v>1.0</v>
      </c>
    </row>
    <row r="3170" ht="15.75" customHeight="1">
      <c r="A3170" s="1">
        <v>3369.0</v>
      </c>
      <c r="B3170" s="3" t="s">
        <v>3114</v>
      </c>
      <c r="C3170" s="3" t="str">
        <f>IFERROR(__xludf.DUMMYFUNCTION("GOOGLETRANSLATE(B3170,""id"",""en"")"),"['mantapp', 'help']")</f>
        <v>['mantapp', 'help']</v>
      </c>
      <c r="D3170" s="3">
        <v>5.0</v>
      </c>
    </row>
    <row r="3171" ht="15.75" customHeight="1">
      <c r="A3171" s="1">
        <v>3370.0</v>
      </c>
      <c r="B3171" s="3" t="s">
        <v>3115</v>
      </c>
      <c r="C3171" s="3" t="str">
        <f>IFERROR(__xludf.DUMMYFUNCTION("GOOGLETRANSLATE(B3171,""id"",""en"")"),"['Anyway', 'good', 'really', 'direct', 'love', 'star']")</f>
        <v>['Anyway', 'good', 'really', 'direct', 'love', 'star']</v>
      </c>
      <c r="D3171" s="3">
        <v>5.0</v>
      </c>
    </row>
    <row r="3172" ht="15.75" customHeight="1">
      <c r="A3172" s="1">
        <v>3371.0</v>
      </c>
      <c r="B3172" s="3" t="s">
        <v>3116</v>
      </c>
      <c r="C3172" s="3" t="str">
        <f>IFERROR(__xludf.DUMMYFUNCTION("GOOGLETRANSLATE(B3172,""id"",""en"")"),"['Over', 'Time', 'No', 'fix', 'Mending', 'Closed', 'Ajah', 'Application', 'annoyed', 'really']")</f>
        <v>['Over', 'Time', 'No', 'fix', 'Mending', 'Closed', 'Ajah', 'Application', 'annoyed', 'really']</v>
      </c>
      <c r="D3172" s="3">
        <v>1.0</v>
      </c>
    </row>
    <row r="3173" ht="15.75" customHeight="1">
      <c r="A3173" s="1">
        <v>3372.0</v>
      </c>
      <c r="B3173" s="3" t="s">
        <v>3117</v>
      </c>
      <c r="C3173" s="3" t="str">
        <f>IFERROR(__xludf.DUMMYFUNCTION("GOOGLETRANSLATE(B3173,""id"",""en"")"),"['The application', 'Bangus', 'really', 'oath', 'Allah', ""]")</f>
        <v>['The application', 'Bangus', 'really', 'oath', 'Allah', "]</v>
      </c>
      <c r="D3173" s="3">
        <v>5.0</v>
      </c>
    </row>
    <row r="3174" ht="15.75" customHeight="1">
      <c r="A3174" s="1">
        <v>3373.0</v>
      </c>
      <c r="B3174" s="3" t="s">
        <v>3118</v>
      </c>
      <c r="C3174" s="3" t="str">
        <f>IFERROR(__xludf.DUMMYFUNCTION("GOOGLETRANSLATE(B3174,""id"",""en"")"),"['Telkomsel', 'khonnthoollll', 'package', 'expensive', 'Karan', 'number', 'already', 'a year', '']")</f>
        <v>['Telkomsel', 'khonnthoollll', 'package', 'expensive', 'Karan', 'number', 'already', 'a year', '']</v>
      </c>
      <c r="D3174" s="3">
        <v>1.0</v>
      </c>
    </row>
    <row r="3175" ht="15.75" customHeight="1">
      <c r="A3175" s="1">
        <v>3374.0</v>
      </c>
      <c r="B3175" s="3" t="s">
        <v>3119</v>
      </c>
      <c r="C3175" s="3" t="str">
        <f>IFERROR(__xludf.DUMMYFUNCTION("GOOGLETRANSLATE(B3175,""id"",""en"")"),"['Download']")</f>
        <v>['Download']</v>
      </c>
      <c r="D3175" s="3">
        <v>1.0</v>
      </c>
    </row>
    <row r="3176" ht="15.75" customHeight="1">
      <c r="A3176" s="1">
        <v>3375.0</v>
      </c>
      <c r="B3176" s="3" t="s">
        <v>3120</v>
      </c>
      <c r="C3176" s="3" t="str">
        <f>IFERROR(__xludf.DUMMYFUNCTION("GOOGLETRANSLATE(B3176,""id"",""en"")"),"['Ribet', 'Exchange', 'Points',' Code ',' Lottery ',' Exchange ',' Points', 'Code', 'Lottery', 'Car', 'Points',' Exchanged ',' Lottery ',' Car ',' How ',' Melet ',' Button ',' Exchange ',' Points', 'Move', 'Menu', 'Exchange', 'Points',' Times', 'Exchange'"&amp;" , 'Points',' Click ',' Points', 'Click', 'Click', 'May', 'God', 'HandPhone', 'Heat', 'Damaged', 'Process',' Alias', ' Ngehang ',' System ']")</f>
        <v>['Ribet', 'Exchange', 'Points',' Code ',' Lottery ',' Exchange ',' Points', 'Code', 'Lottery', 'Car', 'Points',' Exchanged ',' Lottery ',' Car ',' How ',' Melet ',' Button ',' Exchange ',' Points', 'Move', 'Menu', 'Exchange', 'Points',' Times', 'Exchange' , 'Points',' Click ',' Points', 'Click', 'Click', 'May', 'God', 'HandPhone', 'Heat', 'Damaged', 'Process',' Alias', ' Ngehang ',' System ']</v>
      </c>
      <c r="D3176" s="3">
        <v>3.0</v>
      </c>
    </row>
    <row r="3177" ht="15.75" customHeight="1">
      <c r="A3177" s="1">
        <v>3376.0</v>
      </c>
      <c r="B3177" s="3" t="s">
        <v>3121</v>
      </c>
      <c r="C3177" s="3" t="str">
        <f>IFERROR(__xludf.DUMMYFUNCTION("GOOGLETRANSLATE(B3177,""id"",""en"")"),"['knp', 'Reedem', 'voucher', 'point', 'already', 'sumps',' no ',' pulses', 'no', 'right', 'already', 'contents',' pulse ',' no ',' exchange ',' times', 'exchange']")</f>
        <v>['knp', 'Reedem', 'voucher', 'point', 'already', 'sumps',' no ',' pulses', 'no', 'right', 'already', 'contents',' pulse ',' no ',' exchange ',' times', 'exchange']</v>
      </c>
      <c r="D3177" s="3">
        <v>2.0</v>
      </c>
    </row>
    <row r="3178" ht="15.75" customHeight="1">
      <c r="A3178" s="1">
        <v>3377.0</v>
      </c>
      <c r="B3178" s="3" t="s">
        <v>3122</v>
      </c>
      <c r="C3178" s="3" t="str">
        <f>IFERROR(__xludf.DUMMYFUNCTION("GOOGLETRANSLATE(B3178,""id"",""en"")"),"['Good', 'Network', 'Lined']")</f>
        <v>['Good', 'Network', 'Lined']</v>
      </c>
      <c r="D3178" s="3">
        <v>4.0</v>
      </c>
    </row>
    <row r="3179" ht="15.75" customHeight="1">
      <c r="A3179" s="1">
        <v>3378.0</v>
      </c>
      <c r="B3179" s="3" t="s">
        <v>3123</v>
      </c>
      <c r="C3179" s="3" t="str">
        <f>IFERROR(__xludf.DUMMYFUNCTION("GOOGLETRANSLATE(B3179,""id"",""en"")"),"['LBH', 'cheap', 'purchase', 'pulse', 'or', 'package', 'data']")</f>
        <v>['LBH', 'cheap', 'purchase', 'pulse', 'or', 'package', 'data']</v>
      </c>
      <c r="D3179" s="3">
        <v>5.0</v>
      </c>
    </row>
    <row r="3180" ht="15.75" customHeight="1">
      <c r="A3180" s="1">
        <v>3379.0</v>
      </c>
      <c r="B3180" s="3" t="s">
        <v>3124</v>
      </c>
      <c r="C3180" s="3" t="str">
        <f>IFERROR(__xludf.DUMMYFUNCTION("GOOGLETRANSLATE(B3180,""id"",""en"")"),"['Asalamualaikum', 'Min', 'signal', 'Telkomsel', 'ugly', 'really', 'Belinyu', 'district', 'Bangka', 'Islands', 'Bangka', 'Belitung']")</f>
        <v>['Asalamualaikum', 'Min', 'signal', 'Telkomsel', 'ugly', 'really', 'Belinyu', 'district', 'Bangka', 'Islands', 'Bangka', 'Belitung']</v>
      </c>
      <c r="D3180" s="3">
        <v>1.0</v>
      </c>
    </row>
    <row r="3181" ht="15.75" customHeight="1">
      <c r="A3181" s="1">
        <v>3380.0</v>
      </c>
      <c r="B3181" s="3" t="s">
        <v>409</v>
      </c>
      <c r="C3181" s="3" t="str">
        <f>IFERROR(__xludf.DUMMYFUNCTION("GOOGLETRANSLATE(B3181,""id"",""en"")"),"['easy']")</f>
        <v>['easy']</v>
      </c>
      <c r="D3181" s="3">
        <v>5.0</v>
      </c>
    </row>
    <row r="3182" ht="15.75" customHeight="1">
      <c r="A3182" s="1">
        <v>3381.0</v>
      </c>
      <c r="B3182" s="3" t="s">
        <v>3125</v>
      </c>
      <c r="C3182" s="3" t="str">
        <f>IFERROR(__xludf.DUMMYFUNCTION("GOOGLETRANSLATE(B3182,""id"",""en"")"),"['subscribe', 'price', 'expensive']")</f>
        <v>['subscribe', 'price', 'expensive']</v>
      </c>
      <c r="D3182" s="3">
        <v>1.0</v>
      </c>
    </row>
    <row r="3183" ht="15.75" customHeight="1">
      <c r="A3183" s="1">
        <v>3382.0</v>
      </c>
      <c r="B3183" s="3" t="s">
        <v>3126</v>
      </c>
      <c r="C3183" s="3" t="str">
        <f>IFERROR(__xludf.DUMMYFUNCTION("GOOGLETRANSLATE(B3183,""id"",""en"")"),"['Josss', 'Times', 'APK', 'Help']")</f>
        <v>['Josss', 'Times', 'APK', 'Help']</v>
      </c>
      <c r="D3183" s="3">
        <v>5.0</v>
      </c>
    </row>
    <row r="3184" ht="15.75" customHeight="1">
      <c r="A3184" s="1">
        <v>3383.0</v>
      </c>
      <c r="B3184" s="3" t="s">
        <v>3127</v>
      </c>
      <c r="C3184" s="3" t="str">
        <f>IFERROR(__xludf.DUMMYFUNCTION("GOOGLETRANSLATE(B3184,""id"",""en"")"),"['game', 'fun', 'sorry']")</f>
        <v>['game', 'fun', 'sorry']</v>
      </c>
      <c r="D3184" s="3">
        <v>5.0</v>
      </c>
    </row>
    <row r="3185" ht="15.75" customHeight="1">
      <c r="A3185" s="1">
        <v>3384.0</v>
      </c>
      <c r="B3185" s="3" t="s">
        <v>3128</v>
      </c>
      <c r="C3185" s="3" t="str">
        <f>IFERROR(__xludf.DUMMYFUNCTION("GOOGLETRANSLATE(B3185,""id"",""en"")"),"['why', 'Exchange', 'Points', 'Honey', 'Shrimp', 'TPI', 'Exchange']")</f>
        <v>['why', 'Exchange', 'Points', 'Honey', 'Shrimp', 'TPI', 'Exchange']</v>
      </c>
      <c r="D3185" s="3">
        <v>1.0</v>
      </c>
    </row>
    <row r="3186" ht="15.75" customHeight="1">
      <c r="A3186" s="1">
        <v>3385.0</v>
      </c>
      <c r="B3186" s="3" t="s">
        <v>3129</v>
      </c>
      <c r="C3186" s="3" t="str">
        <f>IFERROR(__xludf.DUMMYFUNCTION("GOOGLETRANSLATE(B3186,""id"",""en"")"),"['ApplicationBtolong', 'Enhanced', 'Sampe', 'Heavy']")</f>
        <v>['ApplicationBtolong', 'Enhanced', 'Sampe', 'Heavy']</v>
      </c>
      <c r="D3186" s="3">
        <v>4.0</v>
      </c>
    </row>
    <row r="3187" ht="15.75" customHeight="1">
      <c r="A3187" s="1">
        <v>3386.0</v>
      </c>
      <c r="B3187" s="3" t="s">
        <v>3130</v>
      </c>
      <c r="C3187" s="3" t="str">
        <f>IFERROR(__xludf.DUMMYFUNCTION("GOOGLETRANSLATE(B3187,""id"",""en"")"),"['The application', 'good', 'telephone', 'ngotake', 'pulse', 'rb', 'run out', 'change', 'tariff', 'telephone', 'finished', 'pulses',' Ryesel ',' Telkomsel ',' Mending ',' Change ',' Provider ']")</f>
        <v>['The application', 'good', 'telephone', 'ngotake', 'pulse', 'rb', 'run out', 'change', 'tariff', 'telephone', 'finished', 'pulses',' Ryesel ',' Telkomsel ',' Mending ',' Change ',' Provider ']</v>
      </c>
      <c r="D3187" s="3">
        <v>1.0</v>
      </c>
    </row>
    <row r="3188" ht="15.75" customHeight="1">
      <c r="A3188" s="1">
        <v>3387.0</v>
      </c>
      <c r="B3188" s="3" t="s">
        <v>3131</v>
      </c>
      <c r="C3188" s="3" t="str">
        <f>IFERROR(__xludf.DUMMYFUNCTION("GOOGLETRANSLATE(B3188,""id"",""en"")"),"['May', 'Telkomsel', 'steady']")</f>
        <v>['May', 'Telkomsel', 'steady']</v>
      </c>
      <c r="D3188" s="3">
        <v>5.0</v>
      </c>
    </row>
    <row r="3189" ht="15.75" customHeight="1">
      <c r="A3189" s="1">
        <v>3388.0</v>
      </c>
      <c r="B3189" s="3" t="s">
        <v>3132</v>
      </c>
      <c r="C3189" s="3" t="str">
        <f>IFERROR(__xludf.DUMMYFUNCTION("GOOGLETRANSLATE(B3189,""id"",""en"")"),"['mkasih', 'like', 'aplikaai', 'Telkomsel']")</f>
        <v>['mkasih', 'like', 'aplikaai', 'Telkomsel']</v>
      </c>
      <c r="D3189" s="3">
        <v>5.0</v>
      </c>
    </row>
    <row r="3190" ht="15.75" customHeight="1">
      <c r="A3190" s="1">
        <v>3389.0</v>
      </c>
      <c r="B3190" s="3" t="s">
        <v>3133</v>
      </c>
      <c r="C3190" s="3" t="str">
        <f>IFERROR(__xludf.DUMMYFUNCTION("GOOGLETRANSLATE(B3190,""id"",""en"")"),"['Help', 'signal', 'Telkom', 'please', 'fix']")</f>
        <v>['Help', 'signal', 'Telkom', 'please', 'fix']</v>
      </c>
      <c r="D3190" s="3">
        <v>5.0</v>
      </c>
    </row>
    <row r="3191" ht="15.75" customHeight="1">
      <c r="A3191" s="1">
        <v>3390.0</v>
      </c>
      <c r="B3191" s="3" t="s">
        <v>3134</v>
      </c>
      <c r="C3191" s="3" t="str">
        <f>IFERROR(__xludf.DUMMYFUNCTION("GOOGLETRANSLATE(B3191,""id"",""en"")"),"['Increases', 'Quality', 'Increase']")</f>
        <v>['Increases', 'Quality', 'Increase']</v>
      </c>
      <c r="D3191" s="3">
        <v>3.0</v>
      </c>
    </row>
    <row r="3192" ht="15.75" customHeight="1">
      <c r="A3192" s="1">
        <v>3391.0</v>
      </c>
      <c r="B3192" s="3" t="s">
        <v>3135</v>
      </c>
      <c r="C3192" s="3" t="str">
        <f>IFERROR(__xludf.DUMMYFUNCTION("GOOGLETRANSLATE(B3192,""id"",""en"")"),"['reaction', 'fast', 'emergency']")</f>
        <v>['reaction', 'fast', 'emergency']</v>
      </c>
      <c r="D3192" s="3">
        <v>5.0</v>
      </c>
    </row>
    <row r="3193" ht="15.75" customHeight="1">
      <c r="A3193" s="1">
        <v>3392.0</v>
      </c>
      <c r="B3193" s="3" t="s">
        <v>3136</v>
      </c>
      <c r="C3193" s="3" t="str">
        <f>IFERROR(__xludf.DUMMYFUNCTION("GOOGLETRANSLATE(B3193,""id"",""en"")"),"['Price', 'quota', 'expensive']")</f>
        <v>['Price', 'quota', 'expensive']</v>
      </c>
      <c r="D3193" s="3">
        <v>3.0</v>
      </c>
    </row>
    <row r="3194" ht="15.75" customHeight="1">
      <c r="A3194" s="1">
        <v>3393.0</v>
      </c>
      <c r="B3194" s="3" t="s">
        <v>3137</v>
      </c>
      <c r="C3194" s="3" t="str">
        <f>IFERROR(__xludf.DUMMYFUNCTION("GOOGLETRANSLATE(B3194,""id"",""en"")"),"['buy', 'package', 'internet', 'expensive', 'expensive', 'internet', 'smooth', 'really', 'so oking', 'smooth', 'sampe', 'pingin', ' Banting ',' ']")</f>
        <v>['buy', 'package', 'internet', 'expensive', 'expensive', 'internet', 'smooth', 'really', 'so oking', 'smooth', 'sampe', 'pingin', ' Banting ',' ']</v>
      </c>
      <c r="D3194" s="3">
        <v>1.0</v>
      </c>
    </row>
    <row r="3195" ht="15.75" customHeight="1">
      <c r="A3195" s="1">
        <v>3395.0</v>
      </c>
      <c r="B3195" s="3" t="s">
        <v>3138</v>
      </c>
      <c r="C3195" s="3" t="str">
        <f>IFERROR(__xludf.DUMMYFUNCTION("GOOGLETRANSLATE(B3195,""id"",""en"")"),"['Promo', 'Advertising', 'Siknal', 'Bad', 'Nelfon', 'before', 'LGI', 'Internet']")</f>
        <v>['Promo', 'Advertising', 'Siknal', 'Bad', 'Nelfon', 'before', 'LGI', 'Internet']</v>
      </c>
      <c r="D3195" s="3">
        <v>1.0</v>
      </c>
    </row>
    <row r="3196" ht="15.75" customHeight="1">
      <c r="A3196" s="1">
        <v>3396.0</v>
      </c>
      <c r="B3196" s="3" t="s">
        <v>3139</v>
      </c>
      <c r="C3196" s="3" t="str">
        <f>IFERROR(__xludf.DUMMYFUNCTION("GOOGLETRANSLATE(B3196,""id"",""en"")"),"['Increase', 'improvement', 'network']")</f>
        <v>['Increase', 'improvement', 'network']</v>
      </c>
      <c r="D3196" s="3">
        <v>5.0</v>
      </c>
    </row>
    <row r="3197" ht="15.75" customHeight="1">
      <c r="A3197" s="1">
        <v>3397.0</v>
      </c>
      <c r="B3197" s="3" t="s">
        <v>3140</v>
      </c>
      <c r="C3197" s="3" t="str">
        <f>IFERROR(__xludf.DUMMYFUNCTION("GOOGLETRANSLATE(B3197,""id"",""en"")"),"['Hopefully', 'Severe', 'Nge', 'lag', 'love', ""]")</f>
        <v>['Hopefully', 'Severe', 'Nge', 'lag', 'love', "]</v>
      </c>
      <c r="D3197" s="3">
        <v>5.0</v>
      </c>
    </row>
    <row r="3198" ht="15.75" customHeight="1">
      <c r="A3198" s="1">
        <v>3398.0</v>
      </c>
      <c r="B3198" s="3" t="s">
        <v>3141</v>
      </c>
      <c r="C3198" s="3" t="str">
        <f>IFERROR(__xludf.DUMMYFUNCTION("GOOGLETRANSLATE(B3198,""id"",""en"")"),"['convenience', 'usage']")</f>
        <v>['convenience', 'usage']</v>
      </c>
      <c r="D3198" s="3">
        <v>5.0</v>
      </c>
    </row>
    <row r="3199" ht="15.75" customHeight="1">
      <c r="A3199" s="1">
        <v>3400.0</v>
      </c>
      <c r="B3199" s="3" t="s">
        <v>3142</v>
      </c>
      <c r="C3199" s="3" t="str">
        <f>IFERROR(__xludf.DUMMYFUNCTION("GOOGLETRANSLATE(B3199,""id"",""en"")"),"['Region', 'signal', 'Telkomsel', 'Slalu', 'lag', 'open', 'sosmed', 'game', 'slalu', 'lag']")</f>
        <v>['Region', 'signal', 'Telkomsel', 'Slalu', 'lag', 'open', 'sosmed', 'game', 'slalu', 'lag']</v>
      </c>
      <c r="D3199" s="3">
        <v>1.0</v>
      </c>
    </row>
    <row r="3200" ht="15.75" customHeight="1">
      <c r="A3200" s="1">
        <v>3401.0</v>
      </c>
      <c r="B3200" s="3" t="s">
        <v>270</v>
      </c>
      <c r="C3200" s="3" t="str">
        <f>IFERROR(__xludf.DUMMYFUNCTION("GOOGLETRANSLATE(B3200,""id"",""en"")"),"['pay']")</f>
        <v>['pay']</v>
      </c>
      <c r="D3200" s="3">
        <v>5.0</v>
      </c>
    </row>
    <row r="3201" ht="15.75" customHeight="1">
      <c r="A3201" s="1">
        <v>3402.0</v>
      </c>
      <c r="B3201" s="3" t="s">
        <v>3143</v>
      </c>
      <c r="C3201" s="3" t="str">
        <f>IFERROR(__xludf.DUMMYFUNCTION("GOOGLETRANSLATE(B3201,""id"",""en"")"),"['NGK', 'KNP', 'Update', 'Difficult', 'Dipake', 'Buy', 'Package', 'Application', 'said', 'Disruption', 'System', 'Try', ' BBRP ',' Minutes', 'Cepek', '']")</f>
        <v>['NGK', 'KNP', 'Update', 'Difficult', 'Dipake', 'Buy', 'Package', 'Application', 'said', 'Disruption', 'System', 'Try', ' BBRP ',' Minutes', 'Cepek', '']</v>
      </c>
      <c r="D3201" s="3">
        <v>1.0</v>
      </c>
    </row>
    <row r="3202" ht="15.75" customHeight="1">
      <c r="A3202" s="1">
        <v>3403.0</v>
      </c>
      <c r="B3202" s="3" t="s">
        <v>3144</v>
      </c>
      <c r="C3202" s="3" t="str">
        <f>IFERROR(__xludf.DUMMYFUNCTION("GOOGLETRANSLATE(B3202,""id"",""en"")"),"['Forgiveness', 'Updated', 'Click', 'Updated', 'Open', 'Tumbolnya', 'Tetep', 'Updated', '']")</f>
        <v>['Forgiveness', 'Updated', 'Click', 'Updated', 'Open', 'Tumbolnya', 'Tetep', 'Updated', '']</v>
      </c>
      <c r="D3202" s="3">
        <v>2.0</v>
      </c>
    </row>
    <row r="3203" ht="15.75" customHeight="1">
      <c r="A3203" s="1">
        <v>3404.0</v>
      </c>
      <c r="B3203" s="3" t="s">
        <v>3145</v>
      </c>
      <c r="C3203" s="3" t="str">
        <f>IFERROR(__xludf.DUMMYFUNCTION("GOOGLETRANSLATE(B3203,""id"",""en"")"),"['like']")</f>
        <v>['like']</v>
      </c>
      <c r="D3203" s="3">
        <v>5.0</v>
      </c>
    </row>
    <row r="3204" ht="15.75" customHeight="1">
      <c r="A3204" s="1">
        <v>3405.0</v>
      </c>
      <c r="B3204" s="3" t="s">
        <v>3146</v>
      </c>
      <c r="C3204" s="3" t="str">
        <f>IFERROR(__xludf.DUMMYFUNCTION("GOOGLETRANSLATE(B3204,""id"",""en"")"),"['makes it easier', 'activate', 'data', 'steady', '']")</f>
        <v>['makes it easier', 'activate', 'data', 'steady', '']</v>
      </c>
      <c r="D3204" s="3">
        <v>5.0</v>
      </c>
    </row>
    <row r="3205" ht="15.75" customHeight="1">
      <c r="A3205" s="1">
        <v>3406.0</v>
      </c>
      <c r="B3205" s="3" t="s">
        <v>3147</v>
      </c>
      <c r="C3205" s="3" t="str">
        <f>IFERROR(__xludf.DUMMYFUNCTION("GOOGLETRANSLATE(B3205,""id"",""en"")"),"['application', 'good', 'keep', 'quality', 'min', '']")</f>
        <v>['application', 'good', 'keep', 'quality', 'min', '']</v>
      </c>
      <c r="D3205" s="3">
        <v>5.0</v>
      </c>
    </row>
    <row r="3206" ht="15.75" customHeight="1">
      <c r="A3206" s="1">
        <v>3407.0</v>
      </c>
      <c r="B3206" s="3" t="s">
        <v>3148</v>
      </c>
      <c r="C3206" s="3" t="str">
        <f>IFERROR(__xludf.DUMMYFUNCTION("GOOGLETRANSLATE(B3206,""id"",""en"")"),"['application', 'contents', 'pulse', 'connect', 'gopay']")</f>
        <v>['application', 'contents', 'pulse', 'connect', 'gopay']</v>
      </c>
      <c r="D3206" s="3">
        <v>2.0</v>
      </c>
    </row>
    <row r="3207" ht="15.75" customHeight="1">
      <c r="A3207" s="1">
        <v>3408.0</v>
      </c>
      <c r="B3207" s="3" t="s">
        <v>3149</v>
      </c>
      <c r="C3207" s="3" t="str">
        <f>IFERROR(__xludf.DUMMYFUNCTION("GOOGLETRANSLATE(B3207,""id"",""en"")"),"['Credit', 'suck', 'already', 'package', 'like', 'sucked', 'Hadeh']")</f>
        <v>['Credit', 'suck', 'already', 'package', 'like', 'sucked', 'Hadeh']</v>
      </c>
      <c r="D3207" s="3">
        <v>1.0</v>
      </c>
    </row>
    <row r="3208" ht="15.75" customHeight="1">
      <c r="A3208" s="1">
        <v>3409.0</v>
      </c>
      <c r="B3208" s="3" t="s">
        <v>3150</v>
      </c>
      <c r="C3208" s="3" t="str">
        <f>IFERROR(__xludf.DUMMYFUNCTION("GOOGLETRANSLATE(B3208,""id"",""en"")"),"['loyal', 'customers',' Telkomsel ',' customers', 'loyal', 'points',' exchange ',' points', 'response', 'gift', 'quota', 'Telkomsel', ' Lies', 'real', '']")</f>
        <v>['loyal', 'customers',' Telkomsel ',' customers', 'loyal', 'points',' exchange ',' points', 'response', 'gift', 'quota', 'Telkomsel', ' Lies', 'real', '']</v>
      </c>
      <c r="D3208" s="3">
        <v>5.0</v>
      </c>
    </row>
    <row r="3209" ht="15.75" customHeight="1">
      <c r="A3209" s="1">
        <v>3410.0</v>
      </c>
      <c r="B3209" s="3" t="s">
        <v>3151</v>
      </c>
      <c r="C3209" s="3" t="str">
        <f>IFERROR(__xludf.DUMMYFUNCTION("GOOGLETRANSLATE(B3209,""id"",""en"")"),"['Network', 'skrg', 'slow']")</f>
        <v>['Network', 'skrg', 'slow']</v>
      </c>
      <c r="D3209" s="3">
        <v>3.0</v>
      </c>
    </row>
    <row r="3210" ht="15.75" customHeight="1">
      <c r="A3210" s="1">
        <v>3411.0</v>
      </c>
      <c r="B3210" s="3" t="s">
        <v>3152</v>
      </c>
      <c r="C3210" s="3" t="str">
        <f>IFERROR(__xludf.DUMMYFUNCTION("GOOGLETRANSLATE(B3210,""id"",""en"")"),"['Network', 'KOQ', 'Destroyed', 'Dead', 'Electricity', 'Network', 'Internet', 'Offline', 'Special', 'Region', 'Marelan', 'plunge', ' Buy ',' UPS ',' How ',' Expensive ',' Quality ',' Dibroch ',' ']")</f>
        <v>['Network', 'KOQ', 'Destroyed', 'Dead', 'Electricity', 'Network', 'Internet', 'Offline', 'Special', 'Region', 'Marelan', 'plunge', ' Buy ',' UPS ',' How ',' Expensive ',' Quality ',' Dibroch ',' ']</v>
      </c>
      <c r="D3210" s="3">
        <v>1.0</v>
      </c>
    </row>
    <row r="3211" ht="15.75" customHeight="1">
      <c r="A3211" s="1">
        <v>3412.0</v>
      </c>
      <c r="B3211" s="3" t="s">
        <v>3153</v>
      </c>
      <c r="C3211" s="3" t="str">
        <f>IFERROR(__xludf.DUMMYFUNCTION("GOOGLETRANSLATE(B3211,""id"",""en"")"),"['Prizes', 'interesting', 'like', 'really']")</f>
        <v>['Prizes', 'interesting', 'like', 'really']</v>
      </c>
      <c r="D3211" s="3">
        <v>5.0</v>
      </c>
    </row>
    <row r="3212" ht="15.75" customHeight="1">
      <c r="A3212" s="1">
        <v>3413.0</v>
      </c>
      <c r="B3212" s="3" t="s">
        <v>3154</v>
      </c>
      <c r="C3212" s="3" t="str">
        <f>IFERROR(__xludf.DUMMYFUNCTION("GOOGLETRANSLATE(B3212,""id"",""en"")"),"['Try', 'good', 'dituced', 'knp', 'package', 'data', 'GB', 'bought', 'got off', 'Telkomsel', 'APL', '']")</f>
        <v>['Try', 'good', 'dituced', 'knp', 'package', 'data', 'GB', 'bought', 'got off', 'Telkomsel', 'APL', '']</v>
      </c>
      <c r="D3212" s="3">
        <v>3.0</v>
      </c>
    </row>
    <row r="3213" ht="15.75" customHeight="1">
      <c r="A3213" s="1">
        <v>3414.0</v>
      </c>
      <c r="B3213" s="3" t="s">
        <v>3155</v>
      </c>
      <c r="C3213" s="3" t="str">
        <f>IFERROR(__xludf.DUMMYFUNCTION("GOOGLETRANSLATE(B3213,""id"",""en"")"),"['Good', 'Bangat', 'application']")</f>
        <v>['Good', 'Bangat', 'application']</v>
      </c>
      <c r="D3213" s="3">
        <v>5.0</v>
      </c>
    </row>
    <row r="3214" ht="15.75" customHeight="1">
      <c r="A3214" s="1">
        <v>3415.0</v>
      </c>
      <c r="B3214" s="3" t="s">
        <v>3156</v>
      </c>
      <c r="C3214" s="3" t="str">
        <f>IFERROR(__xludf.DUMMYFUNCTION("GOOGLETRANSLATE(B3214,""id"",""en"")"),"['It's easy', 'wear', 'shopping', 'Package', 'Telkomsel']")</f>
        <v>['It's easy', 'wear', 'shopping', 'Package', 'Telkomsel']</v>
      </c>
      <c r="D3214" s="3">
        <v>5.0</v>
      </c>
    </row>
    <row r="3215" ht="15.75" customHeight="1">
      <c r="A3215" s="1">
        <v>3416.0</v>
      </c>
      <c r="B3215" s="3" t="s">
        <v>3157</v>
      </c>
      <c r="C3215" s="3" t="str">
        <f>IFERROR(__xludf.DUMMYFUNCTION("GOOGLETRANSLATE(B3215,""id"",""en"")"),"['Good', 'TPI', 'here', 'here', 'price', 'soar', 'really', 'got', 'quota', 'comparable', 'price']")</f>
        <v>['Good', 'TPI', 'here', 'here', 'price', 'soar', 'really', 'got', 'quota', 'comparable', 'price']</v>
      </c>
      <c r="D3215" s="3">
        <v>4.0</v>
      </c>
    </row>
    <row r="3216" ht="15.75" customHeight="1">
      <c r="A3216" s="1">
        <v>3417.0</v>
      </c>
      <c r="B3216" s="3" t="s">
        <v>3158</v>
      </c>
      <c r="C3216" s="3" t="str">
        <f>IFERROR(__xludf.DUMMYFUNCTION("GOOGLETRANSLATE(B3216,""id"",""en"")"),"['Mntap', 'Jaya', 'Telkomsel']")</f>
        <v>['Mntap', 'Jaya', 'Telkomsel']</v>
      </c>
      <c r="D3216" s="3">
        <v>5.0</v>
      </c>
    </row>
    <row r="3217" ht="15.75" customHeight="1">
      <c r="A3217" s="1">
        <v>3418.0</v>
      </c>
      <c r="B3217" s="3" t="s">
        <v>3159</v>
      </c>
      <c r="C3217" s="3" t="str">
        <f>IFERROR(__xludf.DUMMYFUNCTION("GOOGLETRANSLATE(B3217,""id"",""en"")"),"['', 'because']")</f>
        <v>['', 'because']</v>
      </c>
      <c r="D3217" s="3">
        <v>2.0</v>
      </c>
    </row>
    <row r="3218" ht="15.75" customHeight="1">
      <c r="A3218" s="1">
        <v>3419.0</v>
      </c>
      <c r="B3218" s="3" t="s">
        <v>3160</v>
      </c>
      <c r="C3218" s="3" t="str">
        <f>IFERROR(__xludf.DUMMYFUNCTION("GOOGLETRANSLATE(B3218,""id"",""en"")"),"['Bad', 'bngst', 'bngt', 'fill in', 'pulse', 'already', 'kedot', 'mending', 'repair', 'deh', 'apk', 'bner']")</f>
        <v>['Bad', 'bngst', 'bngt', 'fill in', 'pulse', 'already', 'kedot', 'mending', 'repair', 'deh', 'apk', 'bner']</v>
      </c>
      <c r="D3218" s="3">
        <v>1.0</v>
      </c>
    </row>
    <row r="3219" ht="15.75" customHeight="1">
      <c r="A3219" s="1">
        <v>3420.0</v>
      </c>
      <c r="B3219" s="3" t="s">
        <v>3161</v>
      </c>
      <c r="C3219" s="3" t="str">
        <f>IFERROR(__xludf.DUMMYFUNCTION("GOOGLETRANSLATE(B3219,""id"",""en"")"),"['Senyal', 'please', 'fix']")</f>
        <v>['Senyal', 'please', 'fix']</v>
      </c>
      <c r="D3219" s="3">
        <v>1.0</v>
      </c>
    </row>
    <row r="3220" ht="15.75" customHeight="1">
      <c r="A3220" s="1">
        <v>3421.0</v>
      </c>
      <c r="B3220" s="3" t="s">
        <v>3162</v>
      </c>
      <c r="C3220" s="3" t="str">
        <f>IFERROR(__xludf.DUMMYFUNCTION("GOOGLETRANSLATE(B3220,""id"",""en"")"),"['Stay', 'network', 'super', 'stable', '']")</f>
        <v>['Stay', 'network', 'super', 'stable', '']</v>
      </c>
      <c r="D3220" s="3">
        <v>5.0</v>
      </c>
    </row>
    <row r="3221" ht="15.75" customHeight="1">
      <c r="A3221" s="1">
        <v>3422.0</v>
      </c>
      <c r="B3221" s="3" t="s">
        <v>3163</v>
      </c>
      <c r="C3221" s="3" t="str">
        <f>IFERROR(__xludf.DUMMYFUNCTION("GOOGLETRANSLATE(B3221,""id"",""en"")"),"['Come', 'expensive', 'internet', 'tsel']")</f>
        <v>['Come', 'expensive', 'internet', 'tsel']</v>
      </c>
      <c r="D3221" s="3">
        <v>1.0</v>
      </c>
    </row>
    <row r="3222" ht="15.75" customHeight="1">
      <c r="A3222" s="1">
        <v>3423.0</v>
      </c>
      <c r="B3222" s="3" t="s">
        <v>3164</v>
      </c>
      <c r="C3222" s="3" t="str">
        <f>IFERROR(__xludf.DUMMYFUNCTION("GOOGLETRANSLATE(B3222,""id"",""en"")"),"['Ancur', 'menu', 'purchase', 'Kuora', 'little', '']")</f>
        <v>['Ancur', 'menu', 'purchase', 'Kuora', 'little', '']</v>
      </c>
      <c r="D3222" s="3">
        <v>1.0</v>
      </c>
    </row>
    <row r="3223" ht="15.75" customHeight="1">
      <c r="A3223" s="1">
        <v>3425.0</v>
      </c>
      <c r="B3223" s="3" t="s">
        <v>3165</v>
      </c>
      <c r="C3223" s="3" t="str">
        <f>IFERROR(__xludf.DUMMYFUNCTION("GOOGLETRANSLATE(B3223,""id"",""en"")"),"['contents', 'pulses', 'morning', 'enter', '']")</f>
        <v>['contents', 'pulses', 'morning', 'enter', '']</v>
      </c>
      <c r="D3223" s="3">
        <v>1.0</v>
      </c>
    </row>
    <row r="3224" ht="15.75" customHeight="1">
      <c r="A3224" s="1">
        <v>3426.0</v>
      </c>
      <c r="B3224" s="3" t="s">
        <v>3166</v>
      </c>
      <c r="C3224" s="3" t="str">
        <f>IFERROR(__xludf.DUMMYFUNCTION("GOOGLETRANSLATE(B3224,""id"",""en"")"),"['package', 'expensive', 'signal', 'bad', 'SMS', 'enter', 'provider', 'noob', ""]")</f>
        <v>['package', 'expensive', 'signal', 'bad', 'SMS', 'enter', 'provider', 'noob', "]</v>
      </c>
      <c r="D3224" s="3">
        <v>1.0</v>
      </c>
    </row>
    <row r="3225" ht="15.75" customHeight="1">
      <c r="A3225" s="1">
        <v>3427.0</v>
      </c>
      <c r="B3225" s="3" t="s">
        <v>3167</v>
      </c>
      <c r="C3225" s="3" t="str">
        <f>IFERROR(__xludf.DUMMYFUNCTION("GOOGLETRANSLATE(B3225,""id"",""en"")"),"['Love', 'Paketanplis']")</f>
        <v>['Love', 'Paketanplis']</v>
      </c>
      <c r="D3225" s="3">
        <v>5.0</v>
      </c>
    </row>
    <row r="3226" ht="15.75" customHeight="1">
      <c r="A3226" s="1">
        <v>3428.0</v>
      </c>
      <c r="B3226" s="3" t="s">
        <v>3168</v>
      </c>
      <c r="C3226" s="3" t="str">
        <f>IFERROR(__xludf.DUMMYFUNCTION("GOOGLETRANSLATE(B3226,""id"",""en"")"),"['bonus']")</f>
        <v>['bonus']</v>
      </c>
      <c r="D3226" s="3">
        <v>5.0</v>
      </c>
    </row>
    <row r="3227" ht="15.75" customHeight="1">
      <c r="A3227" s="1">
        <v>3429.0</v>
      </c>
      <c r="B3227" s="3" t="s">
        <v>3169</v>
      </c>
      <c r="C3227" s="3" t="str">
        <f>IFERROR(__xludf.DUMMYFUNCTION("GOOGLETRANSLATE(B3227,""id"",""en"")"),"['Please', 'Network', 'Fix', 'Signal', 'Ful', 'Paketan']")</f>
        <v>['Please', 'Network', 'Fix', 'Signal', 'Ful', 'Paketan']</v>
      </c>
      <c r="D3227" s="3">
        <v>1.0</v>
      </c>
    </row>
    <row r="3228" ht="15.75" customHeight="1">
      <c r="A3228" s="1">
        <v>3430.0</v>
      </c>
      <c r="B3228" s="3" t="s">
        <v>3170</v>
      </c>
      <c r="C3228" s="3" t="str">
        <f>IFERROR(__xludf.DUMMYFUNCTION("GOOGLETRANSLATE(B3228,""id"",""en"")"),"['Help', 'btw', 'cave', 'story', 'nii', 'quota', 'telkomsel', 'bett', 'cheap', 'bet', 'anjirrrr', 'rebu', ' Rupiah ',' Cool ',' siii ',' wkwkw ']")</f>
        <v>['Help', 'btw', 'cave', 'story', 'nii', 'quota', 'telkomsel', 'bett', 'cheap', 'bet', 'anjirrrr', 'rebu', ' Rupiah ',' Cool ',' siii ',' wkwkw ']</v>
      </c>
      <c r="D3228" s="3">
        <v>5.0</v>
      </c>
    </row>
    <row r="3229" ht="15.75" customHeight="1">
      <c r="A3229" s="1">
        <v>3431.0</v>
      </c>
      <c r="B3229" s="3" t="s">
        <v>3171</v>
      </c>
      <c r="C3229" s="3" t="str">
        <f>IFERROR(__xludf.DUMMYFUNCTION("GOOGLETRANSLATE(B3229,""id"",""en"")"),"['', 'solution', 'waste', 'chat', 'whatsapp', 'application', 'belom', 'udh', 'thanks',' udh ',' loss', 'balance', 'loss ',' Have ',' Nambah ',' Price ',' Normal ',' Annual ',' Eord ',' Ngecewain ',' Thank "", 'Love', 'Hopefully', 'Tight']")</f>
        <v>['', 'solution', 'waste', 'chat', 'whatsapp', 'application', 'belom', 'udh', 'thanks',' udh ',' loss', 'balance', 'loss ',' Have ',' Nambah ',' Price ',' Normal ',' Annual ',' Eord ',' Ngecewain ',' Thank ", 'Love', 'Hopefully', 'Tight']</v>
      </c>
      <c r="D3229" s="3">
        <v>1.0</v>
      </c>
    </row>
    <row r="3230" ht="15.75" customHeight="1">
      <c r="A3230" s="1">
        <v>3432.0</v>
      </c>
      <c r="B3230" s="3" t="s">
        <v>3172</v>
      </c>
      <c r="C3230" s="3" t="str">
        <f>IFERROR(__xludf.DUMMYFUNCTION("GOOGLETRANSLATE(B3230,""id"",""en"")"),"['Sngat', 'like', 'application']")</f>
        <v>['Sngat', 'like', 'application']</v>
      </c>
      <c r="D3230" s="3">
        <v>5.0</v>
      </c>
    </row>
    <row r="3231" ht="15.75" customHeight="1">
      <c r="A3231" s="1">
        <v>3433.0</v>
      </c>
      <c r="B3231" s="3" t="s">
        <v>3173</v>
      </c>
      <c r="C3231" s="3" t="str">
        <f>IFERROR(__xludf.DUMMYFUNCTION("GOOGLETRANSLATE(B3231,""id"",""en"")"),"['Oprator', 'already', 'pay', 'package', 'emergency', 'right', 'fill', 'take']")</f>
        <v>['Oprator', 'already', 'pay', 'package', 'emergency', 'right', 'fill', 'take']</v>
      </c>
      <c r="D3231" s="3">
        <v>1.0</v>
      </c>
    </row>
    <row r="3232" ht="15.75" customHeight="1">
      <c r="A3232" s="1">
        <v>3434.0</v>
      </c>
      <c r="B3232" s="3" t="s">
        <v>3174</v>
      </c>
      <c r="C3232" s="3" t="str">
        <f>IFERROR(__xludf.DUMMYFUNCTION("GOOGLETRANSLATE(B3232,""id"",""en"")"),"['Please', 'Donk', 'MBA', 'Nga', 'Buy', 'Package', 'Telkomsel', 'Buy', 'Package', 'Application', 'Telkomsel', 'Nga', ' Delete ',' Application ',' Because ',' Nga ',' Buy ',' Package ',' Internet ',' Truss', 'Downlod', 'Ehh', 'Territes',' Nga ',' Network '"&amp;" , 'Error', 'Error', 'Grandma', 'Anydue', 'Luuu']")</f>
        <v>['Please', 'Donk', 'MBA', 'Nga', 'Buy', 'Package', 'Telkomsel', 'Buy', 'Package', 'Application', 'Telkomsel', 'Nga', ' Delete ',' Application ',' Because ',' Nga ',' Buy ',' Package ',' Internet ',' Truss', 'Downlod', 'Ehh', 'Territes',' Nga ',' Network ' , 'Error', 'Error', 'Grandma', 'Anydue', 'Luuu']</v>
      </c>
      <c r="D3232" s="3">
        <v>1.0</v>
      </c>
    </row>
    <row r="3233" ht="15.75" customHeight="1">
      <c r="A3233" s="1">
        <v>3435.0</v>
      </c>
      <c r="B3233" s="3" t="s">
        <v>3175</v>
      </c>
      <c r="C3233" s="3" t="str">
        <f>IFERROR(__xludf.DUMMYFUNCTION("GOOGLETRANSLATE(B3233,""id"",""en"")"),"['Good', 'hope', 'reward']")</f>
        <v>['Good', 'hope', 'reward']</v>
      </c>
      <c r="D3233" s="3">
        <v>5.0</v>
      </c>
    </row>
    <row r="3234" ht="15.75" customHeight="1">
      <c r="A3234" s="1">
        <v>3436.0</v>
      </c>
      <c r="B3234" s="3" t="s">
        <v>2620</v>
      </c>
      <c r="C3234" s="3" t="str">
        <f>IFERROR(__xludf.DUMMYFUNCTION("GOOGLETRANSLATE(B3234,""id"",""en"")"),"Of course")</f>
        <v>Of course</v>
      </c>
      <c r="D3234" s="3">
        <v>3.0</v>
      </c>
    </row>
    <row r="3235" ht="15.75" customHeight="1">
      <c r="A3235" s="1">
        <v>3437.0</v>
      </c>
      <c r="B3235" s="3" t="s">
        <v>3176</v>
      </c>
      <c r="C3235" s="3" t="str">
        <f>IFERROR(__xludf.DUMMYFUNCTION("GOOGLETRANSLATE(B3235,""id"",""en"")"),"['Please', 'Maximalkan', 'Expand', 'System', 'The Network', 'Stable']")</f>
        <v>['Please', 'Maximalkan', 'Expand', 'System', 'The Network', 'Stable']</v>
      </c>
      <c r="D3235" s="3">
        <v>4.0</v>
      </c>
    </row>
    <row r="3236" ht="15.75" customHeight="1">
      <c r="A3236" s="1">
        <v>3438.0</v>
      </c>
      <c r="B3236" s="3" t="s">
        <v>3177</v>
      </c>
      <c r="C3236" s="3" t="str">
        <f>IFERROR(__xludf.DUMMYFUNCTION("GOOGLETRANSLATE(B3236,""id"",""en"")"),"['wasteful', 'expensive', 'no', 'match', 'driver', 'ojol', 'no', 'use', 'feature', 'watch', 'film', 'streaming', ' etc. ',' use ',' quota ',' accept ',' orders', 'ojol', 'IMHO', '']")</f>
        <v>['wasteful', 'expensive', 'no', 'match', 'driver', 'ojol', 'no', 'use', 'feature', 'watch', 'film', 'streaming', ' etc. ',' use ',' quota ',' accept ',' orders', 'ojol', 'IMHO', '']</v>
      </c>
      <c r="D3236" s="3">
        <v>1.0</v>
      </c>
    </row>
    <row r="3237" ht="15.75" customHeight="1">
      <c r="A3237" s="1">
        <v>3439.0</v>
      </c>
      <c r="B3237" s="3" t="s">
        <v>3178</v>
      </c>
      <c r="C3237" s="3" t="str">
        <f>IFERROR(__xludf.DUMMYFUNCTION("GOOGLETRANSLATE(B3237,""id"",""en"")"),"['kanpa', 'yaa', 'every notification', 'dri', 'telkomsel', 'right', 'dklik', 'promo', 'tdak', 'find', 'knpa', ' Stlah ',' updte ',' jdi ',' kya ',' gni ']")</f>
        <v>['kanpa', 'yaa', 'every notification', 'dri', 'telkomsel', 'right', 'dklik', 'promo', 'tdak', 'find', 'knpa', ' Stlah ',' updte ',' jdi ',' kya ',' gni ']</v>
      </c>
      <c r="D3237" s="3">
        <v>1.0</v>
      </c>
    </row>
    <row r="3238" ht="15.75" customHeight="1">
      <c r="A3238" s="1">
        <v>3440.0</v>
      </c>
      <c r="B3238" s="3" t="s">
        <v>3179</v>
      </c>
      <c r="C3238" s="3" t="str">
        <f>IFERROR(__xludf.DUMMYFUNCTION("GOOGLETRANSLATE(B3238,""id"",""en"")"),"['Telkomsel', 'skarng', 'kyk', 'leg', 'then']")</f>
        <v>['Telkomsel', 'skarng', 'kyk', 'leg', 'then']</v>
      </c>
      <c r="D3238" s="3">
        <v>1.0</v>
      </c>
    </row>
    <row r="3239" ht="15.75" customHeight="1">
      <c r="A3239" s="1">
        <v>3443.0</v>
      </c>
      <c r="B3239" s="3" t="s">
        <v>3180</v>
      </c>
      <c r="C3239" s="3" t="str">
        <f>IFERROR(__xludf.DUMMYFUNCTION("GOOGLETRANSLATE(B3239,""id"",""en"")"),"['date', 'November', 'I've,' get ',' surprise ',' extra ',' quota ',' GB ',' exchanges ',' Points ',' Gabisa ',' Kekeke ',' pulp ',' times', 'Telkomsel', 'package', 'main', 'me', 'sumps',' darling ',' really ',' GB ',' gabisa ',' dark ',' in ' , 'Njir', '"&amp;"I', 'complain', 'quota', 'watch', 'used to', 'unlimited', 'sumps',' sucked ',' first ',' quota ',' main ',' with']")</f>
        <v>['date', 'November', 'I've,' get ',' surprise ',' extra ',' quota ',' GB ',' exchanges ',' Points ',' Gabisa ',' Kekeke ',' pulp ',' times', 'Telkomsel', 'package', 'main', 'me', 'sumps',' darling ',' really ',' GB ',' gabisa ',' dark ',' in ' , 'Njir', 'I', 'complain', 'quota', 'watch', 'used to', 'unlimited', 'sumps',' sucked ',' first ',' quota ',' main ',' with']</v>
      </c>
      <c r="D3239" s="3">
        <v>3.0</v>
      </c>
    </row>
    <row r="3240" ht="15.75" customHeight="1">
      <c r="A3240" s="1">
        <v>3444.0</v>
      </c>
      <c r="B3240" s="3" t="s">
        <v>3181</v>
      </c>
      <c r="C3240" s="3" t="str">
        <f>IFERROR(__xludf.DUMMYFUNCTION("GOOGLETRANSLATE(B3240,""id"",""en"")"),"['gokil', 'bug']")</f>
        <v>['gokil', 'bug']</v>
      </c>
      <c r="D3240" s="3">
        <v>5.0</v>
      </c>
    </row>
    <row r="3241" ht="15.75" customHeight="1">
      <c r="A3241" s="1">
        <v>3445.0</v>
      </c>
      <c r="B3241" s="3" t="s">
        <v>3182</v>
      </c>
      <c r="C3241" s="3" t="str">
        <f>IFERROR(__xludf.DUMMYFUNCTION("GOOGLETRANSLATE(B3241,""id"",""en"")"),"['difficult', 'really', 'contents', 'reset', 'package', 'data', 'application', 'MyTelkomsel', 'error']")</f>
        <v>['difficult', 'really', 'contents', 'reset', 'package', 'data', 'application', 'MyTelkomsel', 'error']</v>
      </c>
      <c r="D3241" s="3">
        <v>2.0</v>
      </c>
    </row>
    <row r="3242" ht="15.75" customHeight="1">
      <c r="A3242" s="1">
        <v>3446.0</v>
      </c>
      <c r="B3242" s="3" t="s">
        <v>3183</v>
      </c>
      <c r="C3242" s="3" t="str">
        <f>IFERROR(__xludf.DUMMYFUNCTION("GOOGLETRANSLATE(B3242,""id"",""en"")"),"['Network', 'data', 'Telkom', 'sucks',' facilities', 'good', 'breaking', 'disappointed', 'heavy', 'bills',' diligent ',' collect ',' turn ',' Network ',' visits', 'fix']")</f>
        <v>['Network', 'data', 'Telkom', 'sucks',' facilities', 'good', 'breaking', 'disappointed', 'heavy', 'bills',' diligent ',' collect ',' turn ',' Network ',' visits', 'fix']</v>
      </c>
      <c r="D3242" s="3">
        <v>1.0</v>
      </c>
    </row>
    <row r="3243" ht="15.75" customHeight="1">
      <c r="A3243" s="1">
        <v>3447.0</v>
      </c>
      <c r="B3243" s="3" t="s">
        <v>3184</v>
      </c>
      <c r="C3243" s="3" t="str">
        <f>IFERROR(__xludf.DUMMYFUNCTION("GOOGLETRANSLATE(B3243,""id"",""en"")"),"['signal', 'visa', 'internet']")</f>
        <v>['signal', 'visa', 'internet']</v>
      </c>
      <c r="D3243" s="3">
        <v>5.0</v>
      </c>
    </row>
    <row r="3244" ht="15.75" customHeight="1">
      <c r="A3244" s="1">
        <v>3448.0</v>
      </c>
      <c r="B3244" s="3" t="s">
        <v>3185</v>
      </c>
      <c r="C3244" s="3" t="str">
        <f>IFERROR(__xludf.DUMMYFUNCTION("GOOGLETRANSLATE(B3244,""id"",""en"")"),"['Application', 'opened', 'Mulu', 'check', 'quota', 'Must', 'Delete', 'Tide', 'Capekkk', 'tlg', 'solution', 'naff', ' The star ',' Dour ',' find ',' solution ']")</f>
        <v>['Application', 'opened', 'Mulu', 'check', 'quota', 'Must', 'Delete', 'Tide', 'Capekkk', 'tlg', 'solution', 'naff', ' The star ',' Dour ',' find ',' solution ']</v>
      </c>
      <c r="D3244" s="3">
        <v>1.0</v>
      </c>
    </row>
    <row r="3245" ht="15.75" customHeight="1">
      <c r="A3245" s="1">
        <v>3449.0</v>
      </c>
      <c r="B3245" s="3" t="s">
        <v>3186</v>
      </c>
      <c r="C3245" s="3" t="str">
        <f>IFERROR(__xludf.DUMMYFUNCTION("GOOGLETRANSLATE(B3245,""id"",""en"")"),"['easy', 'communication', 'transaction', 'heart', 'heart']")</f>
        <v>['easy', 'communication', 'transaction', 'heart', 'heart']</v>
      </c>
      <c r="D3245" s="3">
        <v>5.0</v>
      </c>
    </row>
    <row r="3246" ht="15.75" customHeight="1">
      <c r="A3246" s="1">
        <v>3451.0</v>
      </c>
      <c r="B3246" s="3" t="s">
        <v>3187</v>
      </c>
      <c r="C3246" s="3" t="str">
        <f>IFERROR(__xludf.DUMMYFUNCTION("GOOGLETRANSLATE(B3246,""id"",""en"")"),"['kerenn', 'practical', 'lbih', 'easy']")</f>
        <v>['kerenn', 'practical', 'lbih', 'easy']</v>
      </c>
      <c r="D3246" s="3">
        <v>5.0</v>
      </c>
    </row>
    <row r="3247" ht="15.75" customHeight="1">
      <c r="A3247" s="1">
        <v>3452.0</v>
      </c>
      <c r="B3247" s="3" t="s">
        <v>3188</v>
      </c>
      <c r="C3247" s="3" t="str">
        <f>IFERROR(__xludf.DUMMYFUNCTION("GOOGLETRANSLATE(B3247,""id"",""en"")"),"['trash', 'package', 'expensive', 'signal', 'ngos', 'ngosan', '']")</f>
        <v>['trash', 'package', 'expensive', 'signal', 'ngos', 'ngosan', '']</v>
      </c>
      <c r="D3247" s="3">
        <v>1.0</v>
      </c>
    </row>
    <row r="3248" ht="15.75" customHeight="1">
      <c r="A3248" s="1">
        <v>3453.0</v>
      </c>
      <c r="B3248" s="3" t="s">
        <v>3189</v>
      </c>
      <c r="C3248" s="3" t="str">
        <f>IFERROR(__xludf.DUMMYFUNCTION("GOOGLETRANSLATE(B3248,""id"",""en"")"),"['Please', 'FIRE', 'Application', 'installed', 'System', 'Android', 'Telkomsel', 'installed', 'Telkomsel']")</f>
        <v>['Please', 'FIRE', 'Application', 'installed', 'System', 'Android', 'Telkomsel', 'installed', 'Telkomsel']</v>
      </c>
      <c r="D3248" s="3">
        <v>5.0</v>
      </c>
    </row>
    <row r="3249" ht="15.75" customHeight="1">
      <c r="A3249" s="1">
        <v>3454.0</v>
      </c>
      <c r="B3249" s="3" t="s">
        <v>3190</v>
      </c>
      <c r="C3249" s="3" t="str">
        <f>IFERROR(__xludf.DUMMYFUNCTION("GOOGLETRANSLATE(B3249,""id"",""en"")"),"['hi', 'admin', 'sympathy', 'suggestion', 'sell', 'telkom', 'karna', 'siyal', 'internet', 'telkom', 'quality', 'Mari', ' Prove ',' Speed ​​',' Siyala ',' Internet ',' Axis', 'Joz', 'Siyala', 'Internet', 'users',' Telkomsel ',' complaining ',' complains', "&amp;"'bad' , 'Listen', 'Try', 'Best', 'User', '']")</f>
        <v>['hi', 'admin', 'sympathy', 'suggestion', 'sell', 'telkom', 'karna', 'siyal', 'internet', 'telkom', 'quality', 'Mari', ' Prove ',' Speed ​​',' Siyala ',' Internet ',' Axis', 'Joz', 'Siyala', 'Internet', 'users',' Telkomsel ',' complaining ',' complains', 'bad' , 'Listen', 'Try', 'Best', 'User', '']</v>
      </c>
      <c r="D3249" s="3">
        <v>1.0</v>
      </c>
    </row>
    <row r="3250" ht="15.75" customHeight="1">
      <c r="A3250" s="1">
        <v>3456.0</v>
      </c>
      <c r="B3250" s="3" t="s">
        <v>3191</v>
      </c>
      <c r="C3250" s="3" t="str">
        <f>IFERROR(__xludf.DUMMYFUNCTION("GOOGLETRANSLATE(B3250,""id"",""en"")"),"['point', 'stable', 'bad']")</f>
        <v>['point', 'stable', 'bad']</v>
      </c>
      <c r="D3250" s="3">
        <v>1.0</v>
      </c>
    </row>
    <row r="3251" ht="15.75" customHeight="1">
      <c r="A3251" s="1">
        <v>3457.0</v>
      </c>
      <c r="B3251" s="3" t="s">
        <v>3192</v>
      </c>
      <c r="C3251" s="3" t="str">
        <f>IFERROR(__xludf.DUMMYFUNCTION("GOOGLETRANSLATE(B3251,""id"",""en"")"),"['Notification', 'Package', 'Internet', 'Out', 'Credit', 'Already', 'Out', 'Emotion', ""]")</f>
        <v>['Notification', 'Package', 'Internet', 'Out', 'Credit', 'Already', 'Out', 'Emotion', "]</v>
      </c>
      <c r="D3251" s="3">
        <v>1.0</v>
      </c>
    </row>
    <row r="3252" ht="15.75" customHeight="1">
      <c r="A3252" s="1">
        <v>3459.0</v>
      </c>
      <c r="B3252" s="3" t="s">
        <v>3193</v>
      </c>
      <c r="C3252" s="3" t="str">
        <f>IFERROR(__xludf.DUMMYFUNCTION("GOOGLETRANSLATE(B3252,""id"",""en"")"),"['buy', 'Telkomsel', 'signal', 'ugly']")</f>
        <v>['buy', 'Telkomsel', 'signal', 'ugly']</v>
      </c>
      <c r="D3252" s="3">
        <v>1.0</v>
      </c>
    </row>
    <row r="3253" ht="15.75" customHeight="1">
      <c r="A3253" s="1">
        <v>3460.0</v>
      </c>
      <c r="B3253" s="3" t="s">
        <v>3194</v>
      </c>
      <c r="C3253" s="3" t="str">
        <f>IFERROR(__xludf.DUMMYFUNCTION("GOOGLETRANSLATE(B3253,""id"",""en"")"),"['Hey', 'Telkomsel', 'Credit', 'Cut "",' PDAVY ',' Quota ',' Shocked ',' Appears ',' Notif ',' Credit ',' Credit ',' Non ',' package ',' shocked ',' see ',' leftover ',' pulses', 'hedeh', 'kyk', 'provider', 'cut', 'pulse', 'internet', 'pke', 'tri' , 'eat'"&amp;", 'money', 'Haram', 'PKE', 'Policy', 'Nipu', ""]")</f>
        <v>['Hey', 'Telkomsel', 'Credit', 'Cut ",' PDAVY ',' Quota ',' Shocked ',' Appears ',' Notif ',' Credit ',' Credit ',' Non ',' package ',' shocked ',' see ',' leftover ',' pulses', 'hedeh', 'kyk', 'provider', 'cut', 'pulse', 'internet', 'pke', 'tri' , 'eat', 'money', 'Haram', 'PKE', 'Policy', 'Nipu', "]</v>
      </c>
      <c r="D3253" s="3">
        <v>1.0</v>
      </c>
    </row>
    <row r="3254" ht="15.75" customHeight="1">
      <c r="A3254" s="1">
        <v>3462.0</v>
      </c>
      <c r="B3254" s="3" t="s">
        <v>3195</v>
      </c>
      <c r="C3254" s="3" t="str">
        <f>IFERROR(__xludf.DUMMYFUNCTION("GOOGLETRANSLATE(B3254,""id"",""en"")"),"['useful', 'convenience', 'gift', 'interesting', '']")</f>
        <v>['useful', 'convenience', 'gift', 'interesting', '']</v>
      </c>
      <c r="D3254" s="3">
        <v>5.0</v>
      </c>
    </row>
    <row r="3255" ht="15.75" customHeight="1">
      <c r="A3255" s="1">
        <v>3463.0</v>
      </c>
      <c r="B3255" s="3" t="s">
        <v>3196</v>
      </c>
      <c r="C3255" s="3" t="str">
        <f>IFERROR(__xludf.DUMMYFUNCTION("GOOGLETRANSLATE(B3255,""id"",""en"")"),"['Telkomsel', 'after', 'ganguan', 'cable', 'sea', 'sinya', 'village', 'slow', 'karuan', 'strange', 'real', 'price', ' Quota ',' according to ',' Ama ',' Speed ​​',' Internet ',' Lemott ',' Wear ',' Telkomsel ',' TPI ',' Repair ',' Network ',' Internet ', "&amp;"""]")</f>
        <v>['Telkomsel', 'after', 'ganguan', 'cable', 'sea', 'sinya', 'village', 'slow', 'karuan', 'strange', 'real', 'price', ' Quota ',' according to ',' Ama ',' Speed ​​',' Internet ',' Lemott ',' Wear ',' Telkomsel ',' TPI ',' Repair ',' Network ',' Internet ', "]</v>
      </c>
      <c r="D3255" s="3">
        <v>1.0</v>
      </c>
    </row>
    <row r="3256" ht="15.75" customHeight="1">
      <c r="A3256" s="1">
        <v>3464.0</v>
      </c>
      <c r="B3256" s="3" t="s">
        <v>3197</v>
      </c>
      <c r="C3256" s="3" t="str">
        <f>IFERROR(__xludf.DUMMYFUNCTION("GOOGLETRANSLATE(B3256,""id"",""en"")"),"['Bagus', 'Network', 'Sampe', 'quota', 'abisss']")</f>
        <v>['Bagus', 'Network', 'Sampe', 'quota', 'abisss']</v>
      </c>
      <c r="D3256" s="3">
        <v>5.0</v>
      </c>
    </row>
    <row r="3257" ht="15.75" customHeight="1">
      <c r="A3257" s="1">
        <v>3465.0</v>
      </c>
      <c r="B3257" s="3" t="s">
        <v>3198</v>
      </c>
      <c r="C3257" s="3" t="str">
        <f>IFERROR(__xludf.DUMMYFUNCTION("GOOGLETRANSLATE(B3257,""id"",""en"")"),"['Please', 'The network', 'slow', 'UDH', 'expensive', 'Yakali', 'Price', 'Gada', 'Quality', ""]")</f>
        <v>['Please', 'The network', 'slow', 'UDH', 'expensive', 'Yakali', 'Price', 'Gada', 'Quality', "]</v>
      </c>
      <c r="D3257" s="3">
        <v>4.0</v>
      </c>
    </row>
    <row r="3258" ht="15.75" customHeight="1">
      <c r="A3258" s="1">
        <v>3466.0</v>
      </c>
      <c r="B3258" s="3" t="s">
        <v>3199</v>
      </c>
      <c r="C3258" s="3" t="str">
        <f>IFERROR(__xludf.DUMMYFUNCTION("GOOGLETRANSLATE(B3258,""id"",""en"")"),"['complaining', 'network', 'Telkomsel', 'poor', 'complain', 'a week', 'network', 'Telkomsel', 'poor', 'play', 'game', 'right', ' move', '']")</f>
        <v>['complaining', 'network', 'Telkomsel', 'poor', 'complain', 'a week', 'network', 'Telkomsel', 'poor', 'play', 'game', 'right', ' move', '']</v>
      </c>
      <c r="D3258" s="3">
        <v>1.0</v>
      </c>
    </row>
    <row r="3259" ht="15.75" customHeight="1">
      <c r="A3259" s="1">
        <v>3467.0</v>
      </c>
      <c r="B3259" s="3" t="s">
        <v>3200</v>
      </c>
      <c r="C3259" s="3" t="str">
        <f>IFERROR(__xludf.DUMMYFUNCTION("GOOGLETRANSLATE(B3259,""id"",""en"")"),"['signal', 'bad', 'package', 'expensive']")</f>
        <v>['signal', 'bad', 'package', 'expensive']</v>
      </c>
      <c r="D3259" s="3">
        <v>1.0</v>
      </c>
    </row>
    <row r="3260" ht="15.75" customHeight="1">
      <c r="A3260" s="1">
        <v>3468.0</v>
      </c>
      <c r="B3260" s="3" t="s">
        <v>3201</v>
      </c>
      <c r="C3260" s="3" t="str">
        <f>IFERROR(__xludf.DUMMYFUNCTION("GOOGLETRANSLATE(B3260,""id"",""en"")"),"['Telkomsel', 'remote', 'signal', 'good']")</f>
        <v>['Telkomsel', 'remote', 'signal', 'good']</v>
      </c>
      <c r="D3260" s="3">
        <v>5.0</v>
      </c>
    </row>
    <row r="3261" ht="15.75" customHeight="1">
      <c r="A3261" s="1">
        <v>3469.0</v>
      </c>
      <c r="B3261" s="3" t="s">
        <v>3202</v>
      </c>
      <c r="C3261" s="3" t="str">
        <f>IFERROR(__xludf.DUMMYFUNCTION("GOOGLETRANSLATE(B3261,""id"",""en"")"),"['Likes', 'Looks', 'Change', 'Price', 'Consistent']")</f>
        <v>['Likes', 'Looks', 'Change', 'Price', 'Consistent']</v>
      </c>
      <c r="D3261" s="3">
        <v>1.0</v>
      </c>
    </row>
    <row r="3262" ht="15.75" customHeight="1">
      <c r="A3262" s="1">
        <v>3470.0</v>
      </c>
      <c r="B3262" s="3" t="s">
        <v>3203</v>
      </c>
      <c r="C3262" s="3" t="str">
        <f>IFERROR(__xludf.DUMMYFUNCTION("GOOGLETRANSLATE(B3262,""id"",""en"")"),"['Min', 'knp', 'naruk', 'point', 'his writing', 'system', 'busy', 'exchange', 'voucher', 'nuker', 'voucher', 'please', ' Fix ',' effort ',' owned ',' Country ',' Kek ',' Gini ',' Paketan ',' Price ',' Acting ',' emang ',' given ',' Subsidy ',' Min ' , 'Po"&amp;"ints',' Telkom ',' Kayak ',' That's', 'Lohh', 'After', 'Useful', 'Appears',' Posts', 'System', 'Busy', 'Busy', ' Knp ',' is', 'Min', 'Retas',' Hangker ',' Kah ',' or ',' Distribution ',' Bansos', 'Office', 'Telkom', 'Times']")</f>
        <v>['Min', 'knp', 'naruk', 'point', 'his writing', 'system', 'busy', 'exchange', 'voucher', 'nuker', 'voucher', 'please', ' Fix ',' effort ',' owned ',' Country ',' Kek ',' Gini ',' Paketan ',' Price ',' Acting ',' emang ',' given ',' Subsidy ',' Min ' , 'Points',' Telkom ',' Kayak ',' That's', 'Lohh', 'After', 'Useful', 'Appears',' Posts', 'System', 'Busy', 'Busy', ' Knp ',' is', 'Min', 'Retas',' Hangker ',' Kah ',' or ',' Distribution ',' Bansos', 'Office', 'Telkom', 'Times']</v>
      </c>
      <c r="D3262" s="3">
        <v>1.0</v>
      </c>
    </row>
    <row r="3263" ht="15.75" customHeight="1">
      <c r="A3263" s="1">
        <v>3471.0</v>
      </c>
      <c r="B3263" s="3" t="s">
        <v>3204</v>
      </c>
      <c r="C3263" s="3" t="str">
        <f>IFERROR(__xludf.DUMMYFUNCTION("GOOGLETRANSLATE(B3263,""id"",""en"")"),"['Telkomsel', 'Suek', 'owes', 'right', 'buy', 'pulse', 'pulled', 'what']]")</f>
        <v>['Telkomsel', 'Suek', 'owes', 'right', 'buy', 'pulse', 'pulled', 'what']]</v>
      </c>
      <c r="D3263" s="3">
        <v>1.0</v>
      </c>
    </row>
    <row r="3264" ht="15.75" customHeight="1">
      <c r="A3264" s="1">
        <v>3472.0</v>
      </c>
      <c r="B3264" s="3" t="s">
        <v>3205</v>
      </c>
      <c r="C3264" s="3" t="str">
        <f>IFERROR(__xludf.DUMMYFUNCTION("GOOGLETRANSLATE(B3264,""id"",""en"")"),"['Telkomsel', 'Severe', 'Inetnya', 'leeet']")</f>
        <v>['Telkomsel', 'Severe', 'Inetnya', 'leeet']</v>
      </c>
      <c r="D3264" s="3">
        <v>1.0</v>
      </c>
    </row>
    <row r="3265" ht="15.75" customHeight="1">
      <c r="A3265" s="1">
        <v>3473.0</v>
      </c>
      <c r="B3265" s="3" t="s">
        <v>3206</v>
      </c>
      <c r="C3265" s="3" t="str">
        <f>IFERROR(__xludf.DUMMYFUNCTION("GOOGLETRANSLATE(B3265,""id"",""en"")"),"['durable', 'signal', 'promote', 'top', 'markotop', 'reality', 'signla', 'shy', 'operator']")</f>
        <v>['durable', 'signal', 'promote', 'top', 'markotop', 'reality', 'signla', 'shy', 'operator']</v>
      </c>
      <c r="D3265" s="3">
        <v>5.0</v>
      </c>
    </row>
    <row r="3266" ht="15.75" customHeight="1">
      <c r="A3266" s="1">
        <v>3474.0</v>
      </c>
      <c r="B3266" s="3" t="s">
        <v>3207</v>
      </c>
      <c r="C3266" s="3" t="str">
        <f>IFERROR(__xludf.DUMMYFUNCTION("GOOGLETRANSLATE(B3266,""id"",""en"")"),"['application', 'napa', 'log', 'difficult', 'already', 'click', 'many', 'send', 'link', 'sms',' send ',' send ',' ']")</f>
        <v>['application', 'napa', 'log', 'difficult', 'already', 'click', 'many', 'send', 'link', 'sms',' send ',' send ',' ']</v>
      </c>
      <c r="D3266" s="3">
        <v>1.0</v>
      </c>
    </row>
    <row r="3267" ht="15.75" customHeight="1">
      <c r="A3267" s="1">
        <v>3475.0</v>
      </c>
      <c r="B3267" s="3" t="s">
        <v>1658</v>
      </c>
      <c r="C3267" s="3" t="str">
        <f>IFERROR(__xludf.DUMMYFUNCTION("GOOGLETRANSLATE(B3267,""id"",""en"")"),"['Good', 'interesting']")</f>
        <v>['Good', 'interesting']</v>
      </c>
      <c r="D3267" s="3">
        <v>3.0</v>
      </c>
    </row>
    <row r="3268" ht="15.75" customHeight="1">
      <c r="A3268" s="1">
        <v>3476.0</v>
      </c>
      <c r="B3268" s="3" t="s">
        <v>3208</v>
      </c>
      <c r="C3268" s="3" t="str">
        <f>IFERROR(__xludf.DUMMYFUNCTION("GOOGLETRANSLATE(B3268,""id"",""en"")"),"['bad', 'severe', 'signal', 'missing', 'users', 'Telkomsel', 'sorry']")</f>
        <v>['bad', 'severe', 'signal', 'missing', 'users', 'Telkomsel', 'sorry']</v>
      </c>
      <c r="D3268" s="3">
        <v>1.0</v>
      </c>
    </row>
    <row r="3269" ht="15.75" customHeight="1">
      <c r="A3269" s="1">
        <v>3477.0</v>
      </c>
      <c r="B3269" s="3" t="s">
        <v>3209</v>
      </c>
      <c r="C3269" s="3" t="str">
        <f>IFERROR(__xludf.DUMMYFUNCTION("GOOGLETRANSLATE(B3269,""id"",""en"")"),"['Aniing', 'Telkomsel', 'like', 'ilang', 'Sinyal', 'Dikarawang', 'City']")</f>
        <v>['Aniing', 'Telkomsel', 'like', 'ilang', 'Sinyal', 'Dikarawang', 'City']</v>
      </c>
      <c r="D3269" s="3">
        <v>1.0</v>
      </c>
    </row>
    <row r="3270" ht="15.75" customHeight="1">
      <c r="A3270" s="1">
        <v>3478.0</v>
      </c>
      <c r="B3270" s="3" t="s">
        <v>3210</v>
      </c>
      <c r="C3270" s="3" t="str">
        <f>IFERROR(__xludf.DUMMYFUNCTION("GOOGLETRANSLATE(B3270,""id"",""en"")"),"['Paketan', 'internet', 'expensive', 'signal', 'ugly', 'pdhl', 'bkn', 'remote', 'signal', 'right', 'no', '']")</f>
        <v>['Paketan', 'internet', 'expensive', 'signal', 'ugly', 'pdhl', 'bkn', 'remote', 'signal', 'right', 'no', '']</v>
      </c>
      <c r="D3270" s="3">
        <v>1.0</v>
      </c>
    </row>
    <row r="3271" ht="15.75" customHeight="1">
      <c r="A3271" s="1">
        <v>3479.0</v>
      </c>
      <c r="B3271" s="3" t="s">
        <v>3211</v>
      </c>
      <c r="C3271" s="3" t="str">
        <f>IFERROR(__xludf.DUMMYFUNCTION("GOOGLETRANSLATE(B3271,""id"",""en"")"),"['network', 'telkom', 'already', 'contents',' kouta ',' ngek ',' network ',' quota ',' active ',' learn ',' online ',' play ',' game ',' open ',' youtube ',' open ',' tiktok ',' etc. ',' please ',' telkom ',' fix ',' signal ',' disturbed ',' signal ',' di"&amp;"fficult ' , 'Very', 'Please', 'Fix', 'Anjg', '']")</f>
        <v>['network', 'telkom', 'already', 'contents',' kouta ',' ngek ',' network ',' quota ',' active ',' learn ',' online ',' play ',' game ',' open ',' youtube ',' open ',' tiktok ',' etc. ',' please ',' telkom ',' fix ',' signal ',' disturbed ',' signal ',' difficult ' , 'Very', 'Please', 'Fix', 'Anjg', '']</v>
      </c>
      <c r="D3271" s="3">
        <v>1.0</v>
      </c>
    </row>
    <row r="3272" ht="15.75" customHeight="1">
      <c r="A3272" s="1">
        <v>3480.0</v>
      </c>
      <c r="B3272" s="3" t="s">
        <v>3212</v>
      </c>
      <c r="C3272" s="3" t="str">
        <f>IFERROR(__xludf.DUMMYFUNCTION("GOOGLETRANSLATE(B3272,""id"",""en"")"),"['MAYAL']")</f>
        <v>['MAYAL']</v>
      </c>
      <c r="D3272" s="3">
        <v>5.0</v>
      </c>
    </row>
    <row r="3273" ht="15.75" customHeight="1">
      <c r="A3273" s="1">
        <v>3482.0</v>
      </c>
      <c r="B3273" s="3" t="s">
        <v>3213</v>
      </c>
      <c r="C3273" s="3" t="str">
        <f>IFERROR(__xludf.DUMMYFUNCTION("GOOGLETRANSLATE(B3273,""id"",""en"")"),"['application', 'Telkomsel', 'easy', 'access']")</f>
        <v>['application', 'Telkomsel', 'easy', 'access']</v>
      </c>
      <c r="D3273" s="3">
        <v>5.0</v>
      </c>
    </row>
    <row r="3274" ht="15.75" customHeight="1">
      <c r="A3274" s="1">
        <v>3483.0</v>
      </c>
      <c r="B3274" s="3" t="s">
        <v>3214</v>
      </c>
      <c r="C3274" s="3" t="str">
        <f>IFERROR(__xludf.DUMMYFUNCTION("GOOGLETRANSLATE(B3274,""id"",""en"")"),"['like', 'ilang', 'signal']")</f>
        <v>['like', 'ilang', 'signal']</v>
      </c>
      <c r="D3274" s="3">
        <v>3.0</v>
      </c>
    </row>
    <row r="3275" ht="15.75" customHeight="1">
      <c r="A3275" s="1">
        <v>3484.0</v>
      </c>
      <c r="B3275" s="3" t="s">
        <v>3215</v>
      </c>
      <c r="C3275" s="3" t="str">
        <f>IFERROR(__xludf.DUMMYFUNCTION("GOOGLETRANSLATE(B3275,""id"",""en"")"),"['Good', 'area', '']")</f>
        <v>['Good', 'area', '']</v>
      </c>
      <c r="D3275" s="3">
        <v>5.0</v>
      </c>
    </row>
    <row r="3276" ht="15.75" customHeight="1">
      <c r="A3276" s="1">
        <v>3485.0</v>
      </c>
      <c r="B3276" s="3" t="s">
        <v>3216</v>
      </c>
      <c r="C3276" s="3" t="str">
        <f>IFERROR(__xludf.DUMMYFUNCTION("GOOGLETRANSLATE(B3276,""id"",""en"")"),"['Unlimited', 'learn', 'expensive', 'little']")</f>
        <v>['Unlimited', 'learn', 'expensive', 'little']</v>
      </c>
      <c r="D3276" s="3">
        <v>1.0</v>
      </c>
    </row>
    <row r="3277" ht="15.75" customHeight="1">
      <c r="A3277" s="1">
        <v>3486.0</v>
      </c>
      <c r="B3277" s="3" t="s">
        <v>3217</v>
      </c>
      <c r="C3277" s="3" t="str">
        <f>IFERROR(__xludf.DUMMYFUNCTION("GOOGLETRANSLATE(B3277,""id"",""en"")"),"['Come on', 'Telkomsel', 'repay', 'wlpun', 'quota', 'internet', 'run out', 'plsa', 'whole', 'Telkomsel', 'no', 'quota', ' run out ',' eat ',' plsa ',' directly ',' brush ',' run out ',' tlonglah ',' your customer ',' tens', 'Thun', 'yes',' bgin ',' then '"&amp;" , '']")</f>
        <v>['Come on', 'Telkomsel', 'repay', 'wlpun', 'quota', 'internet', 'run out', 'plsa', 'whole', 'Telkomsel', 'no', 'quota', ' run out ',' eat ',' plsa ',' directly ',' brush ',' run out ',' tlonglah ',' your customer ',' tens', 'Thun', 'yes',' bgin ',' then ' , '']</v>
      </c>
      <c r="D3277" s="3">
        <v>3.0</v>
      </c>
    </row>
    <row r="3278" ht="15.75" customHeight="1">
      <c r="A3278" s="1">
        <v>3487.0</v>
      </c>
      <c r="B3278" s="3" t="s">
        <v>3218</v>
      </c>
      <c r="C3278" s="3" t="str">
        <f>IFERROR(__xludf.DUMMYFUNCTION("GOOGLETRANSLATE(B3278,""id"",""en"")"),"['Good', 'alternating', 'user']")</f>
        <v>['Good', 'alternating', 'user']</v>
      </c>
      <c r="D3278" s="3">
        <v>5.0</v>
      </c>
    </row>
    <row r="3279" ht="15.75" customHeight="1">
      <c r="A3279" s="1">
        <v>3488.0</v>
      </c>
      <c r="B3279" s="3" t="s">
        <v>3219</v>
      </c>
      <c r="C3279" s="3" t="str">
        <f>IFERROR(__xludf.DUMMYFUNCTION("GOOGLETRANSLATE(B3279,""id"",""en"")"),"['Process', 'fast', '']")</f>
        <v>['Process', 'fast', '']</v>
      </c>
      <c r="D3279" s="3">
        <v>5.0</v>
      </c>
    </row>
    <row r="3280" ht="15.75" customHeight="1">
      <c r="A3280" s="1">
        <v>3489.0</v>
      </c>
      <c r="B3280" s="3" t="s">
        <v>3220</v>
      </c>
      <c r="C3280" s="3" t="str">
        <f>IFERROR(__xludf.DUMMYFUNCTION("GOOGLETRANSLATE(B3280,""id"",""en"")"),"['Leet', 'buy', 'package', 'internet']")</f>
        <v>['Leet', 'buy', 'package', 'internet']</v>
      </c>
      <c r="D3280" s="3">
        <v>1.0</v>
      </c>
    </row>
    <row r="3281" ht="15.75" customHeight="1">
      <c r="A3281" s="1">
        <v>3490.0</v>
      </c>
      <c r="B3281" s="3" t="s">
        <v>3221</v>
      </c>
      <c r="C3281" s="3" t="str">
        <f>IFERROR(__xludf.DUMMYFUNCTION("GOOGLETRANSLATE(B3281,""id"",""en"")"),"['', 'fix', 'dlu', 'your signal', 'feels',' price ',' package ',' expensive ',' signal ',' lemmot ',' kayak ',' snail ',' accordingly ',' price ',' price ',' package ',' strange ',' kmren ',' thousand ',' thousand ',' where ',' sell ',' pulse ',' thousand"&amp;" ',' forced ', 'buy', 'pulses', 'thousand', 'leech', 'land', '']")</f>
        <v>['', 'fix', 'dlu', 'your signal', 'feels',' price ',' package ',' expensive ',' signal ',' lemmot ',' kayak ',' snail ',' accordingly ',' price ',' price ',' package ',' strange ',' kmren ',' thousand ',' thousand ',' where ',' sell ',' pulse ',' thousand ',' forced ', 'buy', 'pulses', 'thousand', 'leech', 'land', '']</v>
      </c>
      <c r="D3281" s="3">
        <v>1.0</v>
      </c>
    </row>
    <row r="3282" ht="15.75" customHeight="1">
      <c r="A3282" s="1">
        <v>3491.0</v>
      </c>
      <c r="B3282" s="3" t="s">
        <v>3222</v>
      </c>
      <c r="C3282" s="3" t="str">
        <f>IFERROR(__xludf.DUMMYFUNCTION("GOOGLETRANSLATE(B3282,""id"",""en"")"),"['Addin', 'menu', 'contents',' voucher ',' use ',' application ',' via ',' dial ',' disorder ',' operator ',' forward ',' a little ',' why', '']")</f>
        <v>['Addin', 'menu', 'contents',' voucher ',' use ',' application ',' via ',' dial ',' disorder ',' operator ',' forward ',' a little ',' why', '']</v>
      </c>
      <c r="D3282" s="3">
        <v>1.0</v>
      </c>
    </row>
    <row r="3283" ht="15.75" customHeight="1">
      <c r="A3283" s="1">
        <v>3492.0</v>
      </c>
      <c r="B3283" s="3" t="s">
        <v>3223</v>
      </c>
      <c r="C3283" s="3" t="str">
        <f>IFERROR(__xludf.DUMMYFUNCTION("GOOGLETRANSLATE(B3283,""id"",""en"")"),"['Invasion', 'expensive', 'napa']")</f>
        <v>['Invasion', 'expensive', 'napa']</v>
      </c>
      <c r="D3283" s="3">
        <v>1.0</v>
      </c>
    </row>
    <row r="3284" ht="15.75" customHeight="1">
      <c r="A3284" s="1">
        <v>3493.0</v>
      </c>
      <c r="B3284" s="3" t="s">
        <v>3224</v>
      </c>
      <c r="C3284" s="3" t="str">
        <f>IFERROR(__xludf.DUMMYFUNCTION("GOOGLETRANSLATE(B3284,""id"",""en"")"),"['expensive', 'package']")</f>
        <v>['expensive', 'package']</v>
      </c>
      <c r="D3284" s="3">
        <v>3.0</v>
      </c>
    </row>
    <row r="3285" ht="15.75" customHeight="1">
      <c r="A3285" s="1">
        <v>3494.0</v>
      </c>
      <c r="B3285" s="3" t="s">
        <v>3225</v>
      </c>
      <c r="C3285" s="3" t="str">
        <f>IFERROR(__xludf.DUMMYFUNCTION("GOOGLETRANSLATE(B3285,""id"",""en"")"),"['Please', 'system', 'point', 'cook', 'sisitem', 'point', 'lottery', 'gift', 'cook', 'claims']")</f>
        <v>['Please', 'system', 'point', 'cook', 'sisitem', 'point', 'lottery', 'gift', 'cook', 'claims']</v>
      </c>
      <c r="D3285" s="3">
        <v>2.0</v>
      </c>
    </row>
    <row r="3286" ht="15.75" customHeight="1">
      <c r="A3286" s="1">
        <v>3495.0</v>
      </c>
      <c r="B3286" s="3" t="s">
        <v>3226</v>
      </c>
      <c r="C3286" s="3" t="str">
        <f>IFERROR(__xludf.DUMMYFUNCTION("GOOGLETRANSLATE(B3286,""id"",""en"")"),"['try', '']")</f>
        <v>['try', '']</v>
      </c>
      <c r="D3286" s="3">
        <v>4.0</v>
      </c>
    </row>
    <row r="3287" ht="15.75" customHeight="1">
      <c r="A3287" s="1">
        <v>3498.0</v>
      </c>
      <c r="B3287" s="3" t="s">
        <v>3227</v>
      </c>
      <c r="C3287" s="3" t="str">
        <f>IFERROR(__xludf.DUMMYFUNCTION("GOOGLETRANSLATE(B3287,""id"",""en"")"),"['', 'Fix', 'Out', 'Update', 'Direct', 'White', 'Screen', 'then', 'Buy', 'Package', 'Transaction', 'SUCCESS', 'TPI ',' package ',' enter ',' enter ',' pulse ',' cut ',' fix ',' Telkomsel ']")</f>
        <v>['', 'Fix', 'Out', 'Update', 'Direct', 'White', 'Screen', 'then', 'Buy', 'Package', 'Transaction', 'SUCCESS', 'TPI ',' package ',' enter ',' enter ',' pulse ',' cut ',' fix ',' Telkomsel ']</v>
      </c>
      <c r="D3287" s="3">
        <v>1.0</v>
      </c>
    </row>
    <row r="3288" ht="15.75" customHeight="1">
      <c r="A3288" s="1">
        <v>3499.0</v>
      </c>
      <c r="B3288" s="3" t="s">
        <v>1435</v>
      </c>
      <c r="C3288" s="3" t="str">
        <f>IFERROR(__xludf.DUMMYFUNCTION("GOOGLETRANSLATE(B3288,""id"",""en"")"),"['help', '']")</f>
        <v>['help', '']</v>
      </c>
      <c r="D3288" s="3">
        <v>5.0</v>
      </c>
    </row>
    <row r="3289" ht="15.75" customHeight="1">
      <c r="A3289" s="1">
        <v>3500.0</v>
      </c>
      <c r="B3289" s="3" t="s">
        <v>3228</v>
      </c>
      <c r="C3289" s="3" t="str">
        <f>IFERROR(__xludf.DUMMYFUNCTION("GOOGLETRANSLATE(B3289,""id"",""en"")"),"['appears',' guide ',' buy ',' pulse ',' package ',' package ',' tens', 'customer', 'disturbed', 'content', 'content', 'nyelonong', ' CLIK ',' ']")</f>
        <v>['appears',' guide ',' buy ',' pulse ',' package ',' package ',' tens', 'customer', 'disturbed', 'content', 'content', 'nyelonong', ' CLIK ',' ']</v>
      </c>
      <c r="D3289" s="3">
        <v>3.0</v>
      </c>
    </row>
    <row r="3290" ht="15.75" customHeight="1">
      <c r="A3290" s="1">
        <v>3501.0</v>
      </c>
      <c r="B3290" s="3" t="s">
        <v>3229</v>
      </c>
      <c r="C3290" s="3" t="str">
        <f>IFERROR(__xludf.DUMMYFUNCTION("GOOGLETRANSLATE(B3290,""id"",""en"")"),"['Sometimes', 'like', 'process', 'buy', 'package', 'internet', '']")</f>
        <v>['Sometimes', 'like', 'process', 'buy', 'package', 'internet', '']</v>
      </c>
      <c r="D3290" s="3">
        <v>1.0</v>
      </c>
    </row>
    <row r="3291" ht="15.75" customHeight="1">
      <c r="A3291" s="1">
        <v>3502.0</v>
      </c>
      <c r="B3291" s="3" t="s">
        <v>3230</v>
      </c>
      <c r="C3291" s="3" t="str">
        <f>IFERROR(__xludf.DUMMYFUNCTION("GOOGLETRANSLATE(B3291,""id"",""en"")"),"['contents',' pulse ',' directly ',' pulled ',' nominal ',' notif ',' return ',' package ',' borrow ',' package ',' tsb ',' hausedehhhh ',' ']")</f>
        <v>['contents',' pulse ',' directly ',' pulled ',' nominal ',' notif ',' return ',' package ',' borrow ',' package ',' tsb ',' hausedehhhh ',' ']</v>
      </c>
      <c r="D3291" s="3">
        <v>1.0</v>
      </c>
    </row>
    <row r="3292" ht="15.75" customHeight="1">
      <c r="A3292" s="1">
        <v>3503.0</v>
      </c>
      <c r="B3292" s="3" t="s">
        <v>3231</v>
      </c>
      <c r="C3292" s="3" t="str">
        <f>IFERROR(__xludf.DUMMYFUNCTION("GOOGLETRANSLATE(B3292,""id"",""en"")"),"['Telkomsel', 'AAP', 'Doly Hula', 'Ditelkomsel', 'Telkomsel', 'Best']")</f>
        <v>['Telkomsel', 'AAP', 'Doly Hula', 'Ditelkomsel', 'Telkomsel', 'Best']</v>
      </c>
      <c r="D3292" s="3">
        <v>5.0</v>
      </c>
    </row>
    <row r="3293" ht="15.75" customHeight="1">
      <c r="A3293" s="1">
        <v>3504.0</v>
      </c>
      <c r="B3293" s="3" t="s">
        <v>3232</v>
      </c>
      <c r="C3293" s="3" t="str">
        <f>IFERROR(__xludf.DUMMYFUNCTION("GOOGLETRANSLATE(B3293,""id"",""en"")"),"['steady', 'for', 'buy', 'data', 'pket', 'cheap']")</f>
        <v>['steady', 'for', 'buy', 'data', 'pket', 'cheap']</v>
      </c>
      <c r="D3293" s="3">
        <v>5.0</v>
      </c>
    </row>
    <row r="3294" ht="15.75" customHeight="1">
      <c r="A3294" s="1">
        <v>3505.0</v>
      </c>
      <c r="B3294" s="3" t="s">
        <v>3233</v>
      </c>
      <c r="C3294" s="3" t="str">
        <f>IFERROR(__xludf.DUMMYFUNCTION("GOOGLETRANSLATE(B3294,""id"",""en"")"),"['signal', 'disappear', 'area', 'kecitran', 'klampok', 'banjarnegara', 'special', 'north', 'market', 'ware', '']")</f>
        <v>['signal', 'disappear', 'area', 'kecitran', 'klampok', 'banjarnegara', 'special', 'north', 'market', 'ware', '']</v>
      </c>
      <c r="D3294" s="3">
        <v>1.0</v>
      </c>
    </row>
    <row r="3295" ht="15.75" customHeight="1">
      <c r="A3295" s="1">
        <v>3506.0</v>
      </c>
      <c r="B3295" s="3" t="s">
        <v>3234</v>
      </c>
      <c r="C3295" s="3" t="str">
        <f>IFERROR(__xludf.DUMMYFUNCTION("GOOGLETRANSLATE(B3295,""id"",""en"")"),"['Telkomsel', 'slow', 'knp', 'Dept', 'dlu', 'smooth', 'play', 'game', 'ngelag', 'annoying', 'please', 'repaired', ' As soon as possible ',' Ngelag ',' Tros', 'Telkom']")</f>
        <v>['Telkomsel', 'slow', 'knp', 'Dept', 'dlu', 'smooth', 'play', 'game', 'ngelag', 'annoying', 'please', 'repaired', ' As soon as possible ',' Ngelag ',' Tros', 'Telkom']</v>
      </c>
      <c r="D3295" s="3">
        <v>1.0</v>
      </c>
    </row>
    <row r="3296" ht="15.75" customHeight="1">
      <c r="A3296" s="1">
        <v>3507.0</v>
      </c>
      <c r="B3296" s="3" t="s">
        <v>3235</v>
      </c>
      <c r="C3296" s="3" t="str">
        <f>IFERROR(__xludf.DUMMYFUNCTION("GOOGLETRANSLATE(B3296,""id"",""en"")"),"['Sorry', 'ksih', 'bintng', 'obstacle', 'right', 'contents',' pulse ',' buy ',' diapk ',' tsel ',' entry ',' udh ',' Pay ',' credit ',' reduced ',' poor ',' please ',' repaired ',' ']")</f>
        <v>['Sorry', 'ksih', 'bintng', 'obstacle', 'right', 'contents',' pulse ',' buy ',' diapk ',' tsel ',' entry ',' udh ',' Pay ',' credit ',' reduced ',' poor ',' please ',' repaired ',' ']</v>
      </c>
      <c r="D3296" s="3">
        <v>3.0</v>
      </c>
    </row>
    <row r="3297" ht="15.75" customHeight="1">
      <c r="A3297" s="1">
        <v>3509.0</v>
      </c>
      <c r="B3297" s="3" t="s">
        <v>3236</v>
      </c>
      <c r="C3297" s="3" t="str">
        <f>IFERROR(__xludf.DUMMYFUNCTION("GOOGLETRANSLATE(B3297,""id"",""en"")"),"['Telkomsel', 'UDH', 'Mode', 'Plane', 'Sumpot', 'Mulu', 'Many', 'Kali', 'Knp', 'Nyedot', 'Monitor', 'Data']")</f>
        <v>['Telkomsel', 'UDH', 'Mode', 'Plane', 'Sumpot', 'Mulu', 'Many', 'Kali', 'Knp', 'Nyedot', 'Monitor', 'Data']</v>
      </c>
      <c r="D3297" s="3">
        <v>1.0</v>
      </c>
    </row>
    <row r="3298" ht="15.75" customHeight="1">
      <c r="A3298" s="1">
        <v>3510.0</v>
      </c>
      <c r="B3298" s="3" t="s">
        <v>3237</v>
      </c>
      <c r="C3298" s="3" t="str">
        <f>IFERROR(__xludf.DUMMYFUNCTION("GOOGLETRANSLATE(B3298,""id"",""en"")"),"['network', 'error', 'slow', 'expensive']")</f>
        <v>['network', 'error', 'slow', 'expensive']</v>
      </c>
      <c r="D3298" s="3">
        <v>1.0</v>
      </c>
    </row>
    <row r="3299" ht="15.75" customHeight="1">
      <c r="A3299" s="1">
        <v>3511.0</v>
      </c>
      <c r="B3299" s="3" t="s">
        <v>3238</v>
      </c>
      <c r="C3299" s="3" t="str">
        <f>IFERROR(__xludf.DUMMYFUNCTION("GOOGLETRANSLATE(B3299,""id"",""en"")"),"['Please', 'signal', 'Region', 'Kalipelang', 'Park', 'Pemalang', 'Java', 'repaired', 'signal', 'Sometimes',' TPI ',' Browsing ',' ']")</f>
        <v>['Please', 'signal', 'Region', 'Kalipelang', 'Park', 'Pemalang', 'Java', 'repaired', 'signal', 'Sometimes',' TPI ',' Browsing ',' ']</v>
      </c>
      <c r="D3299" s="3">
        <v>2.0</v>
      </c>
    </row>
    <row r="3300" ht="15.75" customHeight="1">
      <c r="A3300" s="1">
        <v>3512.0</v>
      </c>
      <c r="B3300" s="3" t="s">
        <v>3239</v>
      </c>
      <c r="C3300" s="3" t="str">
        <f>IFERROR(__xludf.DUMMYFUNCTION("GOOGLETRANSLATE(B3300,""id"",""en"")"),"['Ngeta', 'Login', 'Livet', 'A Day', 'Aza', 'Points',' Scorched ',' Claim ',' Reward ',' Donk ',' Zahara ',' Cook ',' Moving ',' card ',' next door ',' Sihhh ', ""]")</f>
        <v>['Ngeta', 'Login', 'Livet', 'A Day', 'Aza', 'Points',' Scorched ',' Claim ',' Reward ',' Donk ',' Zahara ',' Cook ',' Moving ',' card ',' next door ',' Sihhh ', "]</v>
      </c>
      <c r="D3300" s="3">
        <v>2.0</v>
      </c>
    </row>
    <row r="3301" ht="15.75" customHeight="1">
      <c r="A3301" s="1">
        <v>3513.0</v>
      </c>
      <c r="B3301" s="3" t="s">
        <v>3240</v>
      </c>
      <c r="C3301" s="3" t="str">
        <f>IFERROR(__xludf.DUMMYFUNCTION("GOOGLETRANSLATE(B3301,""id"",""en"")"),"['Hmm', 'like', 'see', 'Narimo', 'Eng', 'Phandum', 'Mawon', ""]")</f>
        <v>['Hmm', 'like', 'see', 'Narimo', 'Eng', 'Phandum', 'Mawon', "]</v>
      </c>
      <c r="D3301" s="3">
        <v>4.0</v>
      </c>
    </row>
    <row r="3302" ht="15.75" customHeight="1">
      <c r="A3302" s="1">
        <v>3514.0</v>
      </c>
      <c r="B3302" s="3" t="s">
        <v>3241</v>
      </c>
      <c r="C3302" s="3" t="str">
        <f>IFERROR(__xludf.DUMMYFUNCTION("GOOGLETRANSLATE(B3302,""id"",""en"")"),"['security', 'the application', 'severe', 'cheats', 'log', 'use', 'number', 'verification', 'enter', ""]")</f>
        <v>['security', 'the application', 'severe', 'cheats', 'log', 'use', 'number', 'verification', 'enter', "]</v>
      </c>
      <c r="D3302" s="3">
        <v>1.0</v>
      </c>
    </row>
    <row r="3303" ht="15.75" customHeight="1">
      <c r="A3303" s="1">
        <v>3515.0</v>
      </c>
      <c r="B3303" s="3" t="s">
        <v>3242</v>
      </c>
      <c r="C3303" s="3" t="str">
        <f>IFERROR(__xludf.DUMMYFUNCTION("GOOGLETRANSLATE(B3303,""id"",""en"")"),"['please', 'Telkomsel', 'price', 'package', 'enter', 'sense', 'times',' GB ',' price ',' rb ',' please ',' package ',' Data ',' Make ',' Varied ',' MASAAN ',' Mulu ',' ']")</f>
        <v>['please', 'Telkomsel', 'price', 'package', 'enter', 'sense', 'times',' GB ',' price ',' rb ',' please ',' package ',' Data ',' Make ',' Varied ',' MASAAN ',' Mulu ',' ']</v>
      </c>
      <c r="D3303" s="3">
        <v>1.0</v>
      </c>
    </row>
    <row r="3304" ht="15.75" customHeight="1">
      <c r="A3304" s="1">
        <v>3516.0</v>
      </c>
      <c r="B3304" s="3" t="s">
        <v>3243</v>
      </c>
      <c r="C3304" s="3" t="str">
        <f>IFERROR(__xludf.DUMMYFUNCTION("GOOGLETRANSLATE(B3304,""id"",""en"")"),"['thank', 'love', 'Telkomsel', 'application', 'help']")</f>
        <v>['thank', 'love', 'Telkomsel', 'application', 'help']</v>
      </c>
      <c r="D3304" s="3">
        <v>5.0</v>
      </c>
    </row>
    <row r="3305" ht="15.75" customHeight="1">
      <c r="A3305" s="1">
        <v>3517.0</v>
      </c>
      <c r="B3305" s="3" t="s">
        <v>3244</v>
      </c>
      <c r="C3305" s="3" t="str">
        <f>IFERROR(__xludf.DUMMYFUNCTION("GOOGLETRANSLATE(B3305,""id"",""en"")"),"['Review', 'Star', 'Change', 'Telkomsel', 'Peg', 'Price', 'Package', 'Data', 'Price', 'Excellent', 'Iringi', 'Quality', ' Satisfying ',' Disappointed ',' Good ',' DRPD ',' SKRNG ',' Surabaya ',' Signal ',' Full ',' Bar ',' Mentok ',' Bar ']")</f>
        <v>['Review', 'Star', 'Change', 'Telkomsel', 'Peg', 'Price', 'Package', 'Data', 'Price', 'Excellent', 'Iringi', 'Quality', ' Satisfying ',' Disappointed ',' Good ',' DRPD ',' SKRNG ',' Surabaya ',' Signal ',' Full ',' Bar ',' Mentok ',' Bar ']</v>
      </c>
      <c r="D3305" s="3">
        <v>3.0</v>
      </c>
    </row>
    <row r="3306" ht="15.75" customHeight="1">
      <c r="A3306" s="1">
        <v>3519.0</v>
      </c>
      <c r="B3306" s="3" t="s">
        <v>3245</v>
      </c>
      <c r="C3306" s="3" t="str">
        <f>IFERROR(__xludf.DUMMYFUNCTION("GOOGLETRANSLATE(B3306,""id"",""en"")"),"['Telkomsel', 'sick', 'signal', 'slow', 'UDH']")</f>
        <v>['Telkomsel', 'sick', 'signal', 'slow', 'UDH']</v>
      </c>
      <c r="D3306" s="3">
        <v>1.0</v>
      </c>
    </row>
    <row r="3307" ht="15.75" customHeight="1">
      <c r="A3307" s="1">
        <v>3520.0</v>
      </c>
      <c r="B3307" s="3" t="s">
        <v>3246</v>
      </c>
      <c r="C3307" s="3" t="str">
        <f>IFERROR(__xludf.DUMMYFUNCTION("GOOGLETRANSLATE(B3307,""id"",""en"")"),"['Telkomsel', 'mah', 'that's',' System ',' deliberate ',' detrimental ',' consumers', 'number', 'Indonesia', 'hmmm', 'let', 'Switch', ' Operators', 'ignore', 'complaints',' deliberate ',' owners', 'shares',' dredge ',' money ',' community ',' class', 'med"&amp;"ium', 'users',' services' , '']")</f>
        <v>['Telkomsel', 'mah', 'that's',' System ',' deliberate ',' detrimental ',' consumers', 'number', 'Indonesia', 'hmmm', 'let', 'Switch', ' Operators', 'ignore', 'complaints',' deliberate ',' owners', 'shares',' dredge ',' money ',' community ',' class', 'medium', 'users',' services' , '']</v>
      </c>
      <c r="D3307" s="3">
        <v>1.0</v>
      </c>
    </row>
    <row r="3308" ht="15.75" customHeight="1">
      <c r="A3308" s="1">
        <v>3521.0</v>
      </c>
      <c r="B3308" s="3" t="s">
        <v>3247</v>
      </c>
      <c r="C3308" s="3" t="str">
        <f>IFERROR(__xludf.DUMMYFUNCTION("GOOGLETRANSLATE(B3308,""id"",""en"")"),"['Network', 'might', 'slow', '']")</f>
        <v>['Network', 'might', 'slow', '']</v>
      </c>
      <c r="D3308" s="3">
        <v>1.0</v>
      </c>
    </row>
    <row r="3309" ht="15.75" customHeight="1">
      <c r="A3309" s="1">
        <v>3522.0</v>
      </c>
      <c r="B3309" s="3" t="s">
        <v>3248</v>
      </c>
      <c r="C3309" s="3" t="str">
        <f>IFERROR(__xludf.DUMMYFUNCTION("GOOGLETRANSLATE(B3309,""id"",""en"")"),"['The application', 'like', 'Nge', 'bug', '']")</f>
        <v>['The application', 'like', 'Nge', 'bug', '']</v>
      </c>
      <c r="D3309" s="3">
        <v>1.0</v>
      </c>
    </row>
    <row r="3310" ht="15.75" customHeight="1">
      <c r="A3310" s="1">
        <v>3523.0</v>
      </c>
      <c r="B3310" s="3" t="s">
        <v>677</v>
      </c>
      <c r="C3310" s="3" t="str">
        <f>IFERROR(__xludf.DUMMYFUNCTION("GOOGLETRANSLATE(B3310,""id"",""en"")"),"['Telkomsel']")</f>
        <v>['Telkomsel']</v>
      </c>
      <c r="D3310" s="3">
        <v>5.0</v>
      </c>
    </row>
    <row r="3311" ht="15.75" customHeight="1">
      <c r="A3311" s="1">
        <v>3524.0</v>
      </c>
      <c r="B3311" s="3" t="s">
        <v>3249</v>
      </c>
      <c r="C3311" s="3" t="str">
        <f>IFERROR(__xludf.DUMMYFUNCTION("GOOGLETRANSLATE(B3311,""id"",""en"")"),"['Top', 'steady', 'waiter', 'Telkomsel']")</f>
        <v>['Top', 'steady', 'waiter', 'Telkomsel']</v>
      </c>
      <c r="D3311" s="3">
        <v>5.0</v>
      </c>
    </row>
    <row r="3312" ht="15.75" customHeight="1">
      <c r="A3312" s="1">
        <v>3525.0</v>
      </c>
      <c r="B3312" s="3" t="s">
        <v>3250</v>
      </c>
      <c r="C3312" s="3" t="str">
        <f>IFERROR(__xludf.DUMMYFUNCTION("GOOGLETRANSLATE(B3312,""id"",""en"")"),"['Unistal', 'klau', 'open', 'slow', 'balance', 'plsa', 'trkadang', 'soft', 'plan', 'shrink', 'lost', 'daily', ' Kcau ',' Points', 'plsa', 'jdi', 'ksong', 'lost', 'pdhal', 'balance', 'sebalik', 'bgitu', 'promo', 'hdiah', 'mggu' , 'Hoax', 'Ngabsin', 'Points"&amp;"', '']")</f>
        <v>['Unistal', 'klau', 'open', 'slow', 'balance', 'plsa', 'trkadang', 'soft', 'plan', 'shrink', 'lost', 'daily', ' Kcau ',' Points', 'plsa', 'jdi', 'ksong', 'lost', 'pdhal', 'balance', 'sebalik', 'bgitu', 'promo', 'hdiah', 'mggu' , 'Hoax', 'Ngabsin', 'Points', '']</v>
      </c>
      <c r="D3312" s="3">
        <v>2.0</v>
      </c>
    </row>
    <row r="3313" ht="15.75" customHeight="1">
      <c r="A3313" s="1">
        <v>3526.0</v>
      </c>
      <c r="B3313" s="3" t="s">
        <v>3251</v>
      </c>
      <c r="C3313" s="3" t="str">
        <f>IFERROR(__xludf.DUMMYFUNCTION("GOOGLETRANSLATE(B3313,""id"",""en"")"),"['signal', 'ugly', 'expensive', 'package', 'quota', 'fraud', 'buy', 'package', 'combo', 'GB', 'internet', 'GB', ' Multi ',' Media ',' Quota ',' Multimedia ',' Guning ',' Snowing ',' Quota ',' Internet ',' GB ',' GB ',' Kuoto ',' GB ',' Out ' , 'quota', 'm"&amp;"ultimedia', 'cursing', 'quota', 'internet', 'buy', 'pokonya', 'payak', 'satisfying', 'signal', 'ugly', 'service', ' Outlets', 'Telkom', 'sucks', ""]")</f>
        <v>['signal', 'ugly', 'expensive', 'package', 'quota', 'fraud', 'buy', 'package', 'combo', 'GB', 'internet', 'GB', ' Multi ',' Media ',' Quota ',' Multimedia ',' Guning ',' Snowing ',' Quota ',' Internet ',' GB ',' GB ',' Kuoto ',' GB ',' Out ' , 'quota', 'multimedia', 'cursing', 'quota', 'internet', 'buy', 'pokonya', 'payak', 'satisfying', 'signal', 'ugly', 'service', ' Outlets', 'Telkom', 'sucks', "]</v>
      </c>
      <c r="D3313" s="3">
        <v>1.0</v>
      </c>
    </row>
    <row r="3314" ht="15.75" customHeight="1">
      <c r="A3314" s="1">
        <v>3527.0</v>
      </c>
      <c r="B3314" s="3" t="s">
        <v>3252</v>
      </c>
      <c r="C3314" s="3" t="str">
        <f>IFERROR(__xludf.DUMMYFUNCTION("GOOGLETRANSLATE(B3314,""id"",""en"")"),"['Adin', 'promo', 'business', 'package', 'main', 'key', 'package', 'promo', 'mah', 'lie', 'promo']")</f>
        <v>['Adin', 'promo', 'business', 'package', 'main', 'key', 'package', 'promo', 'mah', 'lie', 'promo']</v>
      </c>
      <c r="D3314" s="3">
        <v>1.0</v>
      </c>
    </row>
    <row r="3315" ht="15.75" customHeight="1">
      <c r="A3315" s="1">
        <v>3528.0</v>
      </c>
      <c r="B3315" s="3" t="s">
        <v>3253</v>
      </c>
      <c r="C3315" s="3" t="str">
        <f>IFERROR(__xludf.DUMMYFUNCTION("GOOGLETRANSLATE(B3315,""id"",""en"")"),"['Package', 'Telkomsel', 'Gini', 'Siyala', 'ugly', 'really', 'Sampay', 'entered', 'Gem', 'difficult', 'play', 'delicious',' Siyal ',' Dipelek ',' really ']")</f>
        <v>['Package', 'Telkomsel', 'Gini', 'Siyala', 'ugly', 'really', 'Sampay', 'entered', 'Gem', 'difficult', 'play', 'delicious',' Siyal ',' Dipelek ',' really ']</v>
      </c>
      <c r="D3315" s="3">
        <v>2.0</v>
      </c>
    </row>
    <row r="3316" ht="15.75" customHeight="1">
      <c r="A3316" s="1">
        <v>3529.0</v>
      </c>
      <c r="B3316" s="3" t="s">
        <v>3254</v>
      </c>
      <c r="C3316" s="3" t="str">
        <f>IFERROR(__xludf.DUMMYFUNCTION("GOOGLETRANSLATE(B3316,""id"",""en"")"),"['Telkomsel', 'Network', 'kyk', 'taik', 'slow', 'times',' woiii ',' regret ',' telkom ',' tomorrow ',' replace ',' tri ',' Good ',' Emat ',' Kyk ',' Telkom ',' Udh ',' expensive ',' LEG ']")</f>
        <v>['Telkomsel', 'Network', 'kyk', 'taik', 'slow', 'times',' woiii ',' regret ',' telkom ',' tomorrow ',' replace ',' tri ',' Good ',' Emat ',' Kyk ',' Telkom ',' Udh ',' expensive ',' LEG ']</v>
      </c>
      <c r="D3316" s="3">
        <v>1.0</v>
      </c>
    </row>
    <row r="3317" ht="15.75" customHeight="1">
      <c r="A3317" s="1">
        <v>3531.0</v>
      </c>
      <c r="B3317" s="3" t="s">
        <v>1605</v>
      </c>
      <c r="C3317" s="3" t="str">
        <f>IFERROR(__xludf.DUMMYFUNCTION("GOOGLETRANSLATE(B3317,""id"",""en"")"),"['Buy', 'Package']")</f>
        <v>['Buy', 'Package']</v>
      </c>
      <c r="D3317" s="3">
        <v>1.0</v>
      </c>
    </row>
    <row r="3318" ht="15.75" customHeight="1">
      <c r="A3318" s="1">
        <v>3532.0</v>
      </c>
      <c r="B3318" s="3" t="s">
        <v>3255</v>
      </c>
      <c r="C3318" s="3" t="str">
        <f>IFERROR(__xludf.DUMMYFUNCTION("GOOGLETRANSLATE(B3318,""id"",""en"")"),"['your prayer', 'my hope']")</f>
        <v>['your prayer', 'my hope']</v>
      </c>
      <c r="D3318" s="3">
        <v>1.0</v>
      </c>
    </row>
    <row r="3319" ht="15.75" customHeight="1">
      <c r="A3319" s="1">
        <v>3534.0</v>
      </c>
      <c r="B3319" s="3" t="s">
        <v>3256</v>
      </c>
      <c r="C3319" s="3" t="str">
        <f>IFERROR(__xludf.DUMMYFUNCTION("GOOGLETRANSLATE(B3319,""id"",""en"")"),"['Telkomsel', 'SLLU', 'best', 'class',' hnya ',' darling ',' promo ',' quota ',' rare ',' sometimes', 'expensive', 'hope', ' Review ',' Program ',' quota ',' minimalist ',' price ',' for ',' all ',' The ',' Best ',' Qualified ']")</f>
        <v>['Telkomsel', 'SLLU', 'best', 'class',' hnya ',' darling ',' promo ',' quota ',' rare ',' sometimes', 'expensive', 'hope', ' Review ',' Program ',' quota ',' minimalist ',' price ',' for ',' all ',' The ',' Best ',' Qualified ']</v>
      </c>
      <c r="D3319" s="3">
        <v>5.0</v>
      </c>
    </row>
    <row r="3320" ht="15.75" customHeight="1">
      <c r="A3320" s="1">
        <v>3536.0</v>
      </c>
      <c r="B3320" s="3" t="s">
        <v>3257</v>
      </c>
      <c r="C3320" s="3" t="str">
        <f>IFERROR(__xludf.DUMMYFUNCTION("GOOGLETRANSLATE(B3320,""id"",""en"")"),"['signal', 'smooth', 'slow', '']")</f>
        <v>['signal', 'smooth', 'slow', '']</v>
      </c>
      <c r="D3320" s="3">
        <v>5.0</v>
      </c>
    </row>
    <row r="3321" ht="15.75" customHeight="1">
      <c r="A3321" s="1">
        <v>3537.0</v>
      </c>
      <c r="B3321" s="3" t="s">
        <v>3258</v>
      </c>
      <c r="C3321" s="3" t="str">
        <f>IFERROR(__xludf.DUMMYFUNCTION("GOOGLETRANSLATE(B3321,""id"",""en"")"),"['Paketan', 'expensive', 'signal', 'kek', 'card', 'prepaid', 'thousands']")</f>
        <v>['Paketan', 'expensive', 'signal', 'kek', 'card', 'prepaid', 'thousands']</v>
      </c>
      <c r="D3321" s="3">
        <v>1.0</v>
      </c>
    </row>
    <row r="3322" ht="15.75" customHeight="1">
      <c r="A3322" s="1">
        <v>3538.0</v>
      </c>
      <c r="B3322" s="3" t="s">
        <v>3259</v>
      </c>
      <c r="C3322" s="3" t="str">
        <f>IFERROR(__xludf.DUMMYFUNCTION("GOOGLETRANSLATE(B3322,""id"",""en"")"),"['JNG', 'card', 'lag', 'Nian', 'missing', 'signal', 'org', 'lgi', 'push', 'mmr', ""]")</f>
        <v>['JNG', 'card', 'lag', 'Nian', 'missing', 'signal', 'org', 'lgi', 'push', 'mmr', "]</v>
      </c>
      <c r="D3322" s="3">
        <v>1.0</v>
      </c>
    </row>
    <row r="3323" ht="15.75" customHeight="1">
      <c r="A3323" s="1">
        <v>3539.0</v>
      </c>
      <c r="B3323" s="3" t="s">
        <v>3260</v>
      </c>
      <c r="C3323" s="3" t="str">
        <f>IFERROR(__xludf.DUMMYFUNCTION("GOOGLETRANSLATE(B3323,""id"",""en"")"),"['love', 'star', 'KNPA', 'Telkomsel', 'unlimited', 'rich', 'open', 'play', 'game', 'Tampa', 'slow', 'Telkom', ' Skarang ',' unlimited ',' weak ',' bngt ',' rich ',' card ',' hope ',' telkom ',' rich ',' dlu ']")</f>
        <v>['love', 'star', 'KNPA', 'Telkomsel', 'unlimited', 'rich', 'open', 'play', 'game', 'Tampa', 'slow', 'Telkom', ' Skarang ',' unlimited ',' weak ',' bngt ',' rich ',' card ',' hope ',' telkom ',' rich ',' dlu ']</v>
      </c>
      <c r="D3323" s="3">
        <v>2.0</v>
      </c>
    </row>
    <row r="3324" ht="15.75" customHeight="1">
      <c r="A3324" s="1">
        <v>3540.0</v>
      </c>
      <c r="B3324" s="3" t="s">
        <v>3261</v>
      </c>
      <c r="C3324" s="3" t="str">
        <f>IFERROR(__xludf.DUMMYFUNCTION("GOOGLETRANSLATE(B3324,""id"",""en"")"),"['signal', 'skrng', 'lost', 'lost', 'lemotttttt', 'pdhl', 'job', 'fast', 'work', 'hampered', 'ktn', 'telkomsel']")</f>
        <v>['signal', 'skrng', 'lost', 'lost', 'lemotttttt', 'pdhl', 'job', 'fast', 'work', 'hampered', 'ktn', 'telkomsel']</v>
      </c>
      <c r="D3324" s="3">
        <v>2.0</v>
      </c>
    </row>
    <row r="3325" ht="15.75" customHeight="1">
      <c r="A3325" s="1">
        <v>3541.0</v>
      </c>
      <c r="B3325" s="3" t="s">
        <v>3262</v>
      </c>
      <c r="C3325" s="3" t="str">
        <f>IFERROR(__xludf.DUMMYFUNCTION("GOOGLETRANSLATE(B3325,""id"",""en"")"),"['signal', 'threat', 'malem', 'ahead', 'dawn', 'doang', 'smooth', 'udh', 'noon', 'a little', 'slow', 'severe', ' Many ',' times', 'activated', 'mode', 'plane', 'still', 'change', 'please', 'enhanced', 'quality', 'signal', 'special', 'region' , 'countrysid"&amp;"e', 'consumers', 'easy', 'in', 'communicating', 'access', 'internet', '']")</f>
        <v>['signal', 'threat', 'malem', 'ahead', 'dawn', 'doang', 'smooth', 'udh', 'noon', 'a little', 'slow', 'severe', ' Many ',' times', 'activated', 'mode', 'plane', 'still', 'change', 'please', 'enhanced', 'quality', 'signal', 'special', 'region' , 'countryside', 'consumers', 'easy', 'in', 'communicating', 'access', 'internet', '']</v>
      </c>
      <c r="D3325" s="3">
        <v>1.0</v>
      </c>
    </row>
    <row r="3326" ht="15.75" customHeight="1">
      <c r="A3326" s="1">
        <v>3542.0</v>
      </c>
      <c r="B3326" s="3" t="s">
        <v>3263</v>
      </c>
      <c r="C3326" s="3" t="str">
        <f>IFERROR(__xludf.DUMMYFUNCTION("GOOGLETRANSLATE(B3326,""id"",""en"")"),"['signal', 'bad', 'jelex', 'severe', 'like', 'broke', 'ngeleg', 'etc.', 'already', 'bankrupt', ""]")</f>
        <v>['signal', 'bad', 'jelex', 'severe', 'like', 'broke', 'ngeleg', 'etc.', 'already', 'bankrupt', "]</v>
      </c>
      <c r="D3326" s="3">
        <v>1.0</v>
      </c>
    </row>
    <row r="3327" ht="15.75" customHeight="1">
      <c r="A3327" s="1">
        <v>3543.0</v>
      </c>
      <c r="B3327" s="3" t="s">
        <v>3264</v>
      </c>
      <c r="C3327" s="3" t="str">
        <f>IFERROR(__xludf.DUMMYFUNCTION("GOOGLETRANSLATE(B3327,""id"",""en"")"),"['accelerated', 'access', 'application']")</f>
        <v>['accelerated', 'access', 'application']</v>
      </c>
      <c r="D3327" s="3">
        <v>3.0</v>
      </c>
    </row>
    <row r="3328" ht="15.75" customHeight="1">
      <c r="A3328" s="1">
        <v>3544.0</v>
      </c>
      <c r="B3328" s="3" t="s">
        <v>3265</v>
      </c>
      <c r="C3328" s="3" t="str">
        <f>IFERROR(__xludf.DUMMYFUNCTION("GOOGLETRANSLATE(B3328,""id"",""en"")"),"['mandatory', 'star', 'service', 'bad', 'provider', 'Certain', 'Telkomsel', 'Telkomsel', 'Useful', ""]")</f>
        <v>['mandatory', 'star', 'service', 'bad', 'provider', 'Certain', 'Telkomsel', 'Telkomsel', 'Useful', "]</v>
      </c>
      <c r="D3328" s="3">
        <v>1.0</v>
      </c>
    </row>
    <row r="3329" ht="15.75" customHeight="1">
      <c r="A3329" s="1">
        <v>3545.0</v>
      </c>
      <c r="B3329" s="3" t="s">
        <v>1123</v>
      </c>
      <c r="C3329" s="3" t="str">
        <f>IFERROR(__xludf.DUMMYFUNCTION("GOOGLETRANSLATE(B3329,""id"",""en"")"),"['Service', 'satisfying']")</f>
        <v>['Service', 'satisfying']</v>
      </c>
      <c r="D3329" s="3">
        <v>5.0</v>
      </c>
    </row>
    <row r="3330" ht="15.75" customHeight="1">
      <c r="A3330" s="1">
        <v>3546.0</v>
      </c>
      <c r="B3330" s="3" t="s">
        <v>3266</v>
      </c>
      <c r="C3330" s="3" t="str">
        <f>IFERROR(__xludf.DUMMYFUNCTION("GOOGLETRANSLATE(B3330,""id"",""en"")"),"['Network', 'Telkomsel', 'Jancuuuuukkkkkk']")</f>
        <v>['Network', 'Telkomsel', 'Jancuuuuukkkkkk']</v>
      </c>
      <c r="D3330" s="3">
        <v>1.0</v>
      </c>
    </row>
    <row r="3331" ht="15.75" customHeight="1">
      <c r="A3331" s="1">
        <v>3547.0</v>
      </c>
      <c r="B3331" s="3" t="s">
        <v>3267</v>
      </c>
      <c r="C3331" s="3" t="str">
        <f>IFERROR(__xludf.DUMMYFUNCTION("GOOGLETRANSLATE(B3331,""id"",""en"")"),"['Woeee', 'Telkom', 'Signal', 'Noh', 'Fix', 'Signal', 'Full', 'Internet', 'Leet', 'Asw', 'Road', 'Buy', ' expensive ',' service ',' satisfying ',' buyer ',' picek ']")</f>
        <v>['Woeee', 'Telkom', 'Signal', 'Noh', 'Fix', 'Signal', 'Full', 'Internet', 'Leet', 'Asw', 'Road', 'Buy', ' expensive ',' service ',' satisfying ',' buyer ',' picek ']</v>
      </c>
      <c r="D3331" s="3">
        <v>1.0</v>
      </c>
    </row>
    <row r="3332" ht="15.75" customHeight="1">
      <c r="A3332" s="1">
        <v>3548.0</v>
      </c>
      <c r="B3332" s="3" t="s">
        <v>3268</v>
      </c>
      <c r="C3332" s="3" t="str">
        <f>IFERROR(__xludf.DUMMYFUNCTION("GOOGLETRANSLATE(B3332,""id"",""en"")"),"['Tsel', 'buy', 'pket', 'expensive', 'knp', 'klw', 'package', 'data', 'multimedia', 'slow', 'pket', 'whole', ' Providers', 'Pling', 'expensive', 'Indonesia', 'PDAVY', 'PAVICE', 'BAD', 'HAVE', 'PRICE', 'SESUI', 'QUALITY', 'KLW', 'Price' , 'expensive', 'kua"&amp;"lits', 'bad', '']")</f>
        <v>['Tsel', 'buy', 'pket', 'expensive', 'knp', 'klw', 'package', 'data', 'multimedia', 'slow', 'pket', 'whole', ' Providers', 'Pling', 'expensive', 'Indonesia', 'PDAVY', 'PAVICE', 'BAD', 'HAVE', 'PRICE', 'SESUI', 'QUALITY', 'KLW', 'Price' , 'expensive', 'kualits', 'bad', '']</v>
      </c>
      <c r="D3332" s="3">
        <v>2.0</v>
      </c>
    </row>
    <row r="3333" ht="15.75" customHeight="1">
      <c r="A3333" s="1">
        <v>3549.0</v>
      </c>
      <c r="B3333" s="3" t="s">
        <v>3269</v>
      </c>
      <c r="C3333" s="3" t="str">
        <f>IFERROR(__xludf.DUMMYFUNCTION("GOOGLETRANSLATE(B3333,""id"",""en"")"),"['Lemot', 'right', 'opened']")</f>
        <v>['Lemot', 'right', 'opened']</v>
      </c>
      <c r="D3333" s="3">
        <v>2.0</v>
      </c>
    </row>
    <row r="3334" ht="15.75" customHeight="1">
      <c r="A3334" s="1">
        <v>3550.0</v>
      </c>
      <c r="B3334" s="3" t="s">
        <v>3270</v>
      </c>
      <c r="C3334" s="3" t="str">
        <f>IFERROR(__xludf.DUMMYFUNCTION("GOOGLETRANSLATE(B3334,""id"",""en"")"),"['Help', 'Thank', 'Kasi']")</f>
        <v>['Help', 'Thank', 'Kasi']</v>
      </c>
      <c r="D3334" s="3">
        <v>5.0</v>
      </c>
    </row>
    <row r="3335" ht="15.75" customHeight="1">
      <c r="A3335" s="1">
        <v>3551.0</v>
      </c>
      <c r="B3335" s="3" t="s">
        <v>3271</v>
      </c>
      <c r="C3335" s="3" t="str">
        <f>IFERROR(__xludf.DUMMYFUNCTION("GOOGLETRANSLATE(B3335,""id"",""en"")"),"['Steady', 'smooth', 'Jaya']")</f>
        <v>['Steady', 'smooth', 'Jaya']</v>
      </c>
      <c r="D3335" s="3">
        <v>5.0</v>
      </c>
    </row>
    <row r="3336" ht="15.75" customHeight="1">
      <c r="A3336" s="1">
        <v>3552.0</v>
      </c>
      <c r="B3336" s="3" t="s">
        <v>3272</v>
      </c>
      <c r="C3336" s="3" t="str">
        <f>IFERROR(__xludf.DUMMYFUNCTION("GOOGLETRANSLATE(B3336,""id"",""en"")"),"['page', 'appears', 'application', 'good']")</f>
        <v>['page', 'appears', 'application', 'good']</v>
      </c>
      <c r="D3336" s="3">
        <v>4.0</v>
      </c>
    </row>
    <row r="3337" ht="15.75" customHeight="1">
      <c r="A3337" s="1">
        <v>3553.0</v>
      </c>
      <c r="B3337" s="3" t="s">
        <v>3273</v>
      </c>
      <c r="C3337" s="3" t="str">
        <f>IFERROR(__xludf.DUMMYFUNCTION("GOOGLETRANSLATE(B3337,""id"",""en"")"),"['Bener', 'his draw']")</f>
        <v>['Bener', 'his draw']</v>
      </c>
      <c r="D3337" s="3">
        <v>3.0</v>
      </c>
    </row>
    <row r="3338" ht="15.75" customHeight="1">
      <c r="A3338" s="1">
        <v>3554.0</v>
      </c>
      <c r="B3338" s="3" t="s">
        <v>3274</v>
      </c>
      <c r="C3338" s="3" t="str">
        <f>IFERROR(__xludf.DUMMYFUNCTION("GOOGLETRANSLATE(B3338,""id"",""en"")"),"['network', 'Telkomsel', 'stable', 'network', 'data', 'user', 'disappointed', 'sorry', 'star', ""]")</f>
        <v>['network', 'Telkomsel', 'stable', 'network', 'data', 'user', 'disappointed', 'sorry', 'star', "]</v>
      </c>
      <c r="D3338" s="3">
        <v>2.0</v>
      </c>
    </row>
    <row r="3339" ht="15.75" customHeight="1">
      <c r="A3339" s="1">
        <v>3555.0</v>
      </c>
      <c r="B3339" s="3" t="s">
        <v>3275</v>
      </c>
      <c r="C3339" s="3" t="str">
        <f>IFERROR(__xludf.DUMMYFUNCTION("GOOGLETRANSLATE(B3339,""id"",""en"")"),"['application', 'super', 'heavy', 'slow', 'outside', 'quota', 'regular', ""]")</f>
        <v>['application', 'super', 'heavy', 'slow', 'outside', 'quota', 'regular', "]</v>
      </c>
      <c r="D3339" s="3">
        <v>1.0</v>
      </c>
    </row>
    <row r="3340" ht="15.75" customHeight="1">
      <c r="A3340" s="1">
        <v>3556.0</v>
      </c>
      <c r="B3340" s="3" t="s">
        <v>3276</v>
      </c>
      <c r="C3340" s="3" t="str">
        <f>IFERROR(__xludf.DUMMYFUNCTION("GOOGLETRANSLATE(B3340,""id"",""en"")"),"['Jaya', 'Telkomsel']")</f>
        <v>['Jaya', 'Telkomsel']</v>
      </c>
      <c r="D3340" s="3">
        <v>5.0</v>
      </c>
    </row>
    <row r="3341" ht="15.75" customHeight="1">
      <c r="A3341" s="1">
        <v>3558.0</v>
      </c>
      <c r="B3341" s="3" t="s">
        <v>3277</v>
      </c>
      <c r="C3341" s="3" t="str">
        <f>IFERROR(__xludf.DUMMYFUNCTION("GOOGLETRANSLATE(B3341,""id"",""en"")"),"['enter', 'Telkomsel', 'signal', 'down', 'signal', 'stable']")</f>
        <v>['enter', 'Telkomsel', 'signal', 'down', 'signal', 'stable']</v>
      </c>
      <c r="D3341" s="3">
        <v>1.0</v>
      </c>
    </row>
    <row r="3342" ht="15.75" customHeight="1">
      <c r="A3342" s="1">
        <v>3559.0</v>
      </c>
      <c r="B3342" s="3" t="s">
        <v>3278</v>
      </c>
      <c r="C3342" s="3" t="str">
        <f>IFERROR(__xludf.DUMMYFUNCTION("GOOGLETRANSLATE(B3342,""id"",""en"")"),"['Help', 'makes it easier', 'access', 'checks']")</f>
        <v>['Help', 'makes it easier', 'access', 'checks']</v>
      </c>
      <c r="D3342" s="3">
        <v>5.0</v>
      </c>
    </row>
    <row r="3343" ht="15.75" customHeight="1">
      <c r="A3343" s="1">
        <v>3560.0</v>
      </c>
      <c r="B3343" s="3" t="s">
        <v>3279</v>
      </c>
      <c r="C3343" s="3" t="str">
        <f>IFERROR(__xludf.DUMMYFUNCTION("GOOGLETRANSLATE(B3343,""id"",""en"")"),"['faithful', 'for you']")</f>
        <v>['faithful', 'for you']</v>
      </c>
      <c r="D3343" s="3">
        <v>5.0</v>
      </c>
    </row>
    <row r="3344" ht="15.75" customHeight="1">
      <c r="A3344" s="1">
        <v>3561.0</v>
      </c>
      <c r="B3344" s="3" t="s">
        <v>3280</v>
      </c>
      <c r="C3344" s="3" t="str">
        <f>IFERROR(__xludf.DUMMYFUNCTION("GOOGLETRANSLATE(B3344,""id"",""en"")"),"['Anyway', 'Satisfied', 'really']")</f>
        <v>['Anyway', 'Satisfied', 'really']</v>
      </c>
      <c r="D3344" s="3">
        <v>5.0</v>
      </c>
    </row>
    <row r="3345" ht="15.75" customHeight="1">
      <c r="A3345" s="1">
        <v>3562.0</v>
      </c>
      <c r="B3345" s="3" t="s">
        <v>3281</v>
      </c>
      <c r="C3345" s="3" t="str">
        <f>IFERROR(__xludf.DUMMYFUNCTION("GOOGLETRANSLATE(B3345,""id"",""en"")"),"['', 'APK', 'SNGT', 'Good']")</f>
        <v>['', 'APK', 'SNGT', 'Good']</v>
      </c>
      <c r="D3345" s="3">
        <v>5.0</v>
      </c>
    </row>
    <row r="3346" ht="15.75" customHeight="1">
      <c r="A3346" s="1">
        <v>3563.0</v>
      </c>
      <c r="B3346" s="3" t="s">
        <v>3282</v>
      </c>
      <c r="C3346" s="3" t="str">
        <f>IFERROR(__xludf.DUMMYFUNCTION("GOOGLETRANSLATE(B3346,""id"",""en"")"),"['Need', 'Package', 'Call', 'Cheap']")</f>
        <v>['Need', 'Package', 'Call', 'Cheap']</v>
      </c>
      <c r="D3346" s="3">
        <v>5.0</v>
      </c>
    </row>
    <row r="3347" ht="15.75" customHeight="1">
      <c r="A3347" s="1">
        <v>3564.0</v>
      </c>
      <c r="B3347" s="3" t="s">
        <v>3283</v>
      </c>
      <c r="C3347" s="3" t="str">
        <f>IFERROR(__xludf.DUMMYFUNCTION("GOOGLETRANSLATE(B3347,""id"",""en"")"),"['Sangat', 'Pussy', 'Daper', 'quota', 'Ngratis', 'Telkomsel']")</f>
        <v>['Sangat', 'Pussy', 'Daper', 'quota', 'Ngratis', 'Telkomsel']</v>
      </c>
      <c r="D3347" s="3">
        <v>5.0</v>
      </c>
    </row>
    <row r="3348" ht="15.75" customHeight="1">
      <c r="A3348" s="1">
        <v>3565.0</v>
      </c>
      <c r="B3348" s="3" t="s">
        <v>3284</v>
      </c>
      <c r="C3348" s="3" t="str">
        <f>IFERROR(__xludf.DUMMYFUNCTION("GOOGLETRANSLATE(B3348,""id"",""en"")"),"['', 'satisfied', 'service', 'please', 'network', 'village', 'reinforced', 'satisfied', 'the application', 'helped', 'thank', 'love', "" ]")</f>
        <v>['', 'satisfied', 'service', 'please', 'network', 'village', 'reinforced', 'satisfied', 'the application', 'helped', 'thank', 'love', " ]</v>
      </c>
      <c r="D3348" s="3">
        <v>5.0</v>
      </c>
    </row>
    <row r="3349" ht="15.75" customHeight="1">
      <c r="A3349" s="1">
        <v>3566.0</v>
      </c>
      <c r="B3349" s="3" t="s">
        <v>3285</v>
      </c>
      <c r="C3349" s="3" t="str">
        <f>IFERROR(__xludf.DUMMYFUNCTION("GOOGLETRANSLATE(B3349,""id"",""en"")"),"['NGK', 'Lottery', 'Gift', 'Exchange', 'Points', 'Buy', 'Credit', 'Not bad', ""]")</f>
        <v>['NGK', 'Lottery', 'Gift', 'Exchange', 'Points', 'Buy', 'Credit', 'Not bad', "]</v>
      </c>
      <c r="D3349" s="3">
        <v>2.0</v>
      </c>
    </row>
    <row r="3350" ht="15.75" customHeight="1">
      <c r="A3350" s="1">
        <v>3567.0</v>
      </c>
      <c r="B3350" s="3" t="s">
        <v>3286</v>
      </c>
      <c r="C3350" s="3" t="str">
        <f>IFERROR(__xludf.DUMMYFUNCTION("GOOGLETRANSLATE(B3350,""id"",""en"")"),"['Since', 'update', 'Telkomsel', 'slow', 'forgiveness']")</f>
        <v>['Since', 'update', 'Telkomsel', 'slow', 'forgiveness']</v>
      </c>
      <c r="D3350" s="3">
        <v>1.0</v>
      </c>
    </row>
    <row r="3351" ht="15.75" customHeight="1">
      <c r="A3351" s="1">
        <v>3568.0</v>
      </c>
      <c r="B3351" s="3" t="s">
        <v>3287</v>
      </c>
      <c r="C3351" s="3" t="str">
        <f>IFERROR(__xludf.DUMMYFUNCTION("GOOGLETRANSLATE(B3351,""id"",""en"")"),"['Gem', 'Cool', 'really']")</f>
        <v>['Gem', 'Cool', 'really']</v>
      </c>
      <c r="D3351" s="3">
        <v>5.0</v>
      </c>
    </row>
    <row r="3352" ht="15.75" customHeight="1">
      <c r="A3352" s="1">
        <v>3569.0</v>
      </c>
      <c r="B3352" s="3" t="s">
        <v>3288</v>
      </c>
      <c r="C3352" s="3" t="str">
        <f>IFERROR(__xludf.DUMMYFUNCTION("GOOGLETRANSLATE(B3352,""id"",""en"")"),"['sympathy', 'pokonya', 'good', 'replace', '']")</f>
        <v>['sympathy', 'pokonya', 'good', 'replace', '']</v>
      </c>
      <c r="D3352" s="3">
        <v>5.0</v>
      </c>
    </row>
    <row r="3353" ht="15.75" customHeight="1">
      <c r="A3353" s="1">
        <v>3570.0</v>
      </c>
      <c r="B3353" s="3" t="s">
        <v>3289</v>
      </c>
      <c r="C3353" s="3" t="str">
        <f>IFERROR(__xludf.DUMMYFUNCTION("GOOGLETRANSLATE(B3353,""id"",""en"")"),"['Star', 'Success', 'Telkomsel']")</f>
        <v>['Star', 'Success', 'Telkomsel']</v>
      </c>
      <c r="D3353" s="3">
        <v>5.0</v>
      </c>
    </row>
    <row r="3354" ht="15.75" customHeight="1">
      <c r="A3354" s="1">
        <v>3571.0</v>
      </c>
      <c r="B3354" s="3" t="s">
        <v>3290</v>
      </c>
      <c r="C3354" s="3" t="str">
        <f>IFERROR(__xludf.DUMMYFUNCTION("GOOGLETRANSLATE(B3354,""id"",""en"")"),"['It's', 'Kenceng', 'Deh', 'Triming']")</f>
        <v>['It's', 'Kenceng', 'Deh', 'Triming']</v>
      </c>
      <c r="D3354" s="3">
        <v>5.0</v>
      </c>
    </row>
    <row r="3355" ht="15.75" customHeight="1">
      <c r="A3355" s="1">
        <v>3572.0</v>
      </c>
      <c r="B3355" s="3" t="s">
        <v>3291</v>
      </c>
      <c r="C3355" s="3" t="str">
        <f>IFERROR(__xludf.DUMMYFUNCTION("GOOGLETRANSLATE(B3355,""id"",""en"")"),"['APK', 'mantapp']")</f>
        <v>['APK', 'mantapp']</v>
      </c>
      <c r="D3355" s="3">
        <v>5.0</v>
      </c>
    </row>
    <row r="3356" ht="15.75" customHeight="1">
      <c r="A3356" s="1">
        <v>3574.0</v>
      </c>
      <c r="B3356" s="3" t="s">
        <v>3292</v>
      </c>
      <c r="C3356" s="3" t="str">
        <f>IFERROR(__xludf.DUMMYFUNCTION("GOOGLETRANSLATE(B3356,""id"",""en"")"),"['Please', 'play', 'signal', 'like', 'red', 'already', 'report', 'please', 'repaired', 'user', 'Telkomsel', 'convenient', ' playing games']")</f>
        <v>['Please', 'play', 'signal', 'like', 'red', 'already', 'report', 'please', 'repaired', 'user', 'Telkomsel', 'convenient', ' playing games']</v>
      </c>
      <c r="D3356" s="3">
        <v>1.0</v>
      </c>
    </row>
    <row r="3357" ht="15.75" customHeight="1">
      <c r="A3357" s="1">
        <v>3575.0</v>
      </c>
      <c r="B3357" s="3" t="s">
        <v>3293</v>
      </c>
      <c r="C3357" s="3" t="str">
        <f>IFERROR(__xludf.DUMMYFUNCTION("GOOGLETRANSLATE(B3357,""id"",""en"")"),"['Please', 'signal', 'strengthen', 'area', 'pisangan', 'signal', 'weak', 'rain', 'ilang', 'signal', 'datana', 'thank', ' Love ',' before ',' ']")</f>
        <v>['Please', 'signal', 'strengthen', 'area', 'pisangan', 'signal', 'weak', 'rain', 'ilang', 'signal', 'datana', 'thank', ' Love ',' before ',' ']</v>
      </c>
      <c r="D3357" s="3">
        <v>5.0</v>
      </c>
    </row>
    <row r="3358" ht="15.75" customHeight="1">
      <c r="A3358" s="1">
        <v>3576.0</v>
      </c>
      <c r="B3358" s="3" t="s">
        <v>3294</v>
      </c>
      <c r="C3358" s="3" t="str">
        <f>IFERROR(__xludf.DUMMYFUNCTION("GOOGLETRANSLATE(B3358,""id"",""en"")"),"['Disappointed', 'Network', 'Telkomsel', 'The Network', 'Like', 'Lemot', ""]")</f>
        <v>['Disappointed', 'Network', 'Telkomsel', 'The Network', 'Like', 'Lemot', "]</v>
      </c>
      <c r="D3358" s="3">
        <v>3.0</v>
      </c>
    </row>
    <row r="3359" ht="15.75" customHeight="1">
      <c r="A3359" s="1">
        <v>3577.0</v>
      </c>
      <c r="B3359" s="3" t="s">
        <v>3295</v>
      </c>
      <c r="C3359" s="3" t="str">
        <f>IFERROR(__xludf.DUMMYFUNCTION("GOOGLETRANSLATE(B3359,""id"",""en"")"),"['Steady', 'cheap']")</f>
        <v>['Steady', 'cheap']</v>
      </c>
      <c r="D3359" s="3">
        <v>5.0</v>
      </c>
    </row>
    <row r="3360" ht="15.75" customHeight="1">
      <c r="A3360" s="1">
        <v>3578.0</v>
      </c>
      <c r="B3360" s="3" t="s">
        <v>3296</v>
      </c>
      <c r="C3360" s="3" t="str">
        <f>IFERROR(__xludf.DUMMYFUNCTION("GOOGLETRANSLATE(B3360,""id"",""en"")"),"['application', 'check', 'pulse', 'quota', 'internet', 'heavy']")</f>
        <v>['application', 'check', 'pulse', 'quota', 'internet', 'heavy']</v>
      </c>
      <c r="D3360" s="3">
        <v>1.0</v>
      </c>
    </row>
    <row r="3361" ht="15.75" customHeight="1">
      <c r="A3361" s="1">
        <v>3579.0</v>
      </c>
      <c r="B3361" s="3" t="s">
        <v>3297</v>
      </c>
      <c r="C3361" s="3" t="str">
        <f>IFERROR(__xludf.DUMMYFUNCTION("GOOGLETRANSLATE(B3361,""id"",""en"")"),"['Points', 'Dxukar', '']")</f>
        <v>['Points', 'Dxukar', '']</v>
      </c>
      <c r="D3361" s="3">
        <v>1.0</v>
      </c>
    </row>
    <row r="3362" ht="15.75" customHeight="1">
      <c r="A3362" s="1">
        <v>3580.0</v>
      </c>
      <c r="B3362" s="3" t="s">
        <v>3298</v>
      </c>
      <c r="C3362" s="3" t="str">
        <f>IFERROR(__xludf.DUMMYFUNCTION("GOOGLETRANSLATE(B3362,""id"",""en"")"),"['Sorry', 'down', 'star', 'signal', 'Telkomsel', 'chaotic', 'UDH', 'Bela', 'IN', 'buy', 'Package', 'Telkomsel', ' However, 'buy', 'smartfren', 'chaotic', 'signal', 'glassaaauu', '']")</f>
        <v>['Sorry', 'down', 'star', 'signal', 'Telkomsel', 'chaotic', 'UDH', 'Bela', 'IN', 'buy', 'Package', 'Telkomsel', ' However, 'buy', 'smartfren', 'chaotic', 'signal', 'glassaaauu', '']</v>
      </c>
      <c r="D3362" s="3">
        <v>1.0</v>
      </c>
    </row>
    <row r="3363" ht="15.75" customHeight="1">
      <c r="A3363" s="1">
        <v>3582.0</v>
      </c>
      <c r="B3363" s="3" t="s">
        <v>3299</v>
      </c>
      <c r="C3363" s="3" t="str">
        <f>IFERROR(__xludf.DUMMYFUNCTION("GOOGLETRANSLATE(B3363,""id"",""en"")"),"['Oklah', 'buy', 'Please', 'fast', 'wasteful']")</f>
        <v>['Oklah', 'buy', 'Please', 'fast', 'wasteful']</v>
      </c>
      <c r="D3363" s="3">
        <v>5.0</v>
      </c>
    </row>
    <row r="3364" ht="15.75" customHeight="1">
      <c r="A3364" s="1">
        <v>3583.0</v>
      </c>
      <c r="B3364" s="3" t="s">
        <v>3300</v>
      </c>
      <c r="C3364" s="3" t="str">
        <f>IFERROR(__xludf.DUMMYFUNCTION("GOOGLETRANSLATE(B3364,""id"",""en"")"),"['like', 'really', 'application', 'exchange', 'point', 'can', 'internet', 'gartisssssss']")</f>
        <v>['like', 'really', 'application', 'exchange', 'point', 'can', 'internet', 'gartisssssss']</v>
      </c>
      <c r="D3364" s="3">
        <v>5.0</v>
      </c>
    </row>
    <row r="3365" ht="15.75" customHeight="1">
      <c r="A3365" s="1">
        <v>3584.0</v>
      </c>
      <c r="B3365" s="3" t="s">
        <v>3301</v>
      </c>
      <c r="C3365" s="3" t="str">
        <f>IFERROR(__xludf.DUMMYFUNCTION("GOOGLETRANSLATE(B3365,""id"",""en"")"),"['Sorry', 'complement', 'skarng', 'telkom', 'like', 'debt', 'credit', 'emergency', 'mnta', 'magnan', 'mnta', 'sngat', ' Disight ',' trrjadi ',' Please ',' Explanation ',' ']")</f>
        <v>['Sorry', 'complement', 'skarng', 'telkom', 'like', 'debt', 'credit', 'emergency', 'mnta', 'magnan', 'mnta', 'sngat', ' Disight ',' trrjadi ',' Please ',' Explanation ',' ']</v>
      </c>
      <c r="D3365" s="3">
        <v>1.0</v>
      </c>
    </row>
    <row r="3366" ht="15.75" customHeight="1">
      <c r="A3366" s="1">
        <v>3585.0</v>
      </c>
      <c r="B3366" s="3" t="s">
        <v>3302</v>
      </c>
      <c r="C3366" s="3" t="str">
        <f>IFERROR(__xludf.DUMMYFUNCTION("GOOGLETRANSLATE(B3366,""id"",""en"")"),"['Pertema', 'Hold', 'already', 'Telkomsel', 'Kluarga', 'Telkomsel', 'Karna', 'Quality', 'Sunyal', 'Bagusb', 'Sousal', 'ugly', ' bangettttttttttttttt ',' please ',' fix ',' dahhhhh ']")</f>
        <v>['Pertema', 'Hold', 'already', 'Telkomsel', 'Kluarga', 'Telkomsel', 'Karna', 'Quality', 'Sunyal', 'Bagusb', 'Sousal', 'ugly', ' bangettttttttttttttt ',' please ',' fix ',' dahhhhh ']</v>
      </c>
      <c r="D3366" s="3">
        <v>1.0</v>
      </c>
    </row>
    <row r="3367" ht="15.75" customHeight="1">
      <c r="A3367" s="1">
        <v>3586.0</v>
      </c>
      <c r="B3367" s="3" t="s">
        <v>3303</v>
      </c>
      <c r="C3367" s="3" t="str">
        <f>IFERROR(__xludf.DUMMYFUNCTION("GOOGLETRANSLATE(B3367,""id"",""en"")"),"['buy', 'package', 'zoom', 'active', 'twenty', 'confirm', 'grapari', 'change', ""]")</f>
        <v>['buy', 'package', 'zoom', 'active', 'twenty', 'confirm', 'grapari', 'change', "]</v>
      </c>
      <c r="D3367" s="3">
        <v>1.0</v>
      </c>
    </row>
    <row r="3368" ht="15.75" customHeight="1">
      <c r="A3368" s="1">
        <v>3587.0</v>
      </c>
      <c r="B3368" s="3" t="s">
        <v>3304</v>
      </c>
      <c r="C3368" s="3" t="str">
        <f>IFERROR(__xludf.DUMMYFUNCTION("GOOGLETRANSLATE(B3368,""id"",""en"")"),"['dlu', 'have', 'price', 'package', 'data', 'network', 'NOT', 'good', 'sometimes',' signal ',' please ',' fix ',' Updates', 'Price', '']")</f>
        <v>['dlu', 'have', 'price', 'package', 'data', 'network', 'NOT', 'good', 'sometimes',' signal ',' please ',' fix ',' Updates', 'Price', '']</v>
      </c>
      <c r="D3368" s="3">
        <v>1.0</v>
      </c>
    </row>
    <row r="3369" ht="15.75" customHeight="1">
      <c r="A3369" s="1">
        <v>3588.0</v>
      </c>
      <c r="B3369" s="3" t="s">
        <v>3305</v>
      </c>
      <c r="C3369" s="3" t="str">
        <f>IFERROR(__xludf.DUMMYFUNCTION("GOOGLETRANSLATE(B3369,""id"",""en"")"),"['steady', 'quota', 'day', 'help', 'really', 'thanks', 'MyTelkomsel', '']")</f>
        <v>['steady', 'quota', 'day', 'help', 'really', 'thanks', 'MyTelkomsel', '']</v>
      </c>
      <c r="D3369" s="3">
        <v>5.0</v>
      </c>
    </row>
    <row r="3370" ht="15.75" customHeight="1">
      <c r="A3370" s="1">
        <v>3589.0</v>
      </c>
      <c r="B3370" s="3" t="s">
        <v>3306</v>
      </c>
      <c r="C3370" s="3" t="str">
        <f>IFERROR(__xludf.DUMMYFUNCTION("GOOGLETRANSLATE(B3370,""id"",""en"")"),"['Good', 'Syng', 'Fill', 'Klu', 'Out', 'Data', 'Open', 'Telkomsel']")</f>
        <v>['Good', 'Syng', 'Fill', 'Klu', 'Out', 'Data', 'Open', 'Telkomsel']</v>
      </c>
      <c r="D3370" s="3">
        <v>5.0</v>
      </c>
    </row>
    <row r="3371" ht="15.75" customHeight="1">
      <c r="A3371" s="1">
        <v>3590.0</v>
      </c>
      <c r="B3371" s="3" t="s">
        <v>3307</v>
      </c>
      <c r="C3371" s="3" t="str">
        <f>IFERROR(__xludf.DUMMYFUNCTION("GOOGLETRANSLATE(B3371,""id"",""en"")"),"['multiptenizes', 'package', 'data', 'populat']")</f>
        <v>['multiptenizes', 'package', 'data', 'populat']</v>
      </c>
      <c r="D3371" s="3">
        <v>4.0</v>
      </c>
    </row>
    <row r="3372" ht="15.75" customHeight="1">
      <c r="A3372" s="1">
        <v>3591.0</v>
      </c>
      <c r="B3372" s="3" t="s">
        <v>3308</v>
      </c>
      <c r="C3372" s="3" t="str">
        <f>IFERROR(__xludf.DUMMYFUNCTION("GOOGLETRANSLATE(B3372,""id"",""en"")"),"['users',' Telkomsel ',' loyal ',' Telkomsel ',' feel ',' UDH ',' Suitable ',' Live ',' Celebrate ',' Aniversary ',' Telkomsel ',' ATW ',' That's', 'Gift', 'interesting', 'Telkomsel', ""]")</f>
        <v>['users',' Telkomsel ',' loyal ',' Telkomsel ',' feel ',' UDH ',' Suitable ',' Live ',' Celebrate ',' Aniversary ',' Telkomsel ',' ATW ',' That's', 'Gift', 'interesting', 'Telkomsel', "]</v>
      </c>
      <c r="D3372" s="3">
        <v>5.0</v>
      </c>
    </row>
    <row r="3373" ht="15.75" customHeight="1">
      <c r="A3373" s="1">
        <v>3592.0</v>
      </c>
      <c r="B3373" s="3" t="s">
        <v>3309</v>
      </c>
      <c r="C3373" s="3" t="str">
        <f>IFERROR(__xludf.DUMMYFUNCTION("GOOGLETRANSLATE(B3373,""id"",""en"")"),"['cave', 'buy', 'pulse', 'balance', 'gopay', 'cave', 'cut', 'enter', 'already']")</f>
        <v>['cave', 'buy', 'pulse', 'balance', 'gopay', 'cave', 'cut', 'enter', 'already']</v>
      </c>
      <c r="D3373" s="3">
        <v>1.0</v>
      </c>
    </row>
    <row r="3374" ht="15.75" customHeight="1">
      <c r="A3374" s="1">
        <v>3593.0</v>
      </c>
      <c r="B3374" s="3" t="s">
        <v>3310</v>
      </c>
      <c r="C3374" s="3" t="str">
        <f>IFERROR(__xludf.DUMMYFUNCTION("GOOGLETRANSLATE(B3374,""id"",""en"")"),"['Good', 'petrified']")</f>
        <v>['Good', 'petrified']</v>
      </c>
      <c r="D3374" s="3">
        <v>3.0</v>
      </c>
    </row>
    <row r="3375" ht="15.75" customHeight="1">
      <c r="A3375" s="1">
        <v>3594.0</v>
      </c>
      <c r="B3375" s="3" t="s">
        <v>3311</v>
      </c>
      <c r="C3375" s="3" t="str">
        <f>IFERROR(__xludf.DUMMYFUNCTION("GOOGLETRANSLATE(B3375,""id"",""en"")"),"['Not bad', 'good', 'unfortunately', 'package', 'expensive', 'network', 'problematic']")</f>
        <v>['Not bad', 'good', 'unfortunately', 'package', 'expensive', 'network', 'problematic']</v>
      </c>
      <c r="D3375" s="3">
        <v>5.0</v>
      </c>
    </row>
    <row r="3376" ht="15.75" customHeight="1">
      <c r="A3376" s="1">
        <v>3595.0</v>
      </c>
      <c r="B3376" s="3" t="s">
        <v>3312</v>
      </c>
      <c r="C3376" s="3" t="str">
        <f>IFERROR(__xludf.DUMMYFUNCTION("GOOGLETRANSLATE(B3376,""id"",""en"")"),"['blank', 'Minute', 'Open', 'App', 'item', 'then', 'pressed', ""]")</f>
        <v>['blank', 'Minute', 'Open', 'App', 'item', 'then', 'pressed', "]</v>
      </c>
      <c r="D3376" s="3">
        <v>2.0</v>
      </c>
    </row>
    <row r="3377" ht="15.75" customHeight="1">
      <c r="A3377" s="1">
        <v>3596.0</v>
      </c>
      <c r="B3377" s="3" t="s">
        <v>3313</v>
      </c>
      <c r="C3377" s="3" t="str">
        <f>IFERROR(__xludf.DUMMYFUNCTION("GOOGLETRANSLATE(B3377,""id"",""en"")"),"['Package', 'data', 'cheap', 'missing', 'males']")</f>
        <v>['Package', 'data', 'cheap', 'missing', 'males']</v>
      </c>
      <c r="D3377" s="3">
        <v>1.0</v>
      </c>
    </row>
    <row r="3378" ht="15.75" customHeight="1">
      <c r="A3378" s="1">
        <v>3597.0</v>
      </c>
      <c r="B3378" s="3" t="s">
        <v>3314</v>
      </c>
      <c r="C3378" s="3" t="str">
        <f>IFERROR(__xludf.DUMMYFUNCTION("GOOGLETRANSLATE(B3378,""id"",""en"")"),"['Increase', 'Quality']")</f>
        <v>['Increase', 'Quality']</v>
      </c>
      <c r="D3378" s="3">
        <v>5.0</v>
      </c>
    </row>
    <row r="3379" ht="15.75" customHeight="1">
      <c r="A3379" s="1">
        <v>3598.0</v>
      </c>
      <c r="B3379" s="3" t="s">
        <v>3315</v>
      </c>
      <c r="C3379" s="3" t="str">
        <f>IFERROR(__xludf.DUMMYFUNCTION("GOOGLETRANSLATE(B3379,""id"",""en"")"),"['Severe', 'Telkomsel', 'user', 'convenience', 'signal', 'ugly', 'play', 'game', 'slow', 'then', 'Udh', 'Hbs',' package ',' nyedot ',' pulse ',' base ',' severe ',' bnr ']")</f>
        <v>['Severe', 'Telkomsel', 'user', 'convenience', 'signal', 'ugly', 'play', 'game', 'slow', 'then', 'Udh', 'Hbs',' package ',' nyedot ',' pulse ',' base ',' severe ',' bnr ']</v>
      </c>
      <c r="D3379" s="3">
        <v>1.0</v>
      </c>
    </row>
    <row r="3380" ht="15.75" customHeight="1">
      <c r="A3380" s="1">
        <v>3599.0</v>
      </c>
      <c r="B3380" s="3" t="s">
        <v>3316</v>
      </c>
      <c r="C3380" s="3" t="str">
        <f>IFERROR(__xludf.DUMMYFUNCTION("GOOGLETRANSLATE(B3380,""id"",""en"")"),"['Price', 'Package', 'Expensive', 'Terips',' Unlimited ',' Yagnh ',' Bener ',' Unlimited ',' really ',' thousand ',' HBis', 'Package', ' Unlimited ',' Reduced ',' Speed ​​',' Uklum ',' I ',' Price ',' thousand ',' Price ',' Kenape ',' Tsel ',' Astaghfirul"&amp;"lah ', ""]")</f>
        <v>['Price', 'Package', 'Expensive', 'Terips',' Unlimited ',' Yagnh ',' Bener ',' Unlimited ',' really ',' thousand ',' HBis', 'Package', ' Unlimited ',' Reduced ',' Speed ​​',' Uklum ',' I ',' Price ',' thousand ',' Price ',' Kenape ',' Tsel ',' Astaghfirullah ', "]</v>
      </c>
      <c r="D3380" s="3">
        <v>2.0</v>
      </c>
    </row>
    <row r="3381" ht="15.75" customHeight="1">
      <c r="A3381" s="1">
        <v>3600.0</v>
      </c>
      <c r="B3381" s="3" t="s">
        <v>3317</v>
      </c>
      <c r="C3381" s="3" t="str">
        <f>IFERROR(__xludf.DUMMYFUNCTION("GOOGLETRANSLATE(B3381,""id"",""en"")"),"['Steady', 'Package', 'Rb']")</f>
        <v>['Steady', 'Package', 'Rb']</v>
      </c>
      <c r="D3381" s="3">
        <v>5.0</v>
      </c>
    </row>
    <row r="3382" ht="15.75" customHeight="1">
      <c r="A3382" s="1">
        <v>3601.0</v>
      </c>
      <c r="B3382" s="3" t="s">
        <v>3318</v>
      </c>
      <c r="C3382" s="3" t="str">
        <f>IFERROR(__xludf.DUMMYFUNCTION("GOOGLETRANSLATE(B3382,""id"",""en"")"),"['Purchase', 'Package', 'Application', 'Enter', '']")</f>
        <v>['Purchase', 'Package', 'Application', 'Enter', '']</v>
      </c>
      <c r="D3382" s="3">
        <v>1.0</v>
      </c>
    </row>
    <row r="3383" ht="15.75" customHeight="1">
      <c r="A3383" s="1">
        <v>3602.0</v>
      </c>
      <c r="B3383" s="3" t="s">
        <v>3319</v>
      </c>
      <c r="C3383" s="3" t="str">
        <f>IFERROR(__xludf.DUMMYFUNCTION("GOOGLETRANSLATE(B3383,""id"",""en"")"),"['Install', 'Good', 'Signal', 'Full', 'in the Occupational', 'Jakarta', 'Center', 'Hopefully', 'Good', ""]")</f>
        <v>['Install', 'Good', 'Signal', 'Full', 'in the Occupational', 'Jakarta', 'Center', 'Hopefully', 'Good', "]</v>
      </c>
      <c r="D3383" s="3">
        <v>5.0</v>
      </c>
    </row>
    <row r="3384" ht="15.75" customHeight="1">
      <c r="A3384" s="1">
        <v>3605.0</v>
      </c>
      <c r="B3384" s="3" t="s">
        <v>3320</v>
      </c>
      <c r="C3384" s="3" t="str">
        <f>IFERROR(__xludf.DUMMYFUNCTION("GOOGLETRANSLATE(B3384,""id"",""en"")"),"['Help', 'Please', 'Fix', 'Network', 'Region', 'NTT']")</f>
        <v>['Help', 'Please', 'Fix', 'Network', 'Region', 'NTT']</v>
      </c>
      <c r="D3384" s="3">
        <v>5.0</v>
      </c>
    </row>
    <row r="3385" ht="15.75" customHeight="1">
      <c r="A3385" s="1">
        <v>3607.0</v>
      </c>
      <c r="B3385" s="3" t="s">
        <v>3321</v>
      </c>
      <c r="C3385" s="3" t="str">
        <f>IFERROR(__xludf.DUMMYFUNCTION("GOOGLETRANSLATE(B3385,""id"",""en"")"),"['package', 'evenly', 'number', 'sympathy']")</f>
        <v>['package', 'evenly', 'number', 'sympathy']</v>
      </c>
      <c r="D3385" s="3">
        <v>5.0</v>
      </c>
    </row>
    <row r="3386" ht="15.75" customHeight="1">
      <c r="A3386" s="1">
        <v>3608.0</v>
      </c>
      <c r="B3386" s="3" t="s">
        <v>3322</v>
      </c>
      <c r="C3386" s="3" t="str">
        <f>IFERROR(__xludf.DUMMYFUNCTION("GOOGLETRANSLATE(B3386,""id"",""en"")"),"['strange', 'telephone', 'forced', 'closed', 'second', 'bug', 'kah', 'emang', 'emang', 'expensive', '']")</f>
        <v>['strange', 'telephone', 'forced', 'closed', 'second', 'bug', 'kah', 'emang', 'emang', 'expensive', '']</v>
      </c>
      <c r="D3386" s="3">
        <v>1.0</v>
      </c>
    </row>
    <row r="3387" ht="15.75" customHeight="1">
      <c r="A3387" s="1">
        <v>3610.0</v>
      </c>
      <c r="B3387" s="3" t="s">
        <v>3323</v>
      </c>
      <c r="C3387" s="3" t="str">
        <f>IFERROR(__xludf.DUMMYFUNCTION("GOOGLETRANSLATE(B3387,""id"",""en"")"),"['unlimited', 'limit', 'base', 'provider', 'strange', 'eyes',' duota ',' quota ',' expensive ',' point ',' nukar ',' quota ',' Dayli ',' Daily ',' Make ',' Credit ',' Claims', 'Basic', 'Eyes',' Duitan ',' POINT ',' POINT ',' POINT ',' MAKE ',' Credit ' , "&amp;"'rating', 'rating', 'application', 'most', 'gave', 'star', 'low', 'hmmm', 'suspicious', '']")</f>
        <v>['unlimited', 'limit', 'base', 'provider', 'strange', 'eyes',' duota ',' quota ',' expensive ',' point ',' nukar ',' quota ',' Dayli ',' Daily ',' Make ',' Credit ',' Claims', 'Basic', 'Eyes',' Duitan ',' POINT ',' POINT ',' POINT ',' MAKE ',' Credit ' , 'rating', 'rating', 'application', 'most', 'gave', 'star', 'low', 'hmmm', 'suspicious', '']</v>
      </c>
      <c r="D3387" s="3">
        <v>1.0</v>
      </c>
    </row>
    <row r="3388" ht="15.75" customHeight="1">
      <c r="A3388" s="1">
        <v>3611.0</v>
      </c>
      <c r="B3388" s="3" t="s">
        <v>3324</v>
      </c>
      <c r="C3388" s="3" t="str">
        <f>IFERROR(__xludf.DUMMYFUNCTION("GOOGLETRANSLATE(B3388,""id"",""en"")"),"['Ngga', 'Wind', 'Rain', 'Isis',' Credit ',' Cut ',' No "", 'Take', 'Package', 'Emergency', 'What']")</f>
        <v>['Ngga', 'Wind', 'Rain', 'Isis',' Credit ',' Cut ',' No ", 'Take', 'Package', 'Emergency', 'What']</v>
      </c>
      <c r="D3388" s="3">
        <v>3.0</v>
      </c>
    </row>
    <row r="3389" ht="15.75" customHeight="1">
      <c r="A3389" s="1">
        <v>3612.0</v>
      </c>
      <c r="B3389" s="3" t="s">
        <v>3325</v>
      </c>
      <c r="C3389" s="3" t="str">
        <f>IFERROR(__xludf.DUMMYFUNCTION("GOOGLETRANSLATE(B3389,""id"",""en"")"),"['GMNA', 'buy', 'Package', 'Langgasana', 'Disney', 'Enter', 'Disney', 'told', 'Pay', 'subscribe', ""]")</f>
        <v>['GMNA', 'buy', 'Package', 'Langgasana', 'Disney', 'Enter', 'Disney', 'told', 'Pay', 'subscribe', "]</v>
      </c>
      <c r="D3389" s="3">
        <v>2.0</v>
      </c>
    </row>
    <row r="3390" ht="15.75" customHeight="1">
      <c r="A3390" s="1">
        <v>3613.0</v>
      </c>
      <c r="B3390" s="3" t="s">
        <v>3326</v>
      </c>
      <c r="C3390" s="3" t="str">
        <f>IFERROR(__xludf.DUMMYFUNCTION("GOOGLETRANSLATE(B3390,""id"",""en"")"),"['application', 'steady', 'really', 'complete', 'feature', 'newest', 'excellent']")</f>
        <v>['application', 'steady', 'really', 'complete', 'feature', 'newest', 'excellent']</v>
      </c>
      <c r="D3390" s="3">
        <v>5.0</v>
      </c>
    </row>
    <row r="3391" ht="15.75" customHeight="1">
      <c r="A3391" s="1">
        <v>3614.0</v>
      </c>
      <c r="B3391" s="3" t="s">
        <v>3327</v>
      </c>
      <c r="C3391" s="3" t="str">
        <f>IFERROR(__xludf.DUMMYFUNCTION("GOOGLETRANSLATE(B3391,""id"",""en"")"),"['Severe', 'really', 'network', 'price', 'expensive', 'connection', 'slow', 'poor', '']")</f>
        <v>['Severe', 'really', 'network', 'price', 'expensive', 'connection', 'slow', 'poor', '']</v>
      </c>
      <c r="D3391" s="3">
        <v>1.0</v>
      </c>
    </row>
    <row r="3392" ht="15.75" customHeight="1">
      <c r="A3392" s="1">
        <v>3615.0</v>
      </c>
      <c r="B3392" s="3" t="s">
        <v>3328</v>
      </c>
      <c r="C3392" s="3" t="str">
        <f>IFERROR(__xludf.DUMMYFUNCTION("GOOGLETRANSLATE(B3392,""id"",""en"")"),"['price']")</f>
        <v>['price']</v>
      </c>
      <c r="D3392" s="3">
        <v>4.0</v>
      </c>
    </row>
    <row r="3393" ht="15.75" customHeight="1">
      <c r="A3393" s="1">
        <v>3616.0</v>
      </c>
      <c r="B3393" s="3" t="s">
        <v>3329</v>
      </c>
      <c r="C3393" s="3" t="str">
        <f>IFERROR(__xludf.DUMMYFUNCTION("GOOGLETRANSLATE(B3393,""id"",""en"")"),"['bad', 'stress',' aje ',' waiting ',' application ',' check ',' quota ',' mytel ',' already ',' ngikutin ',' upgrade ',' buy ',' package ',' GB ',' Points', 'disappear', 'signal', 'error', 'slow', 'expensive', 'hadeeeuuh', 'burruuukkk', ""]")</f>
        <v>['bad', 'stress',' aje ',' waiting ',' application ',' check ',' quota ',' mytel ',' already ',' ngikutin ',' upgrade ',' buy ',' package ',' GB ',' Points', 'disappear', 'signal', 'error', 'slow', 'expensive', 'hadeeeuuh', 'burruuukkk', "]</v>
      </c>
      <c r="D3393" s="3">
        <v>5.0</v>
      </c>
    </row>
    <row r="3394" ht="15.75" customHeight="1">
      <c r="A3394" s="1">
        <v>3617.0</v>
      </c>
      <c r="B3394" s="3" t="s">
        <v>3330</v>
      </c>
      <c r="C3394" s="3" t="str">
        <f>IFERROR(__xludf.DUMMYFUNCTION("GOOGLETRANSLATE(B3394,""id"",""en"")"),"['Midah', 'check', 'package', 'data', 'pulses']")</f>
        <v>['Midah', 'check', 'package', 'data', 'pulses']</v>
      </c>
      <c r="D3394" s="3">
        <v>5.0</v>
      </c>
    </row>
    <row r="3395" ht="15.75" customHeight="1">
      <c r="A3395" s="1">
        <v>3618.0</v>
      </c>
      <c r="B3395" s="3" t="s">
        <v>3331</v>
      </c>
      <c r="C3395" s="3" t="str">
        <f>IFERROR(__xludf.DUMMYFUNCTION("GOOGLETRANSLATE(B3395,""id"",""en"")"),"['Paketan', 'expensive', 'Kartuku', 'people', 'mah', 'cheap', '']")</f>
        <v>['Paketan', 'expensive', 'Kartuku', 'people', 'mah', 'cheap', '']</v>
      </c>
      <c r="D3395" s="3">
        <v>5.0</v>
      </c>
    </row>
    <row r="3396" ht="15.75" customHeight="1">
      <c r="A3396" s="1">
        <v>3619.0</v>
      </c>
      <c r="B3396" s="3" t="s">
        <v>3332</v>
      </c>
      <c r="C3396" s="3" t="str">
        <f>IFERROR(__xludf.DUMMYFUNCTION("GOOGLETRANSLATE(B3396,""id"",""en"")"),"['Telkomsel', 'Anjjing', 'Bkin', 'Maen', 'Game', 'Lost', 'Laaq', 'Truussss', 'Assupuuuu']")</f>
        <v>['Telkomsel', 'Anjjing', 'Bkin', 'Maen', 'Game', 'Lost', 'Laaq', 'Truussss', 'Assupuuuu']</v>
      </c>
      <c r="D3396" s="3">
        <v>1.0</v>
      </c>
    </row>
    <row r="3397" ht="15.75" customHeight="1">
      <c r="A3397" s="1">
        <v>3620.0</v>
      </c>
      <c r="B3397" s="3" t="s">
        <v>3333</v>
      </c>
      <c r="C3397" s="3" t="str">
        <f>IFERROR(__xludf.DUMMYFUNCTION("GOOGLETRANSLATE(B3397,""id"",""en"")"),"['', 'Bintang', 'Good', 'Kasi', '']")</f>
        <v>['', 'Bintang', 'Good', 'Kasi', '']</v>
      </c>
      <c r="D3397" s="3">
        <v>3.0</v>
      </c>
    </row>
    <row r="3398" ht="15.75" customHeight="1">
      <c r="A3398" s="1">
        <v>3621.0</v>
      </c>
      <c r="B3398" s="3" t="s">
        <v>3334</v>
      </c>
      <c r="C3398" s="3" t="str">
        <f>IFERROR(__xludf.DUMMYFUNCTION("GOOGLETRANSLATE(B3398,""id"",""en"")"),"['bnyakin', 'discount']")</f>
        <v>['bnyakin', 'discount']</v>
      </c>
      <c r="D3398" s="3">
        <v>5.0</v>
      </c>
    </row>
    <row r="3399" ht="15.75" customHeight="1">
      <c r="A3399" s="1">
        <v>3622.0</v>
      </c>
      <c r="B3399" s="3" t="s">
        <v>3335</v>
      </c>
      <c r="C3399" s="3" t="str">
        <f>IFERROR(__xludf.DUMMYFUNCTION("GOOGLETRANSLATE(B3399,""id"",""en"")"),"['Useful', 'mandatory', 'dwonload']")</f>
        <v>['Useful', 'mandatory', 'dwonload']</v>
      </c>
      <c r="D3399" s="3">
        <v>4.0</v>
      </c>
    </row>
    <row r="3400" ht="15.75" customHeight="1">
      <c r="A3400" s="1">
        <v>3623.0</v>
      </c>
      <c r="B3400" s="3" t="s">
        <v>3336</v>
      </c>
      <c r="C3400" s="3" t="str">
        <f>IFERROR(__xludf.DUMMYFUNCTION("GOOGLETRANSLATE(B3400,""id"",""en"")"),"['Package', 'Combo', 'Sakti', 'Buy', 'Package', 'Tel', 'Tselk', 'Text', 'Delete', 'Karna', 'Should', 'Change', ' Quota ',' internet ',' ']")</f>
        <v>['Package', 'Combo', 'Sakti', 'Buy', 'Package', 'Tel', 'Tselk', 'Text', 'Delete', 'Karna', 'Should', 'Change', ' Quota ',' internet ',' ']</v>
      </c>
      <c r="D3400" s="3">
        <v>5.0</v>
      </c>
    </row>
    <row r="3401" ht="15.75" customHeight="1">
      <c r="A3401" s="1">
        <v>3624.0</v>
      </c>
      <c r="B3401" s="3" t="s">
        <v>3337</v>
      </c>
      <c r="C3401" s="3" t="str">
        <f>IFERROR(__xludf.DUMMYFUNCTION("GOOGLETRANSLATE(B3401,""id"",""en"")"),"['contents', 'package', 'price', 'believed', 'requires', 'buy', 'pulse', 'price', 'package', 'different', 'different', ""]")</f>
        <v>['contents', 'package', 'price', 'believed', 'requires', 'buy', 'pulse', 'price', 'package', 'different', 'different', "]</v>
      </c>
      <c r="D3401" s="3">
        <v>1.0</v>
      </c>
    </row>
    <row r="3402" ht="15.75" customHeight="1">
      <c r="A3402" s="1">
        <v>3625.0</v>
      </c>
      <c r="B3402" s="3" t="s">
        <v>3338</v>
      </c>
      <c r="C3402" s="3" t="str">
        <f>IFERROR(__xludf.DUMMYFUNCTION("GOOGLETRANSLATE(B3402,""id"",""en"")"),"['Steady', 'Kale', 'Lek', '']")</f>
        <v>['Steady', 'Kale', 'Lek', '']</v>
      </c>
      <c r="D3402" s="3">
        <v>5.0</v>
      </c>
    </row>
    <row r="3403" ht="15.75" customHeight="1">
      <c r="A3403" s="1">
        <v>3626.0</v>
      </c>
      <c r="B3403" s="3" t="s">
        <v>3339</v>
      </c>
      <c r="C3403" s="3" t="str">
        <f>IFERROR(__xludf.DUMMYFUNCTION("GOOGLETRANSLATE(B3403,""id"",""en"")"),"['Increases', 'Quality', 'Internet', 'Current']")</f>
        <v>['Increases', 'Quality', 'Internet', 'Current']</v>
      </c>
      <c r="D3403" s="3">
        <v>5.0</v>
      </c>
    </row>
    <row r="3404" ht="15.75" customHeight="1">
      <c r="A3404" s="1">
        <v>3627.0</v>
      </c>
      <c r="B3404" s="3" t="s">
        <v>376</v>
      </c>
      <c r="C3404" s="3" t="str">
        <f>IFERROR(__xludf.DUMMYFUNCTION("GOOGLETRANSLATE(B3404,""id"",""en"")"),"['Telkomsel', '']")</f>
        <v>['Telkomsel', '']</v>
      </c>
      <c r="D3404" s="3">
        <v>5.0</v>
      </c>
    </row>
    <row r="3405" ht="15.75" customHeight="1">
      <c r="A3405" s="1">
        <v>3628.0</v>
      </c>
      <c r="B3405" s="3" t="s">
        <v>3340</v>
      </c>
      <c r="C3405" s="3" t="str">
        <f>IFERROR(__xludf.DUMMYFUNCTION("GOOGLETRANSLATE(B3405,""id"",""en"")"),"['', 'Disa', 'access', 'quota', 'aka', 'quota', 'run out', 'bin', 'empty', '']")</f>
        <v>['', 'Disa', 'access', 'quota', 'aka', 'quota', 'run out', 'bin', 'empty', '']</v>
      </c>
      <c r="D3405" s="3">
        <v>3.0</v>
      </c>
    </row>
    <row r="3406" ht="15.75" customHeight="1">
      <c r="A3406" s="1">
        <v>3629.0</v>
      </c>
      <c r="B3406" s="3" t="s">
        <v>3341</v>
      </c>
      <c r="C3406" s="3" t="str">
        <f>IFERROR(__xludf.DUMMYFUNCTION("GOOGLETRANSLATE(B3406,""id"",""en"")"),"['No', 'intention', 'gave', 'signal', 'network', 'knntl', 'Telkomsel', 'annnnnjjjjjg']")</f>
        <v>['No', 'intention', 'gave', 'signal', 'network', 'knntl', 'Telkomsel', 'annnnnjjjjjg']</v>
      </c>
      <c r="D3406" s="3">
        <v>1.0</v>
      </c>
    </row>
    <row r="3407" ht="15.75" customHeight="1">
      <c r="A3407" s="1">
        <v>3630.0</v>
      </c>
      <c r="B3407" s="3" t="s">
        <v>3342</v>
      </c>
      <c r="C3407" s="3" t="str">
        <f>IFERROR(__xludf.DUMMYFUNCTION("GOOGLETRANSLATE(B3407,""id"",""en"")"),"['Quota', 'Gede', 'Network', 'TPI', 'KNPA', 'HARD', 'Open', 'Appsi', 'Wonder', 'Akumah', 'Try']")</f>
        <v>['Quota', 'Gede', 'Network', 'TPI', 'KNPA', 'HARD', 'Open', 'Appsi', 'Wonder', 'Akumah', 'Try']</v>
      </c>
      <c r="D3407" s="3">
        <v>1.0</v>
      </c>
    </row>
    <row r="3408" ht="15.75" customHeight="1">
      <c r="A3408" s="1">
        <v>3631.0</v>
      </c>
      <c r="B3408" s="3" t="s">
        <v>3343</v>
      </c>
      <c r="C3408" s="3" t="str">
        <f>IFERROR(__xludf.DUMMYFUNCTION("GOOGLETRANSLATE(B3408,""id"",""en"")"),"['application', 'good', 'purchase', 'package', 'data']")</f>
        <v>['application', 'good', 'purchase', 'package', 'data']</v>
      </c>
      <c r="D3408" s="3">
        <v>5.0</v>
      </c>
    </row>
    <row r="3409" ht="15.75" customHeight="1">
      <c r="A3409" s="1">
        <v>3632.0</v>
      </c>
      <c r="B3409" s="3" t="s">
        <v>3344</v>
      </c>
      <c r="C3409" s="3" t="str">
        <f>IFERROR(__xludf.DUMMYFUNCTION("GOOGLETRANSLATE(B3409,""id"",""en"")"),"['Telkomsel', 'the package', 'cheap', 'kayak', 'provider', 'have', 'expensive', 'really', 'package', 'signal', 'Telkomsel', 'doang', ' belongs to ',' state ',' cheap ',' expensive ',' really ',' people ',' ']")</f>
        <v>['Telkomsel', 'the package', 'cheap', 'kayak', 'provider', 'have', 'expensive', 'really', 'package', 'signal', 'Telkomsel', 'doang', ' belongs to ',' state ',' cheap ',' expensive ',' really ',' people ',' ']</v>
      </c>
      <c r="D3409" s="3">
        <v>1.0</v>
      </c>
    </row>
    <row r="3410" ht="15.75" customHeight="1">
      <c r="A3410" s="1">
        <v>3634.0</v>
      </c>
      <c r="B3410" s="3" t="s">
        <v>3345</v>
      </c>
      <c r="C3410" s="3" t="str">
        <f>IFERROR(__xludf.DUMMYFUNCTION("GOOGLETRANSLATE(B3410,""id"",""en"")"),"['Redem', 'Points', 'Data', 'GB', 'KNPA', 'Difficult']")</f>
        <v>['Redem', 'Points', 'Data', 'GB', 'KNPA', 'Difficult']</v>
      </c>
      <c r="D3410" s="3">
        <v>1.0</v>
      </c>
    </row>
    <row r="3411" ht="15.75" customHeight="1">
      <c r="A3411" s="1">
        <v>3635.0</v>
      </c>
      <c r="B3411" s="3" t="s">
        <v>3346</v>
      </c>
      <c r="C3411" s="3" t="str">
        <f>IFERROR(__xludf.DUMMYFUNCTION("GOOGLETRANSLATE(B3411,""id"",""en"")"),"['Price', 'promo']")</f>
        <v>['Price', 'promo']</v>
      </c>
      <c r="D3411" s="3">
        <v>1.0</v>
      </c>
    </row>
    <row r="3412" ht="15.75" customHeight="1">
      <c r="A3412" s="1">
        <v>3636.0</v>
      </c>
      <c r="B3412" s="3" t="s">
        <v>3347</v>
      </c>
      <c r="C3412" s="3" t="str">
        <f>IFERROR(__xludf.DUMMYFUNCTION("GOOGLETRANSLATE(B3412,""id"",""en"")"),"['Internet', 'stable', 'repaired', 'smooth', 'Jaya', 'Psychiatrical', 'Maya', ""]")</f>
        <v>['Internet', 'stable', 'repaired', 'smooth', 'Jaya', 'Psychiatrical', 'Maya', "]</v>
      </c>
      <c r="D3412" s="3">
        <v>5.0</v>
      </c>
    </row>
    <row r="3413" ht="15.75" customHeight="1">
      <c r="A3413" s="1">
        <v>3637.0</v>
      </c>
      <c r="B3413" s="3" t="s">
        <v>2620</v>
      </c>
      <c r="C3413" s="3" t="str">
        <f>IFERROR(__xludf.DUMMYFUNCTION("GOOGLETRANSLATE(B3413,""id"",""en"")"),"Of course")</f>
        <v>Of course</v>
      </c>
      <c r="D3413" s="3">
        <v>1.0</v>
      </c>
    </row>
    <row r="3414" ht="15.75" customHeight="1">
      <c r="A3414" s="1">
        <v>3638.0</v>
      </c>
      <c r="B3414" s="3" t="s">
        <v>3348</v>
      </c>
      <c r="C3414" s="3" t="str">
        <f>IFERROR(__xludf.DUMMYFUNCTION("GOOGLETRANSLATE(B3414,""id"",""en"")"),"['website', 'good', ""]")</f>
        <v>['website', 'good', "]</v>
      </c>
      <c r="D3414" s="3">
        <v>5.0</v>
      </c>
    </row>
    <row r="3415" ht="15.75" customHeight="1">
      <c r="A3415" s="1">
        <v>3639.0</v>
      </c>
      <c r="B3415" s="3" t="s">
        <v>3349</v>
      </c>
      <c r="C3415" s="3" t="str">
        <f>IFERROR(__xludf.DUMMYFUNCTION("GOOGLETRANSLATE(B3415,""id"",""en"")"),"['Min', 'Please', 'Add', 'Features',' Lock ',' Pulse ',' Min ',' Data ',' Lost ',' Pulses', 'Chat', 'Notif', ' Enter ',' already ',' just ',' min ',' hope ',' responded ',' followed up ',' thank you ']")</f>
        <v>['Min', 'Please', 'Add', 'Features',' Lock ',' Pulse ',' Min ',' Data ',' Lost ',' Pulses', 'Chat', 'Notif', ' Enter ',' already ',' just ',' min ',' hope ',' responded ',' followed up ',' thank you ']</v>
      </c>
      <c r="D3415" s="3">
        <v>1.0</v>
      </c>
    </row>
    <row r="3416" ht="15.75" customHeight="1">
      <c r="A3416" s="1">
        <v>3641.0</v>
      </c>
      <c r="B3416" s="3" t="s">
        <v>3350</v>
      </c>
      <c r="C3416" s="3" t="str">
        <f>IFERROR(__xludf.DUMMYFUNCTION("GOOGLETRANSLATE(B3416,""id"",""en"")"),"['Young', 'cheap']")</f>
        <v>['Young', 'cheap']</v>
      </c>
      <c r="D3416" s="3">
        <v>5.0</v>
      </c>
    </row>
    <row r="3417" ht="15.75" customHeight="1">
      <c r="A3417" s="1">
        <v>3642.0</v>
      </c>
      <c r="B3417" s="3" t="s">
        <v>3351</v>
      </c>
      <c r="C3417" s="3" t="str">
        <f>IFERROR(__xludf.DUMMYFUNCTION("GOOGLETRANSLATE(B3417,""id"",""en"")"),"['', 'Telkomsel', 'help', 'satisfaction', 'customer', '']")</f>
        <v>['', 'Telkomsel', 'help', 'satisfaction', 'customer', '']</v>
      </c>
      <c r="D3417" s="3">
        <v>5.0</v>
      </c>
    </row>
    <row r="3418" ht="15.75" customHeight="1">
      <c r="A3418" s="1">
        <v>3644.0</v>
      </c>
      <c r="B3418" s="3" t="s">
        <v>3352</v>
      </c>
      <c r="C3418" s="3" t="str">
        <f>IFERROR(__xludf.DUMMYFUNCTION("GOOGLETRANSLATE(B3418,""id"",""en"")"),"['Package', 'quota', 'expensive']")</f>
        <v>['Package', 'quota', 'expensive']</v>
      </c>
      <c r="D3418" s="3">
        <v>5.0</v>
      </c>
    </row>
    <row r="3419" ht="15.75" customHeight="1">
      <c r="A3419" s="1">
        <v>3645.0</v>
      </c>
      <c r="B3419" s="3" t="s">
        <v>2914</v>
      </c>
      <c r="C3419" s="3" t="str">
        <f>IFERROR(__xludf.DUMMYFUNCTION("GOOGLETRANSLATE(B3419,""id"",""en"")"),"['Good', 'help']")</f>
        <v>['Good', 'help']</v>
      </c>
      <c r="D3419" s="3">
        <v>5.0</v>
      </c>
    </row>
    <row r="3420" ht="15.75" customHeight="1">
      <c r="A3420" s="1">
        <v>3646.0</v>
      </c>
      <c r="B3420" s="3" t="s">
        <v>3353</v>
      </c>
      <c r="C3420" s="3" t="str">
        <f>IFERROR(__xludf.DUMMYFUNCTION("GOOGLETRANSLATE(B3420,""id"",""en"")"),"['like', 'prnh', 'obstacles', 'signal', 'suuka', '']")</f>
        <v>['like', 'prnh', 'obstacles', 'signal', 'suuka', '']</v>
      </c>
      <c r="D3420" s="3">
        <v>5.0</v>
      </c>
    </row>
    <row r="3421" ht="15.75" customHeight="1">
      <c r="A3421" s="1">
        <v>3647.0</v>
      </c>
      <c r="B3421" s="3" t="s">
        <v>3354</v>
      </c>
      <c r="C3421" s="3" t="str">
        <f>IFERROR(__xludf.DUMMYFUNCTION("GOOGLETRANSLATE(B3421,""id"",""en"")"),"['Register', 'Bintang', 'talk', ""]")</f>
        <v>['Register', 'Bintang', 'talk', "]</v>
      </c>
      <c r="D3421" s="3">
        <v>5.0</v>
      </c>
    </row>
    <row r="3422" ht="15.75" customHeight="1">
      <c r="A3422" s="1">
        <v>3648.0</v>
      </c>
      <c r="B3422" s="3" t="s">
        <v>3355</v>
      </c>
      <c r="C3422" s="3" t="str">
        <f>IFERROR(__xludf.DUMMYFUNCTION("GOOGLETRANSLATE(B3422,""id"",""en"")"),"['', 'Telkomsel', 'great', 'network', 'broad', 'fast', 'smg', 'Telkomsel', 'advanced', 'best']")</f>
        <v>['', 'Telkomsel', 'great', 'network', 'broad', 'fast', 'smg', 'Telkomsel', 'advanced', 'best']</v>
      </c>
      <c r="D3422" s="3">
        <v>5.0</v>
      </c>
    </row>
    <row r="3423" ht="15.75" customHeight="1">
      <c r="A3423" s="1">
        <v>3649.0</v>
      </c>
      <c r="B3423" s="3" t="s">
        <v>3356</v>
      </c>
      <c r="C3423" s="3" t="str">
        <f>IFERROR(__xludf.DUMMYFUNCTION("GOOGLETRANSLATE(B3423,""id"",""en"")"),"['Bonus', 'transaction']")</f>
        <v>['Bonus', 'transaction']</v>
      </c>
      <c r="D3423" s="3">
        <v>5.0</v>
      </c>
    </row>
    <row r="3424" ht="15.75" customHeight="1">
      <c r="A3424" s="1">
        <v>3650.0</v>
      </c>
      <c r="B3424" s="3" t="s">
        <v>3357</v>
      </c>
      <c r="C3424" s="3" t="str">
        <f>IFERROR(__xludf.DUMMYFUNCTION("GOOGLETRANSLATE(B3424,""id"",""en"")"),"['application', 'data', 'background', '']")</f>
        <v>['application', 'data', 'background', '']</v>
      </c>
      <c r="D3424" s="3">
        <v>1.0</v>
      </c>
    </row>
    <row r="3425" ht="15.75" customHeight="1">
      <c r="A3425" s="1">
        <v>3651.0</v>
      </c>
      <c r="B3425" s="3" t="s">
        <v>3358</v>
      </c>
      <c r="C3425" s="3" t="str">
        <f>IFERROR(__xludf.DUMMYFUNCTION("GOOGLETRANSLATE(B3425,""id"",""en"")"),"['', 'Telkomsel', 'cheats', 'customers', 'Telkomsel', 'until']")</f>
        <v>['', 'Telkomsel', 'cheats', 'customers', 'Telkomsel', 'until']</v>
      </c>
      <c r="D3425" s="3">
        <v>1.0</v>
      </c>
    </row>
    <row r="3426" ht="15.75" customHeight="1">
      <c r="A3426" s="1">
        <v>3652.0</v>
      </c>
      <c r="B3426" s="3" t="s">
        <v>3359</v>
      </c>
      <c r="C3426" s="3" t="str">
        <f>IFERROR(__xludf.DUMMYFUNCTION("GOOGLETRANSLATE(B3426,""id"",""en"")"),"['', 'Telkomsel', 'steady']")</f>
        <v>['', 'Telkomsel', 'steady']</v>
      </c>
      <c r="D3426" s="3">
        <v>5.0</v>
      </c>
    </row>
    <row r="3427" ht="15.75" customHeight="1">
      <c r="A3427" s="1">
        <v>3653.0</v>
      </c>
      <c r="B3427" s="3" t="s">
        <v>3360</v>
      </c>
      <c r="C3427" s="3" t="str">
        <f>IFERROR(__xludf.DUMMYFUNCTION("GOOGLETRANSLATE(B3427,""id"",""en"")"),"['', 'Help', 'take', 'quota']")</f>
        <v>['', 'Help', 'take', 'quota']</v>
      </c>
      <c r="D3427" s="3">
        <v>5.0</v>
      </c>
    </row>
    <row r="3428" ht="15.75" customHeight="1">
      <c r="A3428" s="1">
        <v>3655.0</v>
      </c>
      <c r="B3428" s="3" t="s">
        <v>3361</v>
      </c>
      <c r="C3428" s="3" t="str">
        <f>IFERROR(__xludf.DUMMYFUNCTION("GOOGLETRANSLATE(B3428,""id"",""en"")"),"['function', 'points',' ajig ',' oath ',' nucerba ',' package ',' pke ',' pulse ',' crazy ',' event ',' point ',' emang ',' right']")</f>
        <v>['function', 'points',' ajig ',' oath ',' nucerba ',' package ',' pke ',' pulse ',' crazy ',' event ',' point ',' emang ',' right']</v>
      </c>
      <c r="D3428" s="3">
        <v>1.0</v>
      </c>
    </row>
    <row r="3429" ht="15.75" customHeight="1">
      <c r="A3429" s="1">
        <v>3656.0</v>
      </c>
      <c r="B3429" s="3" t="s">
        <v>3362</v>
      </c>
      <c r="C3429" s="3" t="str">
        <f>IFERROR(__xludf.DUMMYFUNCTION("GOOGLETRANSLATE(B3429,""id"",""en"")"),"['buy', 'package', 'like', 'slow', 'response', 'cmn', 'skali', 'buy', 'wait', 'ampe', 'tomorrow', 'entered', ' package ',' jdi ',' hrs', 'spam', 'buy', 'dlu', 'bru', 'lngsng', 'entry']")</f>
        <v>['buy', 'package', 'like', 'slow', 'response', 'cmn', 'skali', 'buy', 'wait', 'ampe', 'tomorrow', 'entered', ' package ',' jdi ',' hrs', 'spam', 'buy', 'dlu', 'bru', 'lngsng', 'entry']</v>
      </c>
      <c r="D3429" s="3">
        <v>2.0</v>
      </c>
    </row>
    <row r="3430" ht="15.75" customHeight="1">
      <c r="A3430" s="1">
        <v>3658.0</v>
      </c>
      <c r="B3430" s="3" t="s">
        <v>3363</v>
      </c>
      <c r="C3430" s="3" t="str">
        <f>IFERROR(__xludf.DUMMYFUNCTION("GOOGLETRANSLATE(B3430,""id"",""en"")"),"['steady', 'easy']")</f>
        <v>['steady', 'easy']</v>
      </c>
      <c r="D3430" s="3">
        <v>5.0</v>
      </c>
    </row>
    <row r="3431" ht="15.75" customHeight="1">
      <c r="A3431" s="1">
        <v>3659.0</v>
      </c>
      <c r="B3431" s="3" t="s">
        <v>3364</v>
      </c>
      <c r="C3431" s="3" t="str">
        <f>IFERROR(__xludf.DUMMYFUNCTION("GOOGLETRANSLATE(B3431,""id"",""en"")"),"['Disappointed', 'Service', 'Telkomsel', 'A Day', 'Activate', 'Package', 'Booster', 'Abis',' Following ',' Package ',' Night ',' Package ',' Monthly ',' have ',' have ',' term ',' suggestion ',' apply ', ""]")</f>
        <v>['Disappointed', 'Service', 'Telkomsel', 'A Day', 'Activate', 'Package', 'Booster', 'Abis',' Following ',' Package ',' Night ',' Package ',' Monthly ',' have ',' have ',' term ',' suggestion ',' apply ', "]</v>
      </c>
      <c r="D3431" s="3">
        <v>1.0</v>
      </c>
    </row>
    <row r="3432" ht="15.75" customHeight="1">
      <c r="A3432" s="1">
        <v>3660.0</v>
      </c>
      <c r="B3432" s="3" t="s">
        <v>3365</v>
      </c>
      <c r="C3432" s="3" t="str">
        <f>IFERROR(__xludf.DUMMYFUNCTION("GOOGLETRANSLATE(B3432,""id"",""en"")"),"['canpa', 'dowload', 'Telkomsel', 'quota', 'easy', 'right', 'already', 'dowload', 'quota', 'already', 'restart', 'network', ' already ',' dead ',' turn on ',' right ',' Apus', 'smooth']")</f>
        <v>['canpa', 'dowload', 'Telkomsel', 'quota', 'easy', 'right', 'already', 'dowload', 'quota', 'already', 'restart', 'network', ' already ',' dead ',' turn on ',' right ',' Apus', 'smooth']</v>
      </c>
      <c r="D3432" s="3">
        <v>1.0</v>
      </c>
    </row>
    <row r="3433" ht="15.75" customHeight="1">
      <c r="A3433" s="1">
        <v>3661.0</v>
      </c>
      <c r="B3433" s="3" t="s">
        <v>3366</v>
      </c>
      <c r="C3433" s="3" t="str">
        <f>IFERROR(__xludf.DUMMYFUNCTION("GOOGLETRANSLATE(B3433,""id"",""en"")"),"['Tsel', 'owned', 'BUMN', 'Kopatible', 'Practical', 'Effective', 'TPI', 'Doesn business',' Apli ',' Content ',' Looking ',' Looking ',' Apli ',' content ',' sell ',' user ']")</f>
        <v>['Tsel', 'owned', 'BUMN', 'Kopatible', 'Practical', 'Effective', 'TPI', 'Doesn business',' Apli ',' Content ',' Looking ',' Looking ',' Apli ',' content ',' sell ',' user ']</v>
      </c>
      <c r="D3433" s="3">
        <v>5.0</v>
      </c>
    </row>
    <row r="3434" ht="15.75" customHeight="1">
      <c r="A3434" s="1">
        <v>3662.0</v>
      </c>
      <c r="B3434" s="3" t="s">
        <v>3367</v>
      </c>
      <c r="C3434" s="3" t="str">
        <f>IFERROR(__xludf.DUMMYFUNCTION("GOOGLETRANSLATE(B3434,""id"",""en"")"),"['MNTP', 'continue', 'progress', 'nusa', 'nation', 'work', 'continued']")</f>
        <v>['MNTP', 'continue', 'progress', 'nusa', 'nation', 'work', 'continued']</v>
      </c>
      <c r="D3434" s="3">
        <v>5.0</v>
      </c>
    </row>
    <row r="3435" ht="15.75" customHeight="1">
      <c r="A3435" s="1">
        <v>3663.0</v>
      </c>
      <c r="B3435" s="3" t="s">
        <v>3368</v>
      </c>
      <c r="C3435" s="3" t="str">
        <f>IFERROR(__xludf.DUMMYFUNCTION("GOOGLETRANSLATE(B3435,""id"",""en"")"),"['APK', 'VERYN HELL']")</f>
        <v>['APK', 'VERYN HELL']</v>
      </c>
      <c r="D3435" s="3">
        <v>5.0</v>
      </c>
    </row>
    <row r="3436" ht="15.75" customHeight="1">
      <c r="A3436" s="1">
        <v>3665.0</v>
      </c>
      <c r="B3436" s="3" t="s">
        <v>3369</v>
      </c>
      <c r="C3436" s="3" t="str">
        <f>IFERROR(__xludf.DUMMYFUNCTION("GOOGLETRANSLATE(B3436,""id"",""en"")"),"['package', 'expensive', 'signal', 'difficult', 'really']")</f>
        <v>['package', 'expensive', 'signal', 'difficult', 'really']</v>
      </c>
      <c r="D3436" s="3">
        <v>1.0</v>
      </c>
    </row>
    <row r="3437" ht="15.75" customHeight="1">
      <c r="A3437" s="1">
        <v>3666.0</v>
      </c>
      <c r="B3437" s="3" t="s">
        <v>3370</v>
      </c>
      <c r="C3437" s="3" t="str">
        <f>IFERROR(__xludf.DUMMYFUNCTION("GOOGLETRANSLATE(B3437,""id"",""en"")"),"['Telkomsel', 'intenetan', 'smooth', 'network', 'disappears', '']")</f>
        <v>['Telkomsel', 'intenetan', 'smooth', 'network', 'disappears', '']</v>
      </c>
      <c r="D3437" s="3">
        <v>2.0</v>
      </c>
    </row>
    <row r="3438" ht="15.75" customHeight="1">
      <c r="A3438" s="1">
        <v>3668.0</v>
      </c>
      <c r="B3438" s="3" t="s">
        <v>3371</v>
      </c>
      <c r="C3438" s="3" t="str">
        <f>IFERROR(__xludf.DUMMYFUNCTION("GOOGLETRANSLATE(B3438,""id"",""en"")"),"['Love', 'star', 'network', 'love', 'star', 'package', 'expensive', 'network', 'star', 'stay', 'city', 'rural', ' Ngeleg ',' Bener ',' ']")</f>
        <v>['Love', 'star', 'network', 'love', 'star', 'package', 'expensive', 'network', 'star', 'stay', 'city', 'rural', ' Ngeleg ',' Bener ',' ']</v>
      </c>
      <c r="D3438" s="3">
        <v>2.0</v>
      </c>
    </row>
    <row r="3439" ht="15.75" customHeight="1">
      <c r="A3439" s="1">
        <v>3669.0</v>
      </c>
      <c r="B3439" s="3" t="s">
        <v>3372</v>
      </c>
      <c r="C3439" s="3" t="str">
        <f>IFERROR(__xludf.DUMMYFUNCTION("GOOGLETRANSLATE(B3439,""id"",""en"")"),"['buy', 'package', 'extra', 'unlimited', 'access',' wasted ',' free ',' twiter ',' game ',' kog ',' maxutnya ',' how ',' Buy ',' Duakali ',' please ',' repaired ', ""]")</f>
        <v>['buy', 'package', 'extra', 'unlimited', 'access',' wasted ',' free ',' twiter ',' game ',' kog ',' maxutnya ',' how ',' Buy ',' Duakali ',' please ',' repaired ', "]</v>
      </c>
      <c r="D3439" s="3">
        <v>1.0</v>
      </c>
    </row>
    <row r="3440" ht="15.75" customHeight="1">
      <c r="A3440" s="1">
        <v>3670.0</v>
      </c>
      <c r="B3440" s="3" t="s">
        <v>3373</v>
      </c>
      <c r="C3440" s="3" t="str">
        <f>IFERROR(__xludf.DUMMYFUNCTION("GOOGLETRANSLATE(B3440,""id"",""en"")"),"['', 'Telkomsel', 'cook', 'disorder', 'system', 'change', 'card']")</f>
        <v>['', 'Telkomsel', 'cook', 'disorder', 'system', 'change', 'card']</v>
      </c>
      <c r="D3440" s="3">
        <v>1.0</v>
      </c>
    </row>
    <row r="3441" ht="15.75" customHeight="1">
      <c r="A3441" s="1">
        <v>3671.0</v>
      </c>
      <c r="B3441" s="3" t="s">
        <v>3374</v>
      </c>
      <c r="C3441" s="3" t="str">
        <f>IFERROR(__xludf.DUMMYFUNCTION("GOOGLETRANSLATE(B3441,""id"",""en"")"),"['knp', 'data', 'drained', 'use', 'data', 'skrng', 'use', 'data', 'pengapa', 'what's',' kgk ',' download ',' APK ',' update ',' game ',' take ',' profit ',' baget ',' ']")</f>
        <v>['knp', 'data', 'drained', 'use', 'data', 'skrng', 'use', 'data', 'pengapa', 'what's',' kgk ',' download ',' APK ',' update ',' game ',' take ',' profit ',' baget ',' ']</v>
      </c>
      <c r="D3441" s="3">
        <v>1.0</v>
      </c>
    </row>
    <row r="3442" ht="15.75" customHeight="1">
      <c r="A3442" s="1">
        <v>3672.0</v>
      </c>
      <c r="B3442" s="3" t="s">
        <v>3375</v>
      </c>
      <c r="C3442" s="3" t="str">
        <f>IFERROR(__xludf.DUMMYFUNCTION("GOOGLETRANSLATE(B3442,""id"",""en"")"),"['Region', 'please', 'fixed', 'Ngilak', 'really', 'oath', 'Semarang', 'signal', 'request', 'time', 'out', 'then', ' hours', 'regret', 'use', 'Telkomsel', 'here', 'signal', 'troble', 'then', 'then']]")</f>
        <v>['Region', 'please', 'fixed', 'Ngilak', 'really', 'oath', 'Semarang', 'signal', 'request', 'time', 'out', 'then', ' hours', 'regret', 'use', 'Telkomsel', 'here', 'signal', 'troble', 'then', 'then']]</v>
      </c>
      <c r="D3442" s="3">
        <v>1.0</v>
      </c>
    </row>
    <row r="3443" ht="15.75" customHeight="1">
      <c r="A3443" s="1">
        <v>3673.0</v>
      </c>
      <c r="B3443" s="3" t="s">
        <v>3376</v>
      </c>
      <c r="C3443" s="3" t="str">
        <f>IFERROR(__xludf.DUMMYFUNCTION("GOOGLETRANSLATE(B3443,""id"",""en"")"),"['The application', 'uda', 'good', 'just', 'promo', 'card', 'show', 'just', 'entry', 'value', 'the application', 'kasi', ' star', '']")</f>
        <v>['The application', 'uda', 'good', 'just', 'promo', 'card', 'show', 'just', 'entry', 'value', 'the application', 'kasi', ' star', '']</v>
      </c>
      <c r="D3443" s="3">
        <v>5.0</v>
      </c>
    </row>
    <row r="3444" ht="15.75" customHeight="1">
      <c r="A3444" s="1">
        <v>3674.0</v>
      </c>
      <c r="B3444" s="3" t="s">
        <v>3377</v>
      </c>
      <c r="C3444" s="3" t="str">
        <f>IFERROR(__xludf.DUMMYFUNCTION("GOOGLETRANSLATE(B3444,""id"",""en"")"),"['multiply', 'promo', 'lower', 'price', 'package', 'internet', 'signal', 'disorder']")</f>
        <v>['multiply', 'promo', 'lower', 'price', 'package', 'internet', 'signal', 'disorder']</v>
      </c>
      <c r="D3444" s="3">
        <v>4.0</v>
      </c>
    </row>
    <row r="3445" ht="15.75" customHeight="1">
      <c r="A3445" s="1">
        <v>3675.0</v>
      </c>
      <c r="B3445" s="3" t="s">
        <v>3378</v>
      </c>
      <c r="C3445" s="3" t="str">
        <f>IFERROR(__xludf.DUMMYFUNCTION("GOOGLETRANSLATE(B3445,""id"",""en"")"),"['Please', 'Fix', 'Jarnnya', 'Speed', 'Intrnet']")</f>
        <v>['Please', 'Fix', 'Jarnnya', 'Speed', 'Intrnet']</v>
      </c>
      <c r="D3445" s="3">
        <v>4.0</v>
      </c>
    </row>
    <row r="3446" ht="15.75" customHeight="1">
      <c r="A3446" s="1">
        <v>3676.0</v>
      </c>
      <c r="B3446" s="3" t="s">
        <v>3379</v>
      </c>
      <c r="C3446" s="3" t="str">
        <f>IFERROR(__xludf.DUMMYFUNCTION("GOOGLETRANSLATE(B3446,""id"",""en"")"),"['right', 'Try', 'buy', 'appears',' notif ',' credit ',' sufficient ',' contents', 'pulse', 'buy', 'package', 'appears',' Notif ',' Package ',' Available ',' Disappointed ',' ']")</f>
        <v>['right', 'Try', 'buy', 'appears',' notif ',' credit ',' sufficient ',' contents', 'pulse', 'buy', 'package', 'appears',' Notif ',' Package ',' Available ',' Disappointed ',' ']</v>
      </c>
      <c r="D3446" s="3">
        <v>1.0</v>
      </c>
    </row>
    <row r="3447" ht="15.75" customHeight="1">
      <c r="A3447" s="1">
        <v>3677.0</v>
      </c>
      <c r="B3447" s="3" t="s">
        <v>3380</v>
      </c>
      <c r="C3447" s="3" t="str">
        <f>IFERROR(__xludf.DUMMYFUNCTION("GOOGLETRANSLATE(B3447,""id"",""en"")"),"['Please', 'kaga', 'sms',' ginian ',' bored ',' menuh ',' memory ',' ad ',' garbage ',' ginian ',' bonus', 'quota', ' GB ',' Top ',' Games', 'DuniGames',' Credit ',' Telkomsel ',' Min ',' Rb ',' Kuy ',' Click ',' Tsel ',' DGDR ',' Info ' , 'SKB']")</f>
        <v>['Please', 'kaga', 'sms',' ginian ',' bored ',' menuh ',' memory ',' ad ',' garbage ',' ginian ',' bonus', 'quota', ' GB ',' Top ',' Games', 'DuniGames',' Credit ',' Telkomsel ',' Min ',' Rb ',' Kuy ',' Click ',' Tsel ',' DGDR ',' Info ' , 'SKB']</v>
      </c>
      <c r="D3447" s="3">
        <v>1.0</v>
      </c>
    </row>
    <row r="3448" ht="15.75" customHeight="1">
      <c r="A3448" s="1">
        <v>3678.0</v>
      </c>
      <c r="B3448" s="3" t="s">
        <v>3381</v>
      </c>
      <c r="C3448" s="3" t="str">
        <f>IFERROR(__xludf.DUMMYFUNCTION("GOOGLETRANSLATE(B3448,""id"",""en"")"),"['quota', 'scorched', 'network', 'signal', 'Telkomsel', 'ugly', 'different', 'operator', 'ugly', 'signal', 'good', 'Telkomsel', ' Position ',' Cigugur ',' Cimindi ',' Cimahi ']")</f>
        <v>['quota', 'scorched', 'network', 'signal', 'Telkomsel', 'ugly', 'different', 'operator', 'ugly', 'signal', 'good', 'Telkomsel', ' Position ',' Cigugur ',' Cimindi ',' Cimahi ']</v>
      </c>
      <c r="D3448" s="3">
        <v>1.0</v>
      </c>
    </row>
    <row r="3449" ht="15.75" customHeight="1">
      <c r="A3449" s="1">
        <v>3679.0</v>
      </c>
      <c r="B3449" s="3" t="s">
        <v>3382</v>
      </c>
      <c r="C3449" s="3" t="str">
        <f>IFERROR(__xludf.DUMMYFUNCTION("GOOGLETRANSLATE(B3449,""id"",""en"")"),"['good, thank you']")</f>
        <v>['good, thank you']</v>
      </c>
      <c r="D3449" s="3">
        <v>5.0</v>
      </c>
    </row>
    <row r="3450" ht="15.75" customHeight="1">
      <c r="A3450" s="1">
        <v>3682.0</v>
      </c>
      <c r="B3450" s="3" t="s">
        <v>3383</v>
      </c>
      <c r="C3450" s="3" t="str">
        <f>IFERROR(__xludf.DUMMYFUNCTION("GOOGLETRANSLATE(B3450,""id"",""en"")"),"['update', 'choice', 'buy', 'package', 'night', 'payaaah', '']")</f>
        <v>['update', 'choice', 'buy', 'package', 'night', 'payaaah', '']</v>
      </c>
      <c r="D3450" s="3">
        <v>1.0</v>
      </c>
    </row>
    <row r="3451" ht="15.75" customHeight="1">
      <c r="A3451" s="1">
        <v>3683.0</v>
      </c>
      <c r="B3451" s="3" t="s">
        <v>3384</v>
      </c>
      <c r="C3451" s="3" t="str">
        <f>IFERROR(__xludf.DUMMYFUNCTION("GOOGLETRANSLATE(B3451,""id"",""en"")"),"['expensive', 'expensive', 'anyng']")</f>
        <v>['expensive', 'expensive', 'anyng']</v>
      </c>
      <c r="D3451" s="3">
        <v>5.0</v>
      </c>
    </row>
    <row r="3452" ht="15.75" customHeight="1">
      <c r="A3452" s="1">
        <v>3684.0</v>
      </c>
      <c r="B3452" s="3" t="s">
        <v>3385</v>
      </c>
      <c r="C3452" s="3" t="str">
        <f>IFERROR(__xludf.DUMMYFUNCTION("GOOGLETRANSLATE(B3452,""id"",""en"")"),"['people', 'buy', 'package', 'per month', 'mintak', 'play', 'game', 'signal', 'sometimes',' yellow ',' red ',' ngk ',' green ',' smooth ',' watch ',' vidio ',' facebook ',' jammed ',' jammed ',' essence ',' buy ',' mintk ',' please ',' fix ',' network ' ,"&amp;" '']")</f>
        <v>['people', 'buy', 'package', 'per month', 'mintak', 'play', 'game', 'signal', 'sometimes',' yellow ',' red ',' ngk ',' green ',' smooth ',' watch ',' vidio ',' facebook ',' jammed ',' jammed ',' essence ',' buy ',' mintk ',' please ',' fix ',' network ' , '']</v>
      </c>
      <c r="D3452" s="3">
        <v>1.0</v>
      </c>
    </row>
    <row r="3453" ht="15.75" customHeight="1">
      <c r="A3453" s="1">
        <v>3685.0</v>
      </c>
      <c r="B3453" s="3" t="s">
        <v>3386</v>
      </c>
      <c r="C3453" s="3" t="str">
        <f>IFERROR(__xludf.DUMMYFUNCTION("GOOGLETRANSLATE(B3453,""id"",""en"")"),"['Network', 'Internet', 'Good', 'Region', 'Sampang', 'Lemot']")</f>
        <v>['Network', 'Internet', 'Good', 'Region', 'Sampang', 'Lemot']</v>
      </c>
      <c r="D3453" s="3">
        <v>1.0</v>
      </c>
    </row>
    <row r="3454" ht="15.75" customHeight="1">
      <c r="A3454" s="1">
        <v>3686.0</v>
      </c>
      <c r="B3454" s="3" t="s">
        <v>3387</v>
      </c>
      <c r="C3454" s="3" t="str">
        <f>IFERROR(__xludf.DUMMYFUNCTION("GOOGLETRANSLATE(B3454,""id"",""en"")"),"['Application', 'Bagus', 'Sya', 'Likeaa']")</f>
        <v>['Application', 'Bagus', 'Sya', 'Likeaa']</v>
      </c>
      <c r="D3454" s="3">
        <v>5.0</v>
      </c>
    </row>
    <row r="3455" ht="15.75" customHeight="1">
      <c r="A3455" s="1">
        <v>3687.0</v>
      </c>
      <c r="B3455" s="3" t="s">
        <v>3388</v>
      </c>
      <c r="C3455" s="3" t="str">
        <f>IFERROR(__xludf.DUMMYFUNCTION("GOOGLETRANSLATE(B3455,""id"",""en"")"),"['Constraint', 'recommended']")</f>
        <v>['Constraint', 'recommended']</v>
      </c>
      <c r="D3455" s="3">
        <v>5.0</v>
      </c>
    </row>
    <row r="3456" ht="15.75" customHeight="1">
      <c r="A3456" s="1">
        <v>3688.0</v>
      </c>
      <c r="B3456" s="3" t="s">
        <v>3389</v>
      </c>
      <c r="C3456" s="3" t="str">
        <f>IFERROR(__xludf.DUMMYFUNCTION("GOOGLETRANSLATE(B3456,""id"",""en"")"),"['found', 'menu', 'buy', 'package', 'sms',' darling ',' Telkomsel ',' help ',' jeng ',' Vero ',' Ning ',' his name ',' robot ',' mbulet ',' wis', 'grapari', 'taste', 'life', 'strange', 'gini', 'sms',' bright ',' sms', 'proof', 'agency' , 'official', 'gove"&amp;"rnment', 'rely on', 'SMS', ""]")</f>
        <v>['found', 'menu', 'buy', 'package', 'sms',' darling ',' Telkomsel ',' help ',' jeng ',' Vero ',' Ning ',' his name ',' robot ',' mbulet ',' wis', 'grapari', 'taste', 'life', 'strange', 'gini', 'sms',' bright ',' sms', 'proof', 'agency' , 'official', 'government', 'rely on', 'SMS', "]</v>
      </c>
      <c r="D3456" s="3">
        <v>1.0</v>
      </c>
    </row>
    <row r="3457" ht="15.75" customHeight="1">
      <c r="A3457" s="1">
        <v>3689.0</v>
      </c>
      <c r="B3457" s="3" t="s">
        <v>3390</v>
      </c>
      <c r="C3457" s="3" t="str">
        <f>IFERROR(__xludf.DUMMYFUNCTION("GOOGLETRANSLATE(B3457,""id"",""en"")"),"['package', 'expensive', 'healthy', 'pouch', 'customer', 'promo', 'package', 'customer', 'promo', 'interesting', 'spoil', 'customer']")</f>
        <v>['package', 'expensive', 'healthy', 'pouch', 'customer', 'promo', 'package', 'customer', 'promo', 'interesting', 'spoil', 'customer']</v>
      </c>
      <c r="D3457" s="3">
        <v>1.0</v>
      </c>
    </row>
    <row r="3458" ht="15.75" customHeight="1">
      <c r="A3458" s="1">
        <v>3690.0</v>
      </c>
      <c r="B3458" s="3" t="s">
        <v>3391</v>
      </c>
      <c r="C3458" s="3" t="str">
        <f>IFERROR(__xludf.DUMMYFUNCTION("GOOGLETRANSLATE(B3458,""id"",""en"")"),"['Sharing', 'Telkomsel', 'Points', 'Thank you']")</f>
        <v>['Sharing', 'Telkomsel', 'Points', 'Thank you']</v>
      </c>
      <c r="D3458" s="3">
        <v>5.0</v>
      </c>
    </row>
    <row r="3459" ht="15.75" customHeight="1">
      <c r="A3459" s="1">
        <v>3691.0</v>
      </c>
      <c r="B3459" s="3" t="s">
        <v>1308</v>
      </c>
      <c r="C3459" s="3" t="str">
        <f>IFERROR(__xludf.DUMMYFUNCTION("GOOGLETRANSLATE(B3459,""id"",""en"")"),"['Application', 'Help']")</f>
        <v>['Application', 'Help']</v>
      </c>
      <c r="D3459" s="3">
        <v>5.0</v>
      </c>
    </row>
    <row r="3460" ht="15.75" customHeight="1">
      <c r="A3460" s="1">
        <v>3692.0</v>
      </c>
      <c r="B3460" s="3" t="s">
        <v>3392</v>
      </c>
      <c r="C3460" s="3" t="str">
        <f>IFERROR(__xludf.DUMMYFUNCTION("GOOGLETRANSLATE(B3460,""id"",""en"")"),"['innovate']")</f>
        <v>['innovate']</v>
      </c>
      <c r="D3460" s="3">
        <v>5.0</v>
      </c>
    </row>
    <row r="3461" ht="15.75" customHeight="1">
      <c r="A3461" s="1">
        <v>3693.0</v>
      </c>
      <c r="B3461" s="3" t="s">
        <v>3393</v>
      </c>
      <c r="C3461" s="3" t="str">
        <f>IFERROR(__xludf.DUMMYFUNCTION("GOOGLETRANSLATE(B3461,""id"",""en"")"),"['signal', 'Telkomsel', 'good', 'happy', 'really', 'make', 'already', 'make', 'Telkomsel', 'ngak', 'replace', 'just', ' Open ',' application ',' MyTelkomsel ',' Error ',' open ',' just ',' screen ',' white ',' Wait ',' Litten ',' Minute ',' Tetep ',' Ngak"&amp;" ' , 'opened', 'already', 'delete', 'data', 'application', 'tetep', 'error', 'please', 'repaired', 'brother', ""]")</f>
        <v>['signal', 'Telkomsel', 'good', 'happy', 'really', 'make', 'already', 'make', 'Telkomsel', 'ngak', 'replace', 'just', ' Open ',' application ',' MyTelkomsel ',' Error ',' open ',' just ',' screen ',' white ',' Wait ',' Litten ',' Minute ',' Tetep ',' Ngak ' , 'opened', 'already', 'delete', 'data', 'application', 'tetep', 'error', 'please', 'repaired', 'brother', "]</v>
      </c>
      <c r="D3461" s="3">
        <v>5.0</v>
      </c>
    </row>
    <row r="3462" ht="15.75" customHeight="1">
      <c r="A3462" s="1">
        <v>3694.0</v>
      </c>
      <c r="B3462" s="3" t="s">
        <v>3394</v>
      </c>
      <c r="C3462" s="3" t="str">
        <f>IFERROR(__xludf.DUMMYFUNCTION("GOOGLETRANSLATE(B3462,""id"",""en"")"),"['Save', 'Combo', 'Sakti', 'Helped', '']")</f>
        <v>['Save', 'Combo', 'Sakti', 'Helped', '']</v>
      </c>
      <c r="D3462" s="3">
        <v>5.0</v>
      </c>
    </row>
    <row r="3463" ht="15.75" customHeight="1">
      <c r="A3463" s="1">
        <v>3695.0</v>
      </c>
      <c r="B3463" s="3" t="s">
        <v>3395</v>
      </c>
      <c r="C3463" s="3" t="str">
        <f>IFERROR(__xludf.DUMMYFUNCTION("GOOGLETRANSLATE(B3463,""id"",""en"")"),"['It's easy', 'purposes', 'purchase', 'pulses', 'quota', 'etc.']")</f>
        <v>['It's easy', 'purposes', 'purchase', 'pulses', 'quota', 'etc.']</v>
      </c>
      <c r="D3463" s="3">
        <v>5.0</v>
      </c>
    </row>
    <row r="3464" ht="15.75" customHeight="1">
      <c r="A3464" s="1">
        <v>3696.0</v>
      </c>
      <c r="B3464" s="3" t="s">
        <v>3396</v>
      </c>
      <c r="C3464" s="3" t="str">
        <f>IFERROR(__xludf.DUMMYFUNCTION("GOOGLETRANSLATE(B3464,""id"",""en"")"),"['makes it easier', 'need', '']")</f>
        <v>['makes it easier', 'need', '']</v>
      </c>
      <c r="D3464" s="3">
        <v>5.0</v>
      </c>
    </row>
    <row r="3465" ht="15.75" customHeight="1">
      <c r="A3465" s="1">
        <v>3697.0</v>
      </c>
      <c r="B3465" s="3" t="s">
        <v>3397</v>
      </c>
      <c r="C3465" s="3" t="str">
        <f>IFERROR(__xludf.DUMMYFUNCTION("GOOGLETRANSLATE(B3465,""id"",""en"")"),"['Level', 'Network', 'Tetep', 'Top', 'CER', 'Signal']")</f>
        <v>['Level', 'Network', 'Tetep', 'Top', 'CER', 'Signal']</v>
      </c>
      <c r="D3465" s="3">
        <v>5.0</v>
      </c>
    </row>
    <row r="3466" ht="15.75" customHeight="1">
      <c r="A3466" s="1">
        <v>3698.0</v>
      </c>
      <c r="B3466" s="3" t="s">
        <v>3398</v>
      </c>
      <c r="C3466" s="3" t="str">
        <f>IFERROR(__xludf.DUMMYFUNCTION("GOOGLETRANSLATE(B3466,""id"",""en"")"),"['knpa', 'package', 'expensive', '']")</f>
        <v>['knpa', 'package', 'expensive', '']</v>
      </c>
      <c r="D3466" s="3">
        <v>4.0</v>
      </c>
    </row>
    <row r="3467" ht="15.75" customHeight="1">
      <c r="A3467" s="1">
        <v>3699.0</v>
      </c>
      <c r="B3467" s="3" t="s">
        <v>3399</v>
      </c>
      <c r="C3467" s="3" t="str">
        <f>IFERROR(__xludf.DUMMYFUNCTION("GOOGLETRANSLATE(B3467,""id"",""en"")"),"['Telkomsel', 'steady', 'network', 'strong', 'quality', 'mainly', 'The', 'Best', 'Like', 'Telkomsel']")</f>
        <v>['Telkomsel', 'steady', 'network', 'strong', 'quality', 'mainly', 'The', 'Best', 'Like', 'Telkomsel']</v>
      </c>
      <c r="D3467" s="3">
        <v>5.0</v>
      </c>
    </row>
    <row r="3468" ht="15.75" customHeight="1">
      <c r="A3468" s="1">
        <v>3700.0</v>
      </c>
      <c r="B3468" s="3" t="s">
        <v>3400</v>
      </c>
      <c r="C3468" s="3" t="str">
        <f>IFERROR(__xludf.DUMMYFUNCTION("GOOGLETRANSLATE(B3468,""id"",""en"")"),"['easy', 'buy', 'package', 'data', 'choice']")</f>
        <v>['easy', 'buy', 'package', 'data', 'choice']</v>
      </c>
      <c r="D3468" s="3">
        <v>5.0</v>
      </c>
    </row>
    <row r="3469" ht="15.75" customHeight="1">
      <c r="A3469" s="1">
        <v>3701.0</v>
      </c>
      <c r="B3469" s="3" t="s">
        <v>3401</v>
      </c>
      <c r="C3469" s="3" t="str">
        <f>IFERROR(__xludf.DUMMYFUNCTION("GOOGLETRANSLATE(B3469,""id"",""en"")"),"['difficult', 'confirm', 'user', 'nmor', 'cellphone', 'trdaftar']")</f>
        <v>['difficult', 'confirm', 'user', 'nmor', 'cellphone', 'trdaftar']</v>
      </c>
      <c r="D3469" s="3">
        <v>1.0</v>
      </c>
    </row>
    <row r="3470" ht="15.75" customHeight="1">
      <c r="A3470" s="1">
        <v>3702.0</v>
      </c>
      <c r="B3470" s="3" t="s">
        <v>3402</v>
      </c>
      <c r="C3470" s="3" t="str">
        <f>IFERROR(__xludf.DUMMYFUNCTION("GOOGLETRANSLATE(B3470,""id"",""en"")"),"['steady', 'darling', 'package', 'cave', 'expensive']")</f>
        <v>['steady', 'darling', 'package', 'cave', 'expensive']</v>
      </c>
      <c r="D3470" s="3">
        <v>5.0</v>
      </c>
    </row>
    <row r="3471" ht="15.75" customHeight="1">
      <c r="A3471" s="1">
        <v>3703.0</v>
      </c>
      <c r="B3471" s="3" t="s">
        <v>3403</v>
      </c>
      <c r="C3471" s="3" t="str">
        <f>IFERROR(__xludf.DUMMYFUNCTION("GOOGLETRANSLATE(B3471,""id"",""en"")"),"['Application', 'Cupup', 'Presenting', 'Diverse', 'Information', 'Gift', 'Entertainment', 'Thank', 'You']")</f>
        <v>['Application', 'Cupup', 'Presenting', 'Diverse', 'Information', 'Gift', 'Entertainment', 'Thank', 'You']</v>
      </c>
      <c r="D3471" s="3">
        <v>4.0</v>
      </c>
    </row>
    <row r="3472" ht="15.75" customHeight="1">
      <c r="A3472" s="1">
        <v>3704.0</v>
      </c>
      <c r="B3472" s="3" t="s">
        <v>3404</v>
      </c>
      <c r="C3472" s="3" t="str">
        <f>IFERROR(__xludf.DUMMYFUNCTION("GOOGLETRANSLATE(B3472,""id"",""en"")"),"['Telkomsel', 'really', 'evil', 'forgiveness',' pulse ',' left ',' sucked ',' Klupanan ',' Minutes', 'Extend', 'Credit', 'Raib', ' Moga ',' Busung ',' his employees']")</f>
        <v>['Telkomsel', 'really', 'evil', 'forgiveness',' pulse ',' left ',' sucked ',' Klupanan ',' Minutes', 'Extend', 'Credit', 'Raib', ' Moga ',' Busung ',' his employees']</v>
      </c>
      <c r="D3472" s="3">
        <v>1.0</v>
      </c>
    </row>
    <row r="3473" ht="15.75" customHeight="1">
      <c r="A3473" s="1">
        <v>3705.0</v>
      </c>
      <c r="B3473" s="3" t="s">
        <v>3405</v>
      </c>
      <c r="C3473" s="3" t="str">
        <f>IFERROR(__xludf.DUMMYFUNCTION("GOOGLETRANSLATE(B3473,""id"",""en"")"),"['fix', 'signal', 'area', 'want', 'aneung', 'streaming', 'ball', 'come on', 'Telkomsel', 'gini', 'gini', 'change', ' Drastically ',' disappointing ',' ']")</f>
        <v>['fix', 'signal', 'area', 'want', 'aneung', 'streaming', 'ball', 'come on', 'Telkomsel', 'gini', 'gini', 'change', ' Drastically ',' disappointing ',' ']</v>
      </c>
      <c r="D3473" s="3">
        <v>1.0</v>
      </c>
    </row>
    <row r="3474" ht="15.75" customHeight="1">
      <c r="A3474" s="1">
        <v>3706.0</v>
      </c>
      <c r="B3474" s="3" t="s">
        <v>3406</v>
      </c>
      <c r="C3474" s="3" t="str">
        <f>IFERROR(__xludf.DUMMYFUNCTION("GOOGLETRANSLATE(B3474,""id"",""en"")"),"['Hopefully', 'package', 'cheap', 'in the future', 'application', 'good', 'help']")</f>
        <v>['Hopefully', 'package', 'cheap', 'in the future', 'application', 'good', 'help']</v>
      </c>
      <c r="D3474" s="3">
        <v>5.0</v>
      </c>
    </row>
    <row r="3475" ht="15.75" customHeight="1">
      <c r="A3475" s="1">
        <v>3707.0</v>
      </c>
      <c r="B3475" s="3" t="s">
        <v>3407</v>
      </c>
      <c r="C3475" s="3" t="str">
        <f>IFERROR(__xludf.DUMMYFUNCTION("GOOGLETRANSLATE(B3475,""id"",""en"")"),"['The application', 'good', 'easy', 'use it', 'network', 'slow', 'application', 'help', ""]")</f>
        <v>['The application', 'good', 'easy', 'use it', 'network', 'slow', 'application', 'help', "]</v>
      </c>
      <c r="D3475" s="3">
        <v>5.0</v>
      </c>
    </row>
    <row r="3476" ht="15.75" customHeight="1">
      <c r="A3476" s="1">
        <v>3708.0</v>
      </c>
      <c r="B3476" s="3" t="s">
        <v>3408</v>
      </c>
      <c r="C3476" s="3" t="str">
        <f>IFERROR(__xludf.DUMMYFUNCTION("GOOGLETRANSLATE(B3476,""id"",""en"")"),"['Good', 'price', 'standard', 'internet', 'bonus']")</f>
        <v>['Good', 'price', 'standard', 'internet', 'bonus']</v>
      </c>
      <c r="D3476" s="3">
        <v>5.0</v>
      </c>
    </row>
    <row r="3477" ht="15.75" customHeight="1">
      <c r="A3477" s="1">
        <v>3709.0</v>
      </c>
      <c r="B3477" s="3" t="s">
        <v>3409</v>
      </c>
      <c r="C3477" s="3" t="str">
        <f>IFERROR(__xludf.DUMMYFUNCTION("GOOGLETRANSLATE(B3477,""id"",""en"")"),"['', 'Cool', 'The application']")</f>
        <v>['', 'Cool', 'The application']</v>
      </c>
      <c r="D3477" s="3">
        <v>5.0</v>
      </c>
    </row>
    <row r="3478" ht="15.75" customHeight="1">
      <c r="A3478" s="1">
        <v>3710.0</v>
      </c>
      <c r="B3478" s="3" t="s">
        <v>3410</v>
      </c>
      <c r="C3478" s="3" t="str">
        <f>IFERROR(__xludf.DUMMYFUNCTION("GOOGLETRANSLATE(B3478,""id"",""en"")"),"['Bags']")</f>
        <v>['Bags']</v>
      </c>
      <c r="D3478" s="3">
        <v>5.0</v>
      </c>
    </row>
    <row r="3479" ht="15.75" customHeight="1">
      <c r="A3479" s="1">
        <v>3711.0</v>
      </c>
      <c r="B3479" s="3" t="s">
        <v>3411</v>
      </c>
      <c r="C3479" s="3" t="str">
        <f>IFERROR(__xludf.DUMMYFUNCTION("GOOGLETRANSLATE(B3479,""id"",""en"")"),"['Speed', 'network', 'standard', 'price', 'package', 'internet', 'expensive', 'really', 'ironic', 'compared', 'inverted', 'operator', ' next door ',' cheap ',' good ',' thumb ',' inverted ',' telkomsel ',' already ',' that's', 'package', 'internet', 'run "&amp;"out', 'right', 'nyolief' , 'credit', 'people', 'run out', 'notice', 'the difference', 'thief', 'really', 'ironic', 'shy', 'operator', 'polite', 'civilized', ' ']")</f>
        <v>['Speed', 'network', 'standard', 'price', 'package', 'internet', 'expensive', 'really', 'ironic', 'compared', 'inverted', 'operator', ' next door ',' cheap ',' good ',' thumb ',' inverted ',' telkomsel ',' already ',' that's', 'package', 'internet', 'run out', 'right', 'nyolief' , 'credit', 'people', 'run out', 'notice', 'the difference', 'thief', 'really', 'ironic', 'shy', 'operator', 'polite', 'civilized', ' ']</v>
      </c>
      <c r="D3479" s="3">
        <v>1.0</v>
      </c>
    </row>
    <row r="3480" ht="15.75" customHeight="1">
      <c r="A3480" s="1">
        <v>3712.0</v>
      </c>
      <c r="B3480" s="3" t="s">
        <v>3412</v>
      </c>
      <c r="C3480" s="3" t="str">
        <f>IFERROR(__xludf.DUMMYFUNCTION("GOOGLETRANSLATE(B3480,""id"",""en"")"),"['Thank you', 'App', 'Telkomsel', 'THN', 'subscribe', 'Telkomsel', 'Help', 'Price', 'Package', 'Ride', 'Network', 'Leet', ' ']")</f>
        <v>['Thank you', 'App', 'Telkomsel', 'THN', 'subscribe', 'Telkomsel', 'Help', 'Price', 'Package', 'Ride', 'Network', 'Leet', ' ']</v>
      </c>
      <c r="D3480" s="3">
        <v>3.0</v>
      </c>
    </row>
    <row r="3481" ht="15.75" customHeight="1">
      <c r="A3481" s="1">
        <v>3713.0</v>
      </c>
      <c r="B3481" s="3" t="s">
        <v>3145</v>
      </c>
      <c r="C3481" s="3" t="str">
        <f>IFERROR(__xludf.DUMMYFUNCTION("GOOGLETRANSLATE(B3481,""id"",""en"")"),"['like']")</f>
        <v>['like']</v>
      </c>
      <c r="D3481" s="3">
        <v>5.0</v>
      </c>
    </row>
    <row r="3482" ht="15.75" customHeight="1">
      <c r="A3482" s="1">
        <v>3714.0</v>
      </c>
      <c r="B3482" s="3" t="s">
        <v>3413</v>
      </c>
      <c r="C3482" s="3" t="str">
        <f>IFERROR(__xludf.DUMMYFUNCTION("GOOGLETRANSLATE(B3482,""id"",""en"")"),"['expensive', 'bet', 'package', 'get', ""]")</f>
        <v>['expensive', 'bet', 'package', 'get', "]</v>
      </c>
      <c r="D3482" s="3">
        <v>1.0</v>
      </c>
    </row>
    <row r="3483" ht="15.75" customHeight="1">
      <c r="A3483" s="1">
        <v>3715.0</v>
      </c>
      <c r="B3483" s="3" t="s">
        <v>492</v>
      </c>
      <c r="C3483" s="3" t="str">
        <f>IFERROR(__xludf.DUMMYFUNCTION("GOOGLETRANSLATE(B3483,""id"",""en"")"),"['Application', 'Best']")</f>
        <v>['Application', 'Best']</v>
      </c>
      <c r="D3483" s="3">
        <v>1.0</v>
      </c>
    </row>
    <row r="3484" ht="15.75" customHeight="1">
      <c r="A3484" s="1">
        <v>3716.0</v>
      </c>
      <c r="B3484" s="3" t="s">
        <v>3414</v>
      </c>
      <c r="C3484" s="3" t="str">
        <f>IFERROR(__xludf.DUMMYFUNCTION("GOOGLETRANSLATE(B3484,""id"",""en"")"),"['Package', 'cheap', '']")</f>
        <v>['Package', 'cheap', '']</v>
      </c>
      <c r="D3484" s="3">
        <v>5.0</v>
      </c>
    </row>
    <row r="3485" ht="15.75" customHeight="1">
      <c r="A3485" s="1">
        <v>3717.0</v>
      </c>
      <c r="B3485" s="3" t="s">
        <v>3415</v>
      </c>
      <c r="C3485" s="3" t="str">
        <f>IFERROR(__xludf.DUMMYFUNCTION("GOOGLETRANSLATE(B3485,""id"",""en"")"),"['Help', 'Thank "",' Love ',' Telkomsel ',""]")</f>
        <v>['Help', 'Thank ",' Love ',' Telkomsel ',"]</v>
      </c>
      <c r="D3485" s="3">
        <v>5.0</v>
      </c>
    </row>
    <row r="3486" ht="15.75" customHeight="1">
      <c r="A3486" s="1">
        <v>3719.0</v>
      </c>
      <c r="B3486" s="3" t="s">
        <v>3416</v>
      </c>
      <c r="C3486" s="3" t="str">
        <f>IFERROR(__xludf.DUMMYFUNCTION("GOOGLETRANSLATE(B3486,""id"",""en"")"),"['Promo', 'blessing']")</f>
        <v>['Promo', 'blessing']</v>
      </c>
      <c r="D3486" s="3">
        <v>1.0</v>
      </c>
    </row>
    <row r="3487" ht="15.75" customHeight="1">
      <c r="A3487" s="1">
        <v>3720.0</v>
      </c>
      <c r="B3487" s="3" t="s">
        <v>3417</v>
      </c>
      <c r="C3487" s="3" t="str">
        <f>IFERROR(__xludf.DUMMYFUNCTION("GOOGLETRANSLATE(B3487,""id"",""en"")"),"['Help', 'package', 'reach', 'circles', 'medium', 'down']")</f>
        <v>['Help', 'package', 'reach', 'circles', 'medium', 'down']</v>
      </c>
      <c r="D3487" s="3">
        <v>5.0</v>
      </c>
    </row>
    <row r="3488" ht="15.75" customHeight="1">
      <c r="A3488" s="1">
        <v>3721.0</v>
      </c>
      <c r="B3488" s="3" t="s">
        <v>1884</v>
      </c>
      <c r="C3488" s="3" t="str">
        <f>IFERROR(__xludf.DUMMYFUNCTION("GOOGLETRANSLATE(B3488,""id"",""en"")"),"['APK', 'good', 'really']")</f>
        <v>['APK', 'good', 'really']</v>
      </c>
      <c r="D3488" s="3">
        <v>5.0</v>
      </c>
    </row>
    <row r="3489" ht="15.75" customHeight="1">
      <c r="A3489" s="1">
        <v>3722.0</v>
      </c>
      <c r="B3489" s="3" t="s">
        <v>3418</v>
      </c>
      <c r="C3489" s="3" t="str">
        <f>IFERROR(__xludf.DUMMYFUNCTION("GOOGLETRANSLATE(B3489,""id"",""en"")"),"['a year', 'Telkomsel', 'felt', 'disappointed', 'quota', 'pulse', 'ties',' activin ',' data ',' minutes', 'doang', 'ngapa', ' Direct ',' Sumpot ',' RB ',' Quota ',' Science ',' Sumpot ',' Credit ',' Total ',' RB ',' Credit ',' Sumpot ',' Disappointed ',' "&amp;"Very ' , 'Assessment', 'minus', 'love', 'rb', 'big', 'come on', 'addin', 'features', 'key', 'pulses', ""]")</f>
        <v>['a year', 'Telkomsel', 'felt', 'disappointed', 'quota', 'pulse', 'ties',' activin ',' data ',' minutes', 'doang', 'ngapa', ' Direct ',' Sumpot ',' RB ',' Quota ',' Science ',' Sumpot ',' Credit ',' Total ',' RB ',' Credit ',' Sumpot ',' Disappointed ',' Very ' , 'Assessment', 'minus', 'love', 'rb', 'big', 'come on', 'addin', 'features', 'key', 'pulses', "]</v>
      </c>
      <c r="D3489" s="3">
        <v>1.0</v>
      </c>
    </row>
    <row r="3490" ht="15.75" customHeight="1">
      <c r="A3490" s="1">
        <v>3723.0</v>
      </c>
      <c r="B3490" s="3" t="s">
        <v>3419</v>
      </c>
      <c r="C3490" s="3" t="str">
        <f>IFERROR(__xludf.DUMMYFUNCTION("GOOGLETRANSLATE(B3490,""id"",""en"")"),"['fast', 'best']")</f>
        <v>['fast', 'best']</v>
      </c>
      <c r="D3490" s="3">
        <v>5.0</v>
      </c>
    </row>
    <row r="3491" ht="15.75" customHeight="1">
      <c r="A3491" s="1">
        <v>3724.0</v>
      </c>
      <c r="B3491" s="3" t="s">
        <v>3420</v>
      </c>
      <c r="C3491" s="3" t="str">
        <f>IFERROR(__xludf.DUMMYFUNCTION("GOOGLETRANSLATE(B3491,""id"",""en"")"),"['chaotic', 'Telkomsel', 'signal', 'missing', 'stay', 'terrain', 'remote', 'times',' price ',' package ',' expensive ',' appeal ',' operator ',' good ',' chaotic ',' disappointed ',' coyy ']")</f>
        <v>['chaotic', 'Telkomsel', 'signal', 'missing', 'stay', 'terrain', 'remote', 'times',' price ',' package ',' expensive ',' appeal ',' operator ',' good ',' chaotic ',' disappointed ',' coyy ']</v>
      </c>
      <c r="D3491" s="3">
        <v>1.0</v>
      </c>
    </row>
    <row r="3492" ht="15.75" customHeight="1">
      <c r="A3492" s="1">
        <v>3725.0</v>
      </c>
      <c r="B3492" s="3" t="s">
        <v>3421</v>
      </c>
      <c r="C3492" s="3" t="str">
        <f>IFERROR(__xludf.DUMMYFUNCTION("GOOGLETRANSLATE(B3492,""id"",""en"")"),"['Price', 'Teruuuussss',' Quality ',' Network ',' Down ',' Teruuuusss', 'In the future', 'Sampe', 'Provider', 'Enter', 'Region', 'Telkomsel', ' Gini ',' ugly ',' make sure ',' change ',' provider ',' nyekk ',' neck ']")</f>
        <v>['Price', 'Teruuuussss',' Quality ',' Network ',' Down ',' Teruuuusss', 'In the future', 'Sampe', 'Provider', 'Enter', 'Region', 'Telkomsel', ' Gini ',' ugly ',' make sure ',' change ',' provider ',' nyekk ',' neck ']</v>
      </c>
      <c r="D3492" s="3">
        <v>1.0</v>
      </c>
    </row>
    <row r="3493" ht="15.75" customHeight="1">
      <c r="A3493" s="1">
        <v>3726.0</v>
      </c>
      <c r="B3493" s="3" t="s">
        <v>3422</v>
      </c>
      <c r="C3493" s="3" t="str">
        <f>IFERROR(__xludf.DUMMYFUNCTION("GOOGLETRANSLATE(B3493,""id"",""en"")"),"['Telkomsel', 'Leading', 'Moving', 'Trusted']")</f>
        <v>['Telkomsel', 'Leading', 'Moving', 'Trusted']</v>
      </c>
      <c r="D3493" s="3">
        <v>5.0</v>
      </c>
    </row>
    <row r="3494" ht="15.75" customHeight="1">
      <c r="A3494" s="1">
        <v>3727.0</v>
      </c>
      <c r="B3494" s="3" t="s">
        <v>3423</v>
      </c>
      <c r="C3494" s="3" t="str">
        <f>IFERROR(__xludf.DUMMYFUNCTION("GOOGLETRANSLATE(B3494,""id"",""en"")"),"['WL', '']")</f>
        <v>['WL', '']</v>
      </c>
      <c r="D3494" s="3">
        <v>5.0</v>
      </c>
    </row>
    <row r="3495" ht="15.75" customHeight="1">
      <c r="A3495" s="1">
        <v>3728.0</v>
      </c>
      <c r="B3495" s="3" t="s">
        <v>3424</v>
      </c>
      <c r="C3495" s="3" t="str">
        <f>IFERROR(__xludf.DUMMYFUNCTION("GOOGLETRANSLATE(B3495,""id"",""en"")"),"['Telkom', 'Region', 'Garut', 'Service', 'Cuman', 'Where', 'Wikwikwik', 'Gifted', 'Gift', 'Service', 'Awokawok']")</f>
        <v>['Telkom', 'Region', 'Garut', 'Service', 'Cuman', 'Where', 'Wikwikwik', 'Gifted', 'Gift', 'Service', 'Awokawok']</v>
      </c>
      <c r="D3495" s="3">
        <v>1.0</v>
      </c>
    </row>
    <row r="3496" ht="15.75" customHeight="1">
      <c r="A3496" s="1">
        <v>3729.0</v>
      </c>
      <c r="B3496" s="3" t="s">
        <v>1782</v>
      </c>
      <c r="C3496" s="3" t="str">
        <f>IFERROR(__xludf.DUMMYFUNCTION("GOOGLETRANSLATE(B3496,""id"",""en"")"),"['network']")</f>
        <v>['network']</v>
      </c>
      <c r="D3496" s="3">
        <v>1.0</v>
      </c>
    </row>
    <row r="3497" ht="15.75" customHeight="1">
      <c r="A3497" s="1">
        <v>3730.0</v>
      </c>
      <c r="B3497" s="3" t="s">
        <v>3425</v>
      </c>
      <c r="C3497" s="3" t="str">
        <f>IFERROR(__xludf.DUMMYFUNCTION("GOOGLETRANSLATE(B3497,""id"",""en"")"),"['', 'Install', 'Android', 'Severe', 'Telkomsel']")</f>
        <v>['', 'Install', 'Android', 'Severe', 'Telkomsel']</v>
      </c>
      <c r="D3497" s="3">
        <v>1.0</v>
      </c>
    </row>
    <row r="3498" ht="15.75" customHeight="1">
      <c r="A3498" s="1">
        <v>3731.0</v>
      </c>
      <c r="B3498" s="3" t="s">
        <v>3426</v>
      </c>
      <c r="C3498" s="3" t="str">
        <f>IFERROR(__xludf.DUMMYFUNCTION("GOOGLETRANSLATE(B3498,""id"",""en"")"),"['night', 'network', 'Telkomsel', 'disorder', 'buy', 'package', 'expensive', 'network', 'buffering', 'Telkomsel', '']")</f>
        <v>['night', 'network', 'Telkomsel', 'disorder', 'buy', 'package', 'expensive', 'network', 'buffering', 'Telkomsel', '']</v>
      </c>
      <c r="D3498" s="3">
        <v>1.0</v>
      </c>
    </row>
    <row r="3499" ht="15.75" customHeight="1">
      <c r="A3499" s="1">
        <v>3732.0</v>
      </c>
      <c r="B3499" s="3" t="s">
        <v>3427</v>
      </c>
      <c r="C3499" s="3" t="str">
        <f>IFERROR(__xludf.DUMMYFUNCTION("GOOGLETRANSLATE(B3499,""id"",""en"")"),"['fast', 'endless', 'quota', 'cook', 'a month', 'blm', 'Gb']")</f>
        <v>['fast', 'endless', 'quota', 'cook', 'a month', 'blm', 'Gb']</v>
      </c>
      <c r="D3499" s="3">
        <v>3.0</v>
      </c>
    </row>
    <row r="3500" ht="15.75" customHeight="1">
      <c r="A3500" s="1">
        <v>3733.0</v>
      </c>
      <c r="B3500" s="3" t="s">
        <v>3428</v>
      </c>
      <c r="C3500" s="3" t="str">
        <f>IFERROR(__xludf.DUMMYFUNCTION("GOOGLETRANSLATE(B3500,""id"",""en"")"),"['Come', 'The network', 'stable']")</f>
        <v>['Come', 'The network', 'stable']</v>
      </c>
      <c r="D3500" s="3">
        <v>1.0</v>
      </c>
    </row>
    <row r="3501" ht="15.75" customHeight="1">
      <c r="A3501" s="1">
        <v>3734.0</v>
      </c>
      <c r="B3501" s="3" t="s">
        <v>3429</v>
      </c>
      <c r="C3501" s="3" t="str">
        <f>IFERROR(__xludf.DUMMYFUNCTION("GOOGLETRANSLATE(B3501,""id"",""en"")"),"['Disappointed', 'Gift', 'Lottery', 'Prize', 'Hepi', ""]")</f>
        <v>['Disappointed', 'Gift', 'Lottery', 'Prize', 'Hepi', "]</v>
      </c>
      <c r="D3501" s="3">
        <v>1.0</v>
      </c>
    </row>
    <row r="3502" ht="15.75" customHeight="1">
      <c r="A3502" s="1">
        <v>3735.0</v>
      </c>
      <c r="B3502" s="3" t="s">
        <v>3430</v>
      </c>
      <c r="C3502" s="3" t="str">
        <f>IFERROR(__xludf.DUMMYFUNCTION("GOOGLETRANSLATE(B3502,""id"",""en"")"),"['The application', 'ugly', 'boong']")</f>
        <v>['The application', 'ugly', 'boong']</v>
      </c>
      <c r="D3502" s="3">
        <v>5.0</v>
      </c>
    </row>
    <row r="3503" ht="15.75" customHeight="1">
      <c r="A3503" s="1">
        <v>3736.0</v>
      </c>
      <c r="B3503" s="3" t="s">
        <v>3431</v>
      </c>
      <c r="C3503" s="3" t="str">
        <f>IFERROR(__xludf.DUMMYFUNCTION("GOOGLETRANSLATE(B3503,""id"",""en"")"),"['Telkomsel', 'signal', 'sesui', 'price', 'package', '']")</f>
        <v>['Telkomsel', 'signal', 'sesui', 'price', 'package', '']</v>
      </c>
      <c r="D3503" s="3">
        <v>1.0</v>
      </c>
    </row>
    <row r="3504" ht="15.75" customHeight="1">
      <c r="A3504" s="1">
        <v>3737.0</v>
      </c>
      <c r="B3504" s="3" t="s">
        <v>3432</v>
      </c>
      <c r="C3504" s="3" t="str">
        <f>IFERROR(__xludf.DUMMYFUNCTION("GOOGLETRANSLATE(B3504,""id"",""en"")"),"['Since', 'Pakek', 'APK', 'Kadi', 'counter']")</f>
        <v>['Since', 'Pakek', 'APK', 'Kadi', 'counter']</v>
      </c>
      <c r="D3504" s="3">
        <v>5.0</v>
      </c>
    </row>
    <row r="3505" ht="15.75" customHeight="1">
      <c r="A3505" s="1">
        <v>3738.0</v>
      </c>
      <c r="B3505" s="3" t="s">
        <v>3433</v>
      </c>
      <c r="C3505" s="3" t="str">
        <f>IFERROR(__xludf.DUMMYFUNCTION("GOOGLETRANSLATE(B3505,""id"",""en"")"),"['Please', 'fix', 'bug', 'buy', 'package', 'confirm', 'bought', 'pulse', 'balance', 'truncated', 'package', 'bought', ' Please, 'fix', 'comfort', 'my moments']")</f>
        <v>['Please', 'fix', 'bug', 'buy', 'package', 'confirm', 'bought', 'pulse', 'balance', 'truncated', 'package', 'bought', ' Please, 'fix', 'comfort', 'my moments']</v>
      </c>
      <c r="D3505" s="3">
        <v>1.0</v>
      </c>
    </row>
    <row r="3506" ht="15.75" customHeight="1">
      <c r="A3506" s="1">
        <v>3739.0</v>
      </c>
      <c r="B3506" s="3" t="s">
        <v>3434</v>
      </c>
      <c r="C3506" s="3" t="str">
        <f>IFERROR(__xludf.DUMMYFUNCTION("GOOGLETRANSLATE(B3506,""id"",""en"")"),"['Tsel', 'shy', 'provider', 'lose', 'provider', 'private', 'eat', 'salary', 'blind', 'signal', 'internet', 'Severe', ' UDH ',' City ',' GMN ',' Forward ',' Negri ',' BUMN ',' Service ',' Bad ', ""]")</f>
        <v>['Tsel', 'shy', 'provider', 'lose', 'provider', 'private', 'eat', 'salary', 'blind', 'signal', 'internet', 'Severe', ' UDH ',' City ',' GMN ',' Forward ',' Negri ',' BUMN ',' Service ',' Bad ', "]</v>
      </c>
      <c r="D3506" s="3">
        <v>1.0</v>
      </c>
    </row>
    <row r="3507" ht="15.75" customHeight="1">
      <c r="A3507" s="1">
        <v>3740.0</v>
      </c>
      <c r="B3507" s="3" t="s">
        <v>3435</v>
      </c>
      <c r="C3507" s="3" t="str">
        <f>IFERROR(__xludf.DUMMYFUNCTION("GOOGLETRANSLATE(B3507,""id"",""en"")"),"['Package', 'Date', 'promo', 'GB', 'skrng', 'love', 'star', 'ajaa']")</f>
        <v>['Package', 'Date', 'promo', 'GB', 'skrng', 'love', 'star', 'ajaa']</v>
      </c>
      <c r="D3507" s="3">
        <v>3.0</v>
      </c>
    </row>
    <row r="3508" ht="15.75" customHeight="1">
      <c r="A3508" s="1">
        <v>3741.0</v>
      </c>
      <c r="B3508" s="3" t="s">
        <v>3436</v>
      </c>
      <c r="C3508" s="3" t="str">
        <f>IFERROR(__xludf.DUMMYFUNCTION("GOOGLETRANSLATE(B3508,""id"",""en"")"),"['Understand', 'Telkomsel']")</f>
        <v>['Understand', 'Telkomsel']</v>
      </c>
      <c r="D3508" s="3">
        <v>3.0</v>
      </c>
    </row>
    <row r="3509" ht="15.75" customHeight="1">
      <c r="A3509" s="1">
        <v>3742.0</v>
      </c>
      <c r="B3509" s="3" t="s">
        <v>3437</v>
      </c>
      <c r="C3509" s="3" t="str">
        <f>IFERROR(__xludf.DUMMYFUNCTION("GOOGLETRANSLATE(B3509,""id"",""en"")"),"['Please', 'repaired', 'signal', 'Telkomsel', 'Region', 'Disappointed', 'DSNI', 'Package', 'Data', 'Telkomsel', 'Cheap', 'Loo', ' Services', 'signal', 'bad', '']")</f>
        <v>['Please', 'repaired', 'signal', 'Telkomsel', 'Region', 'Disappointed', 'DSNI', 'Package', 'Data', 'Telkomsel', 'Cheap', 'Loo', ' Services', 'signal', 'bad', '']</v>
      </c>
      <c r="D3509" s="3">
        <v>1.0</v>
      </c>
    </row>
    <row r="3510" ht="15.75" customHeight="1">
      <c r="A3510" s="1">
        <v>3744.0</v>
      </c>
      <c r="B3510" s="3" t="s">
        <v>3438</v>
      </c>
      <c r="C3510" s="3" t="str">
        <f>IFERROR(__xludf.DUMMYFUNCTION("GOOGLETRANSLATE(B3510,""id"",""en"")"),"['Network', 'ugly', 'really', 'Males', 'buy', 'package', 'data', '']")</f>
        <v>['Network', 'ugly', 'really', 'Males', 'buy', 'package', 'data', '']</v>
      </c>
      <c r="D3510" s="3">
        <v>2.0</v>
      </c>
    </row>
    <row r="3511" ht="15.75" customHeight="1">
      <c r="A3511" s="1">
        <v>3745.0</v>
      </c>
      <c r="B3511" s="3" t="s">
        <v>3439</v>
      </c>
      <c r="C3511" s="3" t="str">
        <f>IFERROR(__xludf.DUMMYFUNCTION("GOOGLETRANSLATE(B3511,""id"",""en"")"),"['apk', 'slow', 'mna', 'hrus',' uprage ',' then ',' hrus', 'open', 'right', 'ofline', 'donk', 'bsa', ' buy ',' right ',' pulse ',' right ',' pasan ']")</f>
        <v>['apk', 'slow', 'mna', 'hrus',' uprage ',' then ',' hrus', 'open', 'right', 'ofline', 'donk', 'bsa', ' buy ',' right ',' pulse ',' right ',' pasan ']</v>
      </c>
      <c r="D3511" s="3">
        <v>1.0</v>
      </c>
    </row>
    <row r="3512" ht="15.75" customHeight="1">
      <c r="A3512" s="1">
        <v>3746.0</v>
      </c>
      <c r="B3512" s="3" t="s">
        <v>3440</v>
      </c>
      <c r="C3512" s="3" t="str">
        <f>IFERROR(__xludf.DUMMYFUNCTION("GOOGLETRANSLATE(B3512,""id"",""en"")"),"['App', 'ilang', 'NOT', 'INSTALL', 'Android', 'Package', 'Internet', 'Not bad', 'expensive', 'branch', 'Kek', 'Road', ' Urban ',' cheap ',' Woyy ']")</f>
        <v>['App', 'ilang', 'NOT', 'INSTALL', 'Android', 'Package', 'Internet', 'Not bad', 'expensive', 'branch', 'Kek', 'Road', ' Urban ',' cheap ',' Woyy ']</v>
      </c>
      <c r="D3512" s="3">
        <v>2.0</v>
      </c>
    </row>
    <row r="3513" ht="15.75" customHeight="1">
      <c r="A3513" s="1">
        <v>3747.0</v>
      </c>
      <c r="B3513" s="3" t="s">
        <v>3441</v>
      </c>
      <c r="C3513" s="3" t="str">
        <f>IFERROR(__xludf.DUMMYFUNCTION("GOOGLETRANSLATE(B3513,""id"",""en"")"),"['tereaaat', 'the application', 'life', 'heavy', '']")</f>
        <v>['tereaaat', 'the application', 'life', 'heavy', '']</v>
      </c>
      <c r="D3513" s="3">
        <v>1.0</v>
      </c>
    </row>
    <row r="3514" ht="15.75" customHeight="1">
      <c r="A3514" s="1">
        <v>3748.0</v>
      </c>
      <c r="B3514" s="3" t="s">
        <v>3442</v>
      </c>
      <c r="C3514" s="3" t="str">
        <f>IFERROR(__xludf.DUMMYFUNCTION("GOOGLETRANSLATE(B3514,""id"",""en"")"),"['Okay', 'steady', 'good']")</f>
        <v>['Okay', 'steady', 'good']</v>
      </c>
      <c r="D3514" s="3">
        <v>3.0</v>
      </c>
    </row>
    <row r="3515" ht="15.75" customHeight="1">
      <c r="A3515" s="1">
        <v>3749.0</v>
      </c>
      <c r="B3515" s="3" t="s">
        <v>3443</v>
      </c>
      <c r="C3515" s="3" t="str">
        <f>IFERROR(__xludf.DUMMYFUNCTION("GOOGLETRANSLATE(B3515,""id"",""en"")"),"['hope', 'package', 'cheap']")</f>
        <v>['hope', 'package', 'cheap']</v>
      </c>
      <c r="D3515" s="3">
        <v>5.0</v>
      </c>
    </row>
    <row r="3516" ht="15.75" customHeight="1">
      <c r="A3516" s="1">
        <v>3750.0</v>
      </c>
      <c r="B3516" s="3" t="s">
        <v>3444</v>
      </c>
      <c r="C3516" s="3" t="str">
        <f>IFERROR(__xludf.DUMMYFUNCTION("GOOGLETRANSLATE(B3516,""id"",""en"")"),"['response', 'kek', 'already', 'that's', 'signal', 'as good']")</f>
        <v>['response', 'kek', 'already', 'that's', 'signal', 'as good']</v>
      </c>
      <c r="D3516" s="3">
        <v>1.0</v>
      </c>
    </row>
    <row r="3517" ht="15.75" customHeight="1">
      <c r="A3517" s="1">
        <v>3751.0</v>
      </c>
      <c r="B3517" s="3" t="s">
        <v>3445</v>
      </c>
      <c r="C3517" s="3" t="str">
        <f>IFERROR(__xludf.DUMMYFUNCTION("GOOGLETRANSLATE(B3517,""id"",""en"")"),"['Mangkin', 'Mangkin', 'Severe', 'Network', 'Move', 'Network', 'Next to', '']")</f>
        <v>['Mangkin', 'Mangkin', 'Severe', 'Network', 'Move', 'Network', 'Next to', '']</v>
      </c>
      <c r="D3517" s="3">
        <v>1.0</v>
      </c>
    </row>
    <row r="3518" ht="15.75" customHeight="1">
      <c r="A3518" s="1">
        <v>3752.0</v>
      </c>
      <c r="B3518" s="3" t="s">
        <v>3446</v>
      </c>
      <c r="C3518" s="3" t="str">
        <f>IFERROR(__xludf.DUMMYFUNCTION("GOOGLETRANSLATE(B3518,""id"",""en"")"),"['Bangus', 'Ivent', 'Credit', 'Free', '']")</f>
        <v>['Bangus', 'Ivent', 'Credit', 'Free', '']</v>
      </c>
      <c r="D3518" s="3">
        <v>5.0</v>
      </c>
    </row>
    <row r="3519" ht="15.75" customHeight="1">
      <c r="A3519" s="1">
        <v>3753.0</v>
      </c>
      <c r="B3519" s="3" t="s">
        <v>2169</v>
      </c>
      <c r="C3519" s="3" t="str">
        <f>IFERROR(__xludf.DUMMYFUNCTION("GOOGLETRANSLATE(B3519,""id"",""en"")"),"['bad signal']")</f>
        <v>['bad signal']</v>
      </c>
      <c r="D3519" s="3">
        <v>1.0</v>
      </c>
    </row>
    <row r="3520" ht="15.75" customHeight="1">
      <c r="A3520" s="1">
        <v>3754.0</v>
      </c>
      <c r="B3520" s="3" t="s">
        <v>2273</v>
      </c>
      <c r="C3520" s="3" t="str">
        <f>IFERROR(__xludf.DUMMYFUNCTION("GOOGLETRANSLATE(B3520,""id"",""en"")"),"['Service', 'Good']")</f>
        <v>['Service', 'Good']</v>
      </c>
      <c r="D3520" s="3">
        <v>5.0</v>
      </c>
    </row>
    <row r="3521" ht="15.75" customHeight="1">
      <c r="A3521" s="1">
        <v>3755.0</v>
      </c>
      <c r="B3521" s="3" t="s">
        <v>3447</v>
      </c>
      <c r="C3521" s="3" t="str">
        <f>IFERROR(__xludf.DUMMYFUNCTION("GOOGLETRANSLATE(B3521,""id"",""en"")"),"['Signal', 'severe', 'in the area', 'Garut', 'South', 'Please', 'repaired', 'network', 'trimakasih', ""]")</f>
        <v>['Signal', 'severe', 'in the area', 'Garut', 'South', 'Please', 'repaired', 'network', 'trimakasih', "]</v>
      </c>
      <c r="D3521" s="3">
        <v>1.0</v>
      </c>
    </row>
    <row r="3522" ht="15.75" customHeight="1">
      <c r="A3522" s="1">
        <v>3756.0</v>
      </c>
      <c r="B3522" s="3" t="s">
        <v>3448</v>
      </c>
      <c r="C3522" s="3" t="str">
        <f>IFERROR(__xludf.DUMMYFUNCTION("GOOGLETRANSLATE(B3522,""id"",""en"")"),"['second', 'date', 'Nov', 'clock', 'signal', 'hilanng', 'where', 'I mean', 'oath', 'BERIK', 'really', 'layannan', ' Loe ']")</f>
        <v>['second', 'date', 'Nov', 'clock', 'signal', 'hilanng', 'where', 'I mean', 'oath', 'BERIK', 'really', 'layannan', ' Loe ']</v>
      </c>
      <c r="D3522" s="3">
        <v>1.0</v>
      </c>
    </row>
    <row r="3523" ht="15.75" customHeight="1">
      <c r="A3523" s="1">
        <v>3757.0</v>
      </c>
      <c r="B3523" s="3" t="s">
        <v>3449</v>
      </c>
      <c r="C3523" s="3" t="str">
        <f>IFERROR(__xludf.DUMMYFUNCTION("GOOGLETRANSLATE(B3523,""id"",""en"")"),"['Please', 'noticed', 'network', 'internet', 'NTT', 'package', 'Uda', 'expensive', 'service', 'ugly', 'YouTube', 'buffering', ' severe ',' play ',' game ',' ping it ',' red ',' hancatterrrr ']")</f>
        <v>['Please', 'noticed', 'network', 'internet', 'NTT', 'package', 'Uda', 'expensive', 'service', 'ugly', 'YouTube', 'buffering', ' severe ',' play ',' game ',' ping it ',' red ',' hancatterrrr ']</v>
      </c>
      <c r="D3523" s="3">
        <v>2.0</v>
      </c>
    </row>
    <row r="3524" ht="15.75" customHeight="1">
      <c r="A3524" s="1">
        <v>3758.0</v>
      </c>
      <c r="B3524" s="3" t="s">
        <v>3450</v>
      </c>
      <c r="C3524" s="3" t="str">
        <f>IFERROR(__xludf.DUMMYFUNCTION("GOOGLETRANSLATE(B3524,""id"",""en"")"),"['Paketan', 'Doang', 'expensive', 'network', 'snail', 'mandatory', 'repair', 'signal', 'ride', 'price', 'package', 'ride', ' Quality ',' Network ',' Telkomsel ',' No ',' Rich ',' Telkomsel ']")</f>
        <v>['Paketan', 'Doang', 'expensive', 'network', 'snail', 'mandatory', 'repair', 'signal', 'ride', 'price', 'package', 'ride', ' Quality ',' Network ',' Telkomsel ',' No ',' Rich ',' Telkomsel ']</v>
      </c>
      <c r="D3524" s="3">
        <v>1.0</v>
      </c>
    </row>
    <row r="3525" ht="15.75" customHeight="1">
      <c r="A3525" s="1">
        <v>3759.0</v>
      </c>
      <c r="B3525" s="3" t="s">
        <v>3451</v>
      </c>
      <c r="C3525" s="3" t="str">
        <f>IFERROR(__xludf.DUMMYFUNCTION("GOOGLETRANSLATE(B3525,""id"",""en"")"),"['Network', 'Best', 'Indonesia', 'Open', 'The application', 'buy', 'package', 'loading', 'finished', 'skrg', 'signal', 'like', ' Lost ',' ckckckck ',' provider ',' kah ',' ']")</f>
        <v>['Network', 'Best', 'Indonesia', 'Open', 'The application', 'buy', 'package', 'loading', 'finished', 'skrg', 'signal', 'like', ' Lost ',' ckckckck ',' provider ',' kah ',' ']</v>
      </c>
      <c r="D3525" s="3">
        <v>1.0</v>
      </c>
    </row>
    <row r="3526" ht="15.75" customHeight="1">
      <c r="A3526" s="1">
        <v>3760.0</v>
      </c>
      <c r="B3526" s="3" t="s">
        <v>3452</v>
      </c>
      <c r="C3526" s="3" t="str">
        <f>IFERROR(__xludf.DUMMYFUNCTION("GOOGLETRANSLATE(B3526,""id"",""en"")"),"['Buy', 'Package', 'GB', 'Price', 'Rupiah', 'Happy', 'Deh', 'Telkomsel', 'Thanks']")</f>
        <v>['Buy', 'Package', 'GB', 'Price', 'Rupiah', 'Happy', 'Deh', 'Telkomsel', 'Thanks']</v>
      </c>
      <c r="D3526" s="3">
        <v>5.0</v>
      </c>
    </row>
    <row r="3527" ht="15.75" customHeight="1">
      <c r="A3527" s="1">
        <v>3761.0</v>
      </c>
      <c r="B3527" s="3" t="s">
        <v>3453</v>
      </c>
      <c r="C3527" s="3" t="str">
        <f>IFERROR(__xludf.DUMMYFUNCTION("GOOGLETRANSLATE(B3527,""id"",""en"")"),"['Telkomsel', 'mantapp', 'just']")</f>
        <v>['Telkomsel', 'mantapp', 'just']</v>
      </c>
      <c r="D3527" s="3">
        <v>5.0</v>
      </c>
    </row>
    <row r="3528" ht="15.75" customHeight="1">
      <c r="A3528" s="1">
        <v>3762.0</v>
      </c>
      <c r="B3528" s="3" t="s">
        <v>3454</v>
      </c>
      <c r="C3528" s="3" t="str">
        <f>IFERROR(__xludf.DUMMYFUNCTION("GOOGLETRANSLATE(B3528,""id"",""en"")"),"['Synity', 'ugly', 'Kaliii']")</f>
        <v>['Synity', 'ugly', 'Kaliii']</v>
      </c>
      <c r="D3528" s="3">
        <v>1.0</v>
      </c>
    </row>
    <row r="3529" ht="15.75" customHeight="1">
      <c r="A3529" s="1">
        <v>3763.0</v>
      </c>
      <c r="B3529" s="3" t="s">
        <v>3455</v>
      </c>
      <c r="C3529" s="3" t="str">
        <f>IFERROR(__xludf.DUMMYFUNCTION("GOOGLETRANSLATE(B3529,""id"",""en"")"),"['here', 'network', 'Telkomsel', 'bad', 'buy', 'quota', 'Mahallll', 'network', 'mirisssssss',' quota ',' mahalin ',' network ',' correct it', '']")</f>
        <v>['here', 'network', 'Telkomsel', 'bad', 'buy', 'quota', 'Mahallll', 'network', 'mirisssssss',' quota ',' mahalin ',' network ',' correct it', '']</v>
      </c>
      <c r="D3529" s="3">
        <v>1.0</v>
      </c>
    </row>
    <row r="3530" ht="15.75" customHeight="1">
      <c r="A3530" s="1">
        <v>3764.0</v>
      </c>
      <c r="B3530" s="3" t="s">
        <v>3456</v>
      </c>
      <c r="C3530" s="3" t="str">
        <f>IFERROR(__xludf.DUMMYFUNCTION("GOOGLETRANSLATE(B3530,""id"",""en"")"),"['Disappointing', 'Telkom', 'Different', 'Signal', 'Lost', 'Lemot', 'Service', 'Badkkk', ""]")</f>
        <v>['Disappointing', 'Telkom', 'Different', 'Signal', 'Lost', 'Lemot', 'Service', 'Badkkk', "]</v>
      </c>
      <c r="D3530" s="3">
        <v>1.0</v>
      </c>
    </row>
    <row r="3531" ht="15.75" customHeight="1">
      <c r="A3531" s="1">
        <v>3765.0</v>
      </c>
      <c r="B3531" s="3" t="s">
        <v>3457</v>
      </c>
      <c r="C3531" s="3" t="str">
        <f>IFERROR(__xludf.DUMMYFUNCTION("GOOGLETRANSLATE(B3531,""id"",""en"")"),"['Good', 'bro', 'ane', 'sell', 'car']")</f>
        <v>['Good', 'bro', 'ane', 'sell', 'car']</v>
      </c>
      <c r="D3531" s="3">
        <v>5.0</v>
      </c>
    </row>
    <row r="3532" ht="15.75" customHeight="1">
      <c r="A3532" s="1">
        <v>3766.0</v>
      </c>
      <c r="B3532" s="3" t="s">
        <v>3458</v>
      </c>
      <c r="C3532" s="3" t="str">
        <f>IFERROR(__xludf.DUMMYFUNCTION("GOOGLETRANSLATE(B3532,""id"",""en"")"),"['Woy', 'admin', 'Telkomsel', 'Network', 'Good', 'Leg', 'Leg', 'Macem', 'Different', 'Rich', 'Signal', 'Full', ' quota ',' slow ',' suggestion ',' tried ',' replace ',' card ',' macem ',' product ',' Telkomsel ',' expensive ',' doang ',' package ',' signa"&amp;"l ' , 'Severe', 'regret', 'Message', 'Telkomsel', 'bye', 'bye', 'move', 'card', 'laen', ""]")</f>
        <v>['Woy', 'admin', 'Telkomsel', 'Network', 'Good', 'Leg', 'Leg', 'Macem', 'Different', 'Rich', 'Signal', 'Full', ' quota ',' slow ',' suggestion ',' tried ',' replace ',' card ',' macem ',' product ',' Telkomsel ',' expensive ',' doang ',' package ',' signal ' , 'Severe', 'regret', 'Message', 'Telkomsel', 'bye', 'bye', 'move', 'card', 'laen', "]</v>
      </c>
      <c r="D3532" s="3">
        <v>1.0</v>
      </c>
    </row>
    <row r="3533" ht="15.75" customHeight="1">
      <c r="A3533" s="1">
        <v>3767.0</v>
      </c>
      <c r="B3533" s="3" t="s">
        <v>3459</v>
      </c>
      <c r="C3533" s="3" t="str">
        <f>IFERROR(__xludf.DUMMYFUNCTION("GOOGLETRANSLATE(B3533,""id"",""en"")"),"['signal', 'Telkomsel', 'bad', 'special', 'Palembang', 'signal', 'Telkomsel', 'bad', ""]")</f>
        <v>['signal', 'Telkomsel', 'bad', 'special', 'Palembang', 'signal', 'Telkomsel', 'bad', "]</v>
      </c>
      <c r="D3533" s="3">
        <v>1.0</v>
      </c>
    </row>
    <row r="3534" ht="15.75" customHeight="1">
      <c r="A3534" s="1">
        <v>3768.0</v>
      </c>
      <c r="B3534" s="3" t="s">
        <v>3460</v>
      </c>
      <c r="C3534" s="3" t="str">
        <f>IFERROR(__xludf.DUMMYFUNCTION("GOOGLETRANSLATE(B3534,""id"",""en"")"),"['Bad', 'really', 'signal', 'ngekame', 'break up', 'break up', 'mulu']")</f>
        <v>['Bad', 'really', 'signal', 'ngekame', 'break up', 'break up', 'mulu']</v>
      </c>
      <c r="D3534" s="3">
        <v>1.0</v>
      </c>
    </row>
    <row r="3535" ht="15.75" customHeight="1">
      <c r="A3535" s="1">
        <v>3769.0</v>
      </c>
      <c r="B3535" s="3" t="s">
        <v>3461</v>
      </c>
      <c r="C3535" s="3" t="str">
        <f>IFERROR(__xludf.DUMMYFUNCTION("GOOGLETRANSLATE(B3535,""id"",""en"")"),"['signal', 'Benerin', 'Woy', 'quota', 'expensive', 'signal', 'bad', 'signal', 'ilang', 'right', 'play', 'game', ' Online ',' ilang ',' signal ',' gmna ',' woy ',' overcomes', 'as soon as possible', 'promo', 'lots',' improvement ',' quality ',' network ','"&amp;" gmna ' , 'Enjoy', 'signal', 'bad', 'here', 'severe', 'hah']")</f>
        <v>['signal', 'Benerin', 'Woy', 'quota', 'expensive', 'signal', 'bad', 'signal', 'ilang', 'right', 'play', 'game', ' Online ',' ilang ',' signal ',' gmna ',' woy ',' overcomes', 'as soon as possible', 'promo', 'lots',' improvement ',' quality ',' network ',' gmna ' , 'Enjoy', 'signal', 'bad', 'here', 'severe', 'hah']</v>
      </c>
      <c r="D3535" s="3">
        <v>1.0</v>
      </c>
    </row>
    <row r="3536" ht="15.75" customHeight="1">
      <c r="A3536" s="1">
        <v>3770.0</v>
      </c>
      <c r="B3536" s="3" t="s">
        <v>3462</v>
      </c>
      <c r="C3536" s="3" t="str">
        <f>IFERROR(__xludf.DUMMYFUNCTION("GOOGLETRANSLATE(B3536,""id"",""en"")"),"['Sebel', 'Package', 'Data', 'Msih', 'bnyak', 'buy', 'Telkomsel', 'like', 'slow', 'really', ""]")</f>
        <v>['Sebel', 'Package', 'Data', 'Msih', 'bnyak', 'buy', 'Telkomsel', 'like', 'slow', 'really', "]</v>
      </c>
      <c r="D3536" s="3">
        <v>3.0</v>
      </c>
    </row>
    <row r="3537" ht="15.75" customHeight="1">
      <c r="A3537" s="1">
        <v>3771.0</v>
      </c>
      <c r="B3537" s="3" t="s">
        <v>3463</v>
      </c>
      <c r="C3537" s="3" t="str">
        <f>IFERROR(__xludf.DUMMYFUNCTION("GOOGLETRANSLATE(B3537,""id"",""en"")"),"['Signal', 'SERES', 'MAEN', 'GAME', 'Sometimes', 'ilang', 'repay', 'customer', 'nge']")</f>
        <v>['Signal', 'SERES', 'MAEN', 'GAME', 'Sometimes', 'ilang', 'repay', 'customer', 'nge']</v>
      </c>
      <c r="D3537" s="3">
        <v>1.0</v>
      </c>
    </row>
    <row r="3538" ht="15.75" customHeight="1">
      <c r="A3538" s="1">
        <v>3772.0</v>
      </c>
      <c r="B3538" s="3" t="s">
        <v>3464</v>
      </c>
      <c r="C3538" s="3" t="str">
        <f>IFERROR(__xludf.DUMMYFUNCTION("GOOGLETRANSLATE(B3538,""id"",""en"")"),"['makes it easier', 'Sgala', 'Affairs', ""]")</f>
        <v>['makes it easier', 'Sgala', 'Affairs', "]</v>
      </c>
      <c r="D3538" s="3">
        <v>5.0</v>
      </c>
    </row>
    <row r="3539" ht="15.75" customHeight="1">
      <c r="A3539" s="1">
        <v>3773.0</v>
      </c>
      <c r="B3539" s="3" t="s">
        <v>3465</v>
      </c>
      <c r="C3539" s="3" t="str">
        <f>IFERROR(__xludf.DUMMYFUNCTION("GOOGLETRANSLATE(B3539,""id"",""en"")"),"['love', 'star', 'purchase', 'delay', 'causing', 'withdrawal', 'pulse', 'package', 'activated', 'complicated', 'contents',' pulses', ' Repeated ',' reset ',' ']")</f>
        <v>['love', 'star', 'purchase', 'delay', 'causing', 'withdrawal', 'pulse', 'package', 'activated', 'complicated', 'contents',' pulses', ' Repeated ',' reset ',' ']</v>
      </c>
      <c r="D3539" s="3">
        <v>1.0</v>
      </c>
    </row>
    <row r="3540" ht="15.75" customHeight="1">
      <c r="A3540" s="1">
        <v>3774.0</v>
      </c>
      <c r="B3540" s="3" t="s">
        <v>3466</v>
      </c>
      <c r="C3540" s="3" t="str">
        <f>IFERROR(__xludf.DUMMYFUNCTION("GOOGLETRANSLATE(B3540,""id"",""en"")"),"['Towards', 'clock', 'night', 'signal', 'change', '']")</f>
        <v>['Towards', 'clock', 'night', 'signal', 'change', '']</v>
      </c>
      <c r="D3540" s="3">
        <v>1.0</v>
      </c>
    </row>
    <row r="3541" ht="15.75" customHeight="1">
      <c r="A3541" s="1">
        <v>3777.0</v>
      </c>
      <c r="B3541" s="3" t="s">
        <v>3467</v>
      </c>
      <c r="C3541" s="3" t="str">
        <f>IFERROR(__xludf.DUMMYFUNCTION("GOOGLETRANSLATE(B3541,""id"",""en"")"),"['', 'help']")</f>
        <v>['', 'help']</v>
      </c>
      <c r="D3541" s="3">
        <v>5.0</v>
      </c>
    </row>
    <row r="3542" ht="15.75" customHeight="1">
      <c r="A3542" s="1">
        <v>3778.0</v>
      </c>
      <c r="B3542" s="3" t="s">
        <v>3468</v>
      </c>
      <c r="C3542" s="3" t="str">
        <f>IFERROR(__xludf.DUMMYFUNCTION("GOOGLETRANSLATE(B3542,""id"",""en"")"),"['hours', 'night', 'network', 'Telkomsel', 'missing', 'please', 'love', 'rich', 'that's', 'trs']")</f>
        <v>['hours', 'night', 'network', 'Telkomsel', 'missing', 'please', 'love', 'rich', 'that's', 'trs']</v>
      </c>
      <c r="D3542" s="3">
        <v>2.0</v>
      </c>
    </row>
    <row r="3543" ht="15.75" customHeight="1">
      <c r="A3543" s="1">
        <v>3779.0</v>
      </c>
      <c r="B3543" s="3" t="s">
        <v>3469</v>
      </c>
      <c r="C3543" s="3" t="str">
        <f>IFERROR(__xludf.DUMMYFUNCTION("GOOGLETRANSLATE(B3543,""id"",""en"")"),"['', 'Telkomsel', 'best', 'usage', 'times', 'greetings', 'Gorontalo', ""]")</f>
        <v>['', 'Telkomsel', 'best', 'usage', 'times', 'greetings', 'Gorontalo', "]</v>
      </c>
      <c r="D3543" s="3">
        <v>5.0</v>
      </c>
    </row>
    <row r="3544" ht="15.75" customHeight="1">
      <c r="A3544" s="1">
        <v>3782.0</v>
      </c>
      <c r="B3544" s="3" t="s">
        <v>3470</v>
      </c>
      <c r="C3544" s="3" t="str">
        <f>IFERROR(__xludf.DUMMYFUNCTION("GOOGLETRANSLATE(B3544,""id"",""en"")"),"['Satisfied', 'network', 'Telkomsel', 'Alhamdulillah', 'promo', 'quota', 'Telkomsel', 'Nuhun', 'Telkomsel', ""]")</f>
        <v>['Satisfied', 'network', 'Telkomsel', 'Alhamdulillah', 'promo', 'quota', 'Telkomsel', 'Nuhun', 'Telkomsel', "]</v>
      </c>
      <c r="D3544" s="3">
        <v>5.0</v>
      </c>
    </row>
    <row r="3545" ht="15.75" customHeight="1">
      <c r="A3545" s="1">
        <v>3783.0</v>
      </c>
      <c r="B3545" s="3" t="s">
        <v>3471</v>
      </c>
      <c r="C3545" s="3" t="str">
        <f>IFERROR(__xludf.DUMMYFUNCTION("GOOGLETRANSLATE(B3545,""id"",""en"")"),"['Telkomsel', 'slow', 'buy', 'quota', 'deliberate', 'buy', 'expensive', 'slow', 'severe', 'quota', 'slow', 'replace', ' card']")</f>
        <v>['Telkomsel', 'slow', 'buy', 'quota', 'deliberate', 'buy', 'expensive', 'slow', 'severe', 'quota', 'slow', 'replace', ' card']</v>
      </c>
      <c r="D3545" s="3">
        <v>1.0</v>
      </c>
    </row>
    <row r="3546" ht="15.75" customHeight="1">
      <c r="A3546" s="1">
        <v>3784.0</v>
      </c>
      <c r="B3546" s="3" t="s">
        <v>3472</v>
      </c>
      <c r="C3546" s="3" t="str">
        <f>IFERROR(__xludf.DUMMYFUNCTION("GOOGLETRANSLATE(B3546,""id"",""en"")"),"['Good', 'makes it easy']")</f>
        <v>['Good', 'makes it easy']</v>
      </c>
      <c r="D3546" s="3">
        <v>5.0</v>
      </c>
    </row>
    <row r="3547" ht="15.75" customHeight="1">
      <c r="A3547" s="1">
        <v>3785.0</v>
      </c>
      <c r="B3547" s="3" t="s">
        <v>3473</v>
      </c>
      <c r="C3547" s="3" t="str">
        <f>IFERROR(__xludf.DUMMYFUNCTION("GOOGLETRANSLATE(B3547,""id"",""en"")"),"['Nasea', 'signal', 'Telkomsel', 'Hala', 'Tower', 'Biha', 'Marang', 'Lampung', 'Coastal', 'West', 'Good', 'Cards',' Indosat ',' signal ',' missing ',' ']")</f>
        <v>['Nasea', 'signal', 'Telkomsel', 'Hala', 'Tower', 'Biha', 'Marang', 'Lampung', 'Coastal', 'West', 'Good', 'Cards',' Indosat ',' signal ',' missing ',' ']</v>
      </c>
      <c r="D3547" s="3">
        <v>2.0</v>
      </c>
    </row>
    <row r="3548" ht="15.75" customHeight="1">
      <c r="A3548" s="1">
        <v>3786.0</v>
      </c>
      <c r="B3548" s="3" t="s">
        <v>3474</v>
      </c>
      <c r="C3548" s="3" t="str">
        <f>IFERROR(__xludf.DUMMYFUNCTION("GOOGLETRANSLATE(B3548,""id"",""en"")"),"['cave', 'buy', 'pulses', 'underlook', 'package', 'internet', 'enter']")</f>
        <v>['cave', 'buy', 'pulses', 'underlook', 'package', 'internet', 'enter']</v>
      </c>
      <c r="D3548" s="3">
        <v>1.0</v>
      </c>
    </row>
    <row r="3549" ht="15.75" customHeight="1">
      <c r="A3549" s="1">
        <v>3787.0</v>
      </c>
      <c r="B3549" s="3" t="s">
        <v>3475</v>
      </c>
      <c r="C3549" s="3" t="str">
        <f>IFERROR(__xludf.DUMMYFUNCTION("GOOGLETRANSLATE(B3549,""id"",""en"")"),"['Medsos', 'Good', 'Nge', 'Game', 'Kek', 'Signal', 'Severe', 'Bet']")</f>
        <v>['Medsos', 'Good', 'Nge', 'Game', 'Kek', 'Signal', 'Severe', 'Bet']</v>
      </c>
      <c r="D3549" s="3">
        <v>1.0</v>
      </c>
    </row>
    <row r="3550" ht="15.75" customHeight="1">
      <c r="A3550" s="1">
        <v>3788.0</v>
      </c>
      <c r="B3550" s="3" t="s">
        <v>3476</v>
      </c>
      <c r="C3550" s="3" t="str">
        <f>IFERROR(__xludf.DUMMYFUNCTION("GOOGLETRANSLATE(B3550,""id"",""en"")"),"['Enter', 'Link', 'Live', 'streaming', 'football', 'site', 'contains',' element ',' pornography ',' turn ',' enter ',' Link ',' Pornography ',' Original ',' ']")</f>
        <v>['Enter', 'Link', 'Live', 'streaming', 'football', 'site', 'contains',' element ',' pornography ',' turn ',' enter ',' Link ',' Pornography ',' Original ',' ']</v>
      </c>
      <c r="D3550" s="3">
        <v>1.0</v>
      </c>
    </row>
    <row r="3551" ht="15.75" customHeight="1">
      <c r="A3551" s="1">
        <v>3789.0</v>
      </c>
      <c r="B3551" s="3" t="s">
        <v>3477</v>
      </c>
      <c r="C3551" s="3" t="str">
        <f>IFERROR(__xludf.DUMMYFUNCTION("GOOGLETRANSLATE(B3551,""id"",""en"")"),"['Telkomsel', 'Ngadain', 'Paketan', 'Game', 'Online', 'Silver', 'Emg', 'Used', 'Delete', 'Ngerugin', 'Buy', ""]")</f>
        <v>['Telkomsel', 'Ngadain', 'Paketan', 'Game', 'Online', 'Silver', 'Emg', 'Used', 'Delete', 'Ngerugin', 'Buy', "]</v>
      </c>
      <c r="D3551" s="3">
        <v>1.0</v>
      </c>
    </row>
    <row r="3552" ht="15.75" customHeight="1">
      <c r="A3552" s="1">
        <v>3790.0</v>
      </c>
      <c r="B3552" s="3" t="s">
        <v>3478</v>
      </c>
      <c r="C3552" s="3" t="str">
        <f>IFERROR(__xludf.DUMMYFUNCTION("GOOGLETRANSLATE(B3552,""id"",""en"")"),"['Star', 'Direct', 'Core', 'Problems',' Times', 'Buy', 'Package', 'Message', 'Enter', 'Congratulations',' Package ',' Combo ',' GB ',' run out ',' open ',' game ',' check ',' reset ',' package ',' application ',' package ',' data ',' so ',' please ',' app"&amp;"lication ' , 'repay', 'cheater']")</f>
        <v>['Star', 'Direct', 'Core', 'Problems',' Times', 'Buy', 'Package', 'Message', 'Enter', 'Congratulations',' Package ',' Combo ',' GB ',' run out ',' open ',' game ',' check ',' reset ',' package ',' application ',' package ',' data ',' so ',' please ',' application ' , 'repay', 'cheater']</v>
      </c>
      <c r="D3552" s="3">
        <v>1.0</v>
      </c>
    </row>
    <row r="3553" ht="15.75" customHeight="1">
      <c r="A3553" s="1">
        <v>3791.0</v>
      </c>
      <c r="B3553" s="3" t="s">
        <v>3479</v>
      </c>
      <c r="C3553" s="3" t="str">
        <f>IFERROR(__xludf.DUMMYFUNCTION("GOOGLETRANSLATE(B3553,""id"",""en"")"),"['application', 'good', 'makes it easy', 'transaction', 'purchase', 'pulse']")</f>
        <v>['application', 'good', 'makes it easy', 'transaction', 'purchase', 'pulse']</v>
      </c>
      <c r="D3553" s="3">
        <v>5.0</v>
      </c>
    </row>
    <row r="3554" ht="15.75" customHeight="1">
      <c r="A3554" s="1">
        <v>3792.0</v>
      </c>
      <c r="B3554" s="3" t="s">
        <v>3480</v>
      </c>
      <c r="C3554" s="3" t="str">
        <f>IFERROR(__xludf.DUMMYFUNCTION("GOOGLETRANSLATE(B3554,""id"",""en"")"),"['Please', 'Level', 'Network', 'Telkomsel']")</f>
        <v>['Please', 'Level', 'Network', 'Telkomsel']</v>
      </c>
      <c r="D3554" s="3">
        <v>3.0</v>
      </c>
    </row>
    <row r="3555" ht="15.75" customHeight="1">
      <c r="A3555" s="1">
        <v>3793.0</v>
      </c>
      <c r="B3555" s="3" t="s">
        <v>3481</v>
      </c>
      <c r="C3555" s="3" t="str">
        <f>IFERROR(__xludf.DUMMYFUNCTION("GOOGLETRANSLATE(B3555,""id"",""en"")"),"['expensive', 'doang', 'signal', 'battered', 'lose', 'provider', 'next door']")</f>
        <v>['expensive', 'doang', 'signal', 'battered', 'lose', 'provider', 'next door']</v>
      </c>
      <c r="D3555" s="3">
        <v>1.0</v>
      </c>
    </row>
    <row r="3556" ht="15.75" customHeight="1">
      <c r="A3556" s="1">
        <v>3794.0</v>
      </c>
      <c r="B3556" s="3" t="s">
        <v>3482</v>
      </c>
      <c r="C3556" s="3" t="str">
        <f>IFERROR(__xludf.DUMMYFUNCTION("GOOGLETRANSLATE(B3556,""id"",""en"")"),"['Dri', 'bntang', 'then', 'sya', 'ksih', 'star', 'quota', 'msih', 'mah', 'slow', 'jdi', 'disappointed', ' ']")</f>
        <v>['Dri', 'bntang', 'then', 'sya', 'ksih', 'star', 'quota', 'msih', 'mah', 'slow', 'jdi', 'disappointed', ' ']</v>
      </c>
      <c r="D3556" s="3">
        <v>1.0</v>
      </c>
    </row>
    <row r="3557" ht="15.75" customHeight="1">
      <c r="A3557" s="1">
        <v>3796.0</v>
      </c>
      <c r="B3557" s="3" t="s">
        <v>3483</v>
      </c>
      <c r="C3557" s="3" t="str">
        <f>IFERROR(__xludf.DUMMYFUNCTION("GOOGLETRANSLATE(B3557,""id"",""en"")"),"['disappointing', 'method', 'payment', 'contents',' reset ',' pulse ',' thousand ',' gopay ',' delete ',' gave ',' promo ',' bnget ',' The requirement ',' Ride in ',' Pamor ',' Link ',' Method ',' Payment ',' Gopay ',' Eliminated ',' Network ',' Beres', "&amp;"""]")</f>
        <v>['disappointing', 'method', 'payment', 'contents',' reset ',' pulse ',' thousand ',' gopay ',' delete ',' gave ',' promo ',' bnget ',' The requirement ',' Ride in ',' Pamor ',' Link ',' Method ',' Payment ',' Gopay ',' Eliminated ',' Network ',' Beres', "]</v>
      </c>
      <c r="D3557" s="3">
        <v>1.0</v>
      </c>
    </row>
    <row r="3558" ht="15.75" customHeight="1">
      <c r="A3558" s="1">
        <v>3797.0</v>
      </c>
      <c r="B3558" s="3" t="s">
        <v>3484</v>
      </c>
      <c r="C3558" s="3" t="str">
        <f>IFERROR(__xludf.DUMMYFUNCTION("GOOGLETRANSLATE(B3558,""id"",""en"")"),"['buy', 'Telkomsel', 'Zoom', 'try', 'happy', 'package', 'disappointed', 'purchase', 'package', 'for', 'thousand', 'awaited', ' SMS ',' Verification ',' Email ',' Account ',' Zoom ',' Visit ',' How ',' Telkomsel ',' Pay ',' Obligation ',' Telkomsel ',' est"&amp;"ablished ']")</f>
        <v>['buy', 'Telkomsel', 'Zoom', 'try', 'happy', 'package', 'disappointed', 'purchase', 'package', 'for', 'thousand', 'awaited', ' SMS ',' Verification ',' Email ',' Account ',' Zoom ',' Visit ',' How ',' Telkomsel ',' Pay ',' Obligation ',' Telkomsel ',' established ']</v>
      </c>
      <c r="D3558" s="3">
        <v>1.0</v>
      </c>
    </row>
    <row r="3559" ht="15.75" customHeight="1">
      <c r="A3559" s="1">
        <v>3798.0</v>
      </c>
      <c r="B3559" s="3" t="s">
        <v>3485</v>
      </c>
      <c r="C3559" s="3" t="str">
        <f>IFERROR(__xludf.DUMMYFUNCTION("GOOGLETRANSLATE(B3559,""id"",""en"")"),"['slow', 'dlu', 'kek', 'gini', 'knp', 'slow', 'knp', 'contents',' pulse ',' buy ',' pakek ',' sorry ',' pulses', 'pdhl', 'stlh', 'check', 'pulse', 'safe', 'safe', 'please', 'cohering', 'operator', 'repair', 'lgi', 'dlu' , '']")</f>
        <v>['slow', 'dlu', 'kek', 'gini', 'knp', 'slow', 'knp', 'contents',' pulse ',' buy ',' pakek ',' sorry ',' pulses', 'pdhl', 'stlh', 'check', 'pulse', 'safe', 'safe', 'please', 'cohering', 'operator', 'repair', 'lgi', 'dlu' , '']</v>
      </c>
      <c r="D3559" s="3">
        <v>4.0</v>
      </c>
    </row>
    <row r="3560" ht="15.75" customHeight="1">
      <c r="A3560" s="1">
        <v>3799.0</v>
      </c>
      <c r="B3560" s="3" t="s">
        <v>3486</v>
      </c>
      <c r="C3560" s="3" t="str">
        <f>IFERROR(__xludf.DUMMYFUNCTION("GOOGLETRANSLATE(B3560,""id"",""en"")"),"['Sinyalll', 'Severe', 'ugly', 'Kek']")</f>
        <v>['Sinyalll', 'Severe', 'ugly', 'Kek']</v>
      </c>
      <c r="D3560" s="3">
        <v>1.0</v>
      </c>
    </row>
    <row r="3561" ht="15.75" customHeight="1">
      <c r="A3561" s="1">
        <v>3800.0</v>
      </c>
      <c r="B3561" s="3" t="s">
        <v>3487</v>
      </c>
      <c r="C3561" s="3" t="str">
        <f>IFERROR(__xludf.DUMMYFUNCTION("GOOGLETRANSLATE(B3561,""id"",""en"")"),"['Network', 'stable', 'cutting', 'pulse', 'enter', 'sense', 'package', 'instant', 'pulse', 'directly', 'truncated', ""]")</f>
        <v>['Network', 'stable', 'cutting', 'pulse', 'enter', 'sense', 'package', 'instant', 'pulse', 'directly', 'truncated', "]</v>
      </c>
      <c r="D3561" s="3">
        <v>1.0</v>
      </c>
    </row>
    <row r="3562" ht="15.75" customHeight="1">
      <c r="A3562" s="1">
        <v>3801.0</v>
      </c>
      <c r="B3562" s="3" t="s">
        <v>3488</v>
      </c>
      <c r="C3562" s="3" t="str">
        <f>IFERROR(__xludf.DUMMYFUNCTION("GOOGLETRANSLATE(B3562,""id"",""en"")"),"['Happy', 'Telkomsel']")</f>
        <v>['Happy', 'Telkomsel']</v>
      </c>
      <c r="D3562" s="3">
        <v>5.0</v>
      </c>
    </row>
    <row r="3563" ht="15.75" customHeight="1">
      <c r="A3563" s="1">
        <v>3802.0</v>
      </c>
      <c r="B3563" s="3" t="s">
        <v>3489</v>
      </c>
      <c r="C3563" s="3" t="str">
        <f>IFERROR(__xludf.DUMMYFUNCTION("GOOGLETRANSLATE(B3563,""id"",""en"")"),"['Package', 'cheap', 'easy', 'use', 'link', 'telmomsel', 'thank you', ""]")</f>
        <v>['Package', 'cheap', 'easy', 'use', 'link', 'telmomsel', 'thank you', "]</v>
      </c>
      <c r="D3563" s="3">
        <v>5.0</v>
      </c>
    </row>
    <row r="3564" ht="15.75" customHeight="1">
      <c r="A3564" s="1">
        <v>3803.0</v>
      </c>
      <c r="B3564" s="3" t="s">
        <v>2197</v>
      </c>
      <c r="C3564" s="3" t="str">
        <f>IFERROR(__xludf.DUMMYFUNCTION("GOOGLETRANSLATE(B3564,""id"",""en"")"),"['Good', 'signal']")</f>
        <v>['Good', 'signal']</v>
      </c>
      <c r="D3564" s="3">
        <v>5.0</v>
      </c>
    </row>
    <row r="3565" ht="15.75" customHeight="1">
      <c r="A3565" s="1">
        <v>3804.0</v>
      </c>
      <c r="B3565" s="3" t="s">
        <v>3490</v>
      </c>
      <c r="C3565" s="3" t="str">
        <f>IFERROR(__xludf.DUMMYFUNCTION("GOOGLETRANSLATE(B3565,""id"",""en"")"),"['Quality', 'according to', 'price', 'expensive']")</f>
        <v>['Quality', 'according to', 'price', 'expensive']</v>
      </c>
      <c r="D3565" s="3">
        <v>1.0</v>
      </c>
    </row>
    <row r="3566" ht="15.75" customHeight="1">
      <c r="A3566" s="1">
        <v>3805.0</v>
      </c>
      <c r="B3566" s="3" t="s">
        <v>3491</v>
      </c>
      <c r="C3566" s="3" t="str">
        <f>IFERROR(__xludf.DUMMYFUNCTION("GOOGLETRANSLATE(B3566,""id"",""en"")"),"['Min', 'Error']")</f>
        <v>['Min', 'Error']</v>
      </c>
      <c r="D3566" s="3">
        <v>3.0</v>
      </c>
    </row>
    <row r="3567" ht="15.75" customHeight="1">
      <c r="A3567" s="1">
        <v>3806.0</v>
      </c>
      <c r="B3567" s="3" t="s">
        <v>3492</v>
      </c>
      <c r="C3567" s="3" t="str">
        <f>IFERROR(__xludf.DUMMYFUNCTION("GOOGLETRANSLATE(B3567,""id"",""en"")"),"['card', 'buy', 'quota', 'data', 'internet', 'Different', 'offers',' expensive ',' card ',' cheap ',' really ',' fair ',' ']")</f>
        <v>['card', 'buy', 'quota', 'data', 'internet', 'Different', 'offers',' expensive ',' card ',' cheap ',' really ',' fair ',' ']</v>
      </c>
      <c r="D3567" s="3">
        <v>1.0</v>
      </c>
    </row>
    <row r="3568" ht="15.75" customHeight="1">
      <c r="A3568" s="1">
        <v>3807.0</v>
      </c>
      <c r="B3568" s="3" t="s">
        <v>3493</v>
      </c>
      <c r="C3568" s="3" t="str">
        <f>IFERROR(__xludf.DUMMYFUNCTION("GOOGLETRANSLATE(B3568,""id"",""en"")"),"['Choice', 'Package', 'subscription', 'missing', 'Since', 'buy', 'Telkomsel', 'buy', 'quota', 'youtub', 'Facebook', 'Instagram', ' is lost', '']")</f>
        <v>['Choice', 'Package', 'subscription', 'missing', 'Since', 'buy', 'Telkomsel', 'buy', 'quota', 'youtub', 'Facebook', 'Instagram', ' is lost', '']</v>
      </c>
      <c r="D3568" s="3">
        <v>1.0</v>
      </c>
    </row>
    <row r="3569" ht="15.75" customHeight="1">
      <c r="A3569" s="1">
        <v>3808.0</v>
      </c>
      <c r="B3569" s="3" t="s">
        <v>3494</v>
      </c>
      <c r="C3569" s="3" t="str">
        <f>IFERROR(__xludf.DUMMYFUNCTION("GOOGLETRANSLATE(B3569,""id"",""en"")"),"['Sempati', 'expensive', 'package', 'network', 'Sekaran', 'please', 'improved', ""]")</f>
        <v>['Sempati', 'expensive', 'package', 'network', 'Sekaran', 'please', 'improved', "]</v>
      </c>
      <c r="D3569" s="3">
        <v>3.0</v>
      </c>
    </row>
    <row r="3570" ht="15.75" customHeight="1">
      <c r="A3570" s="1">
        <v>3809.0</v>
      </c>
      <c r="B3570" s="3" t="s">
        <v>3495</v>
      </c>
      <c r="C3570" s="3" t="str">
        <f>IFERROR(__xludf.DUMMYFUNCTION("GOOGLETRANSLATE(B3570,""id"",""en"")"),"['Price', 'quota', 'expensive', 'network', 'kayak', 'disconcerant']")</f>
        <v>['Price', 'quota', 'expensive', 'network', 'kayak', 'disconcerant']</v>
      </c>
      <c r="D3570" s="3">
        <v>1.0</v>
      </c>
    </row>
    <row r="3571" ht="15.75" customHeight="1">
      <c r="A3571" s="1">
        <v>3810.0</v>
      </c>
      <c r="B3571" s="3" t="s">
        <v>3496</v>
      </c>
      <c r="C3571" s="3" t="str">
        <f>IFERROR(__xludf.DUMMYFUNCTION("GOOGLETRANSLATE(B3571,""id"",""en"")"),"['Please', 'Bales',' comment ',' Semena ',' MENA ',' SYERTER ',' Credit ',' That's', 'Expiered', 'Pulse', 'Mamah', 'Package', ' Abis', 'usually', 'pulse', 'serot', 'cuminain', 'pulse', 'hah', 'money', 'how', 'sampe', 'suck', 'pulse', 'called' , 'Maling', "&amp;"'Modern', 'Come', 'One', 'Bentar', 'Deuteronomy', 'Please', 'Kayak', 'Gini', 'Please', 'Response', 'Message', ' HOLDA ',' ']")</f>
        <v>['Please', 'Bales',' comment ',' Semena ',' MENA ',' SYERTER ',' Credit ',' That's', 'Expiered', 'Pulse', 'Mamah', 'Package', ' Abis', 'usually', 'pulse', 'serot', 'cuminain', 'pulse', 'hah', 'money', 'how', 'sampe', 'suck', 'pulse', 'called' , 'Maling', 'Modern', 'Come', 'One', 'Bentar', 'Deuteronomy', 'Please', 'Kayak', 'Gini', 'Please', 'Response', 'Message', ' HOLDA ',' ']</v>
      </c>
      <c r="D3571" s="3">
        <v>1.0</v>
      </c>
    </row>
    <row r="3572" ht="15.75" customHeight="1">
      <c r="A3572" s="1">
        <v>3811.0</v>
      </c>
      <c r="B3572" s="3" t="s">
        <v>3497</v>
      </c>
      <c r="C3572" s="3" t="str">
        <f>IFERROR(__xludf.DUMMYFUNCTION("GOOGLETRANSLATE(B3572,""id"",""en"")"),"['Telkomsel', 'disappointing', 'turning on', 'data', 'usually', 'sms',' access', 'internet', 'non', 'package', 'day', 'pulses',' Cutting ',' in the 'pulse', 'pulse', 'squeeze', 'customer', 'pity', 'yes', 'people', 'rich', 'urban', 'people', 'Pedessaan', '"&amp;"Telkomsel' , 'his customers', 'that's', 'pity', 'delight', 'APK', 'super', 'slow', '']")</f>
        <v>['Telkomsel', 'disappointing', 'turning on', 'data', 'usually', 'sms',' access', 'internet', 'non', 'package', 'day', 'pulses',' Cutting ',' in the 'pulse', 'pulse', 'squeeze', 'customer', 'pity', 'yes', 'people', 'rich', 'urban', 'people', 'Pedessaan', 'Telkomsel' , 'his customers', 'that's', 'pity', 'delight', 'APK', 'super', 'slow', '']</v>
      </c>
      <c r="D3572" s="3">
        <v>1.0</v>
      </c>
    </row>
    <row r="3573" ht="15.75" customHeight="1">
      <c r="A3573" s="1">
        <v>3812.0</v>
      </c>
      <c r="B3573" s="3" t="s">
        <v>3498</v>
      </c>
      <c r="C3573" s="3" t="str">
        <f>IFERROR(__xludf.DUMMYFUNCTION("GOOGLETRANSLATE(B3573,""id"",""en"")"),"['night', 'Telkomsel', 'pulse', 'missing', 'where', 'activated', 'data', 'for a while', 'run out', 'credit', 'accept', 'notification', ' application ',' use ',' please ',' confirm ',' wrong ',' understand ',' wait ',' ']")</f>
        <v>['night', 'Telkomsel', 'pulse', 'missing', 'where', 'activated', 'data', 'for a while', 'run out', 'credit', 'accept', 'notification', ' application ',' use ',' please ',' confirm ',' wrong ',' understand ',' wait ',' ']</v>
      </c>
      <c r="D3573" s="3">
        <v>1.0</v>
      </c>
    </row>
    <row r="3574" ht="15.75" customHeight="1">
      <c r="A3574" s="1">
        <v>3813.0</v>
      </c>
      <c r="B3574" s="3" t="s">
        <v>3499</v>
      </c>
      <c r="C3574" s="3" t="str">
        <f>IFERROR(__xludf.DUMMYFUNCTION("GOOGLETRANSLATE(B3574,""id"",""en"")"),"['Price', 'expensive', 'quality', 'signal', 'cheap', '']")</f>
        <v>['Price', 'expensive', 'quality', 'signal', 'cheap', '']</v>
      </c>
      <c r="D3574" s="3">
        <v>1.0</v>
      </c>
    </row>
    <row r="3575" ht="15.75" customHeight="1">
      <c r="A3575" s="1">
        <v>3814.0</v>
      </c>
      <c r="B3575" s="3" t="s">
        <v>3500</v>
      </c>
      <c r="C3575" s="3" t="str">
        <f>IFERROR(__xludf.DUMMYFUNCTION("GOOGLETRANSLATE(B3575,""id"",""en"")"),"['Makinn', 'Network', 'Telkom', 'ugly', 'Min', 'Maen', 'Game', 'Beuhhh', 'motionk', 'fix', 'again', 'network', ' Min ',' yes', 'expensive', 'network', 'slow', 'bngtt', '']")</f>
        <v>['Makinn', 'Network', 'Telkom', 'ugly', 'Min', 'Maen', 'Game', 'Beuhhh', 'motionk', 'fix', 'again', 'network', ' Min ',' yes', 'expensive', 'network', 'slow', 'bngtt', '']</v>
      </c>
      <c r="D3575" s="3">
        <v>1.0</v>
      </c>
    </row>
    <row r="3576" ht="15.75" customHeight="1">
      <c r="A3576" s="1">
        <v>3815.0</v>
      </c>
      <c r="B3576" s="3" t="s">
        <v>3501</v>
      </c>
      <c r="C3576" s="3" t="str">
        <f>IFERROR(__xludf.DUMMYFUNCTION("GOOGLETRANSLATE(B3576,""id"",""en"")"),"['buy', 'package', 'expensive', 'expensive', 'quality', 'lowly', 'brought', 'play', 'ngelag', 'mulu']")</f>
        <v>['buy', 'package', 'expensive', 'expensive', 'quality', 'lowly', 'brought', 'play', 'ngelag', 'mulu']</v>
      </c>
      <c r="D3576" s="3">
        <v>1.0</v>
      </c>
    </row>
    <row r="3577" ht="15.75" customHeight="1">
      <c r="A3577" s="1">
        <v>3816.0</v>
      </c>
      <c r="B3577" s="3" t="s">
        <v>3502</v>
      </c>
      <c r="C3577" s="3" t="str">
        <f>IFERROR(__xludf.DUMMYFUNCTION("GOOGLETRANSLATE(B3577,""id"",""en"")"),"['APL', 'help', 'buy', 'package', 'tsel']")</f>
        <v>['APL', 'help', 'buy', 'package', 'tsel']</v>
      </c>
      <c r="D3577" s="3">
        <v>4.0</v>
      </c>
    </row>
    <row r="3578" ht="15.75" customHeight="1">
      <c r="A3578" s="1">
        <v>3817.0</v>
      </c>
      <c r="B3578" s="3" t="s">
        <v>3503</v>
      </c>
      <c r="C3578" s="3" t="str">
        <f>IFERROR(__xludf.DUMMYFUNCTION("GOOGLETRANSLATE(B3578,""id"",""en"")"),"['signal', 'Ngelag', 'Severe']")</f>
        <v>['signal', 'Ngelag', 'Severe']</v>
      </c>
      <c r="D3578" s="3">
        <v>1.0</v>
      </c>
    </row>
    <row r="3579" ht="15.75" customHeight="1">
      <c r="A3579" s="1">
        <v>3818.0</v>
      </c>
      <c r="B3579" s="3" t="s">
        <v>3504</v>
      </c>
      <c r="C3579" s="3" t="str">
        <f>IFERROR(__xludf.DUMMYFUNCTION("GOOGLETRANSLATE(B3579,""id"",""en"")"),"['Kaga', 'signal', 'complain', 'told', 'off', 'mode', 'airplane', 'already', 'times',' Kek ',' so ',' whole ',' Ngellag ',' browsing ',' WhatsApp ',' plus', 'quota', 'expensive', 'quota', 'expensive', 'signal', 'good', 'mah', 'gpp', 'signal' , 'ugly', 're"&amp;"ally', 'classmate', 'city', 'ngellag', 'Ujan', 'disappointed', 'ama', 'Telkomsel', 'mending', 'provider', 'next door' Already ',' Ogah ',' Make ',' Telkomsel ',' Bye ']")</f>
        <v>['Kaga', 'signal', 'complain', 'told', 'off', 'mode', 'airplane', 'already', 'times',' Kek ',' so ',' whole ',' Ngellag ',' browsing ',' WhatsApp ',' plus', 'quota', 'expensive', 'quota', 'expensive', 'signal', 'good', 'mah', 'gpp', 'signal' , 'ugly', 'really', 'classmate', 'city', 'ngellag', 'Ujan', 'disappointed', 'ama', 'Telkomsel', 'mending', 'provider', 'next door' Already ',' Ogah ',' Make ',' Telkomsel ',' Bye ']</v>
      </c>
      <c r="D3579" s="3">
        <v>1.0</v>
      </c>
    </row>
    <row r="3580" ht="15.75" customHeight="1">
      <c r="A3580" s="1">
        <v>3819.0</v>
      </c>
      <c r="B3580" s="3" t="s">
        <v>3505</v>
      </c>
      <c r="C3580" s="3" t="str">
        <f>IFERROR(__xludf.DUMMYFUNCTION("GOOGLETRANSLATE(B3580,""id"",""en"")"),"['oath', 'understand', 'Ama', 'network', 'Telkomsel', 'UDH', 'package', 'expensive', 'cheap', 'network', 'kek', 'anjink', ' Ngegame ',' Loading ',' Njirrr ',' ']")</f>
        <v>['oath', 'understand', 'Ama', 'network', 'Telkomsel', 'UDH', 'package', 'expensive', 'cheap', 'network', 'kek', 'anjink', ' Ngegame ',' Loading ',' Njirrr ',' ']</v>
      </c>
      <c r="D3580" s="3">
        <v>1.0</v>
      </c>
    </row>
    <row r="3581" ht="15.75" customHeight="1">
      <c r="A3581" s="1">
        <v>3820.0</v>
      </c>
      <c r="B3581" s="3" t="s">
        <v>3506</v>
      </c>
      <c r="C3581" s="3" t="str">
        <f>IFERROR(__xludf.DUMMYFUNCTION("GOOGLETRANSLATE(B3581,""id"",""en"")"),"['expensive', 'price', 'quota', 'quality', 'signal', 'bad']")</f>
        <v>['expensive', 'price', 'quota', 'quality', 'signal', 'bad']</v>
      </c>
      <c r="D3581" s="3">
        <v>1.0</v>
      </c>
    </row>
    <row r="3582" ht="15.75" customHeight="1">
      <c r="A3582" s="1">
        <v>3821.0</v>
      </c>
      <c r="B3582" s="3" t="s">
        <v>3507</v>
      </c>
      <c r="C3582" s="3" t="str">
        <f>IFERROR(__xludf.DUMMYFUNCTION("GOOGLETRANSLATE(B3582,""id"",""en"")"),"['Good', 'MyTelkomsel']")</f>
        <v>['Good', 'MyTelkomsel']</v>
      </c>
      <c r="D3582" s="3">
        <v>5.0</v>
      </c>
    </row>
    <row r="3583" ht="15.75" customHeight="1">
      <c r="A3583" s="1">
        <v>3822.0</v>
      </c>
      <c r="B3583" s="3" t="s">
        <v>3508</v>
      </c>
      <c r="C3583" s="3" t="str">
        <f>IFERROR(__xludf.DUMMYFUNCTION("GOOGLETRANSLATE(B3583,""id"",""en"")"),"['Quality', 'signal', 'according to', 'price', 'package', 'internet', '']")</f>
        <v>['Quality', 'signal', 'according to', 'price', 'package', 'internet', '']</v>
      </c>
      <c r="D3583" s="3">
        <v>1.0</v>
      </c>
    </row>
    <row r="3584" ht="15.75" customHeight="1">
      <c r="A3584" s="1">
        <v>3823.0</v>
      </c>
      <c r="B3584" s="3" t="s">
        <v>3509</v>
      </c>
      <c r="C3584" s="3" t="str">
        <f>IFERROR(__xludf.DUMMYFUNCTION("GOOGLETRANSLATE(B3584,""id"",""en"")"),"['Android', 'version', 'difficult', 'Install']")</f>
        <v>['Android', 'version', 'difficult', 'Install']</v>
      </c>
      <c r="D3584" s="3">
        <v>1.0</v>
      </c>
    </row>
    <row r="3585" ht="15.75" customHeight="1">
      <c r="A3585" s="1">
        <v>3824.0</v>
      </c>
      <c r="B3585" s="3" t="s">
        <v>3510</v>
      </c>
      <c r="C3585" s="3" t="str">
        <f>IFERROR(__xludf.DUMMYFUNCTION("GOOGLETRANSLATE(B3585,""id"",""en"")"),"['Cook', 'subscription', 'increases', 'signal', 'package', 'increases', 'expensive', '']")</f>
        <v>['Cook', 'subscription', 'increases', 'signal', 'package', 'increases', 'expensive', '']</v>
      </c>
      <c r="D3585" s="3">
        <v>4.0</v>
      </c>
    </row>
    <row r="3586" ht="15.75" customHeight="1">
      <c r="A3586" s="1">
        <v>3825.0</v>
      </c>
      <c r="B3586" s="3" t="s">
        <v>3511</v>
      </c>
      <c r="C3586" s="3" t="str">
        <f>IFERROR(__xludf.DUMMYFUNCTION("GOOGLETRANSLATE(B3586,""id"",""en"")"),"['Mundah', 'help', 'profit']")</f>
        <v>['Mundah', 'help', 'profit']</v>
      </c>
      <c r="D3586" s="3">
        <v>5.0</v>
      </c>
    </row>
    <row r="3587" ht="15.75" customHeight="1">
      <c r="A3587" s="1">
        <v>3826.0</v>
      </c>
      <c r="B3587" s="3" t="s">
        <v>3512</v>
      </c>
      <c r="C3587" s="3" t="str">
        <f>IFERROR(__xludf.DUMMYFUNCTION("GOOGLETRANSLATE(B3587,""id"",""en"")"),"['Application', 'Telkomsel', 'Bagitsss', 'I', 'Like', 'Bagett', '']")</f>
        <v>['Application', 'Telkomsel', 'Bagitsss', 'I', 'Like', 'Bagett', '']</v>
      </c>
      <c r="D3587" s="3">
        <v>5.0</v>
      </c>
    </row>
    <row r="3588" ht="15.75" customHeight="1">
      <c r="A3588" s="1">
        <v>3827.0</v>
      </c>
      <c r="B3588" s="3" t="s">
        <v>3513</v>
      </c>
      <c r="C3588" s="3" t="str">
        <f>IFERROR(__xludf.DUMMYFUNCTION("GOOGLETRANSLATE(B3588,""id"",""en"")"),"['Wear', 'Telkomsel', 'partner', 'grab', 'account', 'god', 'support', 'card', 'Telkomsel', 'thank', 'love', 'Telkomsel', ' ']")</f>
        <v>['Wear', 'Telkomsel', 'partner', 'grab', 'account', 'god', 'support', 'card', 'Telkomsel', 'thank', 'love', 'Telkomsel', ' ']</v>
      </c>
      <c r="D3588" s="3">
        <v>5.0</v>
      </c>
    </row>
    <row r="3589" ht="15.75" customHeight="1">
      <c r="A3589" s="1">
        <v>3828.0</v>
      </c>
      <c r="B3589" s="3" t="s">
        <v>3514</v>
      </c>
      <c r="C3589" s="3" t="str">
        <f>IFERROR(__xludf.DUMMYFUNCTION("GOOGLETRANSLATE(B3589,""id"",""en"")"),"['Dead', 'Lights', 'JGAN', 'Missing', 'Donk', 'Signal', 'suntuk', 'Atu']")</f>
        <v>['Dead', 'Lights', 'JGAN', 'Missing', 'Donk', 'Signal', 'suntuk', 'Atu']</v>
      </c>
      <c r="D3589" s="3">
        <v>4.0</v>
      </c>
    </row>
    <row r="3590" ht="15.75" customHeight="1">
      <c r="A3590" s="1">
        <v>3830.0</v>
      </c>
      <c r="B3590" s="3" t="s">
        <v>3515</v>
      </c>
      <c r="C3590" s="3" t="str">
        <f>IFERROR(__xludf.DUMMYFUNCTION("GOOGLETRANSLATE(B3590,""id"",""en"")"),"['The network', 'good', 'bangettt', 'bismilah', 'pulse']")</f>
        <v>['The network', 'good', 'bangettt', 'bismilah', 'pulse']</v>
      </c>
      <c r="D3590" s="3">
        <v>5.0</v>
      </c>
    </row>
    <row r="3591" ht="15.75" customHeight="1">
      <c r="A3591" s="1">
        <v>3831.0</v>
      </c>
      <c r="B3591" s="3" t="s">
        <v>3516</v>
      </c>
      <c r="C3591" s="3" t="str">
        <f>IFERROR(__xludf.DUMMYFUNCTION("GOOGLETRANSLATE(B3591,""id"",""en"")"),"['Bener', 'signal', 'Telkomsel', 'TPT', 'Severe', 'help', 'check', 'follow', ""]")</f>
        <v>['Bener', 'signal', 'Telkomsel', 'TPT', 'Severe', 'help', 'check', 'follow', "]</v>
      </c>
      <c r="D3591" s="3">
        <v>1.0</v>
      </c>
    </row>
    <row r="3592" ht="15.75" customHeight="1">
      <c r="A3592" s="1">
        <v>3832.0</v>
      </c>
      <c r="B3592" s="3" t="s">
        <v>3517</v>
      </c>
      <c r="C3592" s="3" t="str">
        <f>IFERROR(__xludf.DUMMYFUNCTION("GOOGLETRANSLATE(B3592,""id"",""en"")"),"['Please', 'fix', 'bug', 'quota', 'multimedia', 'already', 'play', 'already', 'a week', 'a week', 'smooth', 'login', ' quota ',' main ',' minutes', 'open', 'kayak', 'already', 'abis',' quota ',' multimedian ',' kayak ',' tiggal ',' limit ',' internet ' , "&amp;"'kbps', 'download', 'data', 'file', 'suits', 'download', 'quota', 'multimedia', 'description', 'quota', 'gamemax']")</f>
        <v>['Please', 'fix', 'bug', 'quota', 'multimedia', 'already', 'play', 'already', 'a week', 'a week', 'smooth', 'login', ' quota ',' main ',' minutes', 'open', 'kayak', 'already', 'abis',' quota ',' multimedian ',' kayak ',' tiggal ',' limit ',' internet ' , 'kbps', 'download', 'data', 'file', 'suits', 'download', 'quota', 'multimedia', 'description', 'quota', 'gamemax']</v>
      </c>
      <c r="D3592" s="3">
        <v>1.0</v>
      </c>
    </row>
    <row r="3593" ht="15.75" customHeight="1">
      <c r="A3593" s="1">
        <v>3833.0</v>
      </c>
      <c r="B3593" s="3" t="s">
        <v>3518</v>
      </c>
      <c r="C3593" s="3" t="str">
        <f>IFERROR(__xludf.DUMMYFUNCTION("GOOGLETRANSLATE(B3593,""id"",""en"")"),"['Genesis',' BBR ',' Disruption ',' Network ',' Telkomsel ',' Day ',' Sampe ',' skg ',' signal ',' Tetep ',' bad ',' disappointing ',' ']")</f>
        <v>['Genesis',' BBR ',' Disruption ',' Network ',' Telkomsel ',' Day ',' Sampe ',' skg ',' signal ',' Tetep ',' bad ',' disappointing ',' ']</v>
      </c>
      <c r="D3593" s="3">
        <v>1.0</v>
      </c>
    </row>
    <row r="3594" ht="15.75" customHeight="1">
      <c r="A3594" s="1">
        <v>3834.0</v>
      </c>
      <c r="B3594" s="3" t="s">
        <v>3519</v>
      </c>
      <c r="C3594" s="3" t="str">
        <f>IFERROR(__xludf.DUMMYFUNCTION("GOOGLETRANSLATE(B3594,""id"",""en"")"),"['Severe', 'Very', 'Provider', 'Jagat', 'Raya', 'Indonesia', 'Entering', 'Voucher', 'quota', 'Kaga', 'Sorry', 'service', ' Busy ',' Severe ',' UDH ',' Wait ',' KDPan ',' Masi ',' Error ',' UDH ',' Setting ',' Network ',' Masi ',' Tetep ',' Kga ' , 'UDH', "&amp;"'cave', 'restart', 'still', 'hmpir', 'a week', 'masi', 'kaga', 'bsa', 'dahhhhhhhh', '']")</f>
        <v>['Severe', 'Very', 'Provider', 'Jagat', 'Raya', 'Indonesia', 'Entering', 'Voucher', 'quota', 'Kaga', 'Sorry', 'service', ' Busy ',' Severe ',' UDH ',' Wait ',' KDPan ',' Masi ',' Error ',' UDH ',' Setting ',' Network ',' Masi ',' Tetep ',' Kga ' , 'UDH', 'cave', 'restart', 'still', 'hmpir', 'a week', 'masi', 'kaga', 'bsa', 'dahhhhhhhh', '']</v>
      </c>
      <c r="D3594" s="3">
        <v>1.0</v>
      </c>
    </row>
    <row r="3595" ht="15.75" customHeight="1">
      <c r="A3595" s="1">
        <v>3835.0</v>
      </c>
      <c r="B3595" s="3" t="s">
        <v>3520</v>
      </c>
      <c r="C3595" s="3" t="str">
        <f>IFERROR(__xludf.DUMMYFUNCTION("GOOGLETRANSLATE(B3595,""id"",""en"")"),"['Comfortable', 'Telkomsel', '']")</f>
        <v>['Comfortable', 'Telkomsel', '']</v>
      </c>
      <c r="D3595" s="3">
        <v>5.0</v>
      </c>
    </row>
    <row r="3596" ht="15.75" customHeight="1">
      <c r="A3596" s="1">
        <v>3836.0</v>
      </c>
      <c r="B3596" s="3" t="s">
        <v>2370</v>
      </c>
      <c r="C3596" s="3" t="str">
        <f>IFERROR(__xludf.DUMMYFUNCTION("GOOGLETRANSLATE(B3596,""id"",""en"")"),"['makes it easier', '']")</f>
        <v>['makes it easier', '']</v>
      </c>
      <c r="D3596" s="3">
        <v>5.0</v>
      </c>
    </row>
    <row r="3597" ht="15.75" customHeight="1">
      <c r="A3597" s="1">
        <v>3837.0</v>
      </c>
      <c r="B3597" s="3" t="s">
        <v>3521</v>
      </c>
      <c r="C3597" s="3" t="str">
        <f>IFERROR(__xludf.DUMMYFUNCTION("GOOGLETRANSLATE(B3597,""id"",""en"")"),"['WiIII', 'Network', 'Gausah', 'Email', 'Email', 'Direct', 'Ajah', 'Benerinnnn', '']")</f>
        <v>['WiIII', 'Network', 'Gausah', 'Email', 'Email', 'Direct', 'Ajah', 'Benerinnnn', '']</v>
      </c>
      <c r="D3597" s="3">
        <v>1.0</v>
      </c>
    </row>
    <row r="3598" ht="15.75" customHeight="1">
      <c r="A3598" s="1">
        <v>3838.0</v>
      </c>
      <c r="B3598" s="3" t="s">
        <v>3522</v>
      </c>
      <c r="C3598" s="3" t="str">
        <f>IFERROR(__xludf.DUMMYFUNCTION("GOOGLETRANSLATE(B3598,""id"",""en"")"),"['version', 'install', 'Android', 'coeq', 'already', 'times', 'update', 'failed', 'install', 'except', 'version']")</f>
        <v>['version', 'install', 'Android', 'coeq', 'already', 'times', 'update', 'failed', 'install', 'except', 'version']</v>
      </c>
      <c r="D3598" s="3">
        <v>1.0</v>
      </c>
    </row>
    <row r="3599" ht="15.75" customHeight="1">
      <c r="A3599" s="1">
        <v>3839.0</v>
      </c>
      <c r="B3599" s="3" t="s">
        <v>3523</v>
      </c>
      <c r="C3599" s="3" t="str">
        <f>IFERROR(__xludf.DUMMYFUNCTION("GOOGLETRANSLATE(B3599,""id"",""en"")"),"['LUMSYAN', 'Enhanced']")</f>
        <v>['LUMSYAN', 'Enhanced']</v>
      </c>
      <c r="D3599" s="3">
        <v>4.0</v>
      </c>
    </row>
    <row r="3600" ht="15.75" customHeight="1">
      <c r="A3600" s="1">
        <v>3840.0</v>
      </c>
      <c r="B3600" s="3" t="s">
        <v>771</v>
      </c>
      <c r="C3600" s="3" t="str">
        <f>IFERROR(__xludf.DUMMYFUNCTION("GOOGLETRANSLATE(B3600,""id"",""en"")"),"['Help', 'APK']")</f>
        <v>['Help', 'APK']</v>
      </c>
      <c r="D3600" s="3">
        <v>5.0</v>
      </c>
    </row>
    <row r="3601" ht="15.75" customHeight="1">
      <c r="A3601" s="1">
        <v>3841.0</v>
      </c>
      <c r="B3601" s="3" t="s">
        <v>3524</v>
      </c>
      <c r="C3601" s="3" t="str">
        <f>IFERROR(__xludf.DUMMYFUNCTION("GOOGLETRANSLATE(B3601,""id"",""en"")"),"['pulse', 'Hbis', '']")</f>
        <v>['pulse', 'Hbis', '']</v>
      </c>
      <c r="D3601" s="3">
        <v>1.0</v>
      </c>
    </row>
    <row r="3602" ht="15.75" customHeight="1">
      <c r="A3602" s="1">
        <v>3842.0</v>
      </c>
      <c r="B3602" s="3" t="s">
        <v>3525</v>
      </c>
      <c r="C3602" s="3" t="str">
        <f>IFERROR(__xludf.DUMMYFUNCTION("GOOGLETRANSLATE(B3602,""id"",""en"")"),"['expensive', 'quota', 'hahahaa']")</f>
        <v>['expensive', 'quota', 'hahahaa']</v>
      </c>
      <c r="D3602" s="3">
        <v>5.0</v>
      </c>
    </row>
    <row r="3603" ht="15.75" customHeight="1">
      <c r="A3603" s="1">
        <v>3843.0</v>
      </c>
      <c r="B3603" s="3" t="s">
        <v>3526</v>
      </c>
      <c r="C3603" s="3" t="str">
        <f>IFERROR(__xludf.DUMMYFUNCTION("GOOGLETRANSLATE(B3603,""id"",""en"")"),"['Steady', 'buy', 'Package', 'Kombonya']")</f>
        <v>['Steady', 'buy', 'Package', 'Kombonya']</v>
      </c>
      <c r="D3603" s="3">
        <v>4.0</v>
      </c>
    </row>
    <row r="3604" ht="15.75" customHeight="1">
      <c r="A3604" s="1">
        <v>3844.0</v>
      </c>
      <c r="B3604" s="3" t="s">
        <v>3527</v>
      </c>
      <c r="C3604" s="3" t="str">
        <f>IFERROR(__xludf.DUMMYFUNCTION("GOOGLETRANSLATE(B3604,""id"",""en"")"),"['Application', 'Not bad', 'Good']")</f>
        <v>['Application', 'Not bad', 'Good']</v>
      </c>
      <c r="D3604" s="3">
        <v>3.0</v>
      </c>
    </row>
    <row r="3605" ht="15.75" customHeight="1">
      <c r="A3605" s="1">
        <v>3845.0</v>
      </c>
      <c r="B3605" s="3" t="s">
        <v>3528</v>
      </c>
      <c r="C3605" s="3" t="str">
        <f>IFERROR(__xludf.DUMMYFUNCTION("GOOGLETRANSLATE(B3605,""id"",""en"")"),"['baguses', 'network', 'cambek', 'enemy', 'Gara', 'Gara', 'you', 'ass', 'stop', '']")</f>
        <v>['baguses', 'network', 'cambek', 'enemy', 'Gara', 'Gara', 'you', 'ass', 'stop', '']</v>
      </c>
      <c r="D3605" s="3">
        <v>1.0</v>
      </c>
    </row>
    <row r="3606" ht="15.75" customHeight="1">
      <c r="A3606" s="1">
        <v>3846.0</v>
      </c>
      <c r="B3606" s="3" t="s">
        <v>3529</v>
      </c>
      <c r="C3606" s="3" t="str">
        <f>IFERROR(__xludf.DUMMYFUNCTION("GOOGLETRANSLATE(B3606,""id"",""en"")"),"['buy', 'package', 'expensive', 'expensive', 'network', 'stable', 'network', 'TPI', 'watch', 'youtube', 'crash', 'please', ' Customize ',' price ',' package ',' qualitations', 'signal', 'adequate', ""]")</f>
        <v>['buy', 'package', 'expensive', 'expensive', 'network', 'stable', 'network', 'TPI', 'watch', 'youtube', 'crash', 'please', ' Customize ',' price ',' package ',' qualitations', 'signal', 'adequate', "]</v>
      </c>
      <c r="D3606" s="3">
        <v>1.0</v>
      </c>
    </row>
    <row r="3607" ht="15.75" customHeight="1">
      <c r="A3607" s="1">
        <v>3847.0</v>
      </c>
      <c r="B3607" s="3" t="s">
        <v>3530</v>
      </c>
      <c r="C3607" s="3" t="str">
        <f>IFERROR(__xludf.DUMMYFUNCTION("GOOGLETRANSLATE(B3607,""id"",""en"")"),"['Most', 'survey', ""]")</f>
        <v>['Most', 'survey', "]</v>
      </c>
      <c r="D3607" s="3">
        <v>1.0</v>
      </c>
    </row>
    <row r="3608" ht="15.75" customHeight="1">
      <c r="A3608" s="1">
        <v>3848.0</v>
      </c>
      <c r="B3608" s="3" t="s">
        <v>677</v>
      </c>
      <c r="C3608" s="3" t="str">
        <f>IFERROR(__xludf.DUMMYFUNCTION("GOOGLETRANSLATE(B3608,""id"",""en"")"),"['Telkomsel']")</f>
        <v>['Telkomsel']</v>
      </c>
      <c r="D3608" s="3">
        <v>1.0</v>
      </c>
    </row>
    <row r="3609" ht="15.75" customHeight="1">
      <c r="A3609" s="1">
        <v>3849.0</v>
      </c>
      <c r="B3609" s="3" t="s">
        <v>3531</v>
      </c>
      <c r="C3609" s="3" t="str">
        <f>IFERROR(__xludf.DUMMYFUNCTION("GOOGLETRANSLATE(B3609,""id"",""en"")"),"['Please', 'The network', 'enhanced', 'Telkomsel', 'The network', 'slow', 'its network', 'stable', ""]")</f>
        <v>['Please', 'The network', 'enhanced', 'Telkomsel', 'The network', 'slow', 'its network', 'stable', "]</v>
      </c>
      <c r="D3609" s="3">
        <v>2.0</v>
      </c>
    </row>
    <row r="3610" ht="15.75" customHeight="1">
      <c r="A3610" s="1">
        <v>3850.0</v>
      </c>
      <c r="B3610" s="3" t="s">
        <v>3532</v>
      </c>
      <c r="C3610" s="3" t="str">
        <f>IFERROR(__xludf.DUMMYFUNCTION("GOOGLETRANSLATE(B3610,""id"",""en"")"),"['Love', 'Star', 'Delete', 'APK', 'MyTelkomsel', 'My HP', 'Cheap', 'Buy', 'Package', 'APK', 'Open', 'APK', ' package ',' data ',' open ',' pliers', 'lost', 'rb', 'incident', 'buy', 'package', 'data', 'apk', 'lost', 'plsaku' , 'Rb', 'deh', 'JGA', 'signal',"&amp;" 'bad', 'plosok', 'village', 'signal', 'good', 'bwat', 'internet', 'good', ' tdak ',' like ',' card ',' other ',' TPI ',' in the city ',' signal ',' full ',' bwat ',' internet ',' difficult ',' ngeruwel ', ""]")</f>
        <v>['Love', 'Star', 'Delete', 'APK', 'MyTelkomsel', 'My HP', 'Cheap', 'Buy', 'Package', 'APK', 'Open', 'APK', ' package ',' data ',' open ',' pliers', 'lost', 'rb', 'incident', 'buy', 'package', 'data', 'apk', 'lost', 'plsaku' , 'Rb', 'deh', 'JGA', 'signal', 'bad', 'plosok', 'village', 'signal', 'good', 'bwat', 'internet', 'good', ' tdak ',' like ',' card ',' other ',' TPI ',' in the city ',' signal ',' full ',' bwat ',' internet ',' difficult ',' ngeruwel ', "]</v>
      </c>
      <c r="D3610" s="3">
        <v>1.0</v>
      </c>
    </row>
    <row r="3611" ht="15.75" customHeight="1">
      <c r="A3611" s="1">
        <v>3851.0</v>
      </c>
      <c r="B3611" s="3" t="s">
        <v>3533</v>
      </c>
      <c r="C3611" s="3" t="str">
        <f>IFERROR(__xludf.DUMMYFUNCTION("GOOGLETRANSLATE(B3611,""id"",""en"")"),"['Good', 'really', 'promo']")</f>
        <v>['Good', 'really', 'promo']</v>
      </c>
      <c r="D3611" s="3">
        <v>5.0</v>
      </c>
    </row>
    <row r="3612" ht="15.75" customHeight="1">
      <c r="A3612" s="1">
        <v>3853.0</v>
      </c>
      <c r="B3612" s="3" t="s">
        <v>3534</v>
      </c>
      <c r="C3612" s="3" t="str">
        <f>IFERROR(__xludf.DUMMYFUNCTION("GOOGLETRANSLATE(B3612,""id"",""en"")"),"['woy', 'please', 'signal', 'difficult', 'lost', 'missing', 'signal', 'please', 'fix', 'in the future', '']")</f>
        <v>['woy', 'please', 'signal', 'difficult', 'lost', 'missing', 'signal', 'please', 'fix', 'in the future', '']</v>
      </c>
      <c r="D3612" s="3">
        <v>1.0</v>
      </c>
    </row>
    <row r="3613" ht="15.75" customHeight="1">
      <c r="A3613" s="1">
        <v>3854.0</v>
      </c>
      <c r="B3613" s="3" t="s">
        <v>3535</v>
      </c>
      <c r="C3613" s="3" t="str">
        <f>IFERROR(__xludf.DUMMYFUNCTION("GOOGLETRANSLATE(B3613,""id"",""en"")"),"['signal', 'bad', 'rain', 'disappointing', '']")</f>
        <v>['signal', 'bad', 'rain', 'disappointing', '']</v>
      </c>
      <c r="D3613" s="3">
        <v>1.0</v>
      </c>
    </row>
    <row r="3614" ht="15.75" customHeight="1">
      <c r="A3614" s="1">
        <v>3855.0</v>
      </c>
      <c r="B3614" s="3" t="s">
        <v>3536</v>
      </c>
      <c r="C3614" s="3" t="str">
        <f>IFERROR(__xludf.DUMMYFUNCTION("GOOGLETRANSLATE(B3614,""id"",""en"")"),"['Signal', 'Telkomsel', 'Tamba', 'Kotok', 'Taek', 'Loss', 'Tuku', 'Paketan']")</f>
        <v>['Signal', 'Telkomsel', 'Tamba', 'Kotok', 'Taek', 'Loss', 'Tuku', 'Paketan']</v>
      </c>
      <c r="D3614" s="3">
        <v>1.0</v>
      </c>
    </row>
    <row r="3615" ht="15.75" customHeight="1">
      <c r="A3615" s="1">
        <v>3856.0</v>
      </c>
      <c r="B3615" s="3" t="s">
        <v>3537</v>
      </c>
      <c r="C3615" s="3" t="str">
        <f>IFERROR(__xludf.DUMMYFUNCTION("GOOGLETRANSLATE(B3615,""id"",""en"")"),"['apasi', 'tsell', 'here', 'sad', 'signal', '']")</f>
        <v>['apasi', 'tsell', 'here', 'sad', 'signal', '']</v>
      </c>
      <c r="D3615" s="3">
        <v>1.0</v>
      </c>
    </row>
    <row r="3616" ht="15.75" customHeight="1">
      <c r="A3616" s="1">
        <v>3857.0</v>
      </c>
      <c r="B3616" s="3" t="s">
        <v>3538</v>
      </c>
      <c r="C3616" s="3" t="str">
        <f>IFERROR(__xludf.DUMMYFUNCTION("GOOGLETRANSLATE(B3616,""id"",""en"")"),"['The network', 'good']")</f>
        <v>['The network', 'good']</v>
      </c>
      <c r="D3616" s="3">
        <v>4.0</v>
      </c>
    </row>
    <row r="3617" ht="15.75" customHeight="1">
      <c r="A3617" s="1">
        <v>3862.0</v>
      </c>
      <c r="B3617" s="3" t="s">
        <v>3539</v>
      </c>
      <c r="C3617" s="3" t="str">
        <f>IFERROR(__xludf.DUMMYFUNCTION("GOOGLETRANSLATE(B3617,""id"",""en"")"),"['easy']")</f>
        <v>['easy']</v>
      </c>
      <c r="D3617" s="3">
        <v>4.0</v>
      </c>
    </row>
    <row r="3618" ht="15.75" customHeight="1">
      <c r="A3618" s="1">
        <v>3863.0</v>
      </c>
      <c r="B3618" s="3" t="s">
        <v>3540</v>
      </c>
      <c r="C3618" s="3" t="str">
        <f>IFERROR(__xludf.DUMMYFUNCTION("GOOGLETRANSLATE(B3618,""id"",""en"")"),"['Cool', 'hehehe']")</f>
        <v>['Cool', 'hehehe']</v>
      </c>
      <c r="D3618" s="3">
        <v>5.0</v>
      </c>
    </row>
    <row r="3619" ht="15.75" customHeight="1">
      <c r="A3619" s="1">
        <v>3864.0</v>
      </c>
      <c r="B3619" s="3" t="s">
        <v>3541</v>
      </c>
      <c r="C3619" s="3" t="str">
        <f>IFERROR(__xludf.DUMMYFUNCTION("GOOGLETRANSLATE(B3619,""id"",""en"")"),"['Satisfied', 'signal', 'ugly', 'play', 'game', 'AFK', 'Gara', 'signal', 'online', 'Jga', 'Satisfied', ""]")</f>
        <v>['Satisfied', 'signal', 'ugly', 'play', 'game', 'AFK', 'Gara', 'signal', 'online', 'Jga', 'Satisfied', "]</v>
      </c>
      <c r="D3619" s="3">
        <v>1.0</v>
      </c>
    </row>
    <row r="3620" ht="15.75" customHeight="1">
      <c r="A3620" s="1">
        <v>3865.0</v>
      </c>
      <c r="B3620" s="3" t="s">
        <v>3542</v>
      </c>
      <c r="C3620" s="3" t="str">
        <f>IFERROR(__xludf.DUMMYFUNCTION("GOOGLETRANSLATE(B3620,""id"",""en"")"),"['easy', 'satisfied']")</f>
        <v>['easy', 'satisfied']</v>
      </c>
      <c r="D3620" s="3">
        <v>4.0</v>
      </c>
    </row>
    <row r="3621" ht="15.75" customHeight="1">
      <c r="A3621" s="1">
        <v>3866.0</v>
      </c>
      <c r="B3621" s="3" t="s">
        <v>3543</v>
      </c>
      <c r="C3621" s="3" t="str">
        <f>IFERROR(__xludf.DUMMYFUNCTION("GOOGLETRANSLATE(B3621,""id"",""en"")"),"['', 'Telkomsel', 'Choice', 'Mantap', '']")</f>
        <v>['', 'Telkomsel', 'Choice', 'Mantap', '']</v>
      </c>
      <c r="D3621" s="3">
        <v>5.0</v>
      </c>
    </row>
    <row r="3622" ht="15.75" customHeight="1">
      <c r="A3622" s="1">
        <v>3867.0</v>
      </c>
      <c r="B3622" s="3" t="s">
        <v>3544</v>
      </c>
      <c r="C3622" s="3" t="str">
        <f>IFERROR(__xludf.DUMMYFUNCTION("GOOGLETRANSLATE(B3622,""id"",""en"")"),"['Extensive', 'Jangkauwan', 'Takjujur', 'Fraudster', ""]")</f>
        <v>['Extensive', 'Jangkauwan', 'Takjujur', 'Fraudster', "]</v>
      </c>
      <c r="D3622" s="3">
        <v>1.0</v>
      </c>
    </row>
    <row r="3623" ht="15.75" customHeight="1">
      <c r="A3623" s="1">
        <v>3868.0</v>
      </c>
      <c r="B3623" s="3" t="s">
        <v>3545</v>
      </c>
      <c r="C3623" s="3" t="str">
        <f>IFERROR(__xludf.DUMMYFUNCTION("GOOGLETRANSLATE(B3623,""id"",""en"")"),"['package', 'missing']")</f>
        <v>['package', 'missing']</v>
      </c>
      <c r="D3623" s="3">
        <v>5.0</v>
      </c>
    </row>
    <row r="3624" ht="15.75" customHeight="1">
      <c r="A3624" s="1">
        <v>3869.0</v>
      </c>
      <c r="B3624" s="3" t="s">
        <v>3546</v>
      </c>
      <c r="C3624" s="3" t="str">
        <f>IFERROR(__xludf.DUMMYFUNCTION("GOOGLETRANSLATE(B3624,""id"",""en"")"),"['Please', 'Network', 'Sometimes',' Ngelag ',' Knpa ',' yak ',' pdhl ',' price ',' down ',' kayak ',' kenceng ',' bngt ',' help', '']")</f>
        <v>['Please', 'Network', 'Sometimes',' Ngelag ',' Knpa ',' yak ',' pdhl ',' price ',' down ',' kayak ',' kenceng ',' bngt ',' help', '']</v>
      </c>
      <c r="D3624" s="3">
        <v>1.0</v>
      </c>
    </row>
    <row r="3625" ht="15.75" customHeight="1">
      <c r="A3625" s="1">
        <v>3871.0</v>
      </c>
      <c r="B3625" s="3" t="s">
        <v>3547</v>
      </c>
      <c r="C3625" s="3" t="str">
        <f>IFERROR(__xludf.DUMMYFUNCTION("GOOGLETRANSLATE(B3625,""id"",""en"")"),"['Please', 'level', 'notification', 'user', 'convenience', 'transaction', 'purchase', 'package', 'pulse', 'intereldan']")</f>
        <v>['Please', 'level', 'notification', 'user', 'convenience', 'transaction', 'purchase', 'package', 'pulse', 'intereldan']</v>
      </c>
      <c r="D3625" s="3">
        <v>3.0</v>
      </c>
    </row>
    <row r="3626" ht="15.75" customHeight="1">
      <c r="A3626" s="1">
        <v>3872.0</v>
      </c>
      <c r="B3626" s="3" t="s">
        <v>3548</v>
      </c>
      <c r="C3626" s="3" t="str">
        <f>IFERROR(__xludf.DUMMYFUNCTION("GOOGLETRANSLATE(B3626,""id"",""en"")"),"['Good', 'match']")</f>
        <v>['Good', 'match']</v>
      </c>
      <c r="D3626" s="3">
        <v>5.0</v>
      </c>
    </row>
    <row r="3627" ht="15.75" customHeight="1">
      <c r="A3627" s="1">
        <v>3873.0</v>
      </c>
      <c r="B3627" s="3" t="s">
        <v>3542</v>
      </c>
      <c r="C3627" s="3" t="str">
        <f>IFERROR(__xludf.DUMMYFUNCTION("GOOGLETRANSLATE(B3627,""id"",""en"")"),"['easy', 'satisfied']")</f>
        <v>['easy', 'satisfied']</v>
      </c>
      <c r="D3627" s="3">
        <v>5.0</v>
      </c>
    </row>
    <row r="3628" ht="15.75" customHeight="1">
      <c r="A3628" s="1">
        <v>3874.0</v>
      </c>
      <c r="B3628" s="3" t="s">
        <v>3549</v>
      </c>
      <c r="C3628" s="3" t="str">
        <f>IFERROR(__xludf.DUMMYFUNCTION("GOOGLETRANSLATE(B3628,""id"",""en"")"),"['Terma', 'love', 'really', 'telkom']")</f>
        <v>['Terma', 'love', 'really', 'telkom']</v>
      </c>
      <c r="D3628" s="3">
        <v>5.0</v>
      </c>
    </row>
    <row r="3629" ht="15.75" customHeight="1">
      <c r="A3629" s="1">
        <v>3875.0</v>
      </c>
      <c r="B3629" s="3" t="s">
        <v>3550</v>
      </c>
      <c r="C3629" s="3" t="str">
        <f>IFERROR(__xludf.DUMMYFUNCTION("GOOGLETRANSLATE(B3629,""id"",""en"")"),"['Telkomsel', 'signal', 'ugly', 'please', 'fix']")</f>
        <v>['Telkomsel', 'signal', 'ugly', 'please', 'fix']</v>
      </c>
      <c r="D3629" s="3">
        <v>1.0</v>
      </c>
    </row>
    <row r="3630" ht="15.75" customHeight="1">
      <c r="A3630" s="1">
        <v>3876.0</v>
      </c>
      <c r="B3630" s="3" t="s">
        <v>3551</v>
      </c>
      <c r="C3630" s="3" t="str">
        <f>IFERROR(__xludf.DUMMYFUNCTION("GOOGLETRANSLATE(B3630,""id"",""en"")"),"['Good', 'signal', 'application', 'cool', 'slow']")</f>
        <v>['Good', 'signal', 'application', 'cool', 'slow']</v>
      </c>
      <c r="D3630" s="3">
        <v>5.0</v>
      </c>
    </row>
    <row r="3631" ht="15.75" customHeight="1">
      <c r="A3631" s="1">
        <v>3877.0</v>
      </c>
      <c r="B3631" s="3" t="s">
        <v>3552</v>
      </c>
      <c r="C3631" s="3" t="str">
        <f>IFERROR(__xludf.DUMMYFUNCTION("GOOGLETRANSLATE(B3631,""id"",""en"")"),"['Steady', 'Easy', 'Ribett', 'Best', 'Telkomsel']")</f>
        <v>['Steady', 'Easy', 'Ribett', 'Best', 'Telkomsel']</v>
      </c>
      <c r="D3631" s="3">
        <v>5.0</v>
      </c>
    </row>
    <row r="3632" ht="15.75" customHeight="1">
      <c r="A3632" s="1">
        <v>3879.0</v>
      </c>
      <c r="B3632" s="3" t="s">
        <v>3553</v>
      </c>
      <c r="C3632" s="3" t="str">
        <f>IFERROR(__xludf.DUMMYFUNCTION("GOOGLETRANSLATE(B3632,""id"",""en"")"),"['Min', 'quota', 'combo', 'Sakti', 'GB', 'buy', 'expensive', 'quota', 'GB', 'price', 'thousand', 'expensive', ' Tsel ',' GNI ',' Over ',' Next to ',' Kayak ',' Cheap ']")</f>
        <v>['Min', 'quota', 'combo', 'Sakti', 'GB', 'buy', 'expensive', 'quota', 'GB', 'price', 'thousand', 'expensive', ' Tsel ',' GNI ',' Over ',' Next to ',' Kayak ',' Cheap ']</v>
      </c>
      <c r="D3632" s="3">
        <v>1.0</v>
      </c>
    </row>
    <row r="3633" ht="15.75" customHeight="1">
      <c r="A3633" s="1">
        <v>3880.0</v>
      </c>
      <c r="B3633" s="3" t="s">
        <v>3554</v>
      </c>
      <c r="C3633" s="3" t="str">
        <f>IFERROR(__xludf.DUMMYFUNCTION("GOOGLETRANSLATE(B3633,""id"",""en"")"),"['Woy', 'Benerin', 'signal', 'might', 'bins', 'chaotic', 'bner', 'Telkomsel']")</f>
        <v>['Woy', 'Benerin', 'signal', 'might', 'bins', 'chaotic', 'bner', 'Telkomsel']</v>
      </c>
      <c r="D3633" s="3">
        <v>1.0</v>
      </c>
    </row>
    <row r="3634" ht="15.75" customHeight="1">
      <c r="A3634" s="1">
        <v>3881.0</v>
      </c>
      <c r="B3634" s="3" t="s">
        <v>3555</v>
      </c>
      <c r="C3634" s="3" t="str">
        <f>IFERROR(__xludf.DUMMYFUNCTION("GOOGLETRANSLATE(B3634,""id"",""en"")"),"['package', 'internet', 'unlimited', 'week', 'mna', 'cpt', 'abis',' yesterday ',' buy ',' package ',' monthly ',' trs', ' Tomorrow ',' right ',' buy ',' jdi ',' trs', 'choice', 'forced', 'buy', 'buy', 'lgi', 'udh', 'jdi', 'lazy' , 'Change', 'card', 'becau"&amp;"se', 'UDH', 'BNGET', 'use', 'Telkomsel', 'lgi', 'unemployed', 'kek', 'heavy', 'bnget', ' Telkomsel ',' Please ',' Turuni ',' Price ', ""]")</f>
        <v>['package', 'internet', 'unlimited', 'week', 'mna', 'cpt', 'abis',' yesterday ',' buy ',' package ',' monthly ',' trs', ' Tomorrow ',' right ',' buy ',' jdi ',' trs', 'choice', 'forced', 'buy', 'buy', 'lgi', 'udh', 'jdi', 'lazy' , 'Change', 'card', 'because', 'UDH', 'BNGET', 'use', 'Telkomsel', 'lgi', 'unemployed', 'kek', 'heavy', 'bnget', ' Telkomsel ',' Please ',' Turuni ',' Price ', "]</v>
      </c>
      <c r="D3634" s="3">
        <v>5.0</v>
      </c>
    </row>
    <row r="3635" ht="15.75" customHeight="1">
      <c r="A3635" s="1">
        <v>3882.0</v>
      </c>
      <c r="B3635" s="3" t="s">
        <v>3556</v>
      </c>
      <c r="C3635" s="3" t="str">
        <f>IFERROR(__xludf.DUMMYFUNCTION("GOOGLETRANSLATE(B3635,""id"",""en"")"),"['steady', 'makes it easy', 'users', 'Telkomsel', '']")</f>
        <v>['steady', 'makes it easy', 'users', 'Telkomsel', '']</v>
      </c>
      <c r="D3635" s="3">
        <v>5.0</v>
      </c>
    </row>
    <row r="3636" ht="15.75" customHeight="1">
      <c r="A3636" s="1">
        <v>3883.0</v>
      </c>
      <c r="B3636" s="3" t="s">
        <v>3557</v>
      </c>
      <c r="C3636" s="3" t="str">
        <f>IFERROR(__xludf.DUMMYFUNCTION("GOOGLETRANSLATE(B3636,""id"",""en"")"),"['heavy', 'slow', 'slow', 'responding', 'Force', 'Close', 'Android', 'RAM', 'repaired', '']")</f>
        <v>['heavy', 'slow', 'slow', 'responding', 'Force', 'Close', 'Android', 'RAM', 'repaired', '']</v>
      </c>
      <c r="D3636" s="3">
        <v>1.0</v>
      </c>
    </row>
    <row r="3637" ht="15.75" customHeight="1">
      <c r="A3637" s="1">
        <v>3884.0</v>
      </c>
      <c r="B3637" s="3" t="s">
        <v>3558</v>
      </c>
      <c r="C3637" s="3" t="str">
        <f>IFERROR(__xludf.DUMMYFUNCTION("GOOGLETRANSLATE(B3637,""id"",""en"")"),"['Hello', 'Hello', 'Priority', 'Hello', 'Signal', 'Follow', 'ilang', 'sympathy', 'ilang', 'connection', 'stable', 'broke', ' Game ',' Auto ',' Down ',' Grade ',' Plus', 'Change', 'Operator', 'Gini', ""]")</f>
        <v>['Hello', 'Hello', 'Priority', 'Hello', 'Signal', 'Follow', 'ilang', 'sympathy', 'ilang', 'connection', 'stable', 'broke', ' Game ',' Auto ',' Down ',' Grade ',' Plus', 'Change', 'Operator', 'Gini', "]</v>
      </c>
      <c r="D3637" s="3">
        <v>2.0</v>
      </c>
    </row>
    <row r="3638" ht="15.75" customHeight="1">
      <c r="A3638" s="1">
        <v>3885.0</v>
      </c>
      <c r="B3638" s="3" t="s">
        <v>3559</v>
      </c>
      <c r="C3638" s="3" t="str">
        <f>IFERROR(__xludf.DUMMYFUNCTION("GOOGLETRANSLATE(B3638,""id"",""en"")"),"['Siyala', 'missing', 'Telkomsel', 'please', 'prioritize', 'signal', 'good', 'buy', 'package', 'must', 'gini', 'already', ' customers', 'loyal', 'play', 'please', 'signal', 'best', 'widest', 'Indonesia', 'user', 'loyal', 'disappointed']")</f>
        <v>['Siyala', 'missing', 'Telkomsel', 'please', 'prioritize', 'signal', 'good', 'buy', 'package', 'must', 'gini', 'already', ' customers', 'loyal', 'play', 'please', 'signal', 'best', 'widest', 'Indonesia', 'user', 'loyal', 'disappointed']</v>
      </c>
      <c r="D3638" s="3">
        <v>1.0</v>
      </c>
    </row>
    <row r="3639" ht="15.75" customHeight="1">
      <c r="A3639" s="1">
        <v>3886.0</v>
      </c>
      <c r="B3639" s="3" t="s">
        <v>3560</v>
      </c>
      <c r="C3639" s="3" t="str">
        <f>IFERROR(__xludf.DUMMYFUNCTION("GOOGLETRANSLATE(B3639,""id"",""en"")"),"['Iternet', 'combo', 'Sakti', 'expensive', '']")</f>
        <v>['Iternet', 'combo', 'Sakti', 'expensive', '']</v>
      </c>
      <c r="D3639" s="3">
        <v>4.0</v>
      </c>
    </row>
    <row r="3640" ht="15.75" customHeight="1">
      <c r="A3640" s="1">
        <v>3887.0</v>
      </c>
      <c r="B3640" s="3" t="s">
        <v>3561</v>
      </c>
      <c r="C3640" s="3" t="str">
        <f>IFERROR(__xludf.DUMMYFUNCTION("GOOGLETRANSLATE(B3640,""id"",""en"")"),"['thank', 'love', 'Telkomsel', 'it's easy', 'help', 'love', 'love']")</f>
        <v>['thank', 'love', 'Telkomsel', 'it's easy', 'help', 'love', 'love']</v>
      </c>
      <c r="D3640" s="3">
        <v>5.0</v>
      </c>
    </row>
    <row r="3641" ht="15.75" customHeight="1">
      <c r="A3641" s="1">
        <v>3888.0</v>
      </c>
      <c r="B3641" s="3" t="s">
        <v>3562</v>
      </c>
      <c r="C3641" s="3" t="str">
        <f>IFERROR(__xludf.DUMMYFUNCTION("GOOGLETRANSLATE(B3641,""id"",""en"")"),"['Ryesel', 'loyal', 'use', 'Telkomsel', 'here', 'Bener', 'buy', 'package', 'expensive', 'to use', 'use', 'package', ' Multimedia ',' package ',' main ',' run out ',' package ',' main ',' run out ',' multimedia ',' chat ',' apk ',' specify ',' disappointed"&amp;" ', ""]")</f>
        <v>['Ryesel', 'loyal', 'use', 'Telkomsel', 'here', 'Bener', 'buy', 'package', 'expensive', 'to use', 'use', 'package', ' Multimedia ',' package ',' main ',' run out ',' package ',' main ',' run out ',' multimedia ',' chat ',' apk ',' specify ',' disappointed ', "]</v>
      </c>
      <c r="D3641" s="3">
        <v>1.0</v>
      </c>
    </row>
    <row r="3642" ht="15.75" customHeight="1">
      <c r="A3642" s="1">
        <v>3889.0</v>
      </c>
      <c r="B3642" s="3" t="s">
        <v>3563</v>
      </c>
      <c r="C3642" s="3" t="str">
        <f>IFERROR(__xludf.DUMMYFUNCTION("GOOGLETRANSLATE(B3642,""id"",""en"")"),"['admin', 'telkom', 'sorry', 'doang', 'shortcomings',' repair ',' severe ',' signal ',' open ',' youtube ',' get ',' title ',' Providers', 'Best', 'Rich', 'Fart']")</f>
        <v>['admin', 'telkom', 'sorry', 'doang', 'shortcomings',' repair ',' severe ',' signal ',' open ',' youtube ',' get ',' title ',' Providers', 'Best', 'Rich', 'Fart']</v>
      </c>
      <c r="D3642" s="3">
        <v>1.0</v>
      </c>
    </row>
    <row r="3643" ht="15.75" customHeight="1">
      <c r="A3643" s="1">
        <v>3890.0</v>
      </c>
      <c r="B3643" s="3" t="s">
        <v>3564</v>
      </c>
      <c r="C3643" s="3" t="str">
        <f>IFERROR(__xludf.DUMMYFUNCTION("GOOGLETRANSLATE(B3643,""id"",""en"")"),"['easy', 'make']")</f>
        <v>['easy', 'make']</v>
      </c>
      <c r="D3643" s="3">
        <v>4.0</v>
      </c>
    </row>
    <row r="3644" ht="15.75" customHeight="1">
      <c r="A3644" s="1">
        <v>3892.0</v>
      </c>
      <c r="B3644" s="3" t="s">
        <v>3565</v>
      </c>
      <c r="C3644" s="3" t="str">
        <f>IFERROR(__xludf.DUMMYFUNCTION("GOOGLETRANSLATE(B3644,""id"",""en"")"),"['Please', 'Assisted', 'Min', 'Update', 'One', 'Version', 'MyTelkomselnya', 'Downloaded']")</f>
        <v>['Please', 'Assisted', 'Min', 'Update', 'One', 'Version', 'MyTelkomselnya', 'Downloaded']</v>
      </c>
      <c r="D3644" s="3">
        <v>1.0</v>
      </c>
    </row>
    <row r="3645" ht="15.75" customHeight="1">
      <c r="A3645" s="1">
        <v>3893.0</v>
      </c>
      <c r="B3645" s="3" t="s">
        <v>217</v>
      </c>
      <c r="C3645" s="3" t="str">
        <f>IFERROR(__xludf.DUMMYFUNCTION("GOOGLETRANSLATE(B3645,""id"",""en"")"),"['satisfying', '']")</f>
        <v>['satisfying', '']</v>
      </c>
      <c r="D3645" s="3">
        <v>4.0</v>
      </c>
    </row>
    <row r="3646" ht="15.75" customHeight="1">
      <c r="A3646" s="1">
        <v>3895.0</v>
      </c>
      <c r="B3646" s="3" t="s">
        <v>3566</v>
      </c>
      <c r="C3646" s="3" t="str">
        <f>IFERROR(__xludf.DUMMYFUNCTION("GOOGLETRANSLATE(B3646,""id"",""en"")"),"['Application', 'SNGT', 'Good', '']")</f>
        <v>['Application', 'SNGT', 'Good', '']</v>
      </c>
      <c r="D3646" s="3">
        <v>2.0</v>
      </c>
    </row>
    <row r="3647" ht="15.75" customHeight="1">
      <c r="A3647" s="1">
        <v>3896.0</v>
      </c>
      <c r="B3647" s="3" t="s">
        <v>3567</v>
      </c>
      <c r="C3647" s="3" t="str">
        <f>IFERROR(__xludf.DUMMYFUNCTION("GOOGLETRANSLATE(B3647,""id"",""en"")"),"['Network', 'Region', 'City', 'Pangkal', 'Pinang', 'Bad', 'Buy', 'Package', 'BRP', 'TTP', 'BGS', 'TLG', ' Fix ',' JWB ',' Please ',' discomfort ',' buy ',' package ',' BKN ',' Geratis', ""]")</f>
        <v>['Network', 'Region', 'City', 'Pangkal', 'Pinang', 'Bad', 'Buy', 'Package', 'BRP', 'TTP', 'BGS', 'TLG', ' Fix ',' JWB ',' Please ',' discomfort ',' buy ',' package ',' BKN ',' Geratis', "]</v>
      </c>
      <c r="D3647" s="3">
        <v>1.0</v>
      </c>
    </row>
    <row r="3648" ht="15.75" customHeight="1">
      <c r="A3648" s="1">
        <v>3897.0</v>
      </c>
      <c r="B3648" s="3" t="s">
        <v>3568</v>
      </c>
      <c r="C3648" s="3" t="str">
        <f>IFERROR(__xludf.DUMMYFUNCTION("GOOGLETRANSLATE(B3648,""id"",""en"")"),"['bad', 'signal', 'down', 'inside', 'outside', 'room', 'tetep', 'signal', 'bad', 'already', 'many', 'times',' Complementary ',' Network ',' Internet ',' Tetep ',' Repair ',' Telkomsel ', ""]")</f>
        <v>['bad', 'signal', 'down', 'inside', 'outside', 'room', 'tetep', 'signal', 'bad', 'already', 'many', 'times',' Complementary ',' Network ',' Internet ',' Tetep ',' Repair ',' Telkomsel ', "]</v>
      </c>
      <c r="D3648" s="3">
        <v>1.0</v>
      </c>
    </row>
    <row r="3649" ht="15.75" customHeight="1">
      <c r="A3649" s="1">
        <v>3898.0</v>
      </c>
      <c r="B3649" s="3" t="s">
        <v>3569</v>
      </c>
      <c r="C3649" s="3" t="str">
        <f>IFERROR(__xludf.DUMMYFUNCTION("GOOGLETRANSLATE(B3649,""id"",""en"")"),"['then', 'network', 'like', 'ngaret', 'ngekame', 'like', 'ngelag']")</f>
        <v>['then', 'network', 'like', 'ngaret', 'ngekame', 'like', 'ngelag']</v>
      </c>
      <c r="D3649" s="3">
        <v>3.0</v>
      </c>
    </row>
    <row r="3650" ht="15.75" customHeight="1">
      <c r="A3650" s="1">
        <v>3899.0</v>
      </c>
      <c r="B3650" s="3" t="s">
        <v>3570</v>
      </c>
      <c r="C3650" s="3" t="str">
        <f>IFERROR(__xludf.DUMMYFUNCTION("GOOGLETRANSLATE(B3650,""id"",""en"")"),"['Open', 'Application', 'Telkomsel', 'Application', 'Error', 'Nge', 'Bug', 'Kirain', ""]")</f>
        <v>['Open', 'Application', 'Telkomsel', 'Application', 'Error', 'Nge', 'Bug', 'Kirain', "]</v>
      </c>
      <c r="D3650" s="3">
        <v>1.0</v>
      </c>
    </row>
    <row r="3651" ht="15.75" customHeight="1">
      <c r="A3651" s="1">
        <v>3900.0</v>
      </c>
      <c r="B3651" s="3" t="s">
        <v>3571</v>
      </c>
      <c r="C3651" s="3" t="str">
        <f>IFERROR(__xludf.DUMMYFUNCTION("GOOGLETRANSLATE(B3651,""id"",""en"")"),"['card', 'expensive', 'rain', 'ngelag', 'pig', '']")</f>
        <v>['card', 'expensive', 'rain', 'ngelag', 'pig', '']</v>
      </c>
      <c r="D3651" s="3">
        <v>1.0</v>
      </c>
    </row>
    <row r="3652" ht="15.75" customHeight="1">
      <c r="A3652" s="1">
        <v>3901.0</v>
      </c>
      <c r="B3652" s="3" t="s">
        <v>3572</v>
      </c>
      <c r="C3652" s="3" t="str">
        <f>IFERROR(__xludf.DUMMYFUNCTION("GOOGLETRANSLATE(B3652,""id"",""en"")"),"['Sya', 'Sngat', 'Snang', 'Skli', 'use', 'APF', 'Kren', ""]")</f>
        <v>['Sya', 'Sngat', 'Snang', 'Skli', 'use', 'APF', 'Kren', "]</v>
      </c>
      <c r="D3652" s="3">
        <v>5.0</v>
      </c>
    </row>
    <row r="3653" ht="15.75" customHeight="1">
      <c r="A3653" s="1">
        <v>3902.0</v>
      </c>
      <c r="B3653" s="3" t="s">
        <v>3573</v>
      </c>
      <c r="C3653" s="3" t="str">
        <f>IFERROR(__xludf.DUMMYFUNCTION("GOOGLETRANSLATE(B3653,""id"",""en"")"),"['Application', 'opened', 'update', 'APK', 'what', 'developer']")</f>
        <v>['Application', 'opened', 'update', 'APK', 'what', 'developer']</v>
      </c>
      <c r="D3653" s="3">
        <v>1.0</v>
      </c>
    </row>
    <row r="3654" ht="15.75" customHeight="1">
      <c r="A3654" s="1">
        <v>3903.0</v>
      </c>
      <c r="B3654" s="3" t="s">
        <v>3574</v>
      </c>
      <c r="C3654" s="3" t="str">
        <f>IFERROR(__xludf.DUMMYFUNCTION("GOOGLETRANSLATE(B3654,""id"",""en"")"),"['SMG', 'Telkomsel', 'mejadi', 'service']")</f>
        <v>['SMG', 'Telkomsel', 'mejadi', 'service']</v>
      </c>
      <c r="D3654" s="3">
        <v>5.0</v>
      </c>
    </row>
    <row r="3655" ht="15.75" customHeight="1">
      <c r="A3655" s="1">
        <v>3904.0</v>
      </c>
      <c r="B3655" s="3" t="s">
        <v>1165</v>
      </c>
      <c r="C3655" s="3" t="str">
        <f>IFERROR(__xludf.DUMMYFUNCTION("GOOGLETRANSLATE(B3655,""id"",""en"")"),"['Application', 'steady']")</f>
        <v>['Application', 'steady']</v>
      </c>
      <c r="D3655" s="3">
        <v>5.0</v>
      </c>
    </row>
    <row r="3656" ht="15.75" customHeight="1">
      <c r="A3656" s="1">
        <v>3905.0</v>
      </c>
      <c r="B3656" s="3" t="s">
        <v>3575</v>
      </c>
      <c r="C3656" s="3" t="str">
        <f>IFERROR(__xludf.DUMMYFUNCTION("GOOGLETRANSLATE(B3656,""id"",""en"")"),"['use', 'application', 'online', 'work', 'use', 'card', 'sympathy', 'make', 'hotspot', 'application', 'tsb', 'open', ' Move ',' Network ',' Application ',' TSB ',' Open ',' Please ',' Enlightenment ',' ']")</f>
        <v>['use', 'application', 'online', 'work', 'use', 'card', 'sympathy', 'make', 'hotspot', 'application', 'tsb', 'open', ' Move ',' Network ',' Application ',' TSB ',' Open ',' Please ',' Enlightenment ',' ']</v>
      </c>
      <c r="D3656" s="3">
        <v>4.0</v>
      </c>
    </row>
    <row r="3657" ht="15.75" customHeight="1">
      <c r="A3657" s="1">
        <v>3907.0</v>
      </c>
      <c r="B3657" s="3" t="s">
        <v>3576</v>
      </c>
      <c r="C3657" s="3" t="str">
        <f>IFERROR(__xludf.DUMMYFUNCTION("GOOGLETRANSLATE(B3657,""id"",""en"")"),"['It's easy', 'buy', 'package']")</f>
        <v>['It's easy', 'buy', 'package']</v>
      </c>
      <c r="D3657" s="3">
        <v>5.0</v>
      </c>
    </row>
    <row r="3658" ht="15.75" customHeight="1">
      <c r="A3658" s="1">
        <v>3908.0</v>
      </c>
      <c r="B3658" s="3" t="s">
        <v>3577</v>
      </c>
      <c r="C3658" s="3" t="str">
        <f>IFERROR(__xludf.DUMMYFUNCTION("GOOGLETRANSLATE(B3658,""id"",""en"")"),"['Severe', 'Telkomsel', 'The network', 'battered', 'lose', 'competitors', 'city', 'network', 'closed', 'it's better', '']")</f>
        <v>['Severe', 'Telkomsel', 'The network', 'battered', 'lose', 'competitors', 'city', 'network', 'closed', 'it's better', '']</v>
      </c>
      <c r="D3658" s="3">
        <v>1.0</v>
      </c>
    </row>
    <row r="3659" ht="15.75" customHeight="1">
      <c r="A3659" s="1">
        <v>3909.0</v>
      </c>
      <c r="B3659" s="3" t="s">
        <v>3578</v>
      </c>
      <c r="C3659" s="3" t="str">
        <f>IFERROR(__xludf.DUMMYFUNCTION("GOOGLETRANSLATE(B3659,""id"",""en"")"),"['Ngeta', 'package', 'Giganet', 'GB', 'already', 'no']")</f>
        <v>['Ngeta', 'package', 'Giganet', 'GB', 'already', 'no']</v>
      </c>
      <c r="D3659" s="3">
        <v>1.0</v>
      </c>
    </row>
    <row r="3660" ht="15.75" customHeight="1">
      <c r="A3660" s="1">
        <v>3910.0</v>
      </c>
      <c r="B3660" s="3" t="s">
        <v>3579</v>
      </c>
      <c r="C3660" s="3" t="str">
        <f>IFERROR(__xludf.DUMMYFUNCTION("GOOGLETRANSLATE(B3660,""id"",""en"")"),"['Help', 'bangettttttttty']")</f>
        <v>['Help', 'bangettttttttty']</v>
      </c>
      <c r="D3660" s="3">
        <v>5.0</v>
      </c>
    </row>
    <row r="3661" ht="15.75" customHeight="1">
      <c r="A3661" s="1">
        <v>3911.0</v>
      </c>
      <c r="B3661" s="3" t="s">
        <v>3580</v>
      </c>
      <c r="C3661" s="3" t="str">
        <f>IFERROR(__xludf.DUMMYFUNCTION("GOOGLETRANSLATE(B3661,""id"",""en"")"),"['difficult', 'access', 'network', 'disrupted', 'Please', 'enhanced', 'quality', 'network', ""]")</f>
        <v>['difficult', 'access', 'network', 'disrupted', 'Please', 'enhanced', 'quality', 'network', "]</v>
      </c>
      <c r="D3661" s="3">
        <v>5.0</v>
      </c>
    </row>
    <row r="3662" ht="15.75" customHeight="1">
      <c r="A3662" s="1">
        <v>3912.0</v>
      </c>
      <c r="B3662" s="3" t="s">
        <v>800</v>
      </c>
      <c r="C3662" s="3" t="str">
        <f>IFERROR(__xludf.DUMMYFUNCTION("GOOGLETRANSLATE(B3662,""id"",""en"")"),"['Promo']")</f>
        <v>['Promo']</v>
      </c>
      <c r="D3662" s="3">
        <v>5.0</v>
      </c>
    </row>
    <row r="3663" ht="15.75" customHeight="1">
      <c r="A3663" s="1">
        <v>3913.0</v>
      </c>
      <c r="B3663" s="3" t="s">
        <v>3581</v>
      </c>
      <c r="C3663" s="3" t="str">
        <f>IFERROR(__xludf.DUMMYFUNCTION("GOOGLETRANSLATE(B3663,""id"",""en"")"),"['Ngellag', 'really', 'sometimes', 'kintil', 'work']")</f>
        <v>['Ngellag', 'really', 'sometimes', 'kintil', 'work']</v>
      </c>
      <c r="D3663" s="3">
        <v>1.0</v>
      </c>
    </row>
    <row r="3664" ht="15.75" customHeight="1">
      <c r="A3664" s="1">
        <v>3914.0</v>
      </c>
      <c r="B3664" s="3" t="s">
        <v>3582</v>
      </c>
      <c r="C3664" s="3" t="str">
        <f>IFERROR(__xludf.DUMMYFUNCTION("GOOGLETRANSLATE(B3664,""id"",""en"")"),"['Jaringa', 'cell', 'problematic', 'please', 'repaired', 'consumer', 'need', 'convenience', 'network', ""]")</f>
        <v>['Jaringa', 'cell', 'problematic', 'please', 'repaired', 'consumer', 'need', 'convenience', 'network', "]</v>
      </c>
      <c r="D3664" s="3">
        <v>1.0</v>
      </c>
    </row>
    <row r="3665" ht="15.75" customHeight="1">
      <c r="A3665" s="1">
        <v>3915.0</v>
      </c>
      <c r="B3665" s="3" t="s">
        <v>3583</v>
      </c>
      <c r="C3665" s="3" t="str">
        <f>IFERROR(__xludf.DUMMYFUNCTION("GOOGLETRANSLATE(B3665,""id"",""en"")"),"['star', '']")</f>
        <v>['star', '']</v>
      </c>
      <c r="D3665" s="3">
        <v>3.0</v>
      </c>
    </row>
    <row r="3666" ht="15.75" customHeight="1">
      <c r="A3666" s="1">
        <v>3916.0</v>
      </c>
      <c r="B3666" s="3" t="s">
        <v>3584</v>
      </c>
      <c r="C3666" s="3" t="str">
        <f>IFERROR(__xludf.DUMMYFUNCTION("GOOGLETRANSLATE(B3666,""id"",""en"")"),"['mantapp', 'lack of', 'price']")</f>
        <v>['mantapp', 'lack of', 'price']</v>
      </c>
      <c r="D3666" s="3">
        <v>5.0</v>
      </c>
    </row>
    <row r="3667" ht="15.75" customHeight="1">
      <c r="A3667" s="1">
        <v>3917.0</v>
      </c>
      <c r="B3667" s="3" t="s">
        <v>3585</v>
      </c>
      <c r="C3667" s="3" t="str">
        <f>IFERROR(__xludf.DUMMYFUNCTION("GOOGLETRANSLATE(B3667,""id"",""en"")"),"['Disappointed', 'UDH', 'Telkomsel', 'Good', 'Signal', 'Knp', 'Skrg', 'ugly', 'Need', 'muter', 'trs',' road ',' ']")</f>
        <v>['Disappointed', 'UDH', 'Telkomsel', 'Good', 'Signal', 'Knp', 'Skrg', 'ugly', 'Need', 'muter', 'trs',' road ',' ']</v>
      </c>
      <c r="D3667" s="3">
        <v>1.0</v>
      </c>
    </row>
    <row r="3668" ht="15.75" customHeight="1">
      <c r="A3668" s="1">
        <v>3918.0</v>
      </c>
      <c r="B3668" s="3" t="s">
        <v>3586</v>
      </c>
      <c r="C3668" s="3" t="str">
        <f>IFERROR(__xludf.DUMMYFUNCTION("GOOGLETRANSLATE(B3668,""id"",""en"")"),"['Telkomsel', 'likes',' sanctuary ',' pulse ',' just ',' fill in ',' pulse ',' thousand ',' reduced ',' stay ',' thousand ',' debt ',' Telkomsel ',' missing ',' thousand ',' open ',' WhatsApp ',' Pakek ',' quota ',' GB ',' SMS ',' Telkomsel ',' non ',' qu"&amp;"ota ',' package ' , 'internet', 'fill in', 'pulse', 'quota', 'right', 'Telkomsel', 'ugly', 'pulse', 'signal', 'already', 'slow', 'nights',' Credit ',' people ',' as you've been ',' ']")</f>
        <v>['Telkomsel', 'likes',' sanctuary ',' pulse ',' just ',' fill in ',' pulse ',' thousand ',' reduced ',' stay ',' thousand ',' debt ',' Telkomsel ',' missing ',' thousand ',' open ',' WhatsApp ',' Pakek ',' quota ',' GB ',' SMS ',' Telkomsel ',' non ',' quota ',' package ' , 'internet', 'fill in', 'pulse', 'quota', 'right', 'Telkomsel', 'ugly', 'pulse', 'signal', 'already', 'slow', 'nights',' Credit ',' people ',' as you've been ',' ']</v>
      </c>
      <c r="D3668" s="3">
        <v>2.0</v>
      </c>
    </row>
    <row r="3669" ht="15.75" customHeight="1">
      <c r="A3669" s="1">
        <v>3919.0</v>
      </c>
      <c r="B3669" s="3" t="s">
        <v>3587</v>
      </c>
      <c r="C3669" s="3" t="str">
        <f>IFERROR(__xludf.DUMMYFUNCTION("GOOGLETRANSLATE(B3669,""id"",""en"")"),"['Telkomsel', 'network', 'broad', 'signal', 'difficult', 'please', 'network', 'clarification', 'network', 'troubles', 'consumer']")</f>
        <v>['Telkomsel', 'network', 'broad', 'signal', 'difficult', 'please', 'network', 'clarification', 'network', 'troubles', 'consumer']</v>
      </c>
      <c r="D3669" s="3">
        <v>1.0</v>
      </c>
    </row>
    <row r="3670" ht="15.75" customHeight="1">
      <c r="A3670" s="1">
        <v>3920.0</v>
      </c>
      <c r="B3670" s="3" t="s">
        <v>3226</v>
      </c>
      <c r="C3670" s="3" t="str">
        <f>IFERROR(__xludf.DUMMYFUNCTION("GOOGLETRANSLATE(B3670,""id"",""en"")"),"['try', '']")</f>
        <v>['try', '']</v>
      </c>
      <c r="D3670" s="3">
        <v>5.0</v>
      </c>
    </row>
    <row r="3671" ht="15.75" customHeight="1">
      <c r="A3671" s="1">
        <v>3921.0</v>
      </c>
      <c r="B3671" s="3" t="s">
        <v>3588</v>
      </c>
      <c r="C3671" s="3" t="str">
        <f>IFERROR(__xludf.DUMMYFUNCTION("GOOGLETRANSLATE(B3671,""id"",""en"")"),"['Network', 'good', 'package', 'expensive', 'Different', 'Telkom', 'cheap', 'buy', 'package']")</f>
        <v>['Network', 'good', 'package', 'expensive', 'Different', 'Telkom', 'cheap', 'buy', 'package']</v>
      </c>
      <c r="D3671" s="3">
        <v>5.0</v>
      </c>
    </row>
    <row r="3672" ht="15.75" customHeight="1">
      <c r="A3672" s="1">
        <v>3922.0</v>
      </c>
      <c r="B3672" s="3" t="s">
        <v>3589</v>
      </c>
      <c r="C3672" s="3" t="str">
        <f>IFERROR(__xludf.DUMMYFUNCTION("GOOGLETRANSLATE(B3672,""id"",""en"")"),"['Telkomsel', 'how', 'borrow', 'package', 'emergency', 'notification', 'borrow', 'automatic', 'minjam', 'knp', 'borrow']")</f>
        <v>['Telkomsel', 'how', 'borrow', 'package', 'emergency', 'notification', 'borrow', 'automatic', 'minjam', 'knp', 'borrow']</v>
      </c>
      <c r="D3672" s="3">
        <v>1.0</v>
      </c>
    </row>
    <row r="3673" ht="15.75" customHeight="1">
      <c r="A3673" s="1">
        <v>3923.0</v>
      </c>
      <c r="B3673" s="3" t="s">
        <v>3590</v>
      </c>
      <c r="C3673" s="3" t="str">
        <f>IFERROR(__xludf.DUMMYFUNCTION("GOOGLETRANSLATE(B3673,""id"",""en"")"),"['Mantep', 'Anyway']")</f>
        <v>['Mantep', 'Anyway']</v>
      </c>
      <c r="D3673" s="3">
        <v>5.0</v>
      </c>
    </row>
    <row r="3674" ht="15.75" customHeight="1">
      <c r="A3674" s="1">
        <v>3924.0</v>
      </c>
      <c r="B3674" s="3" t="s">
        <v>3591</v>
      </c>
      <c r="C3674" s="3" t="str">
        <f>IFERROR(__xludf.DUMMYFUNCTION("GOOGLETRANSLATE(B3674,""id"",""en"")"),"['', 'Telkomsel', 'Bnget', 'Deh', 'Yesterday', 'Promo', 'GB', 'thousand', 'Uda', 'Klau', 'Adin', ""]")</f>
        <v>['', 'Telkomsel', 'Bnget', 'Deh', 'Yesterday', 'Promo', 'GB', 'thousand', 'Uda', 'Klau', 'Adin', "]</v>
      </c>
      <c r="D3674" s="3">
        <v>5.0</v>
      </c>
    </row>
    <row r="3675" ht="15.75" customHeight="1">
      <c r="A3675" s="1">
        <v>3925.0</v>
      </c>
      <c r="B3675" s="3" t="s">
        <v>3592</v>
      </c>
      <c r="C3675" s="3" t="str">
        <f>IFERROR(__xludf.DUMMYFUNCTION("GOOGLETRANSLATE(B3675,""id"",""en"")"),"['Need', 'Features',' Set ',' Quota ',' Used ',' Application ',' Optimal ',' Description ',' Package ',' Quota ',' Thinking ',' Functioning ',' """" Star ',' ']")</f>
        <v>['Need', 'Features',' Set ',' Quota ',' Used ',' Application ',' Optimal ',' Description ',' Package ',' Quota ',' Thinking ',' Functioning ',' "" Star ',' ']</v>
      </c>
      <c r="D3675" s="3">
        <v>1.0</v>
      </c>
    </row>
    <row r="3676" ht="15.75" customHeight="1">
      <c r="A3676" s="1">
        <v>3926.0</v>
      </c>
      <c r="B3676" s="3" t="s">
        <v>3593</v>
      </c>
      <c r="C3676" s="3" t="str">
        <f>IFERROR(__xludf.DUMMYFUNCTION("GOOGLETRANSLATE(B3676,""id"",""en"")"),"['steady', 'promo', 'per month', 'good', 'min', '']")</f>
        <v>['steady', 'promo', 'per month', 'good', 'min', '']</v>
      </c>
      <c r="D3676" s="3">
        <v>5.0</v>
      </c>
    </row>
    <row r="3677" ht="15.75" customHeight="1">
      <c r="A3677" s="1">
        <v>3928.0</v>
      </c>
      <c r="B3677" s="3" t="s">
        <v>3594</v>
      </c>
      <c r="C3677" s="3" t="str">
        <f>IFERROR(__xludf.DUMMYFUNCTION("GOOGLETRANSLATE(B3677,""id"",""en"")"),"['Telkomsel', 'butt', 'network', 'problematic', '']")</f>
        <v>['Telkomsel', 'butt', 'network', 'problematic', '']</v>
      </c>
      <c r="D3677" s="3">
        <v>1.0</v>
      </c>
    </row>
    <row r="3678" ht="15.75" customHeight="1">
      <c r="A3678" s="1">
        <v>3929.0</v>
      </c>
      <c r="B3678" s="3" t="s">
        <v>3595</v>
      </c>
      <c r="C3678" s="3" t="str">
        <f>IFERROR(__xludf.DUMMYFUNCTION("GOOGLETRANSLATE(B3678,""id"",""en"")"),"['Leet', 'fast', 'promo']")</f>
        <v>['Leet', 'fast', 'promo']</v>
      </c>
      <c r="D3678" s="3">
        <v>5.0</v>
      </c>
    </row>
    <row r="3679" ht="15.75" customHeight="1">
      <c r="A3679" s="1">
        <v>3930.0</v>
      </c>
      <c r="B3679" s="3" t="s">
        <v>3596</v>
      </c>
      <c r="C3679" s="3" t="str">
        <f>IFERROR(__xludf.DUMMYFUNCTION("GOOGLETRANSLATE(B3679,""id"",""en"")"),"['no', 'signal', 'no', 'application', 'error', 'mulu', 'sad', 'kangen', 'telmomsel', '']")</f>
        <v>['no', 'signal', 'no', 'application', 'error', 'mulu', 'sad', 'kangen', 'telmomsel', '']</v>
      </c>
      <c r="D3679" s="3">
        <v>2.0</v>
      </c>
    </row>
    <row r="3680" ht="15.75" customHeight="1">
      <c r="A3680" s="1">
        <v>3931.0</v>
      </c>
      <c r="B3680" s="3" t="s">
        <v>3597</v>
      </c>
      <c r="C3680" s="3" t="str">
        <f>IFERROR(__xludf.DUMMYFUNCTION("GOOGLETRANSLATE(B3680,""id"",""en"")"),"['Application', 'satisfying']")</f>
        <v>['Application', 'satisfying']</v>
      </c>
      <c r="D3680" s="3">
        <v>5.0</v>
      </c>
    </row>
    <row r="3681" ht="15.75" customHeight="1">
      <c r="A3681" s="1">
        <v>3932.0</v>
      </c>
      <c r="B3681" s="3" t="s">
        <v>3598</v>
      </c>
      <c r="C3681" s="3" t="str">
        <f>IFERROR(__xludf.DUMMYFUNCTION("GOOGLETRANSLATE(B3681,""id"",""en"")"),"['price', 'package', 'internet', 'expensive', 'pulse', 'likes', 'truncated', 'package', 'internet', '']")</f>
        <v>['price', 'package', 'internet', 'expensive', 'pulse', 'likes', 'truncated', 'package', 'internet', '']</v>
      </c>
      <c r="D3681" s="3">
        <v>1.0</v>
      </c>
    </row>
    <row r="3682" ht="15.75" customHeight="1">
      <c r="A3682" s="1">
        <v>3933.0</v>
      </c>
      <c r="B3682" s="3" t="s">
        <v>3599</v>
      </c>
      <c r="C3682" s="3" t="str">
        <f>IFERROR(__xludf.DUMMYFUNCTION("GOOGLETRANSLATE(B3682,""id"",""en"")"),"['access', 'internet', 'easy', 'etc.']")</f>
        <v>['access', 'internet', 'easy', 'etc.']</v>
      </c>
      <c r="D3682" s="3">
        <v>5.0</v>
      </c>
    </row>
    <row r="3683" ht="15.75" customHeight="1">
      <c r="A3683" s="1">
        <v>3934.0</v>
      </c>
      <c r="B3683" s="3" t="s">
        <v>3600</v>
      </c>
      <c r="C3683" s="3" t="str">
        <f>IFERROR(__xludf.DUMMYFUNCTION("GOOGLETRANSLATE(B3683,""id"",""en"")"),"['Good', 'really', 'easy']")</f>
        <v>['Good', 'really', 'easy']</v>
      </c>
      <c r="D3683" s="3">
        <v>4.0</v>
      </c>
    </row>
    <row r="3684" ht="15.75" customHeight="1">
      <c r="A3684" s="1">
        <v>3935.0</v>
      </c>
      <c r="B3684" s="3" t="s">
        <v>3601</v>
      </c>
      <c r="C3684" s="3" t="str">
        <f>IFERROR(__xludf.DUMMYFUNCTION("GOOGLETRANSLATE(B3684,""id"",""en"")"),"['Please', 'Love', 'Peromo']")</f>
        <v>['Please', 'Love', 'Peromo']</v>
      </c>
      <c r="D3684" s="3">
        <v>5.0</v>
      </c>
    </row>
    <row r="3685" ht="15.75" customHeight="1">
      <c r="A3685" s="1">
        <v>3936.0</v>
      </c>
      <c r="B3685" s="3" t="s">
        <v>3602</v>
      </c>
      <c r="C3685" s="3" t="str">
        <f>IFERROR(__xludf.DUMMYFUNCTION("GOOGLETRANSLATE(B3685,""id"",""en"")"),"['Application', 'good', 'help']")</f>
        <v>['Application', 'good', 'help']</v>
      </c>
      <c r="D3685" s="3">
        <v>5.0</v>
      </c>
    </row>
    <row r="3686" ht="15.75" customHeight="1">
      <c r="A3686" s="1">
        <v>3937.0</v>
      </c>
      <c r="B3686" s="3" t="s">
        <v>3603</v>
      </c>
      <c r="C3686" s="3" t="str">
        <f>IFERROR(__xludf.DUMMYFUNCTION("GOOGLETRANSLATE(B3686,""id"",""en"")"),"['signal', 'stable', 'regret', 'Makai']")</f>
        <v>['signal', 'stable', 'regret', 'Makai']</v>
      </c>
      <c r="D3686" s="3">
        <v>1.0</v>
      </c>
    </row>
    <row r="3687" ht="15.75" customHeight="1">
      <c r="A3687" s="1">
        <v>3938.0</v>
      </c>
      <c r="B3687" s="3" t="s">
        <v>3604</v>
      </c>
      <c r="C3687" s="3" t="str">
        <f>IFERROR(__xludf.DUMMYFUNCTION("GOOGLETRANSLATE(B3687,""id"",""en"")"),"['Abis',' quota ',' main ',' package ',' unlimited ',' sosmed ',' speed ',' quality ',' signal ',' collapse ',' coakes', 'Telkomsel', ' Lampung ',' moved ',' Indosat ',' Sad ',' ']")</f>
        <v>['Abis',' quota ',' main ',' package ',' unlimited ',' sosmed ',' speed ',' quality ',' signal ',' collapse ',' coakes', 'Telkomsel', ' Lampung ',' moved ',' Indosat ',' Sad ',' ']</v>
      </c>
      <c r="D3687" s="3">
        <v>1.0</v>
      </c>
    </row>
    <row r="3688" ht="15.75" customHeight="1">
      <c r="A3688" s="1">
        <v>3939.0</v>
      </c>
      <c r="B3688" s="3" t="s">
        <v>3605</v>
      </c>
      <c r="C3688" s="3" t="str">
        <f>IFERROR(__xludf.DUMMYFUNCTION("GOOGLETRANSLATE(B3688,""id"",""en"")"),"['Joss',' package ',' data ',' already ',' expensive ',' signal ',' sometimes', 'breaking', 'position', 'home', 'dket', 'tower', ' Telkomsel ',' emang ',' Bener ',' Telkomsel ']")</f>
        <v>['Joss',' package ',' data ',' already ',' expensive ',' signal ',' sometimes', 'breaking', 'position', 'home', 'dket', 'tower', ' Telkomsel ',' emang ',' Bener ',' Telkomsel ']</v>
      </c>
      <c r="D3688" s="3">
        <v>1.0</v>
      </c>
    </row>
    <row r="3689" ht="15.75" customHeight="1">
      <c r="A3689" s="1">
        <v>3940.0</v>
      </c>
      <c r="B3689" s="3" t="s">
        <v>3606</v>
      </c>
      <c r="C3689" s="3" t="str">
        <f>IFERROR(__xludf.DUMMYFUNCTION("GOOGLETRANSLATE(B3689,""id"",""en"")"),"['Good', 'choice', 'package', 'data', 'top', 'pokonya', ""]")</f>
        <v>['Good', 'choice', 'package', 'data', 'top', 'pokonya', "]</v>
      </c>
      <c r="D3689" s="3">
        <v>5.0</v>
      </c>
    </row>
    <row r="3690" ht="15.75" customHeight="1">
      <c r="A3690" s="1">
        <v>3941.0</v>
      </c>
      <c r="B3690" s="3" t="s">
        <v>3607</v>
      </c>
      <c r="C3690" s="3" t="str">
        <f>IFERROR(__xludf.DUMMYFUNCTION("GOOGLETRANSLATE(B3690,""id"",""en"")"),"['update', 'after', 'update', 'update', 'lgi', 'jdi', 'kmu', 'donk', '']")</f>
        <v>['update', 'after', 'update', 'update', 'lgi', 'jdi', 'kmu', 'donk', '']</v>
      </c>
      <c r="D3690" s="3">
        <v>1.0</v>
      </c>
    </row>
    <row r="3691" ht="15.75" customHeight="1">
      <c r="A3691" s="1">
        <v>3942.0</v>
      </c>
      <c r="B3691" s="3" t="s">
        <v>3608</v>
      </c>
      <c r="C3691" s="3" t="str">
        <f>IFERROR(__xludf.DUMMYFUNCTION("GOOGLETRANSLATE(B3691,""id"",""en"")"),"['users', 'Telkomsel', 'Hopefully', 'help', 'satisfying', 'Sorry', 'star']")</f>
        <v>['users', 'Telkomsel', 'Hopefully', 'help', 'satisfying', 'Sorry', 'star']</v>
      </c>
      <c r="D3691" s="3">
        <v>4.0</v>
      </c>
    </row>
    <row r="3692" ht="15.75" customHeight="1">
      <c r="A3692" s="1">
        <v>3943.0</v>
      </c>
      <c r="B3692" s="3" t="s">
        <v>3609</v>
      </c>
      <c r="C3692" s="3" t="str">
        <f>IFERROR(__xludf.DUMMYFUNCTION("GOOGLETRANSLATE(B3692,""id"",""en"")"),"['Network', 'ugly', 'continued', 'package', 'data', 'unlimited', 'leftover', 'GB', 'buy', 'used', 'package', 'data', ' main ',' run out ',' data ',' unlimited ',' data ',' main ',' already ',' terkss', 'kenpa', 'data', 'unlimited', 'kepake', 'for a moment"&amp;"' , 'already', 'sometimes', 'sometimes', 'already', 'not', 'unlimited', '']")</f>
        <v>['Network', 'ugly', 'continued', 'package', 'data', 'unlimited', 'leftover', 'GB', 'buy', 'used', 'package', 'data', ' main ',' run out ',' data ',' unlimited ',' data ',' main ',' already ',' terkss', 'kenpa', 'data', 'unlimited', 'kepake', 'for a moment' , 'already', 'sometimes', 'sometimes', 'already', 'not', 'unlimited', '']</v>
      </c>
      <c r="D3692" s="3">
        <v>1.0</v>
      </c>
    </row>
    <row r="3693" ht="15.75" customHeight="1">
      <c r="A3693" s="1">
        <v>3944.0</v>
      </c>
      <c r="B3693" s="3" t="s">
        <v>3610</v>
      </c>
      <c r="C3693" s="3" t="str">
        <f>IFERROR(__xludf.DUMMYFUNCTION("GOOGLETRANSLATE(B3693,""id"",""en"")"),"['Increase', 'Network', '']")</f>
        <v>['Increase', 'Network', '']</v>
      </c>
      <c r="D3693" s="3">
        <v>5.0</v>
      </c>
    </row>
    <row r="3694" ht="15.75" customHeight="1">
      <c r="A3694" s="1">
        <v>3945.0</v>
      </c>
      <c r="B3694" s="3" t="s">
        <v>3611</v>
      </c>
      <c r="C3694" s="3" t="str">
        <f>IFERROR(__xludf.DUMMYFUNCTION("GOOGLETRANSLATE(B3694,""id"",""en"")"),"['Cool', 'pokonya']")</f>
        <v>['Cool', 'pokonya']</v>
      </c>
      <c r="D3694" s="3">
        <v>5.0</v>
      </c>
    </row>
    <row r="3695" ht="15.75" customHeight="1">
      <c r="A3695" s="1">
        <v>3946.0</v>
      </c>
      <c r="B3695" s="3" t="s">
        <v>2973</v>
      </c>
      <c r="C3695" s="3" t="str">
        <f>IFERROR(__xludf.DUMMYFUNCTION("GOOGLETRANSLATE(B3695,""id"",""en"")"),"['easy', '']")</f>
        <v>['easy', '']</v>
      </c>
      <c r="D3695" s="3">
        <v>5.0</v>
      </c>
    </row>
    <row r="3696" ht="15.75" customHeight="1">
      <c r="A3696" s="1">
        <v>3947.0</v>
      </c>
      <c r="B3696" s="3" t="s">
        <v>3612</v>
      </c>
      <c r="C3696" s="3" t="str">
        <f>IFERROR(__xludf.DUMMYFUNCTION("GOOGLETRANSLATE(B3696,""id"",""en"")"),"['Please', 'Telkomsel', 'Increase', 'Quality', 'Sousal', 'Telkomsel', 'Rich', 'Signal', 'Good', 'Speed', 'Internet', 'Reduced', ' Telkomsel ',' signal ',' good ',' operator ',' MLH ',' Good ',' operator ',' Please ',' Increase ',' Quality ',' Network ',' "&amp;"internet ',' Thank you ' ]")</f>
        <v>['Please', 'Telkomsel', 'Increase', 'Quality', 'Sousal', 'Telkomsel', 'Rich', 'Signal', 'Good', 'Speed', 'Internet', 'Reduced', ' Telkomsel ',' signal ',' good ',' operator ',' MLH ',' Good ',' operator ',' Please ',' Increase ',' Quality ',' Network ',' internet ',' Thank you ' ]</v>
      </c>
      <c r="D3696" s="3">
        <v>2.0</v>
      </c>
    </row>
    <row r="3697" ht="15.75" customHeight="1">
      <c r="A3697" s="1">
        <v>3948.0</v>
      </c>
      <c r="B3697" s="3" t="s">
        <v>3613</v>
      </c>
      <c r="C3697" s="3" t="str">
        <f>IFERROR(__xludf.DUMMYFUNCTION("GOOGLETRANSLATE(B3697,""id"",""en"")"),"['History', 'Region', 'Sousal', 'ugly']")</f>
        <v>['History', 'Region', 'Sousal', 'ugly']</v>
      </c>
      <c r="D3697" s="3">
        <v>3.0</v>
      </c>
    </row>
    <row r="3698" ht="15.75" customHeight="1">
      <c r="A3698" s="1">
        <v>3949.0</v>
      </c>
      <c r="B3698" s="3" t="s">
        <v>3614</v>
      </c>
      <c r="C3698" s="3" t="str">
        <f>IFERROR(__xludf.DUMMYFUNCTION("GOOGLETRANSLATE(B3698,""id"",""en"")"),"['Greetings',' healthy ',' Srmu ',' smg ',' healthy ',' kluuh ',' entered ',' telkom ',' likes', 'slow', 'sjar', 'version', ' ']")</f>
        <v>['Greetings',' healthy ',' Srmu ',' smg ',' healthy ',' kluuh ',' entered ',' telkom ',' likes', 'slow', 'sjar', 'version', ' ']</v>
      </c>
      <c r="D3698" s="3">
        <v>5.0</v>
      </c>
    </row>
    <row r="3699" ht="15.75" customHeight="1">
      <c r="A3699" s="1">
        <v>3950.0</v>
      </c>
      <c r="B3699" s="3" t="s">
        <v>3615</v>
      </c>
      <c r="C3699" s="3" t="str">
        <f>IFERROR(__xludf.DUMMYFUNCTION("GOOGLETRANSLATE(B3699,""id"",""en"")"),"['Jos', 'Gandok', 'wanted', 'Winning', 'Lottery', 'Interesting']")</f>
        <v>['Jos', 'Gandok', 'wanted', 'Winning', 'Lottery', 'Interesting']</v>
      </c>
      <c r="D3699" s="3">
        <v>5.0</v>
      </c>
    </row>
    <row r="3700" ht="15.75" customHeight="1">
      <c r="A3700" s="1">
        <v>3951.0</v>
      </c>
      <c r="B3700" s="3" t="s">
        <v>3616</v>
      </c>
      <c r="C3700" s="3" t="str">
        <f>IFERROR(__xludf.DUMMYFUNCTION("GOOGLETRANSLATE(B3700,""id"",""en"")"),"['application', 'good']")</f>
        <v>['application', 'good']</v>
      </c>
      <c r="D3700" s="3">
        <v>5.0</v>
      </c>
    </row>
    <row r="3701" ht="15.75" customHeight="1">
      <c r="A3701" s="1">
        <v>3952.0</v>
      </c>
      <c r="B3701" s="3" t="s">
        <v>3617</v>
      </c>
      <c r="C3701" s="3" t="str">
        <f>IFERROR(__xludf.DUMMYFUNCTION("GOOGLETRANSLATE(B3701,""id"",""en"")"),"['hope', 'network', 'stable']")</f>
        <v>['hope', 'network', 'stable']</v>
      </c>
      <c r="D3701" s="3">
        <v>5.0</v>
      </c>
    </row>
    <row r="3702" ht="15.75" customHeight="1">
      <c r="A3702" s="1">
        <v>3953.0</v>
      </c>
      <c r="B3702" s="3" t="s">
        <v>3618</v>
      </c>
      <c r="C3702" s="3" t="str">
        <f>IFERROR(__xludf.DUMMYFUNCTION("GOOGLETRANSLATE(B3702,""id"",""en"")"),"['Signal', 'ugly']")</f>
        <v>['Signal', 'ugly']</v>
      </c>
      <c r="D3702" s="3">
        <v>1.0</v>
      </c>
    </row>
    <row r="3703" ht="15.75" customHeight="1">
      <c r="A3703" s="1">
        <v>3954.0</v>
      </c>
      <c r="B3703" s="3" t="s">
        <v>3619</v>
      </c>
      <c r="C3703" s="3" t="str">
        <f>IFERROR(__xludf.DUMMYFUNCTION("GOOGLETRANSLATE(B3703,""id"",""en"")"),"['network', 'Telkomsel', 'proud of', 'slow', 'changed', 'expensive', ""]")</f>
        <v>['network', 'Telkomsel', 'proud of', 'slow', 'changed', 'expensive', "]</v>
      </c>
      <c r="D3703" s="3">
        <v>1.0</v>
      </c>
    </row>
    <row r="3704" ht="15.75" customHeight="1">
      <c r="A3704" s="1">
        <v>3955.0</v>
      </c>
      <c r="B3704" s="3" t="s">
        <v>3620</v>
      </c>
      <c r="C3704" s="3" t="str">
        <f>IFERROR(__xludf.DUMMYFUNCTION("GOOGLETRANSLATE(B3704,""id"",""en"")"),"['Hopefully', 'Increases', 'Success', '']")</f>
        <v>['Hopefully', 'Increases', 'Success', '']</v>
      </c>
      <c r="D3704" s="3">
        <v>4.0</v>
      </c>
    </row>
    <row r="3705" ht="15.75" customHeight="1">
      <c r="A3705" s="1">
        <v>3956.0</v>
      </c>
      <c r="B3705" s="3" t="s">
        <v>3621</v>
      </c>
      <c r="C3705" s="3" t="str">
        <f>IFERROR(__xludf.DUMMYFUNCTION("GOOGLETRANSLATE(B3705,""id"",""en"")"),"['Contender', 'Twitter', 'Telkomsel', 'Sina', 'Telkomsel', 'strange', ""]")</f>
        <v>['Contender', 'Twitter', 'Telkomsel', 'Sina', 'Telkomsel', 'strange', "]</v>
      </c>
      <c r="D3705" s="3">
        <v>1.0</v>
      </c>
    </row>
    <row r="3706" ht="15.75" customHeight="1">
      <c r="A3706" s="1">
        <v>3957.0</v>
      </c>
      <c r="B3706" s="3" t="s">
        <v>3622</v>
      </c>
      <c r="C3706" s="3" t="str">
        <f>IFERROR(__xludf.DUMMYFUNCTION("GOOGLETRANSLATE(B3706,""id"",""en"")"),"['chaotic', 'buy', 'quota', 'RbU', 'pusla', 'rbu', 'buy', 'pulse', 'lost', 'pan', 'strange', 'berqsa', ' Robbed ']")</f>
        <v>['chaotic', 'buy', 'quota', 'RbU', 'pusla', 'rbu', 'buy', 'pulse', 'lost', 'pan', 'strange', 'berqsa', ' Robbed ']</v>
      </c>
      <c r="D3706" s="3">
        <v>1.0</v>
      </c>
    </row>
    <row r="3707" ht="15.75" customHeight="1">
      <c r="A3707" s="1">
        <v>3958.0</v>
      </c>
      <c r="B3707" s="3" t="s">
        <v>3623</v>
      </c>
      <c r="C3707" s="3" t="str">
        <f>IFERROR(__xludf.DUMMYFUNCTION("GOOGLETRANSLATE(B3707,""id"",""en"")"),"['Telkomsel', 'Save', 'Rich']")</f>
        <v>['Telkomsel', 'Save', 'Rich']</v>
      </c>
      <c r="D3707" s="3">
        <v>5.0</v>
      </c>
    </row>
    <row r="3708" ht="15.75" customHeight="1">
      <c r="A3708" s="1">
        <v>3960.0</v>
      </c>
      <c r="B3708" s="3" t="s">
        <v>3624</v>
      </c>
      <c r="C3708" s="3" t="str">
        <f>IFERROR(__xludf.DUMMYFUNCTION("GOOGLETRANSLATE(B3708,""id"",""en"")"),"['hi', 'cell', 'buy', 'prime', 'card', 'too lag', 'mass',' tingy ',' right ',' psbb ',' covid ',' lime ',' Tasik ',' Take ',' PSBB ',' run out ',' Massa ',' Aktip ',' Aktipin ','AH', 'card', ""]")</f>
        <v>['hi', 'cell', 'buy', 'prime', 'card', 'too lag', 'mass',' tingy ',' right ',' psbb ',' covid ',' lime ',' Tasik ',' Take ',' PSBB ',' run out ',' Massa ',' Aktip ',' Aktipin ','AH', 'card', "]</v>
      </c>
      <c r="D3708" s="3">
        <v>5.0</v>
      </c>
    </row>
    <row r="3709" ht="15.75" customHeight="1">
      <c r="A3709" s="1">
        <v>3961.0</v>
      </c>
      <c r="B3709" s="3" t="s">
        <v>3625</v>
      </c>
      <c r="C3709" s="3" t="str">
        <f>IFERROR(__xludf.DUMMYFUNCTION("GOOGLETRANSLATE(B3709,""id"",""en"")"),"['Thank God', 'Application', 'Tlkomsel', 'Help', 'Success', ""]")</f>
        <v>['Thank God', 'Application', 'Tlkomsel', 'Help', 'Success', "]</v>
      </c>
      <c r="D3709" s="3">
        <v>5.0</v>
      </c>
    </row>
    <row r="3710" ht="15.75" customHeight="1">
      <c r="A3710" s="1">
        <v>3962.0</v>
      </c>
      <c r="B3710" s="3" t="s">
        <v>3626</v>
      </c>
      <c r="C3710" s="3" t="str">
        <f>IFERROR(__xludf.DUMMYFUNCTION("GOOGLETRANSLATE(B3710,""id"",""en"")"),"['mntap', 'application']")</f>
        <v>['mntap', 'application']</v>
      </c>
      <c r="D3710" s="3">
        <v>5.0</v>
      </c>
    </row>
    <row r="3711" ht="15.75" customHeight="1">
      <c r="A3711" s="1">
        <v>3963.0</v>
      </c>
      <c r="B3711" s="3" t="s">
        <v>3627</v>
      </c>
      <c r="C3711" s="3" t="str">
        <f>IFERROR(__xludf.DUMMYFUNCTION("GOOGLETRANSLATE(B3711,""id"",""en"")"),"['Telkomsel', 'KOG', 'Severe', 'signal', 'enter', 'MyTelkomsel', 'Pay', 'buy', 'package', 'go bankrupt', 'bnyak', 'enthusiasts',' Termbah ',' Severe ',' Ngini ',' Engine ']")</f>
        <v>['Telkomsel', 'KOG', 'Severe', 'signal', 'enter', 'MyTelkomsel', 'Pay', 'buy', 'package', 'go bankrupt', 'bnyak', 'enthusiasts',' Termbah ',' Severe ',' Ngini ',' Engine ']</v>
      </c>
      <c r="D3711" s="3">
        <v>1.0</v>
      </c>
    </row>
    <row r="3712" ht="15.75" customHeight="1">
      <c r="A3712" s="1">
        <v>3964.0</v>
      </c>
      <c r="B3712" s="3" t="s">
        <v>2620</v>
      </c>
      <c r="C3712" s="3" t="str">
        <f>IFERROR(__xludf.DUMMYFUNCTION("GOOGLETRANSLATE(B3712,""id"",""en"")"),"Of course")</f>
        <v>Of course</v>
      </c>
      <c r="D3712" s="3">
        <v>4.0</v>
      </c>
    </row>
    <row r="3713" ht="15.75" customHeight="1">
      <c r="A3713" s="1">
        <v>3965.0</v>
      </c>
      <c r="B3713" s="3" t="s">
        <v>3145</v>
      </c>
      <c r="C3713" s="3" t="str">
        <f>IFERROR(__xludf.DUMMYFUNCTION("GOOGLETRANSLATE(B3713,""id"",""en"")"),"['like']")</f>
        <v>['like']</v>
      </c>
      <c r="D3713" s="3">
        <v>5.0</v>
      </c>
    </row>
    <row r="3714" ht="15.75" customHeight="1">
      <c r="A3714" s="1">
        <v>3966.0</v>
      </c>
      <c r="B3714" s="3" t="s">
        <v>3628</v>
      </c>
      <c r="C3714" s="3" t="str">
        <f>IFERROR(__xludf.DUMMYFUNCTION("GOOGLETRANSLATE(B3714,""id"",""en"")"),"['signal', 'ugly', 'really']")</f>
        <v>['signal', 'ugly', 'really']</v>
      </c>
      <c r="D3714" s="3">
        <v>1.0</v>
      </c>
    </row>
    <row r="3715" ht="15.75" customHeight="1">
      <c r="A3715" s="1">
        <v>3967.0</v>
      </c>
      <c r="B3715" s="3" t="s">
        <v>3629</v>
      </c>
      <c r="C3715" s="3" t="str">
        <f>IFERROR(__xludf.DUMMYFUNCTION("GOOGLETRANSLATE(B3715,""id"",""en"")"),"['Steady', 'Price', 'Rid']")</f>
        <v>['Steady', 'Price', 'Rid']</v>
      </c>
      <c r="D3715" s="3">
        <v>5.0</v>
      </c>
    </row>
    <row r="3716" ht="15.75" customHeight="1">
      <c r="A3716" s="1">
        <v>3968.0</v>
      </c>
      <c r="B3716" s="3" t="s">
        <v>3630</v>
      </c>
      <c r="C3716" s="3" t="str">
        <f>IFERROR(__xludf.DUMMYFUNCTION("GOOGLETRANSLATE(B3716,""id"",""en"")"),"['happy', 'sympathy']")</f>
        <v>['happy', 'sympathy']</v>
      </c>
      <c r="D3716" s="3">
        <v>5.0</v>
      </c>
    </row>
    <row r="3717" ht="15.75" customHeight="1">
      <c r="A3717" s="1">
        <v>3969.0</v>
      </c>
      <c r="B3717" s="3" t="s">
        <v>3631</v>
      </c>
      <c r="C3717" s="3" t="str">
        <f>IFERROR(__xludf.DUMMYFUNCTION("GOOGLETRANSLATE(B3717,""id"",""en"")"),"['Paketan', 'Thinking', 'YouTube', 'Paketan', 'Main', 'Out', 'Thanks', 'Telkomsial', ""]")</f>
        <v>['Paketan', 'Thinking', 'YouTube', 'Paketan', 'Main', 'Out', 'Thanks', 'Telkomsial', "]</v>
      </c>
      <c r="D3717" s="3">
        <v>1.0</v>
      </c>
    </row>
    <row r="3718" ht="15.75" customHeight="1">
      <c r="A3718" s="1">
        <v>3970.0</v>
      </c>
      <c r="B3718" s="3" t="s">
        <v>3632</v>
      </c>
      <c r="C3718" s="3" t="str">
        <f>IFERROR(__xludf.DUMMYFUNCTION("GOOGLETRANSLATE(B3718,""id"",""en"")"),"['Different', 'access',' Different ',' price ',' access', 'price', 'package', 'Not bad', 'cheap', 'jdi', 'expensive', 'loved', ' Price ',' concentrated ',' Internet ',' Telkomsel ',' expensive ',' TPI ',' Network ',' Not bad ',' Severe ',' Error ',' Good "&amp;"',' Bay ',' Telkomsel ' , '']")</f>
        <v>['Different', 'access',' Different ',' price ',' access', 'price', 'package', 'Not bad', 'cheap', 'jdi', 'expensive', 'loved', ' Price ',' concentrated ',' Internet ',' Telkomsel ',' expensive ',' TPI ',' Network ',' Not bad ',' Severe ',' Error ',' Good ',' Bay ',' Telkomsel ' , '']</v>
      </c>
      <c r="D3718" s="3">
        <v>3.0</v>
      </c>
    </row>
    <row r="3719" ht="15.75" customHeight="1">
      <c r="A3719" s="1">
        <v>3971.0</v>
      </c>
      <c r="B3719" s="3" t="s">
        <v>3633</v>
      </c>
      <c r="C3719" s="3" t="str">
        <f>IFERROR(__xludf.DUMMYFUNCTION("GOOGLETRANSLATE(B3719,""id"",""en"")"),"['APK', 'good', 'really', '']")</f>
        <v>['APK', 'good', 'really', '']</v>
      </c>
      <c r="D3719" s="3">
        <v>5.0</v>
      </c>
    </row>
    <row r="3720" ht="15.75" customHeight="1">
      <c r="A3720" s="1">
        <v>3972.0</v>
      </c>
      <c r="B3720" s="3" t="s">
        <v>3634</v>
      </c>
      <c r="C3720" s="3" t="str">
        <f>IFERROR(__xludf.DUMMYFUNCTION("GOOGLETRANSLATE(B3720,""id"",""en"")"),"['how', 'week', 'signal', 'ilang', 'then', 'pulse', 'abis', 'active', 'back', 'pulse', 'cave', ""]")</f>
        <v>['how', 'week', 'signal', 'ilang', 'then', 'pulse', 'abis', 'active', 'back', 'pulse', 'cave', "]</v>
      </c>
      <c r="D3720" s="3">
        <v>2.0</v>
      </c>
    </row>
    <row r="3721" ht="15.75" customHeight="1">
      <c r="A3721" s="1">
        <v>3973.0</v>
      </c>
      <c r="B3721" s="3" t="s">
        <v>3635</v>
      </c>
      <c r="C3721" s="3" t="str">
        <f>IFERROR(__xludf.DUMMYFUNCTION("GOOGLETRANSLATE(B3721,""id"",""en"")"),"['Price', 'Peace']")</f>
        <v>['Price', 'Peace']</v>
      </c>
      <c r="D3721" s="3">
        <v>1.0</v>
      </c>
    </row>
    <row r="3722" ht="15.75" customHeight="1">
      <c r="A3722" s="1">
        <v>3974.0</v>
      </c>
      <c r="B3722" s="3" t="s">
        <v>3636</v>
      </c>
      <c r="C3722" s="3" t="str">
        <f>IFERROR(__xludf.DUMMYFUNCTION("GOOGLETRANSLATE(B3722,""id"",""en"")"),"['easy', 'service']")</f>
        <v>['easy', 'service']</v>
      </c>
      <c r="D3722" s="3">
        <v>4.0</v>
      </c>
    </row>
    <row r="3723" ht="15.75" customHeight="1">
      <c r="A3723" s="1">
        <v>3975.0</v>
      </c>
      <c r="B3723" s="3" t="s">
        <v>3637</v>
      </c>
      <c r="C3723" s="3" t="str">
        <f>IFERROR(__xludf.DUMMYFUNCTION("GOOGLETRANSLATE(B3723,""id"",""en"")"),"['WOI', 'TELKOM', 'Credit', 'Shower', 'Package', 'Kemdikbud', 'How', 'Telkomsel', 'Turnover', 'Pulse', 'Already', 'Buy', ' missing ',' it's easy ',' really ',' please ',' package ',' pulses', 'shocked', 'napa', 'sleep', 'you', ""]")</f>
        <v>['WOI', 'TELKOM', 'Credit', 'Shower', 'Package', 'Kemdikbud', 'How', 'Telkomsel', 'Turnover', 'Pulse', 'Already', 'Buy', ' missing ',' it's easy ',' really ',' please ',' package ',' pulses', 'shocked', 'napa', 'sleep', 'you', "]</v>
      </c>
      <c r="D3723" s="3">
        <v>1.0</v>
      </c>
    </row>
    <row r="3724" ht="15.75" customHeight="1">
      <c r="A3724" s="1">
        <v>3976.0</v>
      </c>
      <c r="B3724" s="3" t="s">
        <v>3638</v>
      </c>
      <c r="C3724" s="3" t="str">
        <f>IFERROR(__xludf.DUMMYFUNCTION("GOOGLETRANSLATE(B3724,""id"",""en"")"),"['application', 'pulse', 'cave', 'reduced', 'mulu', 'squeezed', 'little']")</f>
        <v>['application', 'pulse', 'cave', 'reduced', 'mulu', 'squeezed', 'little']</v>
      </c>
      <c r="D3724" s="3">
        <v>1.0</v>
      </c>
    </row>
    <row r="3725" ht="15.75" customHeight="1">
      <c r="A3725" s="1">
        <v>3977.0</v>
      </c>
      <c r="B3725" s="3" t="s">
        <v>3639</v>
      </c>
      <c r="C3725" s="3" t="str">
        <f>IFERROR(__xludf.DUMMYFUNCTION("GOOGLETRANSLATE(B3725,""id"",""en"")"),"['number', 'Available', 'Package', 'Internet', 'Sakti', 'GB', 'RP', '']")</f>
        <v>['number', 'Available', 'Package', 'Internet', 'Sakti', 'GB', 'RP', '']</v>
      </c>
      <c r="D3725" s="3">
        <v>1.0</v>
      </c>
    </row>
    <row r="3726" ht="15.75" customHeight="1">
      <c r="A3726" s="1">
        <v>3978.0</v>
      </c>
      <c r="B3726" s="3" t="s">
        <v>3640</v>
      </c>
      <c r="C3726" s="3" t="str">
        <f>IFERROR(__xludf.DUMMYFUNCTION("GOOGLETRANSLATE(B3726,""id"",""en"")"),"['MyTelkomsel', 'Anjay', 'Best', 'buy', 'pulse', 'buy', 'package', 'drained', 'pulses', 'dlu', 'package', ""]")</f>
        <v>['MyTelkomsel', 'Anjay', 'Best', 'buy', 'pulse', 'buy', 'package', 'drained', 'pulses', 'dlu', 'package', "]</v>
      </c>
      <c r="D3726" s="3">
        <v>1.0</v>
      </c>
    </row>
    <row r="3727" ht="15.75" customHeight="1">
      <c r="A3727" s="1">
        <v>3979.0</v>
      </c>
      <c r="B3727" s="3" t="s">
        <v>3641</v>
      </c>
      <c r="C3727" s="3" t="str">
        <f>IFERROR(__xludf.DUMMYFUNCTION("GOOGLETRANSLATE(B3727,""id"",""en"")"),"['buy', 'package', 'get', 'BLM', 'enter', 'money', 'already', 'no', 'please', 'response', ""]")</f>
        <v>['buy', 'package', 'get', 'BLM', 'enter', 'money', 'already', 'no', 'please', 'response', "]</v>
      </c>
      <c r="D3727" s="3">
        <v>1.0</v>
      </c>
    </row>
    <row r="3728" ht="15.75" customHeight="1">
      <c r="A3728" s="1">
        <v>3980.0</v>
      </c>
      <c r="B3728" s="3" t="s">
        <v>3642</v>
      </c>
      <c r="C3728" s="3" t="str">
        <f>IFERROR(__xludf.DUMMYFUNCTION("GOOGLETRANSLATE(B3728,""id"",""en"")"),"['Notification', 'Sent', 'Buy', 'Package']")</f>
        <v>['Notification', 'Sent', 'Buy', 'Package']</v>
      </c>
      <c r="D3728" s="3">
        <v>1.0</v>
      </c>
    </row>
    <row r="3729" ht="15.75" customHeight="1">
      <c r="A3729" s="1">
        <v>3981.0</v>
      </c>
      <c r="B3729" s="3" t="s">
        <v>3643</v>
      </c>
      <c r="C3729" s="3" t="str">
        <f>IFERROR(__xludf.DUMMYFUNCTION("GOOGLETRANSLATE(B3729,""id"",""en"")"),"['cheat', 'Points', 'Try', 'Exchange', 'System', 'Busy', 'Points', 'Restore']")</f>
        <v>['cheat', 'Points', 'Try', 'Exchange', 'System', 'Busy', 'Points', 'Restore']</v>
      </c>
      <c r="D3729" s="3">
        <v>1.0</v>
      </c>
    </row>
    <row r="3730" ht="15.75" customHeight="1">
      <c r="A3730" s="1">
        <v>3982.0</v>
      </c>
      <c r="B3730" s="3" t="s">
        <v>3644</v>
      </c>
      <c r="C3730" s="3" t="str">
        <f>IFERROR(__xludf.DUMMYFUNCTION("GOOGLETRANSLATE(B3730,""id"",""en"")"),"['signal', 'keep', 'knon', 'get', 'comeback', 'bgsat']")</f>
        <v>['signal', 'keep', 'knon', 'get', 'comeback', 'bgsat']</v>
      </c>
      <c r="D3730" s="3">
        <v>1.0</v>
      </c>
    </row>
    <row r="3731" ht="15.75" customHeight="1">
      <c r="A3731" s="1">
        <v>3983.0</v>
      </c>
      <c r="B3731" s="3" t="s">
        <v>3645</v>
      </c>
      <c r="C3731" s="3" t="str">
        <f>IFERROR(__xludf.DUMMYFUNCTION("GOOGLETRANSLATE(B3731,""id"",""en"")"),"['Signal', 'full', 'quality', 'ugly', 'lose', 'operator', 'neighbor', '']")</f>
        <v>['Signal', 'full', 'quality', 'ugly', 'lose', 'operator', 'neighbor', '']</v>
      </c>
      <c r="D3731" s="3">
        <v>1.0</v>
      </c>
    </row>
    <row r="3732" ht="15.75" customHeight="1">
      <c r="A3732" s="1">
        <v>3984.0</v>
      </c>
      <c r="B3732" s="3" t="s">
        <v>3646</v>
      </c>
      <c r="C3732" s="3" t="str">
        <f>IFERROR(__xludf.DUMMYFUNCTION("GOOGLETRANSLATE(B3732,""id"",""en"")"),"['APK', 'SNGT', 'Bagus']")</f>
        <v>['APK', 'SNGT', 'Bagus']</v>
      </c>
      <c r="D3732" s="3">
        <v>5.0</v>
      </c>
    </row>
    <row r="3733" ht="15.75" customHeight="1">
      <c r="A3733" s="1">
        <v>3986.0</v>
      </c>
      <c r="B3733" s="3" t="s">
        <v>3647</v>
      </c>
      <c r="C3733" s="3" t="str">
        <f>IFERROR(__xludf.DUMMYFUNCTION("GOOGLETRANSLATE(B3733,""id"",""en"")"),"['Bangus', 'Mantap', '']")</f>
        <v>['Bangus', 'Mantap', '']</v>
      </c>
      <c r="D3733" s="3">
        <v>5.0</v>
      </c>
    </row>
    <row r="3734" ht="15.75" customHeight="1">
      <c r="A3734" s="1">
        <v>3987.0</v>
      </c>
      <c r="B3734" s="3" t="s">
        <v>3648</v>
      </c>
      <c r="C3734" s="3" t="str">
        <f>IFERROR(__xludf.DUMMYFUNCTION("GOOGLETRANSLATE(B3734,""id"",""en"")"),"['The application', 'Heavy']")</f>
        <v>['The application', 'Heavy']</v>
      </c>
      <c r="D3734" s="3">
        <v>1.0</v>
      </c>
    </row>
    <row r="3735" ht="15.75" customHeight="1">
      <c r="A3735" s="1">
        <v>3988.0</v>
      </c>
      <c r="B3735" s="3" t="s">
        <v>3649</v>
      </c>
      <c r="C3735" s="3" t="str">
        <f>IFERROR(__xludf.DUMMYFUNCTION("GOOGLETRANSLATE(B3735,""id"",""en"")"),"['Steady', 'Help', 'Quality', 'Singal', 'Fix', 'Tlaco', 'Negri', 'Try', 'Singal', 'Diet', 'Society', 'Feel', ' Ease ',' Ber ',' Communication ']")</f>
        <v>['Steady', 'Help', 'Quality', 'Singal', 'Fix', 'Tlaco', 'Negri', 'Try', 'Singal', 'Diet', 'Society', 'Feel', ' Ease ',' Ber ',' Communication ']</v>
      </c>
      <c r="D3735" s="3">
        <v>5.0</v>
      </c>
    </row>
    <row r="3736" ht="15.75" customHeight="1">
      <c r="A3736" s="1">
        <v>3989.0</v>
      </c>
      <c r="B3736" s="3" t="s">
        <v>3650</v>
      </c>
      <c r="C3736" s="3" t="str">
        <f>IFERROR(__xludf.DUMMYFUNCTION("GOOGLETRANSLATE(B3736,""id"",""en"")"),"['Please', 'Telkomsel', 'repay', 'signal', 'area', 'remote', 'smooth', 'smooth', 'signal', 'open', 'open', 'Facebook', ' difficult ',' play ',' games', 'hadeuh', 'wanted', 'broken', 'broken', 'card', 'Telkomsel', 'rich', 'gini', 'blur', 'he was' , 'custom"&amp;"er', '']")</f>
        <v>['Please', 'Telkomsel', 'repay', 'signal', 'area', 'remote', 'smooth', 'smooth', 'signal', 'open', 'open', 'Facebook', ' difficult ',' play ',' games', 'hadeuh', 'wanted', 'broken', 'broken', 'card', 'Telkomsel', 'rich', 'gini', 'blur', 'he was' , 'customer', '']</v>
      </c>
      <c r="D3736" s="3">
        <v>1.0</v>
      </c>
    </row>
    <row r="3737" ht="15.75" customHeight="1">
      <c r="A3737" s="1">
        <v>3990.0</v>
      </c>
      <c r="B3737" s="3" t="s">
        <v>3651</v>
      </c>
      <c r="C3737" s="3" t="str">
        <f>IFERROR(__xludf.DUMMYFUNCTION("GOOGLETRANSLATE(B3737,""id"",""en"")"),"['Naikan', 'price', 'package', 'please']")</f>
        <v>['Naikan', 'price', 'package', 'please']</v>
      </c>
      <c r="D3737" s="3">
        <v>5.0</v>
      </c>
    </row>
    <row r="3738" ht="15.75" customHeight="1">
      <c r="A3738" s="1">
        <v>3991.0</v>
      </c>
      <c r="B3738" s="3" t="s">
        <v>3652</v>
      </c>
      <c r="C3738" s="3" t="str">
        <f>IFERROR(__xludf.DUMMYFUNCTION("GOOGLETRANSLATE(B3738,""id"",""en"")"),"['apk', 'expensive']")</f>
        <v>['apk', 'expensive']</v>
      </c>
      <c r="D3738" s="3">
        <v>1.0</v>
      </c>
    </row>
    <row r="3739" ht="15.75" customHeight="1">
      <c r="A3739" s="1">
        <v>3992.0</v>
      </c>
      <c r="B3739" s="3" t="s">
        <v>3653</v>
      </c>
      <c r="C3739" s="3" t="str">
        <f>IFERROR(__xludf.DUMMYFUNCTION("GOOGLETRANSLATE(B3739,""id"",""en"")"),"['price', 'package', 'cheap', 'network', 'ugly', 'slow', 'signal', 'ngilan', 'mnding', 'card']")</f>
        <v>['price', 'package', 'cheap', 'network', 'ugly', 'slow', 'signal', 'ngilan', 'mnding', 'card']</v>
      </c>
      <c r="D3739" s="3">
        <v>1.0</v>
      </c>
    </row>
    <row r="3740" ht="15.75" customHeight="1">
      <c r="A3740" s="1">
        <v>3993.0</v>
      </c>
      <c r="B3740" s="3" t="s">
        <v>3654</v>
      </c>
      <c r="C3740" s="3" t="str">
        <f>IFERROR(__xludf.DUMMYFUNCTION("GOOGLETRANSLATE(B3740,""id"",""en"")"),"['Expensive', 'Combo', 'Sakti']")</f>
        <v>['Expensive', 'Combo', 'Sakti']</v>
      </c>
      <c r="D3740" s="3">
        <v>5.0</v>
      </c>
    </row>
    <row r="3741" ht="15.75" customHeight="1">
      <c r="A3741" s="1">
        <v>3995.0</v>
      </c>
      <c r="B3741" s="3" t="s">
        <v>3655</v>
      </c>
      <c r="C3741" s="3" t="str">
        <f>IFERROR(__xludf.DUMMYFUNCTION("GOOGLETRANSLATE(B3741,""id"",""en"")"),"['signal', 'ugly', 'disruption', 'complain', 'number', 'service', 'consumer', 'Telkomsel', 'disorder', 'response', 'rough', ""]")</f>
        <v>['signal', 'ugly', 'disruption', 'complain', 'number', 'service', 'consumer', 'Telkomsel', 'disorder', 'response', 'rough', "]</v>
      </c>
      <c r="D3741" s="3">
        <v>1.0</v>
      </c>
    </row>
    <row r="3742" ht="15.75" customHeight="1">
      <c r="A3742" s="1">
        <v>3996.0</v>
      </c>
      <c r="B3742" s="3" t="s">
        <v>3656</v>
      </c>
      <c r="C3742" s="3" t="str">
        <f>IFERROR(__xludf.DUMMYFUNCTION("GOOGLETRANSLATE(B3742,""id"",""en"")"),"['Nailing', 'Points', 'Exchange', 'Package', 'Internet', 'Tetep', 'Pulses', 'Coret', 'Very']")</f>
        <v>['Nailing', 'Points', 'Exchange', 'Package', 'Internet', 'Tetep', 'Pulses', 'Coret', 'Very']</v>
      </c>
      <c r="D3742" s="3">
        <v>1.0</v>
      </c>
    </row>
    <row r="3743" ht="15.75" customHeight="1">
      <c r="A3743" s="1">
        <v>3997.0</v>
      </c>
      <c r="B3743" s="3" t="s">
        <v>3657</v>
      </c>
      <c r="C3743" s="3" t="str">
        <f>IFERROR(__xludf.DUMMYFUNCTION("GOOGLETRANSLATE(B3743,""id"",""en"")"),"['card', 'ngelair', 'pulse', 'cave', 'suck', 'quota', 'hadehh']")</f>
        <v>['card', 'ngelair', 'pulse', 'cave', 'suck', 'quota', 'hadehh']</v>
      </c>
      <c r="D3743" s="3">
        <v>1.0</v>
      </c>
    </row>
    <row r="3744" ht="15.75" customHeight="1">
      <c r="A3744" s="1">
        <v>3998.0</v>
      </c>
      <c r="B3744" s="3" t="s">
        <v>3658</v>
      </c>
      <c r="C3744" s="3" t="str">
        <f>IFERROR(__xludf.DUMMYFUNCTION("GOOGLETRANSLATE(B3744,""id"",""en"")"),"['Try', 'dlu', 'okay', 'love', 'star', '']")</f>
        <v>['Try', 'dlu', 'okay', 'love', 'star', '']</v>
      </c>
      <c r="D3744" s="3">
        <v>5.0</v>
      </c>
    </row>
    <row r="3745" ht="15.75" customHeight="1">
      <c r="A3745" s="1">
        <v>3999.0</v>
      </c>
      <c r="B3745" s="3" t="s">
        <v>3659</v>
      </c>
      <c r="C3745" s="3" t="str">
        <f>IFERROR(__xludf.DUMMYFUNCTION("GOOGLETRANSLATE(B3745,""id"",""en"")"),"['connection', 'stable', 'plebean', 'replace', 'logo', 'connection', 'right', 'rain', ""]")</f>
        <v>['connection', 'stable', 'plebean', 'replace', 'logo', 'connection', 'right', 'rain', "]</v>
      </c>
      <c r="D3745" s="3">
        <v>1.0</v>
      </c>
    </row>
    <row r="3746" ht="15.75" customHeight="1">
      <c r="A3746" s="1">
        <v>4000.0</v>
      </c>
      <c r="B3746" s="3" t="s">
        <v>3660</v>
      </c>
      <c r="C3746" s="3" t="str">
        <f>IFERROR(__xludf.DUMMYFUNCTION("GOOGLETRANSLATE(B3746,""id"",""en"")"),"['star', 'internet', 'bad', 'Full', 'bar', 'speed', 'internet', 'slow', 'please', 'Telkomsel', 'area', 'district', ' Cirebon ',' fix ',' speed ',' network ',' add ',' unit ',' transmitter ',' internet ',' ']")</f>
        <v>['star', 'internet', 'bad', 'Full', 'bar', 'speed', 'internet', 'slow', 'please', 'Telkomsel', 'area', 'district', ' Cirebon ',' fix ',' speed ',' network ',' add ',' unit ',' transmitter ',' internet ',' ']</v>
      </c>
      <c r="D3746" s="3">
        <v>2.0</v>
      </c>
    </row>
    <row r="3747" ht="15.75" customHeight="1">
      <c r="A3747" s="1">
        <v>4001.0</v>
      </c>
      <c r="B3747" s="3" t="s">
        <v>3661</v>
      </c>
      <c r="C3747" s="3" t="str">
        <f>IFERROR(__xludf.DUMMYFUNCTION("GOOGLETRANSLATE(B3747,""id"",""en"")"),"['Disappointed', 'Fill', 'Kouta', 'Network', 'Gda', 'Mulu', 'Hadehh', 'Discard', 'Money', 'Doang']")</f>
        <v>['Disappointed', 'Fill', 'Kouta', 'Network', 'Gda', 'Mulu', 'Hadehh', 'Discard', 'Money', 'Doang']</v>
      </c>
      <c r="D3747" s="3">
        <v>1.0</v>
      </c>
    </row>
    <row r="3748" ht="15.75" customHeight="1">
      <c r="A3748" s="1">
        <v>4002.0</v>
      </c>
      <c r="B3748" s="3" t="s">
        <v>3662</v>
      </c>
      <c r="C3748" s="3" t="str">
        <f>IFERROR(__xludf.DUMMYFUNCTION("GOOGLETRANSLATE(B3748,""id"",""en"")"),"['Increase', 'Promo']")</f>
        <v>['Increase', 'Promo']</v>
      </c>
      <c r="D3748" s="3">
        <v>4.0</v>
      </c>
    </row>
    <row r="3749" ht="15.75" customHeight="1">
      <c r="A3749" s="1">
        <v>4003.0</v>
      </c>
      <c r="B3749" s="3" t="s">
        <v>3663</v>
      </c>
      <c r="C3749" s="3" t="str">
        <f>IFERROR(__xludf.DUMMYFUNCTION("GOOGLETRANSLATE(B3749,""id"",""en"")"),"['Package', 'promo']")</f>
        <v>['Package', 'promo']</v>
      </c>
      <c r="D3749" s="3">
        <v>5.0</v>
      </c>
    </row>
    <row r="3750" ht="15.75" customHeight="1">
      <c r="A3750" s="1">
        <v>4004.0</v>
      </c>
      <c r="B3750" s="3" t="s">
        <v>3664</v>
      </c>
      <c r="C3750" s="3" t="str">
        <f>IFERROR(__xludf.DUMMYFUNCTION("GOOGLETRANSLATE(B3750,""id"",""en"")"),"['Apikasi', 'Best']")</f>
        <v>['Apikasi', 'Best']</v>
      </c>
      <c r="D3750" s="3">
        <v>5.0</v>
      </c>
    </row>
    <row r="3751" ht="15.75" customHeight="1">
      <c r="A3751" s="1">
        <v>4005.0</v>
      </c>
      <c r="B3751" s="3" t="s">
        <v>3665</v>
      </c>
      <c r="C3751" s="3" t="str">
        <f>IFERROR(__xludf.DUMMYFUNCTION("GOOGLETRANSLATE(B3751,""id"",""en"")"),"['Try', 'Migration', 'Telkomsel']")</f>
        <v>['Try', 'Migration', 'Telkomsel']</v>
      </c>
      <c r="D3751" s="3">
        <v>4.0</v>
      </c>
    </row>
    <row r="3752" ht="15.75" customHeight="1">
      <c r="A3752" s="1">
        <v>4006.0</v>
      </c>
      <c r="B3752" s="3" t="s">
        <v>3666</v>
      </c>
      <c r="C3752" s="3" t="str">
        <f>IFERROR(__xludf.DUMMYFUNCTION("GOOGLETRANSLATE(B3752,""id"",""en"")"),"['Telkomsel', 'destroyed', 'signal', 'since' in the place ',' josss ',' signal ',' ugly ',' signal ',' down ',' uda ',' contact ',' Customers', 'repaired', 'repaired', 'tomorrow', 'signal', 'ugly', 'draw', 'price', 'price', 'muuuuuuaaaaaahhhhaaaallll', 's"&amp;"ervice', 'satisfying', '']")</f>
        <v>['Telkomsel', 'destroyed', 'signal', 'since' in the place ',' josss ',' signal ',' ugly ',' signal ',' down ',' uda ',' contact ',' Customers', 'repaired', 'repaired', 'tomorrow', 'signal', 'ugly', 'draw', 'price', 'price', 'muuuuuuaaaaaahhhhaaaallll', 'service', 'satisfying', '']</v>
      </c>
      <c r="D3752" s="3">
        <v>1.0</v>
      </c>
    </row>
    <row r="3753" ht="15.75" customHeight="1">
      <c r="A3753" s="1">
        <v>4007.0</v>
      </c>
      <c r="B3753" s="3" t="s">
        <v>3667</v>
      </c>
      <c r="C3753" s="3" t="str">
        <f>IFERROR(__xludf.DUMMYFUNCTION("GOOGLETRANSLATE(B3753,""id"",""en"")"),"['bad', 'use', 'Telkomsel', 'package', 'expensive', 'pulse', 'suck', 'remain', 'package', 'internet', 'active']")</f>
        <v>['bad', 'use', 'Telkomsel', 'package', 'expensive', 'pulse', 'suck', 'remain', 'package', 'internet', 'active']</v>
      </c>
      <c r="D3753" s="3">
        <v>1.0</v>
      </c>
    </row>
    <row r="3754" ht="15.75" customHeight="1">
      <c r="A3754" s="1">
        <v>4008.0</v>
      </c>
      <c r="B3754" s="3" t="s">
        <v>3668</v>
      </c>
      <c r="C3754" s="3" t="str">
        <f>IFERROR(__xludf.DUMMYFUNCTION("GOOGLETRANSLATE(B3754,""id"",""en"")"),"['quota', 'main', 'sumps',' right ',' use ',' quota ',' unlimited ',' youtube ',' no ',' that's', 'disappointed', 'please', ' repaired ',' Telkomsel ',' user ',' comfortable ']")</f>
        <v>['quota', 'main', 'sumps',' right ',' use ',' quota ',' unlimited ',' youtube ',' no ',' that's', 'disappointed', 'please', ' repaired ',' Telkomsel ',' user ',' comfortable ']</v>
      </c>
      <c r="D3754" s="3">
        <v>1.0</v>
      </c>
    </row>
    <row r="3755" ht="15.75" customHeight="1">
      <c r="A3755" s="1">
        <v>4009.0</v>
      </c>
      <c r="B3755" s="3" t="s">
        <v>3669</v>
      </c>
      <c r="C3755" s="3" t="str">
        <f>IFERROR(__xludf.DUMMYFUNCTION("GOOGLETRANSLATE(B3755,""id"",""en"")"),"['already', 'update', 'open', 'how']")</f>
        <v>['already', 'update', 'open', 'how']</v>
      </c>
      <c r="D3755" s="3">
        <v>2.0</v>
      </c>
    </row>
    <row r="3756" ht="15.75" customHeight="1">
      <c r="A3756" s="1">
        <v>4010.0</v>
      </c>
      <c r="B3756" s="3" t="s">
        <v>3670</v>
      </c>
      <c r="C3756" s="3" t="str">
        <f>IFERROR(__xludf.DUMMYFUNCTION("GOOGLETRANSLATE(B3756,""id"",""en"")"),"['Easy', 'really', 'pakenya']")</f>
        <v>['Easy', 'really', 'pakenya']</v>
      </c>
      <c r="D3756" s="3">
        <v>5.0</v>
      </c>
    </row>
    <row r="3757" ht="15.75" customHeight="1">
      <c r="A3757" s="1">
        <v>4011.0</v>
      </c>
      <c r="B3757" s="3" t="s">
        <v>3671</v>
      </c>
      <c r="C3757" s="3" t="str">
        <f>IFERROR(__xludf.DUMMYFUNCTION("GOOGLETRANSLATE(B3757,""id"",""en"")"),"['Increase', 'Promo', 'Combo', 'Sakti', 'Cheap', 'Sampe', 'Eliminate', 'Menu', 'Application']")</f>
        <v>['Increase', 'Promo', 'Combo', 'Sakti', 'Cheap', 'Sampe', 'Eliminate', 'Menu', 'Application']</v>
      </c>
      <c r="D3757" s="3">
        <v>5.0</v>
      </c>
    </row>
    <row r="3758" ht="15.75" customHeight="1">
      <c r="A3758" s="1">
        <v>4012.0</v>
      </c>
      <c r="B3758" s="3" t="s">
        <v>3672</v>
      </c>
      <c r="C3758" s="3" t="str">
        <f>IFERROR(__xludf.DUMMYFUNCTION("GOOGLETRANSLATE(B3758,""id"",""en"")"),"['Good', 'guaranteed', 'safe']")</f>
        <v>['Good', 'guaranteed', 'safe']</v>
      </c>
      <c r="D3758" s="3">
        <v>5.0</v>
      </c>
    </row>
    <row r="3759" ht="15.75" customHeight="1">
      <c r="A3759" s="1">
        <v>4014.0</v>
      </c>
      <c r="B3759" s="3" t="s">
        <v>3673</v>
      </c>
      <c r="C3759" s="3" t="str">
        <f>IFERROR(__xludf.DUMMYFUNCTION("GOOGLETRANSLATE(B3759,""id"",""en"")"),"['transaction', 'buy', 'package', 'easy', 'thanks', 'Telkomsel']")</f>
        <v>['transaction', 'buy', 'package', 'easy', 'thanks', 'Telkomsel']</v>
      </c>
      <c r="D3759" s="3">
        <v>5.0</v>
      </c>
    </row>
    <row r="3760" ht="15.75" customHeight="1">
      <c r="A3760" s="1">
        <v>4015.0</v>
      </c>
      <c r="B3760" s="3" t="s">
        <v>3674</v>
      </c>
      <c r="C3760" s="3" t="str">
        <f>IFERROR(__xludf.DUMMYFUNCTION("GOOGLETRANSLATE(B3760,""id"",""en"")"),"['pulse', 'missing', 'Where', 'steady', 'Telkomsel', 'BTW', 'Komenan', 'Where', 'yaa']")</f>
        <v>['pulse', 'missing', 'Where', 'steady', 'Telkomsel', 'BTW', 'Komenan', 'Where', 'yaa']</v>
      </c>
      <c r="D3760" s="3">
        <v>1.0</v>
      </c>
    </row>
    <row r="3761" ht="15.75" customHeight="1">
      <c r="A3761" s="1">
        <v>4016.0</v>
      </c>
      <c r="B3761" s="3" t="s">
        <v>3675</v>
      </c>
      <c r="C3761" s="3" t="str">
        <f>IFERROR(__xludf.DUMMYFUNCTION("GOOGLETRANSLATE(B3761,""id"",""en"")"),"['expensive', 'network', 'kayak', 'Kura', 'Kura', 'Magelang']")</f>
        <v>['expensive', 'network', 'kayak', 'Kura', 'Kura', 'Magelang']</v>
      </c>
      <c r="D3761" s="3">
        <v>1.0</v>
      </c>
    </row>
    <row r="3762" ht="15.75" customHeight="1">
      <c r="A3762" s="1">
        <v>4017.0</v>
      </c>
      <c r="B3762" s="3" t="s">
        <v>3676</v>
      </c>
      <c r="C3762" s="3" t="str">
        <f>IFERROR(__xludf.DUMMYFUNCTION("GOOGLETRANSLATE(B3762,""id"",""en"")"),"['Promo', 'interesting']")</f>
        <v>['Promo', 'interesting']</v>
      </c>
      <c r="D3762" s="3">
        <v>1.0</v>
      </c>
    </row>
    <row r="3763" ht="15.75" customHeight="1">
      <c r="A3763" s="1">
        <v>4019.0</v>
      </c>
      <c r="B3763" s="3" t="s">
        <v>3677</v>
      </c>
      <c r="C3763" s="3" t="str">
        <f>IFERROR(__xludf.DUMMYFUNCTION("GOOGLETRANSLATE(B3763,""id"",""en"")"),"['Please', 'Strengthen', 'Network', 'Plosok', ""]")</f>
        <v>['Please', 'Strengthen', 'Network', 'Plosok', "]</v>
      </c>
      <c r="D3763" s="3">
        <v>4.0</v>
      </c>
    </row>
    <row r="3764" ht="15.75" customHeight="1">
      <c r="A3764" s="1">
        <v>4020.0</v>
      </c>
      <c r="B3764" s="3" t="s">
        <v>3678</v>
      </c>
      <c r="C3764" s="3" t="str">
        <f>IFERROR(__xludf.DUMMYFUNCTION("GOOGLETRANSLATE(B3764,""id"",""en"")"),"['signal', 'Severe', 'Kayak', '']")</f>
        <v>['signal', 'Severe', 'Kayak', '']</v>
      </c>
      <c r="D3764" s="3">
        <v>1.0</v>
      </c>
    </row>
    <row r="3765" ht="15.75" customHeight="1">
      <c r="A3765" s="1">
        <v>4021.0</v>
      </c>
      <c r="B3765" s="3" t="s">
        <v>3679</v>
      </c>
      <c r="C3765" s="3" t="str">
        <f>IFERROR(__xludf.DUMMYFUNCTION("GOOGLETRANSLATE(B3765,""id"",""en"")"),"['Telkomsel', 'Network', 'Good']")</f>
        <v>['Telkomsel', 'Network', 'Good']</v>
      </c>
      <c r="D3765" s="3">
        <v>5.0</v>
      </c>
    </row>
    <row r="3766" ht="15.75" customHeight="1">
      <c r="A3766" s="1">
        <v>4022.0</v>
      </c>
      <c r="B3766" s="3" t="s">
        <v>3680</v>
      </c>
      <c r="C3766" s="3" t="str">
        <f>IFERROR(__xludf.DUMMYFUNCTION("GOOGLETRANSLATE(B3766,""id"",""en"")"),"['MDH', 'Telkomsel', 'pampering', 'consumers', 'package', 'cheap', '']")</f>
        <v>['MDH', 'Telkomsel', 'pampering', 'consumers', 'package', 'cheap', '']</v>
      </c>
      <c r="D3766" s="3">
        <v>4.0</v>
      </c>
    </row>
    <row r="3767" ht="15.75" customHeight="1">
      <c r="A3767" s="1">
        <v>4023.0</v>
      </c>
      <c r="B3767" s="3" t="s">
        <v>3681</v>
      </c>
      <c r="C3767" s="3" t="str">
        <f>IFERROR(__xludf.DUMMYFUNCTION("GOOGLETRANSLATE(B3767,""id"",""en"")"),"['Bagusssss']")</f>
        <v>['Bagusssss']</v>
      </c>
      <c r="D3767" s="3">
        <v>5.0</v>
      </c>
    </row>
    <row r="3768" ht="15.75" customHeight="1">
      <c r="A3768" s="1">
        <v>4024.0</v>
      </c>
      <c r="B3768" s="3" t="s">
        <v>3682</v>
      </c>
      <c r="C3768" s="3" t="str">
        <f>IFERROR(__xludf.DUMMYFUNCTION("GOOGLETRANSLATE(B3768,""id"",""en"")"),"['Network', 'snack']")</f>
        <v>['Network', 'snack']</v>
      </c>
      <c r="D3768" s="3">
        <v>1.0</v>
      </c>
    </row>
    <row r="3769" ht="15.75" customHeight="1">
      <c r="A3769" s="1">
        <v>4025.0</v>
      </c>
      <c r="B3769" s="3" t="s">
        <v>3683</v>
      </c>
      <c r="C3769" s="3" t="str">
        <f>IFERROR(__xludf.DUMMYFUNCTION("GOOGLETRANSLATE(B3769,""id"",""en"")"),"['apk', 'bgus', 'bangett']")</f>
        <v>['apk', 'bgus', 'bangett']</v>
      </c>
      <c r="D3769" s="3">
        <v>5.0</v>
      </c>
    </row>
    <row r="3770" ht="15.75" customHeight="1">
      <c r="A3770" s="1">
        <v>4026.0</v>
      </c>
      <c r="B3770" s="3" t="s">
        <v>3684</v>
      </c>
      <c r="C3770" s="3" t="str">
        <f>IFERROR(__xludf.DUMMYFUNCTION("GOOGLETRANSLATE(B3770,""id"",""en"")"),"['price', 'package', 'stress',' already ',' that's', 'ulimited', 'right', 'package', 'main', 'run out', 'gabisa', 'gunain', ' ']")</f>
        <v>['price', 'package', 'stress',' already ',' that's', 'ulimited', 'right', 'package', 'main', 'run out', 'gabisa', 'gunain', ' ']</v>
      </c>
      <c r="D3770" s="3">
        <v>5.0</v>
      </c>
    </row>
    <row r="3771" ht="15.75" customHeight="1">
      <c r="A3771" s="1">
        <v>4027.0</v>
      </c>
      <c r="B3771" s="3" t="s">
        <v>2972</v>
      </c>
      <c r="C3771" s="3" t="str">
        <f>IFERROR(__xludf.DUMMYFUNCTION("GOOGLETRANSLATE(B3771,""id"",""en"")"),"['bad network']")</f>
        <v>['bad network']</v>
      </c>
      <c r="D3771" s="3">
        <v>1.0</v>
      </c>
    </row>
    <row r="3772" ht="15.75" customHeight="1">
      <c r="A3772" s="1">
        <v>4028.0</v>
      </c>
      <c r="B3772" s="3" t="s">
        <v>3685</v>
      </c>
      <c r="C3772" s="3" t="str">
        <f>IFERROR(__xludf.DUMMYFUNCTION("GOOGLETRANSLATE(B3772,""id"",""en"")"),"['Credit', 'UDH', 'Belipakes', 'MLH', 'Notif', 'Credit', 'Adequate', 'Strange', 'Bet']")</f>
        <v>['Credit', 'UDH', 'Belipakes', 'MLH', 'Notif', 'Credit', 'Adequate', 'Strange', 'Bet']</v>
      </c>
      <c r="D3772" s="3">
        <v>1.0</v>
      </c>
    </row>
    <row r="3773" ht="15.75" customHeight="1">
      <c r="A3773" s="1">
        <v>4030.0</v>
      </c>
      <c r="B3773" s="3" t="s">
        <v>3686</v>
      </c>
      <c r="C3773" s="3" t="str">
        <f>IFERROR(__xludf.DUMMYFUNCTION("GOOGLETRANSLATE(B3773,""id"",""en"")"),"['Point', 'already', 'million', 'tuker', 'taekkkk']")</f>
        <v>['Point', 'already', 'million', 'tuker', 'taekkkk']</v>
      </c>
      <c r="D3773" s="3">
        <v>1.0</v>
      </c>
    </row>
    <row r="3774" ht="15.75" customHeight="1">
      <c r="A3774" s="1">
        <v>4032.0</v>
      </c>
      <c r="B3774" s="3" t="s">
        <v>3687</v>
      </c>
      <c r="C3774" s="3" t="str">
        <f>IFERROR(__xludf.DUMMYFUNCTION("GOOGLETRANSLATE(B3774,""id"",""en"")"),"['Save', 'Cheap', 'Cool']")</f>
        <v>['Save', 'Cheap', 'Cool']</v>
      </c>
      <c r="D3774" s="3">
        <v>5.0</v>
      </c>
    </row>
    <row r="3775" ht="15.75" customHeight="1">
      <c r="A3775" s="1">
        <v>4033.0</v>
      </c>
      <c r="B3775" s="3" t="s">
        <v>3688</v>
      </c>
      <c r="C3775" s="3" t="str">
        <f>IFERROR(__xludf.DUMMYFUNCTION("GOOGLETRANSLATE(B3775,""id"",""en"")"),"['impressed']")</f>
        <v>['impressed']</v>
      </c>
      <c r="D3775" s="3">
        <v>5.0</v>
      </c>
    </row>
    <row r="3776" ht="15.75" customHeight="1">
      <c r="A3776" s="1">
        <v>4034.0</v>
      </c>
      <c r="B3776" s="3" t="s">
        <v>3689</v>
      </c>
      <c r="C3776" s="3" t="str">
        <f>IFERROR(__xludf.DUMMYFUNCTION("GOOGLETRANSLATE(B3776,""id"",""en"")"),"['', 'Telkomsel', 'I', 'really']")</f>
        <v>['', 'Telkomsel', 'I', 'really']</v>
      </c>
      <c r="D3776" s="3">
        <v>5.0</v>
      </c>
    </row>
    <row r="3777" ht="15.75" customHeight="1">
      <c r="A3777" s="1">
        <v>4035.0</v>
      </c>
      <c r="B3777" s="3" t="s">
        <v>3690</v>
      </c>
      <c r="C3777" s="3" t="str">
        <f>IFERROR(__xludf.DUMMYFUNCTION("GOOGLETRANSLATE(B3777,""id"",""en"")"),"['Telkomsel', 'Best', 'Network']")</f>
        <v>['Telkomsel', 'Best', 'Network']</v>
      </c>
      <c r="D3777" s="3">
        <v>5.0</v>
      </c>
    </row>
    <row r="3778" ht="15.75" customHeight="1">
      <c r="A3778" s="1">
        <v>4036.0</v>
      </c>
      <c r="B3778" s="3" t="s">
        <v>3691</v>
      </c>
      <c r="C3778" s="3" t="str">
        <f>IFERROR(__xludf.DUMMYFUNCTION("GOOGLETRANSLATE(B3778,""id"",""en"")"),"['Help', 'how', 'ngilangin', 'tone', 'continued', 'because', 'pulses', 'missing', ""]")</f>
        <v>['Help', 'how', 'ngilangin', 'tone', 'continued', 'because', 'pulses', 'missing', "]</v>
      </c>
      <c r="D3778" s="3">
        <v>3.0</v>
      </c>
    </row>
    <row r="3779" ht="15.75" customHeight="1">
      <c r="A3779" s="1">
        <v>4037.0</v>
      </c>
      <c r="B3779" s="3" t="s">
        <v>3692</v>
      </c>
      <c r="C3779" s="3" t="str">
        <f>IFERROR(__xludf.DUMMYFUNCTION("GOOGLETRANSLATE(B3779,""id"",""en"")"),"['application', 'steady', '']")</f>
        <v>['application', 'steady', '']</v>
      </c>
      <c r="D3779" s="3">
        <v>5.0</v>
      </c>
    </row>
    <row r="3780" ht="15.75" customHeight="1">
      <c r="A3780" s="1">
        <v>4038.0</v>
      </c>
      <c r="B3780" s="3" t="s">
        <v>3693</v>
      </c>
      <c r="C3780" s="3" t="str">
        <f>IFERROR(__xludf.DUMMYFUNCTION("GOOGLETRANSLATE(B3780,""id"",""en"")"),"['Features', 'expensive', 'all', 'kmaren', 'expensive']")</f>
        <v>['Features', 'expensive', 'all', 'kmaren', 'expensive']</v>
      </c>
      <c r="D3780" s="3">
        <v>1.0</v>
      </c>
    </row>
    <row r="3781" ht="15.75" customHeight="1">
      <c r="A3781" s="1">
        <v>4039.0</v>
      </c>
      <c r="B3781" s="3" t="s">
        <v>3694</v>
      </c>
      <c r="C3781" s="3" t="str">
        <f>IFERROR(__xludf.DUMMYFUNCTION("GOOGLETRANSLATE(B3781,""id"",""en"")"),"['Application', 'Lamban']")</f>
        <v>['Application', 'Lamban']</v>
      </c>
      <c r="D3781" s="3">
        <v>3.0</v>
      </c>
    </row>
    <row r="3782" ht="15.75" customHeight="1">
      <c r="A3782" s="1">
        <v>4040.0</v>
      </c>
      <c r="B3782" s="3" t="s">
        <v>3695</v>
      </c>
      <c r="C3782" s="3" t="str">
        <f>IFERROR(__xludf.DUMMYFUNCTION("GOOGLETRANSLATE(B3782,""id"",""en"")"),"['proud', 'Telkomsel']")</f>
        <v>['proud', 'Telkomsel']</v>
      </c>
      <c r="D3782" s="3">
        <v>5.0</v>
      </c>
    </row>
    <row r="3783" ht="15.75" customHeight="1">
      <c r="A3783" s="1">
        <v>4042.0</v>
      </c>
      <c r="B3783" s="3" t="s">
        <v>3696</v>
      </c>
      <c r="C3783" s="3" t="str">
        <f>IFERROR(__xludf.DUMMYFUNCTION("GOOGLETRANSLATE(B3783,""id"",""en"")"),"['Please', 'Package', 'Unlimited', 'Lost']")</f>
        <v>['Please', 'Package', 'Unlimited', 'Lost']</v>
      </c>
      <c r="D3783" s="3">
        <v>5.0</v>
      </c>
    </row>
    <row r="3784" ht="15.75" customHeight="1">
      <c r="A3784" s="1">
        <v>4043.0</v>
      </c>
      <c r="B3784" s="3" t="s">
        <v>3697</v>
      </c>
      <c r="C3784" s="3" t="str">
        <f>IFERROR(__xludf.DUMMYFUNCTION("GOOGLETRANSLATE(B3784,""id"",""en"")"),"['Kayak', 'auto', 'expensive', 'ngekame', 'kayak', 'kuro', 'slow', 'meter', 'below', 'land', 'signal', 'napa', ' Ngaca ',' network ',' already ',' weak ',' orgasm ',' ']")</f>
        <v>['Kayak', 'auto', 'expensive', 'ngekame', 'kayak', 'kuro', 'slow', 'meter', 'below', 'land', 'signal', 'napa', ' Ngaca ',' network ',' already ',' weak ',' orgasm ',' ']</v>
      </c>
      <c r="D3784" s="3">
        <v>1.0</v>
      </c>
    </row>
    <row r="3785" ht="15.75" customHeight="1">
      <c r="A3785" s="1">
        <v>4044.0</v>
      </c>
      <c r="B3785" s="3" t="s">
        <v>3698</v>
      </c>
      <c r="C3785" s="3" t="str">
        <f>IFERROR(__xludf.DUMMYFUNCTION("GOOGLETRANSLATE(B3785,""id"",""en"")"),"['', 'SMGA', 'Telkomsel', 'Indonesia', 'work', 'Aamiin', ""]")</f>
        <v>['', 'SMGA', 'Telkomsel', 'Indonesia', 'work', 'Aamiin', "]</v>
      </c>
      <c r="D3785" s="3">
        <v>5.0</v>
      </c>
    </row>
    <row r="3786" ht="15.75" customHeight="1">
      <c r="A3786" s="1">
        <v>4045.0</v>
      </c>
      <c r="B3786" s="3" t="s">
        <v>3699</v>
      </c>
      <c r="C3786" s="3" t="str">
        <f>IFERROR(__xludf.DUMMYFUNCTION("GOOGLETRANSLATE(B3786,""id"",""en"")"),"['Ayok', 'Telkomsel', 'Adin', 'Package', 'Unlimited', 'Max', 'Internet', 'Local', 'Unlimited', 'Chat', 'In the future', 'like', ' Providers', 'Telkomsel', 'Success',' ']")</f>
        <v>['Ayok', 'Telkomsel', 'Adin', 'Package', 'Unlimited', 'Max', 'Internet', 'Local', 'Unlimited', 'Chat', 'In the future', 'like', ' Providers', 'Telkomsel', 'Success',' ']</v>
      </c>
      <c r="D3786" s="3">
        <v>5.0</v>
      </c>
    </row>
    <row r="3787" ht="15.75" customHeight="1">
      <c r="A3787" s="1">
        <v>4046.0</v>
      </c>
      <c r="B3787" s="3" t="s">
        <v>3700</v>
      </c>
      <c r="C3787" s="3" t="str">
        <f>IFERROR(__xludf.DUMMYFUNCTION("GOOGLETRANSLATE(B3787,""id"",""en"")"),"['Thank you', 'MyTelkomsel', 'Hopefully', 'Helpful', 'Get', 'Gift', 'Interesting']")</f>
        <v>['Thank you', 'MyTelkomsel', 'Hopefully', 'Helpful', 'Get', 'Gift', 'Interesting']</v>
      </c>
      <c r="D3787" s="3">
        <v>4.0</v>
      </c>
    </row>
    <row r="3788" ht="15.75" customHeight="1">
      <c r="A3788" s="1">
        <v>4047.0</v>
      </c>
      <c r="B3788" s="3" t="s">
        <v>3616</v>
      </c>
      <c r="C3788" s="3" t="str">
        <f>IFERROR(__xludf.DUMMYFUNCTION("GOOGLETRANSLATE(B3788,""id"",""en"")"),"['application', 'good']")</f>
        <v>['application', 'good']</v>
      </c>
      <c r="D3788" s="3">
        <v>5.0</v>
      </c>
    </row>
    <row r="3789" ht="15.75" customHeight="1">
      <c r="A3789" s="1">
        <v>4048.0</v>
      </c>
      <c r="B3789" s="3" t="s">
        <v>3701</v>
      </c>
      <c r="C3789" s="3" t="str">
        <f>IFERROR(__xludf.DUMMYFUNCTION("GOOGLETRANSLATE(B3789,""id"",""en"")"),"['Cool', 'really', 'the application']")</f>
        <v>['Cool', 'really', 'the application']</v>
      </c>
      <c r="D3789" s="3">
        <v>5.0</v>
      </c>
    </row>
    <row r="3790" ht="15.75" customHeight="1">
      <c r="A3790" s="1">
        <v>4049.0</v>
      </c>
      <c r="B3790" s="3" t="s">
        <v>3702</v>
      </c>
      <c r="C3790" s="3" t="str">
        <f>IFERROR(__xludf.DUMMYFUNCTION("GOOGLETRANSLATE(B3790,""id"",""en"")"),"['easy', 'times', 'use', 'application']")</f>
        <v>['easy', 'times', 'use', 'application']</v>
      </c>
      <c r="D3790" s="3">
        <v>5.0</v>
      </c>
    </row>
    <row r="3791" ht="15.75" customHeight="1">
      <c r="A3791" s="1">
        <v>4050.0</v>
      </c>
      <c r="B3791" s="3" t="s">
        <v>3703</v>
      </c>
      <c r="C3791" s="3" t="str">
        <f>IFERROR(__xludf.DUMMYFUNCTION("GOOGLETRANSLATE(B3791,""id"",""en"")"),"['Current', 'staple', 'remote', 'affordable', 'Telkomsel', 'Success', 'Telkomsel']")</f>
        <v>['Current', 'staple', 'remote', 'affordable', 'Telkomsel', 'Success', 'Telkomsel']</v>
      </c>
      <c r="D3791" s="3">
        <v>5.0</v>
      </c>
    </row>
    <row r="3792" ht="15.75" customHeight="1">
      <c r="A3792" s="1">
        <v>4051.0</v>
      </c>
      <c r="B3792" s="3" t="s">
        <v>3704</v>
      </c>
      <c r="C3792" s="3" t="str">
        <f>IFERROR(__xludf.DUMMYFUNCTION("GOOGLETRANSLATE(B3792,""id"",""en"")"),"['Disappointed', 'Telkomsel', 'Signal', 'Bad', 'Severe', 'Over', 'Thank you']")</f>
        <v>['Disappointed', 'Telkomsel', 'Signal', 'Bad', 'Severe', 'Over', 'Thank you']</v>
      </c>
      <c r="D3792" s="3">
        <v>1.0</v>
      </c>
    </row>
    <row r="3793" ht="15.75" customHeight="1">
      <c r="A3793" s="1">
        <v>4052.0</v>
      </c>
      <c r="B3793" s="3" t="s">
        <v>3705</v>
      </c>
      <c r="C3793" s="3" t="str">
        <f>IFERROR(__xludf.DUMMYFUNCTION("GOOGLETRANSLATE(B3793,""id"",""en"")"),"['Hello', 'Telkomsel', 'Signal', 'Telkomsel', 'Sometimes', 'Sometimes', 'Lost', ""]")</f>
        <v>['Hello', 'Telkomsel', 'Signal', 'Telkomsel', 'Sometimes', 'Sometimes', 'Lost', "]</v>
      </c>
      <c r="D3793" s="3">
        <v>1.0</v>
      </c>
    </row>
    <row r="3794" ht="15.75" customHeight="1">
      <c r="A3794" s="1">
        <v>4053.0</v>
      </c>
      <c r="B3794" s="3" t="s">
        <v>3706</v>
      </c>
      <c r="C3794" s="3" t="str">
        <f>IFERROR(__xludf.DUMMYFUNCTION("GOOGLETRANSLATE(B3794,""id"",""en"")"),"['signal', 'garbage', 'told', 'mode', 'plane', 'kao', 'ttp', 'garbage', 'restart', 'jt', 'provider', 'rubbish', ' TTP ',' Provider ',' garbage ',' situ ',' corruption ',' price ',' quality ',' garbage ',' signal ',' quota ',' msh ']")</f>
        <v>['signal', 'garbage', 'told', 'mode', 'plane', 'kao', 'ttp', 'garbage', 'restart', 'jt', 'provider', 'rubbish', ' TTP ',' Provider ',' garbage ',' situ ',' corruption ',' price ',' quality ',' garbage ',' signal ',' quota ',' msh ']</v>
      </c>
      <c r="D3794" s="3">
        <v>1.0</v>
      </c>
    </row>
    <row r="3795" ht="15.75" customHeight="1">
      <c r="A3795" s="1">
        <v>4054.0</v>
      </c>
      <c r="B3795" s="3" t="s">
        <v>3707</v>
      </c>
      <c r="C3795" s="3" t="str">
        <f>IFERROR(__xludf.DUMMYFUNCTION("GOOGLETRANSLATE(B3795,""id"",""en"")"),"['', 'Telkomsel', 'steady', ""]")</f>
        <v>['', 'Telkomsel', 'steady', "]</v>
      </c>
      <c r="D3795" s="3">
        <v>5.0</v>
      </c>
    </row>
    <row r="3796" ht="15.75" customHeight="1">
      <c r="A3796" s="1">
        <v>4055.0</v>
      </c>
      <c r="B3796" s="3" t="s">
        <v>3708</v>
      </c>
      <c r="C3796" s="3" t="str">
        <f>IFERROR(__xludf.DUMMYFUNCTION("GOOGLETRANSLATE(B3796,""id"",""en"")"),"['Disappointed', 'System', 'Telkomsel', 'Karna', 'Buy', 'Package', 'Data', 'MyTelkomsel', 'Buy', 'Data', 'Whatever', 'App', ' MyTelkomsel ',' Karna ',' process', 'purchase', 'failed', 'appears',' notification ',' system ',' please ',' check ',' quota ',' "&amp;"internet ',' try ' , 'YouTube', 'smooth', 'smooth', 'contac', 'veronika', 'survey', 'lwt', 'email', 'disappointed']")</f>
        <v>['Disappointed', 'System', 'Telkomsel', 'Karna', 'Buy', 'Package', 'Data', 'MyTelkomsel', 'Buy', 'Data', 'Whatever', 'App', ' MyTelkomsel ',' Karna ',' process', 'purchase', 'failed', 'appears',' notification ',' system ',' please ',' check ',' quota ',' internet ',' try ' , 'YouTube', 'smooth', 'smooth', 'contac', 'veronika', 'survey', 'lwt', 'email', 'disappointed']</v>
      </c>
      <c r="D3796" s="3">
        <v>1.0</v>
      </c>
    </row>
    <row r="3797" ht="15.75" customHeight="1">
      <c r="A3797" s="1">
        <v>4056.0</v>
      </c>
      <c r="B3797" s="3" t="s">
        <v>1017</v>
      </c>
      <c r="C3797" s="3" t="str">
        <f>IFERROR(__xludf.DUMMYFUNCTION("GOOGLETRANSLATE(B3797,""id"",""en"")"),"['application']")</f>
        <v>['application']</v>
      </c>
      <c r="D3797" s="3">
        <v>5.0</v>
      </c>
    </row>
    <row r="3798" ht="15.75" customHeight="1">
      <c r="A3798" s="1">
        <v>4057.0</v>
      </c>
      <c r="B3798" s="3" t="s">
        <v>3709</v>
      </c>
      <c r="C3798" s="3" t="str">
        <f>IFERROR(__xludf.DUMMYFUNCTION("GOOGLETRANSLATE(B3798,""id"",""en"")"),"['Suggestion', 'History', 'Blood', 'Use', 'Telkomsel', 'Network', 'Leet', 'Mintak', 'Forgiveness',' Mending ',' Use ',' Card ',' Telkomsel ']")</f>
        <v>['Suggestion', 'History', 'Blood', 'Use', 'Telkomsel', 'Network', 'Leet', 'Mintak', 'Forgiveness',' Mending ',' Use ',' Card ',' Telkomsel ']</v>
      </c>
      <c r="D3798" s="3">
        <v>1.0</v>
      </c>
    </row>
    <row r="3799" ht="15.75" customHeight="1">
      <c r="A3799" s="1">
        <v>4058.0</v>
      </c>
      <c r="B3799" s="3" t="s">
        <v>3710</v>
      </c>
      <c r="C3799" s="3" t="str">
        <f>IFERROR(__xludf.DUMMYFUNCTION("GOOGLETRANSLATE(B3799,""id"",""en"")"),"['buy', 'package', 'told', 'check', 'network', 'network', 'good', 'told', 'wait', 'minutes',' already ',' awaited ',' Tetep ',' bought ',' buy ',' package ',' disorder ',' system ',' repaired ',' system ', ""]")</f>
        <v>['buy', 'package', 'told', 'check', 'network', 'network', 'good', 'told', 'wait', 'minutes',' already ',' awaited ',' Tetep ',' bought ',' buy ',' package ',' disorder ',' system ',' repaired ',' system ', "]</v>
      </c>
      <c r="D3799" s="3">
        <v>1.0</v>
      </c>
    </row>
    <row r="3800" ht="15.75" customHeight="1">
      <c r="A3800" s="1">
        <v>4059.0</v>
      </c>
      <c r="B3800" s="3" t="s">
        <v>3711</v>
      </c>
      <c r="C3800" s="3" t="str">
        <f>IFERROR(__xludf.DUMMYFUNCTION("GOOGLETRANSLATE(B3800,""id"",""en"")"),"['Open', 'application', 'error', 'system']")</f>
        <v>['Open', 'application', 'error', 'system']</v>
      </c>
      <c r="D3800" s="3">
        <v>1.0</v>
      </c>
    </row>
    <row r="3801" ht="15.75" customHeight="1">
      <c r="A3801" s="1">
        <v>4060.0</v>
      </c>
      <c r="B3801" s="3" t="s">
        <v>3712</v>
      </c>
      <c r="C3801" s="3" t="str">
        <f>IFERROR(__xludf.DUMMYFUNCTION("GOOGLETRANSLATE(B3801,""id"",""en"")"),"['Lost', 'pulse']")</f>
        <v>['Lost', 'pulse']</v>
      </c>
      <c r="D3801" s="3">
        <v>1.0</v>
      </c>
    </row>
    <row r="3802" ht="15.75" customHeight="1">
      <c r="A3802" s="1">
        <v>4061.0</v>
      </c>
      <c r="B3802" s="3" t="s">
        <v>3713</v>
      </c>
      <c r="C3802" s="3" t="str">
        <f>IFERROR(__xludf.DUMMYFUNCTION("GOOGLETRANSLATE(B3802,""id"",""en"")"),"['Good', 'really', 'Telkomsel', 'best', 'just', '']")</f>
        <v>['Good', 'really', 'Telkomsel', 'best', 'just', '']</v>
      </c>
      <c r="D3802" s="3">
        <v>5.0</v>
      </c>
    </row>
    <row r="3803" ht="15.75" customHeight="1">
      <c r="A3803" s="1">
        <v>4062.0</v>
      </c>
      <c r="B3803" s="3" t="s">
        <v>3714</v>
      </c>
      <c r="C3803" s="3" t="str">
        <f>IFERROR(__xludf.DUMMYFUNCTION("GOOGLETRANSLATE(B3803,""id"",""en"")"),"['signal', 'sympathy', 'kya', 'anjink', 'pig', 'bngt', 'signal', 'sympathy', 'package', 'expensive', 'tpi', 'ngelag', ' rich ',' anjink ',' signal ',' sympathy ',' network ',' good ',' rich ',' yes', 'signal', 'lag', 'package', 'doang', 'expensive' ]")</f>
        <v>['signal', 'sympathy', 'kya', 'anjink', 'pig', 'bngt', 'signal', 'sympathy', 'package', 'expensive', 'tpi', 'ngelag', ' rich ',' anjink ',' signal ',' sympathy ',' network ',' good ',' rich ',' yes', 'signal', 'lag', 'package', 'doang', 'expensive' ]</v>
      </c>
      <c r="D3803" s="3">
        <v>1.0</v>
      </c>
    </row>
    <row r="3804" ht="15.75" customHeight="1">
      <c r="A3804" s="1">
        <v>4063.0</v>
      </c>
      <c r="B3804" s="3" t="s">
        <v>3715</v>
      </c>
      <c r="C3804" s="3" t="str">
        <f>IFERROR(__xludf.DUMMYFUNCTION("GOOGLETRANSLATE(B3804,""id"",""en"")"),"['Mantab', 'application']")</f>
        <v>['Mantab', 'application']</v>
      </c>
      <c r="D3804" s="3">
        <v>5.0</v>
      </c>
    </row>
    <row r="3805" ht="15.75" customHeight="1">
      <c r="A3805" s="1">
        <v>4064.0</v>
      </c>
      <c r="B3805" s="3" t="s">
        <v>3716</v>
      </c>
      <c r="C3805" s="3" t="str">
        <f>IFERROR(__xludf.DUMMYFUNCTION("GOOGLETRANSLATE(B3805,""id"",""en"")"),"['price', 'package', 'internet', 'expensive', 'hope', 'package', 'cheap', '']")</f>
        <v>['price', 'package', 'internet', 'expensive', 'hope', 'package', 'cheap', '']</v>
      </c>
      <c r="D3805" s="3">
        <v>3.0</v>
      </c>
    </row>
    <row r="3806" ht="15.75" customHeight="1">
      <c r="A3806" s="1">
        <v>4065.0</v>
      </c>
      <c r="B3806" s="3" t="s">
        <v>3717</v>
      </c>
      <c r="C3806" s="3" t="str">
        <f>IFERROR(__xludf.DUMMYFUNCTION("GOOGLETRANSLATE(B3806,""id"",""en"")"),"['signal', 'difficult', 'network', 'internet', 'lemottt']")</f>
        <v>['signal', 'difficult', 'network', 'internet', 'lemottt']</v>
      </c>
      <c r="D3806" s="3">
        <v>3.0</v>
      </c>
    </row>
    <row r="3807" ht="15.75" customHeight="1">
      <c r="A3807" s="1">
        <v>4066.0</v>
      </c>
      <c r="B3807" s="3" t="s">
        <v>3718</v>
      </c>
      <c r="C3807" s="3" t="str">
        <f>IFERROR(__xludf.DUMMYFUNCTION("GOOGLETRANSLATE(B3807,""id"",""en"")"),"['Price', 'package', 'expensive', 'expensive']")</f>
        <v>['Price', 'package', 'expensive', 'expensive']</v>
      </c>
      <c r="D3807" s="3">
        <v>1.0</v>
      </c>
    </row>
    <row r="3808" ht="15.75" customHeight="1">
      <c r="A3808" s="1">
        <v>4067.0</v>
      </c>
      <c r="B3808" s="3" t="s">
        <v>3719</v>
      </c>
      <c r="C3808" s="3" t="str">
        <f>IFERROR(__xludf.DUMMYFUNCTION("GOOGLETRANSLATE(B3808,""id"",""en"")"),"['as good', 'network', 'slow', 'area', 'bogor', 'ciampea']")</f>
        <v>['as good', 'network', 'slow', 'area', 'bogor', 'ciampea']</v>
      </c>
      <c r="D3808" s="3">
        <v>2.0</v>
      </c>
    </row>
    <row r="3809" ht="15.75" customHeight="1">
      <c r="A3809" s="1">
        <v>4068.0</v>
      </c>
      <c r="B3809" s="3" t="s">
        <v>3720</v>
      </c>
      <c r="C3809" s="3" t="str">
        <f>IFERROR(__xludf.DUMMYFUNCTION("GOOGLETRANSLATE(B3809,""id"",""en"")"),"['ManncaApp', 'makes it easy', 'transaction', 'bother', 'go', 'counter', 'direct', 'filled', 'package', 'complicated', 'buy', 'package', ' counter ',' buy ',' number ',' package ',' run out ',' waste ',' open ',' casing ',' thank you ',' card ',' hello ',"&amp;"' jossss', '']")</f>
        <v>['ManncaApp', 'makes it easy', 'transaction', 'bother', 'go', 'counter', 'direct', 'filled', 'package', 'complicated', 'buy', 'package', ' counter ',' buy ',' number ',' package ',' run out ',' waste ',' open ',' casing ',' thank you ',' card ',' hello ',' jossss', '']</v>
      </c>
      <c r="D3809" s="3">
        <v>5.0</v>
      </c>
    </row>
    <row r="3810" ht="15.75" customHeight="1">
      <c r="A3810" s="1">
        <v>4069.0</v>
      </c>
      <c r="B3810" s="3" t="s">
        <v>3721</v>
      </c>
      <c r="C3810" s="3" t="str">
        <f>IFERROR(__xludf.DUMMYFUNCTION("GOOGLETRANSLATE(B3810,""id"",""en"")"),"['user', 'hope', 'like', 'application']")</f>
        <v>['user', 'hope', 'like', 'application']</v>
      </c>
      <c r="D3810" s="3">
        <v>3.0</v>
      </c>
    </row>
    <row r="3811" ht="15.75" customHeight="1">
      <c r="A3811" s="1">
        <v>4070.0</v>
      </c>
      <c r="B3811" s="3" t="s">
        <v>3722</v>
      </c>
      <c r="C3811" s="3" t="str">
        <f>IFERROR(__xludf.DUMMYFUNCTION("GOOGLETRANSLATE(B3811,""id"",""en"")"),"['Help', 'promo', 'cheap', 'festive', 'quota', '']")</f>
        <v>['Help', 'promo', 'cheap', 'festive', 'quota', '']</v>
      </c>
      <c r="D3811" s="3">
        <v>4.0</v>
      </c>
    </row>
    <row r="3812" ht="15.75" customHeight="1">
      <c r="A3812" s="1">
        <v>4071.0</v>
      </c>
      <c r="B3812" s="3" t="s">
        <v>3723</v>
      </c>
      <c r="C3812" s="3" t="str">
        <f>IFERROR(__xludf.DUMMYFUNCTION("GOOGLETRANSLATE(B3812,""id"",""en"")"),"['Network', 'error']")</f>
        <v>['Network', 'error']</v>
      </c>
      <c r="D3812" s="3">
        <v>1.0</v>
      </c>
    </row>
    <row r="3813" ht="15.75" customHeight="1">
      <c r="A3813" s="1">
        <v>4072.0</v>
      </c>
      <c r="B3813" s="3" t="s">
        <v>3724</v>
      </c>
      <c r="C3813" s="3" t="str">
        <f>IFERROR(__xludf.DUMMYFUNCTION("GOOGLETRANSLATE(B3813,""id"",""en"")"),"['Price', 'Package', 'Combo', 'Changed', 'Points']")</f>
        <v>['Price', 'Package', 'Combo', 'Changed', 'Points']</v>
      </c>
      <c r="D3813" s="3">
        <v>3.0</v>
      </c>
    </row>
    <row r="3814" ht="15.75" customHeight="1">
      <c r="A3814" s="1">
        <v>4073.0</v>
      </c>
      <c r="B3814" s="3" t="s">
        <v>3725</v>
      </c>
      <c r="C3814" s="3" t="str">
        <f>IFERROR(__xludf.DUMMYFUNCTION("GOOGLETRANSLATE(B3814,""id"",""en"")"),"['difficult', 'times', 'enter', 'send', 'number', 'TLP', 'SMS', 'Verification', 'Try', 'Many', 'times']")</f>
        <v>['difficult', 'times', 'enter', 'send', 'number', 'TLP', 'SMS', 'Verification', 'Try', 'Many', 'times']</v>
      </c>
      <c r="D3814" s="3">
        <v>1.0</v>
      </c>
    </row>
    <row r="3815" ht="15.75" customHeight="1">
      <c r="A3815" s="1">
        <v>4074.0</v>
      </c>
      <c r="B3815" s="3" t="s">
        <v>3726</v>
      </c>
      <c r="C3815" s="3" t="str">
        <f>IFERROR(__xludf.DUMMYFUNCTION("GOOGLETRANSLATE(B3815,""id"",""en"")"),"['Mending', 'provider', 'already', 'cheap', 'rare', 'obstacles', 'ngelag', 'slow', 'Telkom', ""]")</f>
        <v>['Mending', 'provider', 'already', 'cheap', 'rare', 'obstacles', 'ngelag', 'slow', 'Telkom', "]</v>
      </c>
      <c r="D3815" s="3">
        <v>1.0</v>
      </c>
    </row>
    <row r="3816" ht="15.75" customHeight="1">
      <c r="A3816" s="1">
        <v>4075.0</v>
      </c>
      <c r="B3816" s="3" t="s">
        <v>3727</v>
      </c>
      <c r="C3816" s="3" t="str">
        <f>IFERROR(__xludf.DUMMYFUNCTION("GOOGLETRANSLATE(B3816,""id"",""en"")"),"['Direct', 'BNTG', ""]")</f>
        <v>['Direct', 'BNTG', "]</v>
      </c>
      <c r="D3816" s="3">
        <v>5.0</v>
      </c>
    </row>
    <row r="3817" ht="15.75" customHeight="1">
      <c r="A3817" s="1">
        <v>4077.0</v>
      </c>
      <c r="B3817" s="3" t="s">
        <v>3728</v>
      </c>
      <c r="C3817" s="3" t="str">
        <f>IFERROR(__xludf.DUMMYFUNCTION("GOOGLETRANSLATE(B3817,""id"",""en"")"),"['klw', 'kouta', 'hbs', 'trs', 'klw', 'list', 'kouta', 'cook', 'search', 'wifi']")</f>
        <v>['klw', 'kouta', 'hbs', 'trs', 'klw', 'list', 'kouta', 'cook', 'search', 'wifi']</v>
      </c>
      <c r="D3817" s="3">
        <v>1.0</v>
      </c>
    </row>
    <row r="3818" ht="15.75" customHeight="1">
      <c r="A3818" s="1">
        <v>4078.0</v>
      </c>
      <c r="B3818" s="3" t="s">
        <v>3729</v>
      </c>
      <c r="C3818" s="3" t="str">
        <f>IFERROR(__xludf.DUMMYFUNCTION("GOOGLETRANSLATE(B3818,""id"",""en"")"),"['Enter', 'Credit', 'Reduced', 'Want']")</f>
        <v>['Enter', 'Credit', 'Reduced', 'Want']</v>
      </c>
      <c r="D3818" s="3">
        <v>1.0</v>
      </c>
    </row>
    <row r="3819" ht="15.75" customHeight="1">
      <c r="A3819" s="1">
        <v>4079.0</v>
      </c>
      <c r="B3819" s="3" t="s">
        <v>3730</v>
      </c>
      <c r="C3819" s="3" t="str">
        <f>IFERROR(__xludf.DUMMYFUNCTION("GOOGLETRANSLATE(B3819,""id"",""en"")"),"['Package', 'Internet', 'Sakti', 'Lost', 'Giganet', 'Expensive', 'Signal', 'Down', 'Mending', 'Change', 'Thn', 'Disappointed', ' BUMN ',' ']")</f>
        <v>['Package', 'Internet', 'Sakti', 'Lost', 'Giganet', 'Expensive', 'Signal', 'Down', 'Mending', 'Change', 'Thn', 'Disappointed', ' BUMN ',' ']</v>
      </c>
      <c r="D3819" s="3">
        <v>1.0</v>
      </c>
    </row>
    <row r="3820" ht="15.75" customHeight="1">
      <c r="A3820" s="1">
        <v>4080.0</v>
      </c>
      <c r="B3820" s="3" t="s">
        <v>3731</v>
      </c>
      <c r="C3820" s="3" t="str">
        <f>IFERROR(__xludf.DUMMYFUNCTION("GOOGLETRANSLATE(B3820,""id"",""en"")"),"['Price', 'Package', 'Combo', 'Sakti']")</f>
        <v>['Price', 'Package', 'Combo', 'Sakti']</v>
      </c>
      <c r="D3820" s="3">
        <v>1.0</v>
      </c>
    </row>
    <row r="3821" ht="15.75" customHeight="1">
      <c r="A3821" s="1">
        <v>4081.0</v>
      </c>
      <c r="B3821" s="3" t="s">
        <v>3732</v>
      </c>
      <c r="C3821" s="3" t="str">
        <f>IFERROR(__xludf.DUMMYFUNCTION("GOOGLETRANSLATE(B3821,""id"",""en"")"),"['Sometimes', 'The Network', 'Leet']")</f>
        <v>['Sometimes', 'The Network', 'Leet']</v>
      </c>
      <c r="D3821" s="3">
        <v>4.0</v>
      </c>
    </row>
    <row r="3822" ht="15.75" customHeight="1">
      <c r="A3822" s="1">
        <v>4083.0</v>
      </c>
      <c r="B3822" s="3" t="s">
        <v>2169</v>
      </c>
      <c r="C3822" s="3" t="str">
        <f>IFERROR(__xludf.DUMMYFUNCTION("GOOGLETRANSLATE(B3822,""id"",""en"")"),"['bad signal']")</f>
        <v>['bad signal']</v>
      </c>
      <c r="D3822" s="3">
        <v>1.0</v>
      </c>
    </row>
    <row r="3823" ht="15.75" customHeight="1">
      <c r="A3823" s="1">
        <v>4084.0</v>
      </c>
      <c r="B3823" s="3" t="s">
        <v>3733</v>
      </c>
      <c r="C3823" s="3" t="str">
        <f>IFERROR(__xludf.DUMMYFUNCTION("GOOGLETRANSLATE(B3823,""id"",""en"")"),"['Tekomsel', 'area', 'smooth', 'frog', '']")</f>
        <v>['Tekomsel', 'area', 'smooth', 'frog', '']</v>
      </c>
      <c r="D3823" s="3">
        <v>4.0</v>
      </c>
    </row>
    <row r="3824" ht="15.75" customHeight="1">
      <c r="A3824" s="1">
        <v>4085.0</v>
      </c>
      <c r="B3824" s="3" t="s">
        <v>3734</v>
      </c>
      <c r="C3824" s="3" t="str">
        <f>IFERROR(__xludf.DUMMYFUNCTION("GOOGLETRANSLATE(B3824,""id"",""en"")"),"['easy', 'info']")</f>
        <v>['easy', 'info']</v>
      </c>
      <c r="D3824" s="3">
        <v>4.0</v>
      </c>
    </row>
    <row r="3825" ht="15.75" customHeight="1">
      <c r="A3825" s="1">
        <v>4086.0</v>
      </c>
      <c r="B3825" s="3" t="s">
        <v>3735</v>
      </c>
      <c r="C3825" s="3" t="str">
        <f>IFERROR(__xludf.DUMMYFUNCTION("GOOGLETRANSLATE(B3825,""id"",""en"")"),"['at the time', 'emergency', 'Telkomsel', 'help', 'communicate', 'signal', 'good']")</f>
        <v>['at the time', 'emergency', 'Telkomsel', 'help', 'communicate', 'signal', 'good']</v>
      </c>
      <c r="D3825" s="3">
        <v>5.0</v>
      </c>
    </row>
    <row r="3826" ht="15.75" customHeight="1">
      <c r="A3826" s="1">
        <v>4087.0</v>
      </c>
      <c r="B3826" s="3" t="s">
        <v>3736</v>
      </c>
      <c r="C3826" s="3" t="str">
        <f>IFERROR(__xludf.DUMMYFUNCTION("GOOGLETRANSLATE(B3826,""id"",""en"")"),"['', 'Change', 'Star', 'Hopefully', 'Hopefully', 'Telkomsel', 'Network', 'Etc.']")</f>
        <v>['', 'Change', 'Star', 'Hopefully', 'Hopefully', 'Telkomsel', 'Network', 'Etc.']</v>
      </c>
      <c r="D3826" s="3">
        <v>3.0</v>
      </c>
    </row>
    <row r="3827" ht="15.75" customHeight="1">
      <c r="A3827" s="1">
        <v>4088.0</v>
      </c>
      <c r="B3827" s="3" t="s">
        <v>639</v>
      </c>
      <c r="C3827" s="3" t="str">
        <f>IFERROR(__xludf.DUMMYFUNCTION("GOOGLETRANSLATE(B3827,""id"",""en"")"),"['application', 'it's easy']")</f>
        <v>['application', 'it's easy']</v>
      </c>
      <c r="D3827" s="3">
        <v>5.0</v>
      </c>
    </row>
    <row r="3828" ht="15.75" customHeight="1">
      <c r="A3828" s="1">
        <v>4089.0</v>
      </c>
      <c r="B3828" s="3" t="s">
        <v>3737</v>
      </c>
      <c r="C3828" s="3" t="str">
        <f>IFERROR(__xludf.DUMMYFUNCTION("GOOGLETRANSLATE(B3828,""id"",""en"")"),"['Genetas', 'Telkomsel', 'Credit', 'Like', 'Sumpot', 'Gajelas', ""]")</f>
        <v>['Genetas', 'Telkomsel', 'Credit', 'Like', 'Sumpot', 'Gajelas', "]</v>
      </c>
      <c r="D3828" s="3">
        <v>1.0</v>
      </c>
    </row>
    <row r="3829" ht="15.75" customHeight="1">
      <c r="A3829" s="1">
        <v>4090.0</v>
      </c>
      <c r="B3829" s="3" t="s">
        <v>3738</v>
      </c>
      <c r="C3829" s="3" t="str">
        <f>IFERROR(__xludf.DUMMYFUNCTION("GOOGLETRANSLATE(B3829,""id"",""en"")"),"['buy', 'pulse', 'dipake', 'error']")</f>
        <v>['buy', 'pulse', 'dipake', 'error']</v>
      </c>
      <c r="D3829" s="3">
        <v>1.0</v>
      </c>
    </row>
    <row r="3830" ht="15.75" customHeight="1">
      <c r="A3830" s="1">
        <v>4091.0</v>
      </c>
      <c r="B3830" s="3" t="s">
        <v>3739</v>
      </c>
      <c r="C3830" s="3" t="str">
        <f>IFERROR(__xludf.DUMMYFUNCTION("GOOGLETRANSLATE(B3830,""id"",""en"")"),"['Application', 'Good', 'Please', 'Exchange', 'Points', 'Love', 'Voucher', 'Game', 'Points', 'Sia', 'Sia']")</f>
        <v>['Application', 'Good', 'Please', 'Exchange', 'Points', 'Love', 'Voucher', 'Game', 'Points', 'Sia', 'Sia']</v>
      </c>
      <c r="D3830" s="3">
        <v>1.0</v>
      </c>
    </row>
    <row r="3831" ht="15.75" customHeight="1">
      <c r="A3831" s="1">
        <v>4092.0</v>
      </c>
      <c r="B3831" s="3" t="s">
        <v>3740</v>
      </c>
      <c r="C3831" s="3" t="str">
        <f>IFERROR(__xludf.DUMMYFUNCTION("GOOGLETRANSLATE(B3831,""id"",""en"")"),"['Masap', 'Mending', 'buy', 'buy', 'package', 'internet', 'Telkomsel', 'cheap']")</f>
        <v>['Masap', 'Mending', 'buy', 'buy', 'package', 'internet', 'Telkomsel', 'cheap']</v>
      </c>
      <c r="D3831" s="3">
        <v>5.0</v>
      </c>
    </row>
    <row r="3832" ht="15.75" customHeight="1">
      <c r="A3832" s="1">
        <v>4093.0</v>
      </c>
      <c r="B3832" s="3" t="s">
        <v>3741</v>
      </c>
      <c r="C3832" s="3" t="str">
        <f>IFERROR(__xludf.DUMMYFUNCTION("GOOGLETRANSLATE(B3832,""id"",""en"")"),"['Telkomsel', 'reach', 'broad', 'reach', 'slow', ""]")</f>
        <v>['Telkomsel', 'reach', 'broad', 'reach', 'slow', "]</v>
      </c>
      <c r="D3832" s="3">
        <v>1.0</v>
      </c>
    </row>
    <row r="3833" ht="15.75" customHeight="1">
      <c r="A3833" s="1">
        <v>4094.0</v>
      </c>
      <c r="B3833" s="3" t="s">
        <v>3742</v>
      </c>
      <c r="C3833" s="3" t="str">
        <f>IFERROR(__xludf.DUMMYFUNCTION("GOOGLETRANSLATE(B3833,""id"",""en"")"),"['APK', 'good', 'makes easier', 'person', 'buy', 'package', 'internet']")</f>
        <v>['APK', 'good', 'makes easier', 'person', 'buy', 'package', 'internet']</v>
      </c>
      <c r="D3833" s="3">
        <v>5.0</v>
      </c>
    </row>
    <row r="3834" ht="15.75" customHeight="1">
      <c r="A3834" s="1">
        <v>4095.0</v>
      </c>
      <c r="B3834" s="3" t="s">
        <v>3743</v>
      </c>
      <c r="C3834" s="3" t="str">
        <f>IFERROR(__xludf.DUMMYFUNCTION("GOOGLETRANSLATE(B3834,""id"",""en"")"),"['makes it easier', 'check', 'pulse', 'data']")</f>
        <v>['makes it easier', 'check', 'pulse', 'data']</v>
      </c>
      <c r="D3834" s="3">
        <v>4.0</v>
      </c>
    </row>
    <row r="3835" ht="15.75" customHeight="1">
      <c r="A3835" s="1">
        <v>4096.0</v>
      </c>
      <c r="B3835" s="3" t="s">
        <v>3744</v>
      </c>
      <c r="C3835" s="3" t="str">
        <f>IFERROR(__xludf.DUMMYFUNCTION("GOOGLETRANSLATE(B3835,""id"",""en"")"),"['price', 'quota', 'quality', 'sinyanya', 'that's',' moved ',' provider ',' that's', 'disappointed', 'Telkomsel', 'pdhal', 'operator', ' trust']")</f>
        <v>['price', 'quota', 'quality', 'sinyanya', 'that's',' moved ',' provider ',' that's', 'disappointed', 'Telkomsel', 'pdhal', 'operator', ' trust']</v>
      </c>
      <c r="D3835" s="3">
        <v>2.0</v>
      </c>
    </row>
    <row r="3836" ht="15.75" customHeight="1">
      <c r="A3836" s="1">
        <v>4098.0</v>
      </c>
      <c r="B3836" s="3" t="s">
        <v>3745</v>
      </c>
      <c r="C3836" s="3" t="str">
        <f>IFERROR(__xludf.DUMMYFUNCTION("GOOGLETRANSLATE(B3836,""id"",""en"")"),"['easy', 'help', 'btw', 'min', 'kpan', 'naruk', 'diamond', ""]")</f>
        <v>['easy', 'help', 'btw', 'min', 'kpan', 'naruk', 'diamond', "]</v>
      </c>
      <c r="D3836" s="3">
        <v>5.0</v>
      </c>
    </row>
    <row r="3837" ht="15.75" customHeight="1">
      <c r="A3837" s="1">
        <v>4099.0</v>
      </c>
      <c r="B3837" s="3" t="s">
        <v>3746</v>
      </c>
      <c r="C3837" s="3" t="str">
        <f>IFERROR(__xludf.DUMMYFUNCTION("GOOGLETRANSLATE(B3837,""id"",""en"")"),"['Good', 'service']")</f>
        <v>['Good', 'service']</v>
      </c>
      <c r="D3837" s="3">
        <v>5.0</v>
      </c>
    </row>
    <row r="3838" ht="15.75" customHeight="1">
      <c r="A3838" s="1">
        <v>4101.0</v>
      </c>
      <c r="B3838" s="3" t="s">
        <v>3747</v>
      </c>
      <c r="C3838" s="3" t="str">
        <f>IFERROR(__xludf.DUMMYFUNCTION("GOOGLETRANSLATE(B3838,""id"",""en"")"),"['What's',' Network ',' Best ',' TLP ',' yes', 'Internet', 'Telkomsel', 'The network', 'Smart', 'UDH', 'Take', 'Regular', ' kek ',' Smart ',' Naturally ',' slow ',' unlimited ',' because ',' GB ',' GB ',' GB ',' Telkomsel ',' brand ',' org ' , 'Season', '"&amp;"Sometimes',' ilang ',' Kirain ',' Quota ',' Out ',' Nggk ',' Taunya ',' Nggk ',' Udh ',' Nggk ',' Strong ',' Ride in ',' Nggk ',' Lemot ',' KOANOAN ',' CUSTOMER ',' Search ',' Quality ',' Price ']")</f>
        <v>['What's',' Network ',' Best ',' TLP ',' yes', 'Internet', 'Telkomsel', 'The network', 'Smart', 'UDH', 'Take', 'Regular', ' kek ',' Smart ',' Naturally ',' slow ',' unlimited ',' because ',' GB ',' GB ',' GB ',' Telkomsel ',' brand ',' org ' , 'Season', 'Sometimes',' ilang ',' Kirain ',' Quota ',' Out ',' Nggk ',' Taunya ',' Nggk ',' Udh ',' Nggk ',' Strong ',' Ride in ',' Nggk ',' Lemot ',' KOANOAN ',' CUSTOMER ',' Search ',' Quality ',' Price ']</v>
      </c>
      <c r="D3838" s="3">
        <v>2.0</v>
      </c>
    </row>
    <row r="3839" ht="15.75" customHeight="1">
      <c r="A3839" s="1">
        <v>4102.0</v>
      </c>
      <c r="B3839" s="3" t="s">
        <v>3748</v>
      </c>
      <c r="C3839" s="3" t="str">
        <f>IFERROR(__xludf.DUMMYFUNCTION("GOOGLETRANSLATE(B3839,""id"",""en"")"),"['Signal', 'Severe', 'Signal', 'Bad']")</f>
        <v>['Signal', 'Severe', 'Signal', 'Bad']</v>
      </c>
      <c r="D3839" s="3">
        <v>1.0</v>
      </c>
    </row>
    <row r="3840" ht="15.75" customHeight="1">
      <c r="A3840" s="1">
        <v>4103.0</v>
      </c>
      <c r="B3840" s="3" t="s">
        <v>3749</v>
      </c>
      <c r="C3840" s="3" t="str">
        <f>IFERROR(__xludf.DUMMYFUNCTION("GOOGLETRANSLATE(B3840,""id"",""en"")"),"['Please', 'Add', 'Feature', 'SmartLock']")</f>
        <v>['Please', 'Add', 'Feature', 'SmartLock']</v>
      </c>
      <c r="D3840" s="3">
        <v>4.0</v>
      </c>
    </row>
    <row r="3841" ht="15.75" customHeight="1">
      <c r="A3841" s="1">
        <v>4104.0</v>
      </c>
      <c r="B3841" s="3" t="s">
        <v>3750</v>
      </c>
      <c r="C3841" s="3" t="str">
        <f>IFERROR(__xludf.DUMMYFUNCTION("GOOGLETRANSLATE(B3841,""id"",""en"")"),"['spirit', 'best', 'sip', '']")</f>
        <v>['spirit', 'best', 'sip', '']</v>
      </c>
      <c r="D3841" s="3">
        <v>5.0</v>
      </c>
    </row>
    <row r="3842" ht="15.75" customHeight="1">
      <c r="A3842" s="1">
        <v>4105.0</v>
      </c>
      <c r="B3842" s="3" t="s">
        <v>3751</v>
      </c>
      <c r="C3842" s="3" t="str">
        <f>IFERROR(__xludf.DUMMYFUNCTION("GOOGLETRANSLATE(B3842,""id"",""en"")"),"['Network', 'Telkomsel', 'Full', 'lag']")</f>
        <v>['Network', 'Telkomsel', 'Full', 'lag']</v>
      </c>
      <c r="D3842" s="3">
        <v>1.0</v>
      </c>
    </row>
    <row r="3843" ht="15.75" customHeight="1">
      <c r="A3843" s="1">
        <v>4106.0</v>
      </c>
      <c r="B3843" s="3" t="s">
        <v>3752</v>
      </c>
      <c r="C3843" s="3" t="str">
        <f>IFERROR(__xludf.DUMMYFUNCTION("GOOGLETRANSLATE(B3843,""id"",""en"")"),"['Want', 'On']")</f>
        <v>['Want', 'On']</v>
      </c>
      <c r="D3843" s="3">
        <v>5.0</v>
      </c>
    </row>
    <row r="3844" ht="15.75" customHeight="1">
      <c r="A3844" s="1">
        <v>4107.0</v>
      </c>
      <c r="B3844" s="3" t="s">
        <v>3753</v>
      </c>
      <c r="C3844" s="3" t="str">
        <f>IFERROR(__xludf.DUMMYFUNCTION("GOOGLETRANSLATE(B3844,""id"",""en"")"),"['Star', 'Min', 'Blumme', 'discount', 'quota', 'cheap', 'so', 'thank you']")</f>
        <v>['Star', 'Min', 'Blumme', 'discount', 'quota', 'cheap', 'so', 'thank you']</v>
      </c>
      <c r="D3844" s="3">
        <v>4.0</v>
      </c>
    </row>
    <row r="3845" ht="15.75" customHeight="1">
      <c r="A3845" s="1">
        <v>4108.0</v>
      </c>
      <c r="B3845" s="3" t="s">
        <v>3754</v>
      </c>
      <c r="C3845" s="3" t="str">
        <f>IFERROR(__xludf.DUMMYFUNCTION("GOOGLETRANSLATE(B3845,""id"",""en"")"),"['dowload', 'application', 'Telkomsel']")</f>
        <v>['dowload', 'application', 'Telkomsel']</v>
      </c>
      <c r="D3845" s="3">
        <v>5.0</v>
      </c>
    </row>
    <row r="3846" ht="15.75" customHeight="1">
      <c r="A3846" s="1">
        <v>4109.0</v>
      </c>
      <c r="B3846" s="3" t="s">
        <v>3755</v>
      </c>
      <c r="C3846" s="3" t="str">
        <f>IFERROR(__xludf.DUMMYFUNCTION("GOOGLETRANSLATE(B3846,""id"",""en"")"),"['SLL', 'like', 'high school', 'convenience', 'features']")</f>
        <v>['SLL', 'like', 'high school', 'convenience', 'features']</v>
      </c>
      <c r="D3846" s="3">
        <v>5.0</v>
      </c>
    </row>
    <row r="3847" ht="15.75" customHeight="1">
      <c r="A3847" s="1">
        <v>4110.0</v>
      </c>
      <c r="B3847" s="3" t="s">
        <v>3756</v>
      </c>
      <c r="C3847" s="3" t="str">
        <f>IFERROR(__xludf.DUMMYFUNCTION("GOOGLETRANSLATE(B3847,""id"",""en"")"),"['Application', 'complicated', 'really', 'log', 'complicated', 'log', 'nin', 'number', 'ibuk', 'difficult', 'really', 'pakek', ' Events', 'Send', 'Link', 'Males',' really ']")</f>
        <v>['Application', 'complicated', 'really', 'log', 'complicated', 'log', 'nin', 'number', 'ibuk', 'difficult', 'really', 'pakek', ' Events', 'Send', 'Link', 'Males',' really ']</v>
      </c>
      <c r="D3847" s="3">
        <v>2.0</v>
      </c>
    </row>
    <row r="3848" ht="15.75" customHeight="1">
      <c r="A3848" s="1">
        <v>4111.0</v>
      </c>
      <c r="B3848" s="3" t="s">
        <v>3757</v>
      </c>
      <c r="C3848" s="3" t="str">
        <f>IFERROR(__xludf.DUMMYFUNCTION("GOOGLETRANSLATE(B3848,""id"",""en"")"),"['Telkomsel', 'signal', 'Kayibm', 'ugly', 'severe']")</f>
        <v>['Telkomsel', 'signal', 'Kayibm', 'ugly', 'severe']</v>
      </c>
      <c r="D3848" s="3">
        <v>1.0</v>
      </c>
    </row>
    <row r="3849" ht="15.75" customHeight="1">
      <c r="A3849" s="1">
        <v>4112.0</v>
      </c>
      <c r="B3849" s="3" t="s">
        <v>3758</v>
      </c>
      <c r="C3849" s="3" t="str">
        <f>IFERROR(__xludf.DUMMYFUNCTION("GOOGLETRANSLATE(B3849,""id"",""en"")"),"['price', 'package', 'data', 'internet', 'expensive', 'disappointed']")</f>
        <v>['price', 'package', 'data', 'internet', 'expensive', 'disappointed']</v>
      </c>
      <c r="D3849" s="3">
        <v>2.0</v>
      </c>
    </row>
    <row r="3850" ht="15.75" customHeight="1">
      <c r="A3850" s="1">
        <v>4113.0</v>
      </c>
      <c r="B3850" s="3" t="s">
        <v>3759</v>
      </c>
      <c r="C3850" s="3" t="str">
        <f>IFERROR(__xludf.DUMMYFUNCTION("GOOGLETRANSLATE(B3850,""id"",""en"")"),"['Connection', 'Internet', 'Slow', 'Severe', 'Disappointed', '']")</f>
        <v>['Connection', 'Internet', 'Slow', 'Severe', 'Disappointed', '']</v>
      </c>
      <c r="D3850" s="3">
        <v>1.0</v>
      </c>
    </row>
    <row r="3851" ht="15.75" customHeight="1">
      <c r="A3851" s="1">
        <v>4114.0</v>
      </c>
      <c r="B3851" s="3" t="s">
        <v>181</v>
      </c>
      <c r="C3851" s="3" t="str">
        <f>IFERROR(__xludf.DUMMYFUNCTION("GOOGLETRANSLATE(B3851,""id"",""en"")"),"['help']")</f>
        <v>['help']</v>
      </c>
      <c r="D3851" s="3">
        <v>5.0</v>
      </c>
    </row>
    <row r="3852" ht="15.75" customHeight="1">
      <c r="A3852" s="1">
        <v>4115.0</v>
      </c>
      <c r="B3852" s="3" t="s">
        <v>3760</v>
      </c>
      <c r="C3852" s="3" t="str">
        <f>IFERROR(__xludf.DUMMYFUNCTION("GOOGLETRANSLATE(B3852,""id"",""en"")"),"['Mohhon', 'level', 'mehilang', 'internet', 'already', 'Pakum', 'Telkomsel', 'because', 'like', 'disorder', 'signal', ""]")</f>
        <v>['Mohhon', 'level', 'mehilang', 'internet', 'already', 'Pakum', 'Telkomsel', 'because', 'like', 'disorder', 'signal', "]</v>
      </c>
      <c r="D3852" s="3">
        <v>5.0</v>
      </c>
    </row>
    <row r="3853" ht="15.75" customHeight="1">
      <c r="A3853" s="1">
        <v>4116.0</v>
      </c>
      <c r="B3853" s="3" t="s">
        <v>3761</v>
      </c>
      <c r="C3853" s="3" t="str">
        <f>IFERROR(__xludf.DUMMYFUNCTION("GOOGLETRANSLATE(B3853,""id"",""en"")"),"['quota', 'GB', 'connection', 'network', 'access',' chrome ',' youtube ',' slow ',' really ',' taste ',' network ',' edge ',' Help ',' Telkomsel ',' Loss', 'Customer', 'loyal', 'Telkomsel', 'already', 'pay', 'package', 'expensive', 'network', 'price', 'di"&amp;"sappointed' , 'minus', 'rating', 'love', 'star', 'it seems']")</f>
        <v>['quota', 'GB', 'connection', 'network', 'access',' chrome ',' youtube ',' slow ',' really ',' taste ',' network ',' edge ',' Help ',' Telkomsel ',' Loss', 'Customer', 'loyal', 'Telkomsel', 'already', 'pay', 'package', 'expensive', 'network', 'price', 'disappointed' , 'minus', 'rating', 'love', 'star', 'it seems']</v>
      </c>
      <c r="D3853" s="3">
        <v>1.0</v>
      </c>
    </row>
    <row r="3854" ht="15.75" customHeight="1">
      <c r="A3854" s="1">
        <v>4117.0</v>
      </c>
      <c r="B3854" s="3" t="s">
        <v>3762</v>
      </c>
      <c r="C3854" s="3" t="str">
        <f>IFERROR(__xludf.DUMMYFUNCTION("GOOGLETRANSLATE(B3854,""id"",""en"")"),"['application', 'Telkomsel', 'check', 'pulse', 'quota', 'buy', 'quota', 'appears',' writing ',' disorder ',' system ',' updated ',' critical', '']")</f>
        <v>['application', 'Telkomsel', 'check', 'pulse', 'quota', 'buy', 'quota', 'appears',' writing ',' disorder ',' system ',' updated ',' critical', '']</v>
      </c>
      <c r="D3854" s="3">
        <v>1.0</v>
      </c>
    </row>
    <row r="3855" ht="15.75" customHeight="1">
      <c r="A3855" s="1">
        <v>4118.0</v>
      </c>
      <c r="B3855" s="3" t="s">
        <v>3763</v>
      </c>
      <c r="C3855" s="3" t="str">
        <f>IFERROR(__xludf.DUMMYFUNCTION("GOOGLETRANSLATE(B3855,""id"",""en"")"),"['Severe', 'Points', 'get', 'Point', 'Is there' 'solution', '']")</f>
        <v>['Severe', 'Points', 'get', 'Point', 'Is there' 'solution', '']</v>
      </c>
      <c r="D3855" s="3">
        <v>2.0</v>
      </c>
    </row>
    <row r="3856" ht="15.75" customHeight="1">
      <c r="A3856" s="1">
        <v>4119.0</v>
      </c>
      <c r="B3856" s="3" t="s">
        <v>3764</v>
      </c>
      <c r="C3856" s="3" t="str">
        <f>IFERROR(__xludf.DUMMYFUNCTION("GOOGLETRANSLATE(B3856,""id"",""en"")"),"['Sya']")</f>
        <v>['Sya']</v>
      </c>
      <c r="D3856" s="3">
        <v>5.0</v>
      </c>
    </row>
    <row r="3857" ht="15.75" customHeight="1">
      <c r="A3857" s="1">
        <v>4120.0</v>
      </c>
      <c r="B3857" s="3" t="s">
        <v>3765</v>
      </c>
      <c r="C3857" s="3" t="str">
        <f>IFERROR(__xludf.DUMMYFUNCTION("GOOGLETRANSLATE(B3857,""id"",""en"")"),"['Wonder', 'Telkomsel', 'user', 'quota', 'expensive', 'card', 'bnyak', 'promo', 'cheap', '']")</f>
        <v>['Wonder', 'Telkomsel', 'user', 'quota', 'expensive', 'card', 'bnyak', 'promo', 'cheap', '']</v>
      </c>
      <c r="D3857" s="3">
        <v>4.0</v>
      </c>
    </row>
    <row r="3858" ht="15.75" customHeight="1">
      <c r="A3858" s="1">
        <v>4121.0</v>
      </c>
      <c r="B3858" s="3" t="s">
        <v>3766</v>
      </c>
      <c r="C3858" s="3" t="str">
        <f>IFERROR(__xludf.DUMMYFUNCTION("GOOGLETRANSLATE(B3858,""id"",""en"")"),"['Download', 'opened', 'told', 'update', 'gimanaa', 'application']")</f>
        <v>['Download', 'opened', 'told', 'update', 'gimanaa', 'application']</v>
      </c>
      <c r="D3858" s="3">
        <v>1.0</v>
      </c>
    </row>
    <row r="3859" ht="15.75" customHeight="1">
      <c r="A3859" s="1">
        <v>4122.0</v>
      </c>
      <c r="B3859" s="3" t="s">
        <v>3767</v>
      </c>
      <c r="C3859" s="3" t="str">
        <f>IFERROR(__xludf.DUMMYFUNCTION("GOOGLETRANSLATE(B3859,""id"",""en"")"),"['Promo', 'mantul']")</f>
        <v>['Promo', 'mantul']</v>
      </c>
      <c r="D3859" s="3">
        <v>5.0</v>
      </c>
    </row>
    <row r="3860" ht="15.75" customHeight="1">
      <c r="A3860" s="1">
        <v>4123.0</v>
      </c>
      <c r="B3860" s="3" t="s">
        <v>1551</v>
      </c>
      <c r="C3860" s="3" t="str">
        <f>IFERROR(__xludf.DUMMYFUNCTION("GOOGLETRANSLATE(B3860,""id"",""en"")"),"['signal', 'stable']")</f>
        <v>['signal', 'stable']</v>
      </c>
      <c r="D3860" s="3">
        <v>4.0</v>
      </c>
    </row>
    <row r="3861" ht="15.75" customHeight="1">
      <c r="A3861" s="1">
        <v>4124.0</v>
      </c>
      <c r="B3861" s="3" t="s">
        <v>3538</v>
      </c>
      <c r="C3861" s="3" t="str">
        <f>IFERROR(__xludf.DUMMYFUNCTION("GOOGLETRANSLATE(B3861,""id"",""en"")"),"['The network', 'good']")</f>
        <v>['The network', 'good']</v>
      </c>
      <c r="D3861" s="3">
        <v>4.0</v>
      </c>
    </row>
    <row r="3862" ht="15.75" customHeight="1">
      <c r="A3862" s="1">
        <v>4125.0</v>
      </c>
      <c r="B3862" s="3" t="s">
        <v>3768</v>
      </c>
      <c r="C3862" s="3" t="str">
        <f>IFERROR(__xludf.DUMMYFUNCTION("GOOGLETRANSLATE(B3862,""id"",""en"")"),"['shame', 'price', 'expensive', 'signal', '']")</f>
        <v>['shame', 'price', 'expensive', 'signal', '']</v>
      </c>
      <c r="D3862" s="3">
        <v>1.0</v>
      </c>
    </row>
    <row r="3863" ht="15.75" customHeight="1">
      <c r="A3863" s="1">
        <v>4126.0</v>
      </c>
      <c r="B3863" s="3" t="s">
        <v>3769</v>
      </c>
      <c r="C3863" s="3" t="str">
        <f>IFERROR(__xludf.DUMMYFUNCTION("GOOGLETRANSLATE(B3863,""id"",""en"")"),"['Buy', 'Package', 'APK', 'Telkomsel', 'FAILURE', 'System', 'Disruption', 'Please', 'Fix', 'Min', ""]")</f>
        <v>['Buy', 'Package', 'APK', 'Telkomsel', 'FAILURE', 'System', 'Disruption', 'Please', 'Fix', 'Min', "]</v>
      </c>
      <c r="D3863" s="3">
        <v>1.0</v>
      </c>
    </row>
    <row r="3864" ht="15.75" customHeight="1">
      <c r="A3864" s="1">
        <v>4127.0</v>
      </c>
      <c r="B3864" s="3" t="s">
        <v>3770</v>
      </c>
      <c r="C3864" s="3" t="str">
        <f>IFERROR(__xludf.DUMMYFUNCTION("GOOGLETRANSLATE(B3864,""id"",""en"")"),"['entry', 'applices',' difficult ',' bngt ',' loading ',' stu ',' hour ',' pdhl ',' kouta ',' bru ',' bli ',' maybe ',' bad']")</f>
        <v>['entry', 'applices',' difficult ',' bngt ',' loading ',' stu ',' hour ',' pdhl ',' kouta ',' bru ',' bli ',' maybe ',' bad']</v>
      </c>
      <c r="D3864" s="3">
        <v>1.0</v>
      </c>
    </row>
    <row r="3865" ht="15.75" customHeight="1">
      <c r="A3865" s="1">
        <v>4129.0</v>
      </c>
      <c r="B3865" s="3" t="s">
        <v>3771</v>
      </c>
      <c r="C3865" s="3" t="str">
        <f>IFERROR(__xludf.DUMMYFUNCTION("GOOGLETRANSLATE(B3865,""id"",""en"")"),"['Try', 'ofline', 'Application', 'Open']")</f>
        <v>['Try', 'ofline', 'Application', 'Open']</v>
      </c>
      <c r="D3865" s="3">
        <v>4.0</v>
      </c>
    </row>
    <row r="3866" ht="15.75" customHeight="1">
      <c r="A3866" s="1">
        <v>4130.0</v>
      </c>
      <c r="B3866" s="3" t="s">
        <v>3772</v>
      </c>
      <c r="C3866" s="3" t="str">
        <f>IFERROR(__xludf.DUMMYFUNCTION("GOOGLETRANSLATE(B3866,""id"",""en"")"),"['Baim', 'Gausah', 'Package', 'Unlimit', 'Gabisa', 'Dipake', 'Restore', 'Package', 'Full', 'Disappointed', 'See', 'Telkomael']")</f>
        <v>['Baim', 'Gausah', 'Package', 'Unlimit', 'Gabisa', 'Dipake', 'Restore', 'Package', 'Full', 'Disappointed', 'See', 'Telkomael']</v>
      </c>
      <c r="D3866" s="3">
        <v>1.0</v>
      </c>
    </row>
    <row r="3867" ht="15.75" customHeight="1">
      <c r="A3867" s="1">
        <v>4131.0</v>
      </c>
      <c r="B3867" s="3" t="s">
        <v>3773</v>
      </c>
      <c r="C3867" s="3" t="str">
        <f>IFERROR(__xludf.DUMMYFUNCTION("GOOGLETRANSLATE(B3867,""id"",""en"")"),"['Assalammualaikum', 'min', 'package', 'buy', 'lost', 'extra', 'unlimited', 'sya', 'buy', 'hadeh', 'buy', 'expensive']")</f>
        <v>['Assalammualaikum', 'min', 'package', 'buy', 'lost', 'extra', 'unlimited', 'sya', 'buy', 'hadeh', 'buy', 'expensive']</v>
      </c>
      <c r="D3867" s="3">
        <v>1.0</v>
      </c>
    </row>
    <row r="3868" ht="15.75" customHeight="1">
      <c r="A3868" s="1">
        <v>4132.0</v>
      </c>
      <c r="B3868" s="3" t="s">
        <v>3774</v>
      </c>
      <c r="C3868" s="3" t="str">
        <f>IFERROR(__xludf.DUMMYFUNCTION("GOOGLETRANSLATE(B3868,""id"",""en"")"),"['Telkomsel', 'deh']")</f>
        <v>['Telkomsel', 'deh']</v>
      </c>
      <c r="D3868" s="3">
        <v>5.0</v>
      </c>
    </row>
    <row r="3869" ht="15.75" customHeight="1">
      <c r="A3869" s="1">
        <v>4133.0</v>
      </c>
      <c r="B3869" s="3" t="s">
        <v>3775</v>
      </c>
      <c r="C3869" s="3" t="str">
        <f>IFERROR(__xludf.DUMMYFUNCTION("GOOGLETRANSLATE(B3869,""id"",""en"")"),"['Knp', 'Package', 'Promo', 'Changed', '']")</f>
        <v>['Knp', 'Package', 'Promo', 'Changed', '']</v>
      </c>
      <c r="D3869" s="3">
        <v>3.0</v>
      </c>
    </row>
    <row r="3870" ht="15.75" customHeight="1">
      <c r="A3870" s="1">
        <v>4134.0</v>
      </c>
      <c r="B3870" s="3" t="s">
        <v>2264</v>
      </c>
      <c r="C3870" s="3" t="str">
        <f>IFERROR(__xludf.DUMMYFUNCTION("GOOGLETRANSLATE(B3870,""id"",""en"")"),"['APK', 'good']")</f>
        <v>['APK', 'good']</v>
      </c>
      <c r="D3870" s="3">
        <v>5.0</v>
      </c>
    </row>
    <row r="3871" ht="15.75" customHeight="1">
      <c r="A3871" s="1">
        <v>4135.0</v>
      </c>
      <c r="B3871" s="3" t="s">
        <v>3776</v>
      </c>
      <c r="C3871" s="3" t="str">
        <f>IFERROR(__xludf.DUMMYFUNCTION("GOOGLETRANSLATE(B3871,""id"",""en"")"),"['Internet', 'Sakti', 'get', 'Benefit', 'free', 'subscription', 'Disney', 'Hotstar', 'right', 'open', 'Disney', 'told', ' Subscriptions', 'Disappointed', '']")</f>
        <v>['Internet', 'Sakti', 'get', 'Benefit', 'free', 'subscription', 'Disney', 'Hotstar', 'right', 'open', 'Disney', 'told', ' Subscriptions', 'Disappointed', '']</v>
      </c>
      <c r="D3871" s="3">
        <v>1.0</v>
      </c>
    </row>
    <row r="3872" ht="15.75" customHeight="1">
      <c r="A3872" s="1">
        <v>4136.0</v>
      </c>
      <c r="B3872" s="3" t="s">
        <v>3777</v>
      </c>
      <c r="C3872" s="3" t="str">
        <f>IFERROR(__xludf.DUMMYFUNCTION("GOOGLETRANSLATE(B3872,""id"",""en"")"),"['Since', 'Update', 'Telkomselku', 'Gag', 'Open', 'Enter', 'Buy', 'Paketan', 'Nongol', ""]")</f>
        <v>['Since', 'Update', 'Telkomselku', 'Gag', 'Open', 'Enter', 'Buy', 'Paketan', 'Nongol', "]</v>
      </c>
      <c r="D3872" s="3">
        <v>2.0</v>
      </c>
    </row>
    <row r="3873" ht="15.75" customHeight="1">
      <c r="A3873" s="1">
        <v>4137.0</v>
      </c>
      <c r="B3873" s="3" t="s">
        <v>3778</v>
      </c>
      <c r="C3873" s="3" t="str">
        <f>IFERROR(__xludf.DUMMYFUNCTION("GOOGLETRANSLATE(B3873,""id"",""en"")"),"['Sip', 'help']")</f>
        <v>['Sip', 'help']</v>
      </c>
      <c r="D3873" s="3">
        <v>4.0</v>
      </c>
    </row>
    <row r="3874" ht="15.75" customHeight="1">
      <c r="A3874" s="1">
        <v>4138.0</v>
      </c>
      <c r="B3874" s="3" t="s">
        <v>3779</v>
      </c>
      <c r="C3874" s="3" t="str">
        <f>IFERROR(__xludf.DUMMYFUNCTION("GOOGLETRANSLATE(B3874,""id"",""en"")"),"['enough', 'please', 'repaired', 'promo', 'consumer', 'fooled', 'lack', 'clarity', 'star', ""]")</f>
        <v>['enough', 'please', 'repaired', 'promo', 'consumer', 'fooled', 'lack', 'clarity', 'star', "]</v>
      </c>
      <c r="D3874" s="3">
        <v>4.0</v>
      </c>
    </row>
    <row r="3875" ht="15.75" customHeight="1">
      <c r="A3875" s="1">
        <v>4139.0</v>
      </c>
      <c r="B3875" s="3" t="s">
        <v>3780</v>
      </c>
      <c r="C3875" s="3" t="str">
        <f>IFERROR(__xludf.DUMMYFUNCTION("GOOGLETRANSLATE(B3875,""id"",""en"")"),"['Upset', 'times',' Sampe ',' Time ',' Nilis', 'Please', 'Message', 'Enter', 'Disturbing', 'Morning', 'Message', 'Dri', ' Telkomsel ',' Like ',' Useful ',' Application ',' Org ',' Liat ',' Pelu ',' Send ',' Message ', ""]")</f>
        <v>['Upset', 'times',' Sampe ',' Time ',' Nilis', 'Please', 'Message', 'Enter', 'Disturbing', 'Morning', 'Message', 'Dri', ' Telkomsel ',' Like ',' Useful ',' Application ',' Org ',' Liat ',' Pelu ',' Send ',' Message ', "]</v>
      </c>
      <c r="D3875" s="3">
        <v>1.0</v>
      </c>
    </row>
    <row r="3876" ht="15.75" customHeight="1">
      <c r="A3876" s="1">
        <v>4140.0</v>
      </c>
      <c r="B3876" s="3" t="s">
        <v>1435</v>
      </c>
      <c r="C3876" s="3" t="str">
        <f>IFERROR(__xludf.DUMMYFUNCTION("GOOGLETRANSLATE(B3876,""id"",""en"")"),"['help', '']")</f>
        <v>['help', '']</v>
      </c>
      <c r="D3876" s="3">
        <v>5.0</v>
      </c>
    </row>
    <row r="3877" ht="15.75" customHeight="1">
      <c r="A3877" s="1">
        <v>4142.0</v>
      </c>
      <c r="B3877" s="3" t="s">
        <v>3781</v>
      </c>
      <c r="C3877" s="3" t="str">
        <f>IFERROR(__xludf.DUMMYFUNCTION("GOOGLETRANSLATE(B3877,""id"",""en"")"),"['chaotic', 'Telkomsel', 'buy', 'pulse', 'run out', 'wifi', 'data', 'cellular', 'rare', 'use', 'condition', 'package', ' Internet ',' pulses', 'Sumpot', 'Out', '']")</f>
        <v>['chaotic', 'Telkomsel', 'buy', 'pulse', 'run out', 'wifi', 'data', 'cellular', 'rare', 'use', 'condition', 'package', ' Internet ',' pulses', 'Sumpot', 'Out', '']</v>
      </c>
      <c r="D3877" s="3">
        <v>1.0</v>
      </c>
    </row>
    <row r="3878" ht="15.75" customHeight="1">
      <c r="A3878" s="1">
        <v>4143.0</v>
      </c>
      <c r="B3878" s="3" t="s">
        <v>3782</v>
      </c>
      <c r="C3878" s="3" t="str">
        <f>IFERROR(__xludf.DUMMYFUNCTION("GOOGLETRANSLATE(B3878,""id"",""en"")"),"['', 'Allah', 'Your Signal', 'ugly', 'Please', 'Check', 'Area', 'Ngawi', 'Border', 'Bojonegoro', 'Signal', 'Soon', 'Changed ',' annoying ',' comfort ',' disappointed ',' star ',' Kasi ',' star ',' so bad ',' bad ',' network ']")</f>
        <v>['', 'Allah', 'Your Signal', 'ugly', 'Please', 'Check', 'Area', 'Ngawi', 'Border', 'Bojonegoro', 'Signal', 'Soon', 'Changed ',' annoying ',' comfort ',' disappointed ',' star ',' Kasi ',' star ',' so bad ',' bad ',' network ']</v>
      </c>
      <c r="D3878" s="3">
        <v>1.0</v>
      </c>
    </row>
    <row r="3879" ht="15.75" customHeight="1">
      <c r="A3879" s="1">
        <v>4144.0</v>
      </c>
      <c r="B3879" s="3" t="s">
        <v>3783</v>
      </c>
      <c r="C3879" s="3" t="str">
        <f>IFERROR(__xludf.DUMMYFUNCTION("GOOGLETRANSLATE(B3879,""id"",""en"")"),"['The network', 'severe', 'gini', 'Telkomsel', 'slow', 'slow', 'slow', 'Ditelkomsel', 'pokonya', 'really', 'network', ""]")</f>
        <v>['The network', 'severe', 'gini', 'Telkomsel', 'slow', 'slow', 'slow', 'Ditelkomsel', 'pokonya', 'really', 'network', "]</v>
      </c>
      <c r="D3879" s="3">
        <v>1.0</v>
      </c>
    </row>
    <row r="3880" ht="15.75" customHeight="1">
      <c r="A3880" s="1">
        <v>4145.0</v>
      </c>
      <c r="B3880" s="3" t="s">
        <v>3784</v>
      </c>
      <c r="C3880" s="3" t="str">
        <f>IFERROR(__xludf.DUMMYFUNCTION("GOOGLETRANSLATE(B3880,""id"",""en"")"),"['knapa', 'Telkomsel', 'sucked', 'pulse', 'quota', 'data', 'quota', 'GB', 'sucked', 'pulses', ""]")</f>
        <v>['knapa', 'Telkomsel', 'sucked', 'pulse', 'quota', 'data', 'quota', 'GB', 'sucked', 'pulses', "]</v>
      </c>
      <c r="D3880" s="3">
        <v>1.0</v>
      </c>
    </row>
    <row r="3881" ht="15.75" customHeight="1">
      <c r="A3881" s="1">
        <v>4146.0</v>
      </c>
      <c r="B3881" s="3" t="s">
        <v>3785</v>
      </c>
      <c r="C3881" s="3" t="str">
        <f>IFERROR(__xludf.DUMMYFUNCTION("GOOGLETRANSLATE(B3881,""id"",""en"")"),"['expensive', 'package', 'lbih', 'expensive', 'package', 'money', 'eat', 'clay', 'package', 'then', 'as good', 'dlu', ' his seinya ',' ugly ',' ']")</f>
        <v>['expensive', 'package', 'lbih', 'expensive', 'package', 'money', 'eat', 'clay', 'package', 'then', 'as good', 'dlu', ' his seinya ',' ugly ',' ']</v>
      </c>
      <c r="D3881" s="3">
        <v>3.0</v>
      </c>
    </row>
    <row r="3882" ht="15.75" customHeight="1">
      <c r="A3882" s="1">
        <v>4147.0</v>
      </c>
      <c r="B3882" s="3" t="s">
        <v>3786</v>
      </c>
      <c r="C3882" s="3" t="str">
        <f>IFERROR(__xludf.DUMMYFUNCTION("GOOGLETRANSLATE(B3882,""id"",""en"")"),"['Satisfied', 'Waiter', 'Telkomsel']")</f>
        <v>['Satisfied', 'Waiter', 'Telkomsel']</v>
      </c>
      <c r="D3882" s="3">
        <v>5.0</v>
      </c>
    </row>
    <row r="3883" ht="15.75" customHeight="1">
      <c r="A3883" s="1">
        <v>4148.0</v>
      </c>
      <c r="B3883" s="3" t="s">
        <v>3787</v>
      </c>
      <c r="C3883" s="3" t="str">
        <f>IFERROR(__xludf.DUMMYFUNCTION("GOOGLETRANSLATE(B3883,""id"",""en"")"),"['signal', 'disorder', 'ngotake', 'yes', 'disorder', 'forging', 'clock', '']")</f>
        <v>['signal', 'disorder', 'ngotake', 'yes', 'disorder', 'forging', 'clock', '']</v>
      </c>
      <c r="D3883" s="3">
        <v>1.0</v>
      </c>
    </row>
    <row r="3884" ht="15.75" customHeight="1">
      <c r="A3884" s="1">
        <v>4149.0</v>
      </c>
      <c r="B3884" s="3" t="s">
        <v>3788</v>
      </c>
      <c r="C3884" s="3" t="str">
        <f>IFERROR(__xludf.DUMMYFUNCTION("GOOGLETRANSLATE(B3884,""id"",""en"")"),"['Help', 'Customer']")</f>
        <v>['Help', 'Customer']</v>
      </c>
      <c r="D3884" s="3">
        <v>5.0</v>
      </c>
    </row>
    <row r="3885" ht="15.75" customHeight="1">
      <c r="A3885" s="1">
        <v>4150.0</v>
      </c>
      <c r="B3885" s="3" t="s">
        <v>3789</v>
      </c>
      <c r="C3885" s="3" t="str">
        <f>IFERROR(__xludf.DUMMYFUNCTION("GOOGLETRANSLATE(B3885,""id"",""en"")"),"['Good', 'Application', 'MyTelkomsel', 'Thank', 'Kasin']")</f>
        <v>['Good', 'Application', 'MyTelkomsel', 'Thank', 'Kasin']</v>
      </c>
      <c r="D3885" s="3">
        <v>5.0</v>
      </c>
    </row>
    <row r="3886" ht="15.75" customHeight="1">
      <c r="A3886" s="1">
        <v>4151.0</v>
      </c>
      <c r="B3886" s="3" t="s">
        <v>3790</v>
      </c>
      <c r="C3886" s="3" t="str">
        <f>IFERROR(__xludf.DUMMYFUNCTION("GOOGLETRANSLATE(B3886,""id"",""en"")"),"['love', 'description', 'package', 'my area', 'signal', 'package', 'cheerful', 'online', 'match', 'game', 'pes',' please ',' responded ',' mentang ',' mentang ',' favoring ',' signal ',' broad ',' listen ',' consumer ']")</f>
        <v>['love', 'description', 'package', 'my area', 'signal', 'package', 'cheerful', 'online', 'match', 'game', 'pes',' please ',' responded ',' mentang ',' mentang ',' favoring ',' signal ',' broad ',' listen ',' consumer ']</v>
      </c>
      <c r="D3886" s="3">
        <v>2.0</v>
      </c>
    </row>
    <row r="3887" ht="15.75" customHeight="1">
      <c r="A3887" s="1">
        <v>4152.0</v>
      </c>
      <c r="B3887" s="3" t="s">
        <v>3791</v>
      </c>
      <c r="C3887" s="3" t="str">
        <f>IFERROR(__xludf.DUMMYFUNCTION("GOOGLETRANSLATE(B3887,""id"",""en"")"),"['Increases', 'Signal', 'Plosok', 'Region', '']")</f>
        <v>['Increases', 'Signal', 'Plosok', 'Region', '']</v>
      </c>
      <c r="D3887" s="3">
        <v>5.0</v>
      </c>
    </row>
    <row r="3888" ht="15.75" customHeight="1">
      <c r="A3888" s="1">
        <v>4153.0</v>
      </c>
      <c r="B3888" s="3" t="s">
        <v>3792</v>
      </c>
      <c r="C3888" s="3" t="str">
        <f>IFERROR(__xludf.DUMMYFUNCTION("GOOGLETRANSLATE(B3888,""id"",""en"")"),"['Severe', 'pulses', 'abis', 'data', 'dead', 'abis', 'already', 'time', '']")</f>
        <v>['Severe', 'pulses', 'abis', 'data', 'dead', 'abis', 'already', 'time', '']</v>
      </c>
      <c r="D3888" s="3">
        <v>1.0</v>
      </c>
    </row>
    <row r="3889" ht="15.75" customHeight="1">
      <c r="A3889" s="1">
        <v>4154.0</v>
      </c>
      <c r="B3889" s="3" t="s">
        <v>3793</v>
      </c>
      <c r="C3889" s="3" t="str">
        <f>IFERROR(__xludf.DUMMYFUNCTION("GOOGLETRANSLATE(B3889,""id"",""en"")"),"['France', 'Update', 'Function', 'Benefit', 'Points',' Cell ',' Please ',' Useful ',' Voucher ',' Shopping ',' Marketplace ',' Strange ',' strange']")</f>
        <v>['France', 'Update', 'Function', 'Benefit', 'Points',' Cell ',' Please ',' Useful ',' Voucher ',' Shopping ',' Marketplace ',' Strange ',' strange']</v>
      </c>
      <c r="D3889" s="3">
        <v>5.0</v>
      </c>
    </row>
    <row r="3890" ht="15.75" customHeight="1">
      <c r="A3890" s="1">
        <v>4155.0</v>
      </c>
      <c r="B3890" s="3" t="s">
        <v>3794</v>
      </c>
      <c r="C3890" s="3" t="str">
        <f>IFERROR(__xludf.DUMMYFUNCTION("GOOGLETRANSLATE(B3890,""id"",""en"")"),"['Love', 'Star', 'fill', 'voucher', 'difficult', '']")</f>
        <v>['Love', 'Star', 'fill', 'voucher', 'difficult', '']</v>
      </c>
      <c r="D3890" s="3">
        <v>1.0</v>
      </c>
    </row>
    <row r="3891" ht="15.75" customHeight="1">
      <c r="A3891" s="1">
        <v>4157.0</v>
      </c>
      <c r="B3891" s="3" t="s">
        <v>3795</v>
      </c>
      <c r="C3891" s="3" t="str">
        <f>IFERROR(__xludf.DUMMYFUNCTION("GOOGLETRANSLATE(B3891,""id"",""en"")"),"['Good', 'easy', 'hope', 'application', 'Dragus', 'trimksh']")</f>
        <v>['Good', 'easy', 'hope', 'application', 'Dragus', 'trimksh']</v>
      </c>
      <c r="D3891" s="3">
        <v>5.0</v>
      </c>
    </row>
    <row r="3892" ht="15.75" customHeight="1">
      <c r="A3892" s="1">
        <v>4158.0</v>
      </c>
      <c r="B3892" s="3" t="s">
        <v>3796</v>
      </c>
      <c r="C3892" s="3" t="str">
        <f>IFERROR(__xludf.DUMMYFUNCTION("GOOGLETRANSLATE(B3892,""id"",""en"")"),"['Signal', 'smakin', 'down', 'fix', 'move', 'peovider', 'user', 'taun']")</f>
        <v>['Signal', 'smakin', 'down', 'fix', 'move', 'peovider', 'user', 'taun']</v>
      </c>
      <c r="D3892" s="3">
        <v>1.0</v>
      </c>
    </row>
    <row r="3893" ht="15.75" customHeight="1">
      <c r="A3893" s="1">
        <v>4159.0</v>
      </c>
      <c r="B3893" s="3" t="s">
        <v>3797</v>
      </c>
      <c r="C3893" s="3" t="str">
        <f>IFERROR(__xludf.DUMMYFUNCTION("GOOGLETRANSLATE(B3893,""id"",""en"")"),"['disappointing', 'transaction', 'failed']")</f>
        <v>['disappointing', 'transaction', 'failed']</v>
      </c>
      <c r="D3893" s="3">
        <v>1.0</v>
      </c>
    </row>
    <row r="3894" ht="15.75" customHeight="1">
      <c r="A3894" s="1">
        <v>4160.0</v>
      </c>
      <c r="B3894" s="3" t="s">
        <v>3798</v>
      </c>
      <c r="C3894" s="3" t="str">
        <f>IFERROR(__xludf.DUMMYFUNCTION("GOOGLETRANSLATE(B3894,""id"",""en"")"),"['Felt', 'Satisfied', 'Week', 'Package', 'Rb', 'already', 'please', 'stingy', 'looked', 'money', 'tasty', 'kah', ' ']")</f>
        <v>['Felt', 'Satisfied', 'Week', 'Package', 'Rb', 'already', 'please', 'stingy', 'looked', 'money', 'tasty', 'kah', ' ']</v>
      </c>
      <c r="D3894" s="3">
        <v>1.0</v>
      </c>
    </row>
    <row r="3895" ht="15.75" customHeight="1">
      <c r="A3895" s="1">
        <v>4161.0</v>
      </c>
      <c r="B3895" s="3" t="s">
        <v>3799</v>
      </c>
      <c r="C3895" s="3" t="str">
        <f>IFERROR(__xludf.DUMMYFUNCTION("GOOGLETRANSLATE(B3895,""id"",""en"")"),"['Nomer']")</f>
        <v>['Nomer']</v>
      </c>
      <c r="D3895" s="3">
        <v>5.0</v>
      </c>
    </row>
    <row r="3896" ht="15.75" customHeight="1">
      <c r="A3896" s="1">
        <v>4162.0</v>
      </c>
      <c r="B3896" s="3" t="s">
        <v>3800</v>
      </c>
      <c r="C3896" s="3" t="str">
        <f>IFERROR(__xludf.DUMMYFUNCTION("GOOGLETRANSLATE(B3896,""id"",""en"")"),"['expensive', 'slow']")</f>
        <v>['expensive', 'slow']</v>
      </c>
      <c r="D3896" s="3">
        <v>2.0</v>
      </c>
    </row>
    <row r="3897" ht="15.75" customHeight="1">
      <c r="A3897" s="1">
        <v>4163.0</v>
      </c>
      <c r="B3897" s="3" t="s">
        <v>3801</v>
      </c>
      <c r="C3897" s="3" t="str">
        <f>IFERROR(__xludf.DUMMYFUNCTION("GOOGLETRANSLATE(B3897,""id"",""en"")"),"['Good', 'fast', 'save', '']")</f>
        <v>['Good', 'fast', 'save', '']</v>
      </c>
      <c r="D3897" s="3">
        <v>1.0</v>
      </c>
    </row>
    <row r="3898" ht="15.75" customHeight="1">
      <c r="A3898" s="1">
        <v>4164.0</v>
      </c>
      <c r="B3898" s="3" t="s">
        <v>3802</v>
      </c>
      <c r="C3898" s="3" t="str">
        <f>IFERROR(__xludf.DUMMYFUNCTION("GOOGLETRANSLATE(B3898,""id"",""en"")"),"['strange', 'version', 'miss', 'apps', 'hhhh']")</f>
        <v>['strange', 'version', 'miss', 'apps', 'hhhh']</v>
      </c>
      <c r="D3898" s="3">
        <v>3.0</v>
      </c>
    </row>
    <row r="3899" ht="15.75" customHeight="1">
      <c r="A3899" s="1">
        <v>4165.0</v>
      </c>
      <c r="B3899" s="3" t="s">
        <v>3803</v>
      </c>
      <c r="C3899" s="3" t="str">
        <f>IFERROR(__xludf.DUMMYFUNCTION("GOOGLETRANSLATE(B3899,""id"",""en"")"),"['Good', 'application', 'easy', 'use']")</f>
        <v>['Good', 'application', 'easy', 'use']</v>
      </c>
      <c r="D3899" s="3">
        <v>5.0</v>
      </c>
    </row>
    <row r="3900" ht="15.75" customHeight="1">
      <c r="A3900" s="1">
        <v>4166.0</v>
      </c>
      <c r="B3900" s="3" t="s">
        <v>3804</v>
      </c>
      <c r="C3900" s="3" t="str">
        <f>IFERROR(__xludf.DUMMYFUNCTION("GOOGLETRANSLATE(B3900,""id"",""en"")"),"['Telkomsel', 'Uninstall', 'installed', 'Install', 'Update', '']")</f>
        <v>['Telkomsel', 'Uninstall', 'installed', 'Install', 'Update', '']</v>
      </c>
      <c r="D3900" s="3">
        <v>5.0</v>
      </c>
    </row>
    <row r="3901" ht="15.75" customHeight="1">
      <c r="A3901" s="1">
        <v>4167.0</v>
      </c>
      <c r="B3901" s="3" t="s">
        <v>3805</v>
      </c>
      <c r="C3901" s="3" t="str">
        <f>IFERROR(__xludf.DUMMYFUNCTION("GOOGLETRANSLATE(B3901,""id"",""en"")"),"['disruption', 'system', 'buy', 'quotaaaa', 'dahlah', 'hemovess',' already ',' deleted ',' right ',' download ',' reset ',' disorder ',' System ',' Delete ']")</f>
        <v>['disruption', 'system', 'buy', 'quotaaaa', 'dahlah', 'hemovess',' already ',' deleted ',' right ',' download ',' reset ',' disorder ',' System ',' Delete ']</v>
      </c>
      <c r="D3901" s="3">
        <v>1.0</v>
      </c>
    </row>
    <row r="3902" ht="15.75" customHeight="1">
      <c r="A3902" s="1">
        <v>4168.0</v>
      </c>
      <c r="B3902" s="3" t="s">
        <v>3806</v>
      </c>
      <c r="C3902" s="3" t="str">
        <f>IFERROR(__xludf.DUMMYFUNCTION("GOOGLETRANSLATE(B3902,""id"",""en"")"),"['Reach', 'Region']")</f>
        <v>['Reach', 'Region']</v>
      </c>
      <c r="D3902" s="3">
        <v>4.0</v>
      </c>
    </row>
    <row r="3903" ht="15.75" customHeight="1">
      <c r="A3903" s="1">
        <v>4169.0</v>
      </c>
      <c r="B3903" s="3" t="s">
        <v>3807</v>
      </c>
      <c r="C3903" s="3" t="str">
        <f>IFERROR(__xludf.DUMMYFUNCTION("GOOGLETRANSLATE(B3903,""id"",""en"")"),"['fast', 'easy', 'simple']")</f>
        <v>['fast', 'easy', 'simple']</v>
      </c>
      <c r="D3903" s="3">
        <v>5.0</v>
      </c>
    </row>
    <row r="3904" ht="15.75" customHeight="1">
      <c r="A3904" s="1">
        <v>4170.0</v>
      </c>
      <c r="B3904" s="3" t="s">
        <v>3808</v>
      </c>
      <c r="C3904" s="3" t="str">
        <f>IFERROR(__xludf.DUMMYFUNCTION("GOOGLETRANSLATE(B3904,""id"",""en"")"),"['try', 'application']")</f>
        <v>['try', 'application']</v>
      </c>
      <c r="D3904" s="3">
        <v>5.0</v>
      </c>
    </row>
    <row r="3905" ht="15.75" customHeight="1">
      <c r="A3905" s="1">
        <v>4171.0</v>
      </c>
      <c r="B3905" s="3" t="s">
        <v>3809</v>
      </c>
      <c r="C3905" s="3" t="str">
        <f>IFERROR(__xludf.DUMMYFUNCTION("GOOGLETRANSLATE(B3905,""id"",""en"")"),"['Android', 'Meng', 'Download', 'App', 'Update']")</f>
        <v>['Android', 'Meng', 'Download', 'App', 'Update']</v>
      </c>
      <c r="D3905" s="3">
        <v>1.0</v>
      </c>
    </row>
    <row r="3906" ht="15.75" customHeight="1">
      <c r="A3906" s="1">
        <v>4172.0</v>
      </c>
      <c r="B3906" s="3" t="s">
        <v>3810</v>
      </c>
      <c r="C3906" s="3" t="str">
        <f>IFERROR(__xludf.DUMMYFUNCTION("GOOGLETRANSLATE(B3906,""id"",""en"")"),"['price', 'like', 'changed', 'like', 'heart', 'right', 'trick', 'marketing', 'annoying', 'example', 'contents',' right ',' Buy ',' Over ',' Discount ',' RB ',' Musti ',' Fill ',' Contents', 'Minimal', 'Rb', 'Banted', ""]")</f>
        <v>['price', 'like', 'changed', 'like', 'heart', 'right', 'trick', 'marketing', 'annoying', 'example', 'contents',' right ',' Buy ',' Over ',' Discount ',' RB ',' Musti ',' Fill ',' Contents', 'Minimal', 'Rb', 'Banted', "]</v>
      </c>
      <c r="D3906" s="3">
        <v>1.0</v>
      </c>
    </row>
    <row r="3907" ht="15.75" customHeight="1">
      <c r="A3907" s="1">
        <v>4173.0</v>
      </c>
      <c r="B3907" s="3" t="s">
        <v>3811</v>
      </c>
      <c r="C3907" s="3" t="str">
        <f>IFERROR(__xludf.DUMMYFUNCTION("GOOGLETRANSLATE(B3907,""id"",""en"")"),"['Help', 'help']")</f>
        <v>['Help', 'help']</v>
      </c>
      <c r="D3907" s="3">
        <v>4.0</v>
      </c>
    </row>
    <row r="3908" ht="15.75" customHeight="1">
      <c r="A3908" s="1">
        <v>4175.0</v>
      </c>
      <c r="B3908" s="3" t="s">
        <v>3812</v>
      </c>
      <c r="C3908" s="3" t="str">
        <f>IFERROR(__xludf.DUMMYFUNCTION("GOOGLETRANSLATE(B3908,""id"",""en"")"),"['play', 'game', 'signal', 'full', 'lag', 'lag', 'browsing', 'fast', 'kbs',' play ',' game ',' speed ',' transfer']")</f>
        <v>['play', 'game', 'signal', 'full', 'lag', 'lag', 'browsing', 'fast', 'kbs',' play ',' game ',' speed ',' transfer']</v>
      </c>
      <c r="D3908" s="3">
        <v>1.0</v>
      </c>
    </row>
    <row r="3909" ht="15.75" customHeight="1">
      <c r="A3909" s="1">
        <v>4176.0</v>
      </c>
      <c r="B3909" s="3" t="s">
        <v>3813</v>
      </c>
      <c r="C3909" s="3" t="str">
        <f>IFERROR(__xludf.DUMMYFUNCTION("GOOGLETRANSLATE(B3909,""id"",""en"")"),"['pulses',' lost ',' card ',' Telkomsel ',' open ',' application ',' pulses', 'reduced', 'reduced', 'as',' data ',' cellular ',' critical']")</f>
        <v>['pulses',' lost ',' card ',' Telkomsel ',' open ',' application ',' pulses', 'reduced', 'reduced', 'as',' data ',' cellular ',' critical']</v>
      </c>
      <c r="D3909" s="3">
        <v>1.0</v>
      </c>
    </row>
    <row r="3910" ht="15.75" customHeight="1">
      <c r="A3910" s="1">
        <v>4177.0</v>
      </c>
      <c r="B3910" s="3" t="s">
        <v>3814</v>
      </c>
      <c r="C3910" s="3" t="str">
        <f>IFERROR(__xludf.DUMMYFUNCTION("GOOGLETRANSLATE(B3910,""id"",""en"")"),"['busy', 'promo', 'min', 'conditionin', 'network', 'minimal', 'rich', 'here', 'good', 'bad', 'the network', ""]")</f>
        <v>['busy', 'promo', 'min', 'conditionin', 'network', 'minimal', 'rich', 'here', 'good', 'bad', 'the network', "]</v>
      </c>
      <c r="D3910" s="3">
        <v>1.0</v>
      </c>
    </row>
    <row r="3911" ht="15.75" customHeight="1">
      <c r="A3911" s="1">
        <v>4178.0</v>
      </c>
      <c r="B3911" s="3" t="s">
        <v>3815</v>
      </c>
      <c r="C3911" s="3" t="str">
        <f>IFERROR(__xludf.DUMMYFUNCTION("GOOGLETRANSLATE(B3911,""id"",""en"")"),"['hope', 'Telkomsel', 'service', 'prime']")</f>
        <v>['hope', 'Telkomsel', 'service', 'prime']</v>
      </c>
      <c r="D3911" s="3">
        <v>5.0</v>
      </c>
    </row>
    <row r="3912" ht="15.75" customHeight="1">
      <c r="A3912" s="1">
        <v>4179.0</v>
      </c>
      <c r="B3912" s="3" t="s">
        <v>3816</v>
      </c>
      <c r="C3912" s="3" t="str">
        <f>IFERROR(__xludf.DUMMYFUNCTION("GOOGLETRANSLATE(B3912,""id"",""en"")"),"['Paketan', 'enter', 'sense', 'replace', 'change', 'price', 'moral', 'price', 'package', 'right', 'signal', 'here' strange ',' rich ']")</f>
        <v>['Paketan', 'enter', 'sense', 'replace', 'change', 'price', 'moral', 'price', 'package', 'right', 'signal', 'here' strange ',' rich ']</v>
      </c>
      <c r="D3912" s="3">
        <v>3.0</v>
      </c>
    </row>
    <row r="3913" ht="15.75" customHeight="1">
      <c r="A3913" s="1">
        <v>4180.0</v>
      </c>
      <c r="B3913" s="3" t="s">
        <v>3817</v>
      </c>
      <c r="C3913" s="3" t="str">
        <f>IFERROR(__xludf.DUMMYFUNCTION("GOOGLETRANSLATE(B3913,""id"",""en"")"),"['buy', 'Telkomsel', 'COK', 'Sinynya', 'no', 'like', 'getting', 'right', 'play', 'network', 'no', 'as good', ' really ',' right ',' play ',' ping ',' then ',' lose ',' Gara ',' Gara ',' Telkomsel ',' already ',' no ',' right ',' no ' , 'rich', 'love', 'st"&amp;"ar', '']")</f>
        <v>['buy', 'Telkomsel', 'COK', 'Sinynya', 'no', 'like', 'getting', 'right', 'play', 'network', 'no', 'as good', ' really ',' right ',' play ',' ping ',' then ',' lose ',' Gara ',' Gara ',' Telkomsel ',' already ',' no ',' right ',' no ' , 'rich', 'love', 'star', '']</v>
      </c>
      <c r="D3913" s="3">
        <v>1.0</v>
      </c>
    </row>
    <row r="3914" ht="15.75" customHeight="1">
      <c r="A3914" s="1">
        <v>4181.0</v>
      </c>
      <c r="B3914" s="3" t="s">
        <v>3818</v>
      </c>
      <c r="C3914" s="3" t="str">
        <f>IFERROR(__xludf.DUMMYFUNCTION("GOOGLETRANSLATE(B3914,""id"",""en"")"),"['Hopefully', 'steady']")</f>
        <v>['Hopefully', 'steady']</v>
      </c>
      <c r="D3914" s="3">
        <v>4.0</v>
      </c>
    </row>
    <row r="3915" ht="15.75" customHeight="1">
      <c r="A3915" s="1">
        <v>4182.0</v>
      </c>
      <c r="B3915" s="3" t="s">
        <v>3819</v>
      </c>
      <c r="C3915" s="3" t="str">
        <f>IFERROR(__xludf.DUMMYFUNCTION("GOOGLETRANSLATE(B3915,""id"",""en"")"),"['signal', 'shipping', 'ebill', 'constrained']")</f>
        <v>['signal', 'shipping', 'ebill', 'constrained']</v>
      </c>
      <c r="D3915" s="3">
        <v>1.0</v>
      </c>
    </row>
    <row r="3916" ht="15.75" customHeight="1">
      <c r="A3916" s="1">
        <v>4183.0</v>
      </c>
      <c r="B3916" s="3" t="s">
        <v>3820</v>
      </c>
      <c r="C3916" s="3" t="str">
        <f>IFERROR(__xludf.DUMMYFUNCTION("GOOGLETRANSLATE(B3916,""id"",""en"")"),"['Okay', 'choice', 'bonus', '']")</f>
        <v>['Okay', 'choice', 'bonus', '']</v>
      </c>
      <c r="D3916" s="3">
        <v>5.0</v>
      </c>
    </row>
    <row r="3917" ht="15.75" customHeight="1">
      <c r="A3917" s="1">
        <v>4185.0</v>
      </c>
      <c r="B3917" s="3" t="s">
        <v>3821</v>
      </c>
      <c r="C3917" s="3" t="str">
        <f>IFERROR(__xludf.DUMMYFUNCTION("GOOGLETRANSLATE(B3917,""id"",""en"")"),"['Alhamdulillah', 'Helpful']")</f>
        <v>['Alhamdulillah', 'Helpful']</v>
      </c>
      <c r="D3917" s="3">
        <v>5.0</v>
      </c>
    </row>
    <row r="3918" ht="15.75" customHeight="1">
      <c r="A3918" s="1">
        <v>4186.0</v>
      </c>
      <c r="B3918" s="3" t="s">
        <v>3822</v>
      </c>
      <c r="C3918" s="3" t="str">
        <f>IFERROR(__xludf.DUMMYFUNCTION("GOOGLETRANSLATE(B3918,""id"",""en"")"),"['Help', 'Package', 'Data', 'Cheap', '']")</f>
        <v>['Help', 'Package', 'Data', 'Cheap', '']</v>
      </c>
      <c r="D3918" s="3">
        <v>5.0</v>
      </c>
    </row>
    <row r="3919" ht="15.75" customHeight="1">
      <c r="A3919" s="1">
        <v>4188.0</v>
      </c>
      <c r="B3919" s="3" t="s">
        <v>3823</v>
      </c>
      <c r="C3919" s="3" t="str">
        <f>IFERROR(__xludf.DUMMYFUNCTION("GOOGLETRANSLATE(B3919,""id"",""en"")"),"['pulse', 'Sumpot', 'quota', 'minister']")</f>
        <v>['pulse', 'Sumpot', 'quota', 'minister']</v>
      </c>
      <c r="D3919" s="3">
        <v>1.0</v>
      </c>
    </row>
    <row r="3920" ht="15.75" customHeight="1">
      <c r="A3920" s="1">
        <v>4189.0</v>
      </c>
      <c r="B3920" s="3" t="s">
        <v>3824</v>
      </c>
      <c r="C3920" s="3" t="str">
        <f>IFERROR(__xludf.DUMMYFUNCTION("GOOGLETRANSLATE(B3920,""id"",""en"")"),"['Event', 'people', 'thank', 'love', 'package', 'cheap', 'area', 'Jabodetabek', 'hope', 'Package', '']")</f>
        <v>['Event', 'people', 'thank', 'love', 'package', 'cheap', 'area', 'Jabodetabek', 'hope', 'Package', '']</v>
      </c>
      <c r="D3920" s="3">
        <v>5.0</v>
      </c>
    </row>
    <row r="3921" ht="15.75" customHeight="1">
      <c r="A3921" s="1">
        <v>4190.0</v>
      </c>
      <c r="B3921" s="3" t="s">
        <v>3825</v>
      </c>
      <c r="C3921" s="3" t="str">
        <f>IFERROR(__xludf.DUMMYFUNCTION("GOOGLETRANSLATE(B3921,""id"",""en"")"),"['Telkomsel', 'UDH', 'in the area', 'Telkomsel', 'good', 'network', 'learn', 'online', 'satisfying', 'plus',' interface ',' application ',' User ',' Friendly ',' Thank ',' Love ',' Service ']")</f>
        <v>['Telkomsel', 'UDH', 'in the area', 'Telkomsel', 'good', 'network', 'learn', 'online', 'satisfying', 'plus',' interface ',' application ',' User ',' Friendly ',' Thank ',' Love ',' Service ']</v>
      </c>
      <c r="D3921" s="3">
        <v>5.0</v>
      </c>
    </row>
    <row r="3922" ht="15.75" customHeight="1">
      <c r="A3922" s="1">
        <v>4192.0</v>
      </c>
      <c r="B3922" s="3" t="s">
        <v>3826</v>
      </c>
      <c r="C3922" s="3" t="str">
        <f>IFERROR(__xludf.DUMMYFUNCTION("GOOGLETRANSLATE(B3922,""id"",""en"")"),"['Yogya']")</f>
        <v>['Yogya']</v>
      </c>
      <c r="D3922" s="3">
        <v>3.0</v>
      </c>
    </row>
    <row r="3923" ht="15.75" customHeight="1">
      <c r="A3923" s="1">
        <v>4194.0</v>
      </c>
      <c r="B3923" s="3" t="s">
        <v>3827</v>
      </c>
      <c r="C3923" s="3" t="str">
        <f>IFERROR(__xludf.DUMMYFUNCTION("GOOGLETRANSLATE(B3923,""id"",""en"")"),"['makes it easier', 'transaction', 'purchase', 'pulse', 'quota']")</f>
        <v>['makes it easier', 'transaction', 'purchase', 'pulse', 'quota']</v>
      </c>
      <c r="D3923" s="3">
        <v>5.0</v>
      </c>
    </row>
    <row r="3924" ht="15.75" customHeight="1">
      <c r="A3924" s="1">
        <v>4195.0</v>
      </c>
      <c r="B3924" s="3" t="s">
        <v>3828</v>
      </c>
      <c r="C3924" s="3" t="str">
        <f>IFERROR(__xludf.DUMMYFUNCTION("GOOGLETRANSLATE(B3924,""id"",""en"")"),"['Lost', 'Network']")</f>
        <v>['Lost', 'Network']</v>
      </c>
      <c r="D3924" s="3">
        <v>3.0</v>
      </c>
    </row>
    <row r="3925" ht="15.75" customHeight="1">
      <c r="A3925" s="1">
        <v>4196.0</v>
      </c>
      <c r="B3925" s="3" t="s">
        <v>3829</v>
      </c>
      <c r="C3925" s="3" t="str">
        <f>IFERROR(__xludf.DUMMYFUNCTION("GOOGLETRANSLATE(B3925,""id"",""en"")"),"['Making', 'communication', 'economical', 'easy']")</f>
        <v>['Making', 'communication', 'economical', 'easy']</v>
      </c>
      <c r="D3925" s="3">
        <v>5.0</v>
      </c>
    </row>
    <row r="3926" ht="15.75" customHeight="1">
      <c r="A3926" s="1">
        <v>4197.0</v>
      </c>
      <c r="B3926" s="3" t="s">
        <v>3830</v>
      </c>
      <c r="C3926" s="3" t="str">
        <f>IFERROR(__xludf.DUMMYFUNCTION("GOOGLETRANSLATE(B3926,""id"",""en"")"),"['', 'please', 'fix', 'network', 'please', 'quota', 'price', 'affordable', 'economy', 'weak']")</f>
        <v>['', 'please', 'fix', 'network', 'please', 'quota', 'price', 'affordable', 'economy', 'weak']</v>
      </c>
      <c r="D3926" s="3">
        <v>2.0</v>
      </c>
    </row>
    <row r="3927" ht="15.75" customHeight="1">
      <c r="A3927" s="1">
        <v>4198.0</v>
      </c>
      <c r="B3927" s="3" t="s">
        <v>3831</v>
      </c>
      <c r="C3927" s="3" t="str">
        <f>IFERROR(__xludf.DUMMYFUNCTION("GOOGLETRANSLATE(B3927,""id"",""en"")"),"['Registered']")</f>
        <v>['Registered']</v>
      </c>
      <c r="D3927" s="3">
        <v>5.0</v>
      </c>
    </row>
    <row r="3928" ht="15.75" customHeight="1">
      <c r="A3928" s="1">
        <v>4199.0</v>
      </c>
      <c r="B3928" s="3" t="s">
        <v>3832</v>
      </c>
      <c r="C3928" s="3" t="str">
        <f>IFERROR(__xludf.DUMMYFUNCTION("GOOGLETRANSLATE(B3928,""id"",""en"")"),"['application', 'slow', 'really']")</f>
        <v>['application', 'slow', 'really']</v>
      </c>
      <c r="D3928" s="3">
        <v>1.0</v>
      </c>
    </row>
    <row r="3929" ht="15.75" customHeight="1">
      <c r="A3929" s="1">
        <v>4200.0</v>
      </c>
      <c r="B3929" s="3" t="s">
        <v>3833</v>
      </c>
      <c r="C3929" s="3" t="str">
        <f>IFERROR(__xludf.DUMMYFUNCTION("GOOGLETRANSLATE(B3929,""id"",""en"")"),"['Please', 'gift', 'prize', 'that's']")</f>
        <v>['Please', 'gift', 'prize', 'that's']</v>
      </c>
      <c r="D3929" s="3">
        <v>5.0</v>
      </c>
    </row>
    <row r="3930" ht="15.75" customHeight="1">
      <c r="A3930" s="1">
        <v>4201.0</v>
      </c>
      <c r="B3930" s="3" t="s">
        <v>3834</v>
      </c>
      <c r="C3930" s="3" t="str">
        <f>IFERROR(__xludf.DUMMYFUNCTION("GOOGLETRANSLATE(B3930,""id"",""en"")"),"['fix', 'icon', 'notification', 'android', 'appear', 'box']")</f>
        <v>['fix', 'icon', 'notification', 'android', 'appear', 'box']</v>
      </c>
      <c r="D3930" s="3">
        <v>1.0</v>
      </c>
    </row>
    <row r="3931" ht="15.75" customHeight="1">
      <c r="A3931" s="1">
        <v>4203.0</v>
      </c>
      <c r="B3931" s="3" t="s">
        <v>3835</v>
      </c>
      <c r="C3931" s="3" t="str">
        <f>IFERROR(__xludf.DUMMYFUNCTION("GOOGLETRANSLATE(B3931,""id"",""en"")"),"['Leading', 'Quality']")</f>
        <v>['Leading', 'Quality']</v>
      </c>
      <c r="D3931" s="3">
        <v>5.0</v>
      </c>
    </row>
    <row r="3932" ht="15.75" customHeight="1">
      <c r="A3932" s="1">
        <v>4204.0</v>
      </c>
      <c r="B3932" s="3" t="s">
        <v>3836</v>
      </c>
      <c r="C3932" s="3" t="str">
        <f>IFERROR(__xludf.DUMMYFUNCTION("GOOGLETRANSLATE(B3932,""id"",""en"")"),"['', 'Enhanced', 'Signal', 'Network', 'Application', 'Cook', 'in the city', 'class',' Telkomsel ',' his net ',' rotten ',' Maen ',' game ',' ']")</f>
        <v>['', 'Enhanced', 'Signal', 'Network', 'Application', 'Cook', 'in the city', 'class',' Telkomsel ',' his net ',' rotten ',' Maen ',' game ',' ']</v>
      </c>
      <c r="D3932" s="3">
        <v>1.0</v>
      </c>
    </row>
    <row r="3933" ht="15.75" customHeight="1">
      <c r="A3933" s="1">
        <v>4206.0</v>
      </c>
      <c r="B3933" s="3" t="s">
        <v>3837</v>
      </c>
      <c r="C3933" s="3" t="str">
        <f>IFERROR(__xludf.DUMMYFUNCTION("GOOGLETRANSLATE(B3933,""id"",""en"")"),"['promo', 'interesting']")</f>
        <v>['promo', 'interesting']</v>
      </c>
      <c r="D3933" s="3">
        <v>4.0</v>
      </c>
    </row>
    <row r="3934" ht="15.75" customHeight="1">
      <c r="A3934" s="1">
        <v>4208.0</v>
      </c>
      <c r="B3934" s="3" t="s">
        <v>3838</v>
      </c>
      <c r="C3934" s="3" t="str">
        <f>IFERROR(__xludf.DUMMYFUNCTION("GOOGLETRANSLATE(B3934,""id"",""en"")"),"['Save', 'practical']")</f>
        <v>['Save', 'practical']</v>
      </c>
      <c r="D3934" s="3">
        <v>5.0</v>
      </c>
    </row>
    <row r="3935" ht="15.75" customHeight="1">
      <c r="A3935" s="1">
        <v>4209.0</v>
      </c>
      <c r="B3935" s="3" t="s">
        <v>3839</v>
      </c>
      <c r="C3935" s="3" t="str">
        <f>IFERROR(__xludf.DUMMYFUNCTION("GOOGLETRANSLATE(B3935,""id"",""en"")"),"['Use', 'Help', 'LEG', 'Quota', 'Open', 'Download', 'Lower', 'Star', 'Satisfying', 'Delete', 'Use', ""]")</f>
        <v>['Use', 'Help', 'LEG', 'Quota', 'Open', 'Download', 'Lower', 'Star', 'Satisfying', 'Delete', 'Use', "]</v>
      </c>
      <c r="D3935" s="3">
        <v>3.0</v>
      </c>
    </row>
    <row r="3936" ht="15.75" customHeight="1">
      <c r="A3936" s="1">
        <v>4210.0</v>
      </c>
      <c r="B3936" s="3" t="s">
        <v>3840</v>
      </c>
      <c r="C3936" s="3" t="str">
        <f>IFERROR(__xludf.DUMMYFUNCTION("GOOGLETRANSLATE(B3936,""id"",""en"")"),"['Disappointed', 'Telkomsel', 'package', 'quota', 'contents', 'reset', 'data', 'empty', 'Telkomsel', 'directly', 'sucking', 'pulses']")</f>
        <v>['Disappointed', 'Telkomsel', 'package', 'quota', 'contents', 'reset', 'data', 'empty', 'Telkomsel', 'directly', 'sucking', 'pulses']</v>
      </c>
      <c r="D3936" s="3">
        <v>1.0</v>
      </c>
    </row>
    <row r="3937" ht="15.75" customHeight="1">
      <c r="A3937" s="1">
        <v>4211.0</v>
      </c>
      <c r="B3937" s="3" t="s">
        <v>2204</v>
      </c>
      <c r="C3937" s="3" t="str">
        <f>IFERROR(__xludf.DUMMYFUNCTION("GOOGLETRANSLATE(B3937,""id"",""en"")"),"['signal', 'good']")</f>
        <v>['signal', 'good']</v>
      </c>
      <c r="D3937" s="3">
        <v>3.0</v>
      </c>
    </row>
    <row r="3938" ht="15.75" customHeight="1">
      <c r="A3938" s="1">
        <v>4212.0</v>
      </c>
      <c r="B3938" s="3" t="s">
        <v>3841</v>
      </c>
      <c r="C3938" s="3" t="str">
        <f>IFERROR(__xludf.DUMMYFUNCTION("GOOGLETRANSLATE(B3938,""id"",""en"")"),"['Forward', 'Dlm', 'Technology', 'Success']")</f>
        <v>['Forward', 'Dlm', 'Technology', 'Success']</v>
      </c>
      <c r="D3938" s="3">
        <v>5.0</v>
      </c>
    </row>
    <row r="3939" ht="15.75" customHeight="1">
      <c r="A3939" s="1">
        <v>4213.0</v>
      </c>
      <c r="B3939" s="3" t="s">
        <v>3842</v>
      </c>
      <c r="C3939" s="3" t="str">
        <f>IFERROR(__xludf.DUMMYFUNCTION("GOOGLETRANSLATE(B3939,""id"",""en"")"),"['Memg', 'abandoned', 'combo', 'Sakti', 'max', 'cheap']")</f>
        <v>['Memg', 'abandoned', 'combo', 'Sakti', 'max', 'cheap']</v>
      </c>
      <c r="D3939" s="3">
        <v>5.0</v>
      </c>
    </row>
    <row r="3940" ht="15.75" customHeight="1">
      <c r="A3940" s="1">
        <v>4214.0</v>
      </c>
      <c r="B3940" s="3" t="s">
        <v>3843</v>
      </c>
      <c r="C3940" s="3" t="str">
        <f>IFERROR(__xludf.DUMMYFUNCTION("GOOGLETRANSLATE(B3940,""id"",""en"")"),"['makes it easier', 'transaction', 'complicated', 'forward', 'success', 'Telkomsel']")</f>
        <v>['makes it easier', 'transaction', 'complicated', 'forward', 'success', 'Telkomsel']</v>
      </c>
      <c r="D3940" s="3">
        <v>4.0</v>
      </c>
    </row>
    <row r="3941" ht="15.75" customHeight="1">
      <c r="A3941" s="1">
        <v>4215.0</v>
      </c>
      <c r="B3941" s="3" t="s">
        <v>3844</v>
      </c>
      <c r="C3941" s="3" t="str">
        <f>IFERROR(__xludf.DUMMYFUNCTION("GOOGLETRANSLATE(B3941,""id"",""en"")"),"['package', 'internet', 'like', 'take', 'pulses', 'as soon as', 'anjg', ""]")</f>
        <v>['package', 'internet', 'like', 'take', 'pulses', 'as soon as', 'anjg', "]</v>
      </c>
      <c r="D3941" s="3">
        <v>1.0</v>
      </c>
    </row>
    <row r="3942" ht="15.75" customHeight="1">
      <c r="A3942" s="1">
        <v>4216.0</v>
      </c>
      <c r="B3942" s="3" t="s">
        <v>3845</v>
      </c>
      <c r="C3942" s="3" t="str">
        <f>IFERROR(__xludf.DUMMYFUNCTION("GOOGLETRANSLATE(B3942,""id"",""en"")"),"['entry', 'Ribet']")</f>
        <v>['entry', 'Ribet']</v>
      </c>
      <c r="D3942" s="3">
        <v>2.0</v>
      </c>
    </row>
    <row r="3943" ht="15.75" customHeight="1">
      <c r="A3943" s="1">
        <v>4217.0</v>
      </c>
      <c r="B3943" s="3" t="s">
        <v>3846</v>
      </c>
      <c r="C3943" s="3" t="str">
        <f>IFERROR(__xludf.DUMMYFUNCTION("GOOGLETRANSLATE(B3943,""id"",""en"")"),"['fast', 'easy', 'save']")</f>
        <v>['fast', 'easy', 'save']</v>
      </c>
      <c r="D3943" s="3">
        <v>5.0</v>
      </c>
    </row>
    <row r="3944" ht="15.75" customHeight="1">
      <c r="A3944" s="1">
        <v>4218.0</v>
      </c>
      <c r="B3944" s="3" t="s">
        <v>3847</v>
      </c>
      <c r="C3944" s="3" t="str">
        <f>IFERROR(__xludf.DUMMYFUNCTION("GOOGLETRANSLATE(B3944,""id"",""en"")"),"['thank', 'love', 'offerings', 'tekomsel', 'communication', 'family', 'affordable', 'disorder', 'signal']")</f>
        <v>['thank', 'love', 'offerings', 'tekomsel', 'communication', 'family', 'affordable', 'disorder', 'signal']</v>
      </c>
      <c r="D3944" s="3">
        <v>5.0</v>
      </c>
    </row>
    <row r="3945" ht="15.75" customHeight="1">
      <c r="A3945" s="1">
        <v>4219.0</v>
      </c>
      <c r="B3945" s="3" t="s">
        <v>3848</v>
      </c>
      <c r="C3945" s="3" t="str">
        <f>IFERROR(__xludf.DUMMYFUNCTION("GOOGLETRANSLATE(B3945,""id"",""en"")"),"['Telokmsel', 'checked', 'quota', 'run out', '']")</f>
        <v>['Telokmsel', 'checked', 'quota', 'run out', '']</v>
      </c>
      <c r="D3945" s="3">
        <v>5.0</v>
      </c>
    </row>
    <row r="3946" ht="15.75" customHeight="1">
      <c r="A3946" s="1">
        <v>4220.0</v>
      </c>
      <c r="B3946" s="3" t="s">
        <v>3849</v>
      </c>
      <c r="C3946" s="3" t="str">
        <f>IFERROR(__xludf.DUMMYFUNCTION("GOOGLETRANSLATE(B3946,""id"",""en"")"),"['buy', 'pulse', 'buy', 'package', 'pulse', 'stay', 'data', 'active', 'lost', 'loss', 'orng', ""]")</f>
        <v>['buy', 'pulse', 'buy', 'package', 'pulse', 'stay', 'data', 'active', 'lost', 'loss', 'orng', "]</v>
      </c>
      <c r="D3946" s="3">
        <v>1.0</v>
      </c>
    </row>
    <row r="3947" ht="15.75" customHeight="1">
      <c r="A3947" s="1">
        <v>4221.0</v>
      </c>
      <c r="B3947" s="3" t="s">
        <v>3850</v>
      </c>
      <c r="C3947" s="3" t="str">
        <f>IFERROR(__xludf.DUMMYFUNCTION("GOOGLETRANSLATE(B3947,""id"",""en"")"),"['Good', 'Enhanced', 'Login']")</f>
        <v>['Good', 'Enhanced', 'Login']</v>
      </c>
      <c r="D3947" s="3">
        <v>5.0</v>
      </c>
    </row>
    <row r="3948" ht="15.75" customHeight="1">
      <c r="A3948" s="1">
        <v>4222.0</v>
      </c>
      <c r="B3948" s="3" t="s">
        <v>3851</v>
      </c>
      <c r="C3948" s="3" t="str">
        <f>IFERROR(__xludf.DUMMYFUNCTION("GOOGLETRANSLATE(B3948,""id"",""en"")"),"['application', 'slow', 'see', 'leftover', 'quota', 'uninstall', 'application', 'install', 'application', 'open', 'application', 'unload' Install ',' application ',' screen ',' white ',' screen ',' fix ',' application ',' bother ',' alternating ',' unload"&amp;" ',' install ',' application ',' see ' , 'Quota', '']")</f>
        <v>['application', 'slow', 'see', 'leftover', 'quota', 'uninstall', 'application', 'install', 'application', 'open', 'application', 'unload' Install ',' application ',' screen ',' white ',' screen ',' fix ',' application ',' bother ',' alternating ',' unload ',' install ',' application ',' see ' , 'Quota', '']</v>
      </c>
      <c r="D3948" s="3">
        <v>1.0</v>
      </c>
    </row>
    <row r="3949" ht="15.75" customHeight="1">
      <c r="A3949" s="1">
        <v>4223.0</v>
      </c>
      <c r="B3949" s="3" t="s">
        <v>3852</v>
      </c>
      <c r="C3949" s="3" t="str">
        <f>IFERROR(__xludf.DUMMYFUNCTION("GOOGLETRANSLATE(B3949,""id"",""en"")"),"['Star', 'Service', 'Prima']")</f>
        <v>['Star', 'Service', 'Prima']</v>
      </c>
      <c r="D3949" s="3">
        <v>5.0</v>
      </c>
    </row>
    <row r="3950" ht="15.75" customHeight="1">
      <c r="A3950" s="1">
        <v>4224.0</v>
      </c>
      <c r="B3950" s="3" t="s">
        <v>3853</v>
      </c>
      <c r="C3950" s="3" t="str">
        <f>IFERROR(__xludf.DUMMYFUNCTION("GOOGLETRANSLATE(B3950,""id"",""en"")"),"['Enhanced', 'signal', 'area']")</f>
        <v>['Enhanced', 'signal', 'area']</v>
      </c>
      <c r="D3950" s="3">
        <v>5.0</v>
      </c>
    </row>
    <row r="3951" ht="15.75" customHeight="1">
      <c r="A3951" s="1">
        <v>4225.0</v>
      </c>
      <c r="B3951" s="3" t="s">
        <v>3854</v>
      </c>
      <c r="C3951" s="3" t="str">
        <f>IFERROR(__xludf.DUMMYFUNCTION("GOOGLETRANSLATE(B3951,""id"",""en"")"),"['Mantep', 'really', 'Telkomsel', 'complaints', 'Direct', 'response', 'fast', 'Thank you', 'Telkomsel']")</f>
        <v>['Mantep', 'really', 'Telkomsel', 'complaints', 'Direct', 'response', 'fast', 'Thank you', 'Telkomsel']</v>
      </c>
      <c r="D3951" s="3">
        <v>5.0</v>
      </c>
    </row>
    <row r="3952" ht="15.75" customHeight="1">
      <c r="A3952" s="1">
        <v>4226.0</v>
      </c>
      <c r="B3952" s="3" t="s">
        <v>3855</v>
      </c>
      <c r="C3952" s="3" t="str">
        <f>IFERROR(__xludf.DUMMYFUNCTION("GOOGLETRANSLATE(B3952,""id"",""en"")"),"['Hoii', 'Telkomsel', 'update', 'package', 'quota', 'expensive', '']")</f>
        <v>['Hoii', 'Telkomsel', 'update', 'package', 'quota', 'expensive', '']</v>
      </c>
      <c r="D3952" s="3">
        <v>2.0</v>
      </c>
    </row>
    <row r="3953" ht="15.75" customHeight="1">
      <c r="A3953" s="1">
        <v>4227.0</v>
      </c>
      <c r="B3953" s="3" t="s">
        <v>3856</v>
      </c>
      <c r="C3953" s="3" t="str">
        <f>IFERROR(__xludf.DUMMYFUNCTION("GOOGLETRANSLATE(B3953,""id"",""en"")"),"['Lemot', 'Network', 'Good']")</f>
        <v>['Lemot', 'Network', 'Good']</v>
      </c>
      <c r="D3953" s="3">
        <v>2.0</v>
      </c>
    </row>
    <row r="3954" ht="15.75" customHeight="1">
      <c r="A3954" s="1">
        <v>4228.0</v>
      </c>
      <c r="B3954" s="3" t="s">
        <v>3857</v>
      </c>
      <c r="C3954" s="3" t="str">
        <f>IFERROR(__xludf.DUMMYFUNCTION("GOOGLETRANSLATE(B3954,""id"",""en"")"),"['Unlimited', 'Delete', 'slow']")</f>
        <v>['Unlimited', 'Delete', 'slow']</v>
      </c>
      <c r="D3954" s="3">
        <v>1.0</v>
      </c>
    </row>
    <row r="3955" ht="15.75" customHeight="1">
      <c r="A3955" s="1">
        <v>4229.0</v>
      </c>
      <c r="B3955" s="3" t="s">
        <v>3858</v>
      </c>
      <c r="C3955" s="3" t="str">
        <f>IFERROR(__xludf.DUMMYFUNCTION("GOOGLETRANSLATE(B3955,""id"",""en"")"),"['The internet', 'Slow', 'Severe', 'Region', 'Jabodetabek', 'Sia', 'buy', 'quota', 'expensive', 'service']")</f>
        <v>['The internet', 'Slow', 'Severe', 'Region', 'Jabodetabek', 'Sia', 'buy', 'quota', 'expensive', 'service']</v>
      </c>
      <c r="D3955" s="3">
        <v>1.0</v>
      </c>
    </row>
    <row r="3956" ht="15.75" customHeight="1">
      <c r="A3956" s="1">
        <v>4230.0</v>
      </c>
      <c r="B3956" s="3" t="s">
        <v>3859</v>
      </c>
      <c r="C3956" s="3" t="str">
        <f>IFERROR(__xludf.DUMMYFUNCTION("GOOGLETRANSLATE(B3956,""id"",""en"")"),"['Tale', 'Points',' Credit ',' strange ',' times', 'APK', 'stop', 'buy', 'pulse', 'klw', 'point', 'exchange', ' Credit ',' pepahhh ']")</f>
        <v>['Tale', 'Points',' Credit ',' strange ',' times', 'APK', 'stop', 'buy', 'pulse', 'klw', 'point', 'exchange', ' Credit ',' pepahhh ']</v>
      </c>
      <c r="D3956" s="3">
        <v>5.0</v>
      </c>
    </row>
    <row r="3957" ht="15.75" customHeight="1">
      <c r="A3957" s="1">
        <v>4231.0</v>
      </c>
      <c r="B3957" s="3" t="s">
        <v>3860</v>
      </c>
      <c r="C3957" s="3" t="str">
        <f>IFERROR(__xludf.DUMMYFUNCTION("GOOGLETRANSLATE(B3957,""id"",""en"")"),"['Bgs', 'APK']")</f>
        <v>['Bgs', 'APK']</v>
      </c>
      <c r="D3957" s="3">
        <v>5.0</v>
      </c>
    </row>
    <row r="3958" ht="15.75" customHeight="1">
      <c r="A3958" s="1">
        <v>4232.0</v>
      </c>
      <c r="B3958" s="3" t="s">
        <v>3861</v>
      </c>
      <c r="C3958" s="3" t="str">
        <f>IFERROR(__xludf.DUMMYFUNCTION("GOOGLETRANSLATE(B3958,""id"",""en"")"),"['signal', 'ilang', 'comparable', 'hraga', 'expensive', 'cave', 'broke', 'complaints',' told ',' hub ',' Vero ',' Vero ',' Do it ',' AP ',' OPO ',' IKI ',' ']")</f>
        <v>['signal', 'ilang', 'comparable', 'hraga', 'expensive', 'cave', 'broke', 'complaints',' told ',' hub ',' Vero ',' Vero ',' Do it ',' AP ',' OPO ',' IKI ',' ']</v>
      </c>
      <c r="D3958" s="3">
        <v>1.0</v>
      </c>
    </row>
    <row r="3959" ht="15.75" customHeight="1">
      <c r="A3959" s="1">
        <v>4233.0</v>
      </c>
      <c r="B3959" s="3" t="s">
        <v>3862</v>
      </c>
      <c r="C3959" s="3" t="str">
        <f>IFERROR(__xludf.DUMMYFUNCTION("GOOGLETRANSLATE(B3959,""id"",""en"")"),"['Network', 'Telkomsel', 'Extand', 'Affordable', 'Region']")</f>
        <v>['Network', 'Telkomsel', 'Extand', 'Affordable', 'Region']</v>
      </c>
      <c r="D3959" s="3">
        <v>1.0</v>
      </c>
    </row>
    <row r="3960" ht="15.75" customHeight="1">
      <c r="A3960" s="1">
        <v>4234.0</v>
      </c>
      <c r="B3960" s="3" t="s">
        <v>3863</v>
      </c>
      <c r="C3960" s="3" t="str">
        <f>IFERROR(__xludf.DUMMYFUNCTION("GOOGLETRANSLATE(B3960,""id"",""en"")"),"['Damn', 'lag', 'mulu', 'kayak', 'smooth']")</f>
        <v>['Damn', 'lag', 'mulu', 'kayak', 'smooth']</v>
      </c>
      <c r="D3960" s="3">
        <v>1.0</v>
      </c>
    </row>
    <row r="3961" ht="15.75" customHeight="1">
      <c r="A3961" s="1">
        <v>4235.0</v>
      </c>
      <c r="B3961" s="3" t="s">
        <v>3864</v>
      </c>
      <c r="C3961" s="3" t="str">
        <f>IFERROR(__xludf.DUMMYFUNCTION("GOOGLETRANSLATE(B3961,""id"",""en"")"),"['Hopefully', 'Telkomsel', 'Payment', 'Non', 'Cash', 'Hope', 'Respond', ""]")</f>
        <v>['Hopefully', 'Telkomsel', 'Payment', 'Non', 'Cash', 'Hope', 'Respond', "]</v>
      </c>
      <c r="D3961" s="3">
        <v>5.0</v>
      </c>
    </row>
    <row r="3962" ht="15.75" customHeight="1">
      <c r="A3962" s="1">
        <v>4236.0</v>
      </c>
      <c r="B3962" s="3" t="s">
        <v>3865</v>
      </c>
      <c r="C3962" s="3" t="str">
        <f>IFERROR(__xludf.DUMMYFUNCTION("GOOGLETRANSLATE(B3962,""id"",""en"")"),"['Her hope', 'multiply', 'promo', 'cheap', 'unlimited', 'expensive', 'price', 'package']")</f>
        <v>['Her hope', 'multiply', 'promo', 'cheap', 'unlimited', 'expensive', 'price', 'package']</v>
      </c>
      <c r="D3962" s="3">
        <v>5.0</v>
      </c>
    </row>
    <row r="3963" ht="15.75" customHeight="1">
      <c r="A3963" s="1">
        <v>4237.0</v>
      </c>
      <c r="B3963" s="3" t="s">
        <v>3866</v>
      </c>
      <c r="C3963" s="3" t="str">
        <f>IFERROR(__xludf.DUMMYFUNCTION("GOOGLETRANSLATE(B3963,""id"",""en"")"),"['Mantab', 'cheap']")</f>
        <v>['Mantab', 'cheap']</v>
      </c>
      <c r="D3963" s="3">
        <v>5.0</v>
      </c>
    </row>
    <row r="3964" ht="15.75" customHeight="1">
      <c r="A3964" s="1">
        <v>4238.0</v>
      </c>
      <c r="B3964" s="3" t="s">
        <v>3867</v>
      </c>
      <c r="C3964" s="3" t="str">
        <f>IFERROR(__xludf.DUMMYFUNCTION("GOOGLETRANSLATE(B3964,""id"",""en"")"),"['Singal', 'Tibatiba', 'how', 'quota', 'expensive', 'singal', 'abalabal', '']")</f>
        <v>['Singal', 'Tibatiba', 'how', 'quota', 'expensive', 'singal', 'abalabal', '']</v>
      </c>
      <c r="D3964" s="3">
        <v>1.0</v>
      </c>
    </row>
    <row r="3965" ht="15.75" customHeight="1">
      <c r="A3965" s="1">
        <v>4240.0</v>
      </c>
      <c r="B3965" s="3" t="s">
        <v>3868</v>
      </c>
      <c r="C3965" s="3" t="str">
        <f>IFERROR(__xludf.DUMMYFUNCTION("GOOGLETRANSLATE(B3965,""id"",""en"")"),"['signal', 'internet', 'smooth', '']")</f>
        <v>['signal', 'internet', 'smooth', '']</v>
      </c>
      <c r="D3965" s="3">
        <v>5.0</v>
      </c>
    </row>
    <row r="3966" ht="15.75" customHeight="1">
      <c r="A3966" s="1">
        <v>4241.0</v>
      </c>
      <c r="B3966" s="3" t="s">
        <v>3869</v>
      </c>
      <c r="C3966" s="3" t="str">
        <f>IFERROR(__xludf.DUMMYFUNCTION("GOOGLETRANSLATE(B3966,""id"",""en"")"),"['Network', 'worst', 'price', 'package', 'internet', 'expensive', 'signal', 'rotten', 'telkomnyet', 'destroyer', 'signal', ""]")</f>
        <v>['Network', 'worst', 'price', 'package', 'internet', 'expensive', 'signal', 'rotten', 'telkomnyet', 'destroyer', 'signal', "]</v>
      </c>
      <c r="D3966" s="3">
        <v>1.0</v>
      </c>
    </row>
    <row r="3967" ht="15.75" customHeight="1">
      <c r="A3967" s="1">
        <v>4243.0</v>
      </c>
      <c r="B3967" s="3" t="s">
        <v>3870</v>
      </c>
      <c r="C3967" s="3" t="str">
        <f>IFERROR(__xludf.DUMMYFUNCTION("GOOGLETRANSLATE(B3967,""id"",""en"")"),"['', 'virtue', 'Bags', '']")</f>
        <v>['', 'virtue', 'Bags', '']</v>
      </c>
      <c r="D3967" s="3">
        <v>3.0</v>
      </c>
    </row>
    <row r="3968" ht="15.75" customHeight="1">
      <c r="A3968" s="1">
        <v>4245.0</v>
      </c>
      <c r="B3968" s="3" t="s">
        <v>1017</v>
      </c>
      <c r="C3968" s="3" t="str">
        <f>IFERROR(__xludf.DUMMYFUNCTION("GOOGLETRANSLATE(B3968,""id"",""en"")"),"['application']")</f>
        <v>['application']</v>
      </c>
      <c r="D3968" s="3">
        <v>5.0</v>
      </c>
    </row>
    <row r="3969" ht="15.75" customHeight="1">
      <c r="A3969" s="1">
        <v>4246.0</v>
      </c>
      <c r="B3969" s="3" t="s">
        <v>3871</v>
      </c>
      <c r="C3969" s="3" t="str">
        <f>IFERROR(__xludf.DUMMYFUNCTION("GOOGLETRANSLATE(B3969,""id"",""en"")"),"['signal', 'bad', 'severe', 'wasteful', 'data', 'basics',' already ',' expensive ',' buy ',' quota ',' signal ',' ugly ',' Quota ',' wasteful ',' Fix ',' Telkomsel ',' Provider ',' ugly ',' skrng ']")</f>
        <v>['signal', 'bad', 'severe', 'wasteful', 'data', 'basics',' already ',' expensive ',' buy ',' quota ',' signal ',' ugly ',' Quota ',' wasteful ',' Fix ',' Telkomsel ',' Provider ',' ugly ',' skrng ']</v>
      </c>
      <c r="D3969" s="3">
        <v>2.0</v>
      </c>
    </row>
    <row r="3970" ht="15.75" customHeight="1">
      <c r="A3970" s="1">
        <v>4247.0</v>
      </c>
      <c r="B3970" s="3" t="s">
        <v>3872</v>
      </c>
      <c r="C3970" s="3" t="str">
        <f>IFERROR(__xludf.DUMMYFUNCTION("GOOGLETRANSLATE(B3970,""id"",""en"")"),"['Tailkomsial', 'expensive', 'Doang', 'Network', 'labile', 'kayak', 'boy', 'GBLK']")</f>
        <v>['Tailkomsial', 'expensive', 'Doang', 'Network', 'labile', 'kayak', 'boy', 'GBLK']</v>
      </c>
      <c r="D3970" s="3">
        <v>1.0</v>
      </c>
    </row>
    <row r="3971" ht="15.75" customHeight="1">
      <c r="A3971" s="1">
        <v>4248.0</v>
      </c>
      <c r="B3971" s="3" t="s">
        <v>3873</v>
      </c>
      <c r="C3971" s="3" t="str">
        <f>IFERROR(__xludf.DUMMYFUNCTION("GOOGLETRANSLATE(B3971,""id"",""en"")"),"['Signal', 'Telkom', 'Severe', 'Gara', 'Signal', 'Lost', 'Banned', 'Account', 'Game', 'Waiting', 'Play', 'Game', ' Please ',' Note ',' Signal ',' Network ',' Card ',' Telkomsel ',' Service ',' Network ',' Signal ',' Good ',' User ',' Telkomsel ',' Age ' ,"&amp;" 'school', 'disappointed', '']")</f>
        <v>['Signal', 'Telkom', 'Severe', 'Gara', 'Signal', 'Lost', 'Banned', 'Account', 'Game', 'Waiting', 'Play', 'Game', ' Please ',' Note ',' Signal ',' Network ',' Card ',' Telkomsel ',' Service ',' Network ',' Signal ',' Good ',' User ',' Telkomsel ',' Age ' , 'school', 'disappointed', '']</v>
      </c>
      <c r="D3971" s="3">
        <v>1.0</v>
      </c>
    </row>
    <row r="3972" ht="15.75" customHeight="1">
      <c r="A3972" s="1">
        <v>4249.0</v>
      </c>
      <c r="B3972" s="3" t="s">
        <v>2565</v>
      </c>
      <c r="C3972" s="3" t="str">
        <f>IFERROR(__xludf.DUMMYFUNCTION("GOOGLETRANSLATE(B3972,""id"",""en"")"),"['happy', 'application']")</f>
        <v>['happy', 'application']</v>
      </c>
      <c r="D3972" s="3">
        <v>5.0</v>
      </c>
    </row>
    <row r="3973" ht="15.75" customHeight="1">
      <c r="A3973" s="1">
        <v>4250.0</v>
      </c>
      <c r="B3973" s="3" t="s">
        <v>3874</v>
      </c>
      <c r="C3973" s="3" t="str">
        <f>IFERROR(__xludf.DUMMYFUNCTION("GOOGLETRANSLATE(B3973,""id"",""en"")"),"['Steady', 'steady', 'mamtap']")</f>
        <v>['Steady', 'steady', 'mamtap']</v>
      </c>
      <c r="D3973" s="3">
        <v>5.0</v>
      </c>
    </row>
    <row r="3974" ht="15.75" customHeight="1">
      <c r="A3974" s="1">
        <v>4251.0</v>
      </c>
      <c r="B3974" s="3" t="s">
        <v>3875</v>
      </c>
      <c r="C3974" s="3" t="str">
        <f>IFERROR(__xludf.DUMMYFUNCTION("GOOGLETRANSLATE(B3974,""id"",""en"")"),"['', 'srkali']")</f>
        <v>['', 'srkali']</v>
      </c>
      <c r="D3974" s="3">
        <v>5.0</v>
      </c>
    </row>
    <row r="3975" ht="15.75" customHeight="1">
      <c r="A3975" s="1">
        <v>4252.0</v>
      </c>
      <c r="B3975" s="3" t="s">
        <v>3876</v>
      </c>
      <c r="C3975" s="3" t="str">
        <f>IFERROR(__xludf.DUMMYFUNCTION("GOOGLETRANSLATE(B3975,""id"",""en"")"),"['network', 'damaged', 'pulse', 'lost', 'use', 'strange', 'already', 'kayak', 'corruption', 'pulse', 'report', 'KPK', ' ']")</f>
        <v>['network', 'damaged', 'pulse', 'lost', 'use', 'strange', 'already', 'kayak', 'corruption', 'pulse', 'report', 'KPK', ' ']</v>
      </c>
      <c r="D3975" s="3">
        <v>1.0</v>
      </c>
    </row>
    <row r="3976" ht="15.75" customHeight="1">
      <c r="A3976" s="1">
        <v>4253.0</v>
      </c>
      <c r="B3976" s="3" t="s">
        <v>3877</v>
      </c>
      <c r="C3976" s="3" t="str">
        <f>IFERROR(__xludf.DUMMYFUNCTION("GOOGLETRANSLATE(B3976,""id"",""en"")"),"['error']")</f>
        <v>['error']</v>
      </c>
      <c r="D3976" s="3">
        <v>1.0</v>
      </c>
    </row>
    <row r="3977" ht="15.75" customHeight="1">
      <c r="A3977" s="1">
        <v>4254.0</v>
      </c>
      <c r="B3977" s="3" t="s">
        <v>3878</v>
      </c>
      <c r="C3977" s="3" t="str">
        <f>IFERROR(__xludf.DUMMYFUNCTION("GOOGLETRANSLATE(B3977,""id"",""en"")"),"['Enhanced']")</f>
        <v>['Enhanced']</v>
      </c>
      <c r="D3977" s="3">
        <v>5.0</v>
      </c>
    </row>
    <row r="3978" ht="15.75" customHeight="1">
      <c r="A3978" s="1">
        <v>4255.0</v>
      </c>
      <c r="B3978" s="3" t="s">
        <v>3879</v>
      </c>
      <c r="C3978" s="3" t="str">
        <f>IFERROR(__xludf.DUMMYFUNCTION("GOOGLETRANSLATE(B3978,""id"",""en"")"),"['happy', 'products',' internet ',' Telkomsel ',' note ',' package ',' internet ',' buy ',' enter ',' times', 'purchase', 'lost', ' Deliberately ',' eliminated ',' mgkn ',' reasons', 'outside', 'range', 'strange', 'directed', 'package', 'note', 'bene', 'i"&amp;"nterested', 'strange' , 'Application', 'Telkomsel', 'HNY', 'Package', 'Night', 'Available', 'Mending', 'Use', 'Operator', 'Package', 'Internet', 'Disappointed', ' Telkomsel ',' thank ',' love ',' ']")</f>
        <v>['happy', 'products',' internet ',' Telkomsel ',' note ',' package ',' internet ',' buy ',' enter ',' times', 'purchase', 'lost', ' Deliberately ',' eliminated ',' mgkn ',' reasons', 'outside', 'range', 'strange', 'directed', 'package', 'note', 'bene', 'interested', 'strange' , 'Application', 'Telkomsel', 'HNY', 'Package', 'Night', 'Available', 'Mending', 'Use', 'Operator', 'Package', 'Internet', 'Disappointed', ' Telkomsel ',' thank ',' love ',' ']</v>
      </c>
      <c r="D3978" s="3">
        <v>5.0</v>
      </c>
    </row>
    <row r="3979" ht="15.75" customHeight="1">
      <c r="A3979" s="1">
        <v>4256.0</v>
      </c>
      <c r="B3979" s="3" t="s">
        <v>3880</v>
      </c>
      <c r="C3979" s="3" t="str">
        <f>IFERROR(__xludf.DUMMYFUNCTION("GOOGLETRANSLATE(B3979,""id"",""en"")"),"['', 'package', 'evenly', 'card', 'package', 'cheap', 'masi', 'package', 'expensive', ""]")</f>
        <v>['', 'package', 'evenly', 'card', 'package', 'cheap', 'masi', 'package', 'expensive', "]</v>
      </c>
      <c r="D3979" s="3">
        <v>3.0</v>
      </c>
    </row>
    <row r="3980" ht="15.75" customHeight="1">
      <c r="A3980" s="1">
        <v>4257.0</v>
      </c>
      <c r="B3980" s="3" t="s">
        <v>3881</v>
      </c>
      <c r="C3980" s="3" t="str">
        <f>IFERROR(__xludf.DUMMYFUNCTION("GOOGLETRANSLATE(B3980,""id"",""en"")"),"['Disappointed', 'Telkomsel', 'might', 'GX', 'KEAK', 'EIAP', 'Watch', 'Streaming', 'Quality', 'Leet', '']")</f>
        <v>['Disappointed', 'Telkomsel', 'might', 'GX', 'KEAK', 'EIAP', 'Watch', 'Streaming', 'Quality', 'Leet', '']</v>
      </c>
      <c r="D3980" s="3">
        <v>1.0</v>
      </c>
    </row>
    <row r="3981" ht="15.75" customHeight="1">
      <c r="A3981" s="1">
        <v>4258.0</v>
      </c>
      <c r="B3981" s="3" t="s">
        <v>3882</v>
      </c>
      <c r="C3981" s="3" t="str">
        <f>IFERROR(__xludf.DUMMYFUNCTION("GOOGLETRANSLATE(B3981,""id"",""en"")"),"['Network', 'Slow', 'Application', 'Ribet', 'Update', 'Terms', 'Direct', 'Auto', 'Uninstallting', '']")</f>
        <v>['Network', 'Slow', 'Application', 'Ribet', 'Update', 'Terms', 'Direct', 'Auto', 'Uninstallting', '']</v>
      </c>
      <c r="D3981" s="3">
        <v>1.0</v>
      </c>
    </row>
    <row r="3982" ht="15.75" customHeight="1">
      <c r="A3982" s="1">
        <v>4259.0</v>
      </c>
      <c r="B3982" s="3" t="s">
        <v>3883</v>
      </c>
      <c r="C3982" s="3" t="str">
        <f>IFERROR(__xludf.DUMMYFUNCTION("GOOGLETRANSLATE(B3982,""id"",""en"")"),"['Good', 'skali']")</f>
        <v>['Good', 'skali']</v>
      </c>
      <c r="D3982" s="3">
        <v>5.0</v>
      </c>
    </row>
    <row r="3983" ht="15.75" customHeight="1">
      <c r="A3983" s="1">
        <v>4260.0</v>
      </c>
      <c r="B3983" s="3" t="s">
        <v>3884</v>
      </c>
      <c r="C3983" s="3" t="str">
        <f>IFERROR(__xludf.DUMMYFUNCTION("GOOGLETRANSLATE(B3983,""id"",""en"")"),"['dozens',' yrs', 'users',' Telkomsel ',' happy ',' network ',' telkom ',' good ',' skrg ',' kcwa ',' network ',' skrg ',' Disconnected ',' Lost ',' Kcwa ',' Reduce ',' Bintang ', ""]")</f>
        <v>['dozens',' yrs', 'users',' Telkomsel ',' happy ',' network ',' telkom ',' good ',' skrg ',' kcwa ',' network ',' skrg ',' Disconnected ',' Lost ',' Kcwa ',' Reduce ',' Bintang ', "]</v>
      </c>
      <c r="D3983" s="3">
        <v>1.0</v>
      </c>
    </row>
    <row r="3984" ht="15.75" customHeight="1">
      <c r="A3984" s="1">
        <v>4261.0</v>
      </c>
      <c r="B3984" s="3" t="s">
        <v>3885</v>
      </c>
      <c r="C3984" s="3" t="str">
        <f>IFERROR(__xludf.DUMMYFUNCTION("GOOGLETRANSLATE(B3984,""id"",""en"")"),"['Telkomsel', 'Making', 'Easy', 'Mengaman']")</f>
        <v>['Telkomsel', 'Making', 'Easy', 'Mengaman']</v>
      </c>
      <c r="D3984" s="3">
        <v>5.0</v>
      </c>
    </row>
    <row r="3985" ht="15.75" customHeight="1">
      <c r="A3985" s="1">
        <v>4262.0</v>
      </c>
      <c r="B3985" s="3" t="s">
        <v>3886</v>
      </c>
      <c r="C3985" s="3" t="str">
        <f>IFERROR(__xludf.DUMMYFUNCTION("GOOGLETRANSLATE(B3985,""id"",""en"")"),"['Steady', 'easy', 'transaction']")</f>
        <v>['Steady', 'easy', 'transaction']</v>
      </c>
      <c r="D3985" s="3">
        <v>3.0</v>
      </c>
    </row>
    <row r="3986" ht="15.75" customHeight="1">
      <c r="A3986" s="1">
        <v>4263.0</v>
      </c>
      <c r="B3986" s="3" t="s">
        <v>3887</v>
      </c>
      <c r="C3986" s="3" t="str">
        <f>IFERROR(__xludf.DUMMYFUNCTION("GOOGLETRANSLATE(B3986,""id"",""en"")"),"['Bukak', 'App', 'Must', 'Need', 'Network', 'Extra', 'Kenceng', 'Toe']")</f>
        <v>['Bukak', 'App', 'Must', 'Need', 'Network', 'Extra', 'Kenceng', 'Toe']</v>
      </c>
      <c r="D3986" s="3">
        <v>1.0</v>
      </c>
    </row>
    <row r="3987" ht="15.75" customHeight="1">
      <c r="A3987" s="1">
        <v>4264.0</v>
      </c>
      <c r="B3987" s="3" t="s">
        <v>3888</v>
      </c>
      <c r="C3987" s="3" t="str">
        <f>IFERROR(__xludf.DUMMYFUNCTION("GOOGLETRANSLATE(B3987,""id"",""en"")"),"['Use', 'Telkomsel', 'anywhere', 'signal', 'okay']")</f>
        <v>['Use', 'Telkomsel', 'anywhere', 'signal', 'okay']</v>
      </c>
      <c r="D3987" s="3">
        <v>5.0</v>
      </c>
    </row>
    <row r="3988" ht="15.75" customHeight="1">
      <c r="A3988" s="1">
        <v>4265.0</v>
      </c>
      <c r="B3988" s="3" t="s">
        <v>3889</v>
      </c>
      <c r="C3988" s="3" t="str">
        <f>IFERROR(__xludf.DUMMYFUNCTION("GOOGLETRANSLATE(B3988,""id"",""en"")"),"['Bonus', 'Check', 'Entered', 'Bonus', 'Diamond', 'Mobile', 'Legend', 'Entering', 'Bonus', 'Data', ""]")</f>
        <v>['Bonus', 'Check', 'Entered', 'Bonus', 'Diamond', 'Mobile', 'Legend', 'Entering', 'Bonus', 'Data', "]</v>
      </c>
      <c r="D3988" s="3">
        <v>5.0</v>
      </c>
    </row>
    <row r="3989" ht="15.75" customHeight="1">
      <c r="A3989" s="1">
        <v>4266.0</v>
      </c>
      <c r="B3989" s="3" t="s">
        <v>3890</v>
      </c>
      <c r="C3989" s="3" t="str">
        <f>IFERROR(__xludf.DUMMYFUNCTION("GOOGLETRANSLATE(B3989,""id"",""en"")"),"['Sorry', 'Reduce', 'Star', 'Credit', 'Cutting', 'Rb', 'Quota', 'Credit', 'Take', 'Please', 'Return', 'Credit', ' Money ',' Service ',' Bad ',' ']")</f>
        <v>['Sorry', 'Reduce', 'Star', 'Credit', 'Cutting', 'Rb', 'Quota', 'Credit', 'Take', 'Please', 'Return', 'Credit', ' Money ',' Service ',' Bad ',' ']</v>
      </c>
      <c r="D3989" s="3">
        <v>2.0</v>
      </c>
    </row>
    <row r="3990" ht="15.75" customHeight="1">
      <c r="A3990" s="1">
        <v>4267.0</v>
      </c>
      <c r="B3990" s="3" t="s">
        <v>3891</v>
      </c>
      <c r="C3990" s="3" t="str">
        <f>IFERROR(__xludf.DUMMYFUNCTION("GOOGLETRANSLATE(B3990,""id"",""en"")"),"['Telkomsel', 'signal', 'already', 'good', 'rain', 'like', 'disorder']")</f>
        <v>['Telkomsel', 'signal', 'already', 'good', 'rain', 'like', 'disorder']</v>
      </c>
      <c r="D3990" s="3">
        <v>4.0</v>
      </c>
    </row>
    <row r="3991" ht="15.75" customHeight="1">
      <c r="A3991" s="1">
        <v>4268.0</v>
      </c>
      <c r="B3991" s="3" t="s">
        <v>3892</v>
      </c>
      <c r="C3991" s="3" t="str">
        <f>IFERROR(__xludf.DUMMYFUNCTION("GOOGLETRANSLATE(B3991,""id"",""en"")"),"['mantep', 'times', 'APK', 'easy', 'buy', 'package', 'internet']")</f>
        <v>['mantep', 'times', 'APK', 'easy', 'buy', 'package', 'internet']</v>
      </c>
      <c r="D3991" s="3">
        <v>5.0</v>
      </c>
    </row>
    <row r="3992" ht="15.75" customHeight="1">
      <c r="A3992" s="1">
        <v>4269.0</v>
      </c>
      <c r="B3992" s="3" t="s">
        <v>3893</v>
      </c>
      <c r="C3992" s="3" t="str">
        <f>IFERROR(__xludf.DUMMYFUNCTION("GOOGLETRANSLATE(B3992,""id"",""en"")"),"['bug', 'buy', 'package', 'price', 'method', 'pulse', 'package', 'night', 'GB', '']")</f>
        <v>['bug', 'buy', 'package', 'price', 'method', 'pulse', 'package', 'night', 'GB', '']</v>
      </c>
      <c r="D3992" s="3">
        <v>1.0</v>
      </c>
    </row>
    <row r="3993" ht="15.75" customHeight="1">
      <c r="A3993" s="1">
        <v>4270.0</v>
      </c>
      <c r="B3993" s="3" t="s">
        <v>3894</v>
      </c>
      <c r="C3993" s="3" t="str">
        <f>IFERROR(__xludf.DUMMYFUNCTION("GOOGLETRANSLATE(B3993,""id"",""en"")"),"['Network', 'rotten', 'job', 'delayed', 'Gara', 'Gara', 'signal', 'kek', 'pig']")</f>
        <v>['Network', 'rotten', 'job', 'delayed', 'Gara', 'Gara', 'signal', 'kek', 'pig']</v>
      </c>
      <c r="D3993" s="3">
        <v>1.0</v>
      </c>
    </row>
    <row r="3994" ht="15.75" customHeight="1">
      <c r="A3994" s="1">
        <v>4271.0</v>
      </c>
      <c r="B3994" s="3" t="s">
        <v>3895</v>
      </c>
      <c r="C3994" s="3" t="str">
        <f>IFERROR(__xludf.DUMMYFUNCTION("GOOGLETRANSLATE(B3994,""id"",""en"")"),"['The application', 'already', 'update', 'ngak', 'pakek', 'right', 'open', 'update', 'that's']")</f>
        <v>['The application', 'already', 'update', 'ngak', 'pakek', 'right', 'open', 'update', 'that's']</v>
      </c>
      <c r="D3994" s="3">
        <v>1.0</v>
      </c>
    </row>
    <row r="3995" ht="15.75" customHeight="1">
      <c r="A3995" s="1">
        <v>4272.0</v>
      </c>
      <c r="B3995" s="3" t="s">
        <v>3896</v>
      </c>
      <c r="C3995" s="3" t="str">
        <f>IFERROR(__xludf.DUMMYFUNCTION("GOOGLETRANSLATE(B3995,""id"",""en"")"),"['Application', 'interesting', 'Event', 'Event', 'enthusiasm', 'develop', 'application']")</f>
        <v>['Application', 'interesting', 'Event', 'Event', 'enthusiasm', 'develop', 'application']</v>
      </c>
      <c r="D3995" s="3">
        <v>5.0</v>
      </c>
    </row>
    <row r="3996" ht="15.75" customHeight="1">
      <c r="A3996" s="1">
        <v>4273.0</v>
      </c>
      <c r="B3996" s="3" t="s">
        <v>3897</v>
      </c>
      <c r="C3996" s="3" t="str">
        <f>IFERROR(__xludf.DUMMYFUNCTION("GOOGLETRANSLATE(B3996,""id"",""en"")"),"['buy', 'quota', 'lapse', 'unlimited', 'youtube', 'nggk', 'gunain', 'watch', 'youtube', 'ehh', 'kepakai', 'palab', ' Quota ',' main ',' loss', ""]")</f>
        <v>['buy', 'quota', 'lapse', 'unlimited', 'youtube', 'nggk', 'gunain', 'watch', 'youtube', 'ehh', 'kepakai', 'palab', ' Quota ',' main ',' loss', "]</v>
      </c>
      <c r="D3996" s="3">
        <v>1.0</v>
      </c>
    </row>
    <row r="3997" ht="15.75" customHeight="1">
      <c r="A3997" s="1">
        <v>4274.0</v>
      </c>
      <c r="B3997" s="3" t="s">
        <v>3898</v>
      </c>
      <c r="C3997" s="3" t="str">
        <f>IFERROR(__xludf.DUMMYFUNCTION("GOOGLETRANSLATE(B3997,""id"",""en"")"),"['Good', 'steady']")</f>
        <v>['Good', 'steady']</v>
      </c>
      <c r="D3997" s="3">
        <v>5.0</v>
      </c>
    </row>
    <row r="3998" ht="15.75" customHeight="1">
      <c r="A3998" s="1">
        <v>4275.0</v>
      </c>
      <c r="B3998" s="3" t="s">
        <v>3899</v>
      </c>
      <c r="C3998" s="3" t="str">
        <f>IFERROR(__xludf.DUMMYFUNCTION("GOOGLETRANSLATE(B3998,""id"",""en"")"),"['Star', 'Ntar', 'developed', 'Tbah', ""]")</f>
        <v>['Star', 'Ntar', 'developed', 'Tbah', "]</v>
      </c>
      <c r="D3998" s="3">
        <v>4.0</v>
      </c>
    </row>
    <row r="3999" ht="15.75" customHeight="1">
      <c r="A3999" s="1">
        <v>4276.0</v>
      </c>
      <c r="B3999" s="3" t="s">
        <v>3900</v>
      </c>
      <c r="C3999" s="3" t="str">
        <f>IFERROR(__xludf.DUMMYFUNCTION("GOOGLETRANSLATE(B3999,""id"",""en"")"),"['Please', 'management', 'Telkomsel', 'fix', 'connection', 'buy', 'package', 'expensive', 'expensive', 'connection', 'slow', 'wait', ' itikad ',' management ',' Telkomsel ',' already ',' provider ',' Telkomsel ',' connection ',' bad ',' repair ',' provide"&amp;"r ',' taik ', ""]")</f>
        <v>['Please', 'management', 'Telkomsel', 'fix', 'connection', 'buy', 'package', 'expensive', 'expensive', 'connection', 'slow', 'wait', ' itikad ',' management ',' Telkomsel ',' already ',' provider ',' Telkomsel ',' connection ',' bad ',' repair ',' provider ',' taik ', "]</v>
      </c>
      <c r="D3999" s="3">
        <v>1.0</v>
      </c>
    </row>
    <row r="4000" ht="15.75" customHeight="1">
      <c r="A4000" s="1">
        <v>4277.0</v>
      </c>
      <c r="B4000" s="3" t="s">
        <v>3901</v>
      </c>
      <c r="C4000" s="3" t="str">
        <f>IFERROR(__xludf.DUMMYFUNCTION("GOOGLETRANSLATE(B4000,""id"",""en"")"),"['balance', 'reduced', 'slowly', 'data', 'cellular', 'active', 'consumer', 'loss', ""]")</f>
        <v>['balance', 'reduced', 'slowly', 'data', 'cellular', 'active', 'consumer', 'loss', "]</v>
      </c>
      <c r="D4000" s="3">
        <v>1.0</v>
      </c>
    </row>
    <row r="4001" ht="15.75" customHeight="1">
      <c r="A4001" s="1">
        <v>4278.0</v>
      </c>
      <c r="B4001" s="3" t="s">
        <v>3902</v>
      </c>
      <c r="C4001" s="3" t="str">
        <f>IFERROR(__xludf.DUMMYFUNCTION("GOOGLETRANSLATE(B4001,""id"",""en"")"),"['Hopefully', 'Win', 'Wrong', 'Lottery', 'Follow', 'Telkomsel', 'Amin']")</f>
        <v>['Hopefully', 'Win', 'Wrong', 'Lottery', 'Follow', 'Telkomsel', 'Amin']</v>
      </c>
      <c r="D4001" s="3">
        <v>5.0</v>
      </c>
    </row>
    <row r="4002" ht="15.75" customHeight="1">
      <c r="A4002" s="1">
        <v>4279.0</v>
      </c>
      <c r="B4002" s="3" t="s">
        <v>3903</v>
      </c>
      <c r="C4002" s="3" t="str">
        <f>IFERROR(__xludf.DUMMYFUNCTION("GOOGLETRANSLATE(B4002,""id"",""en"")"),"['price', 'package', 'quota', 'expensive', 'user', 'Telkomsel', 'moved', 'card', 'package', 'internet', 'max', 'affordable', ' Msih ',' used ',' Poor ',' poor ',' now ',' all ',' expensive ',' as 'customers', 'disappointed', 'fix', 'replace', 'Krtu' , 'qu"&amp;"ota', 'Msih', 'TPI', 'PDA', 'History', 'usage', 'take', 'plz', 'usage', 'internet', 'thief', 'Telkomsel', ' pig', '']")</f>
        <v>['price', 'package', 'quota', 'expensive', 'user', 'Telkomsel', 'moved', 'card', 'package', 'internet', 'max', 'affordable', ' Msih ',' used ',' Poor ',' poor ',' now ',' all ',' expensive ',' as 'customers', 'disappointed', 'fix', 'replace', 'Krtu' , 'quota', 'Msih', 'TPI', 'PDA', 'History', 'usage', 'take', 'plz', 'usage', 'internet', 'thief', 'Telkomsel', ' pig', '']</v>
      </c>
      <c r="D4002" s="3">
        <v>1.0</v>
      </c>
    </row>
    <row r="4003" ht="15.75" customHeight="1">
      <c r="A4003" s="1">
        <v>4280.0</v>
      </c>
      <c r="B4003" s="3" t="s">
        <v>3904</v>
      </c>
      <c r="C4003" s="3" t="str">
        <f>IFERROR(__xludf.DUMMYFUNCTION("GOOGLETRANSLATE(B4003,""id"",""en"")"),"['Okay', 'wae', 'laah']")</f>
        <v>['Okay', 'wae', 'laah']</v>
      </c>
      <c r="D4003" s="3">
        <v>4.0</v>
      </c>
    </row>
    <row r="4004" ht="15.75" customHeight="1">
      <c r="A4004" s="1">
        <v>4282.0</v>
      </c>
      <c r="B4004" s="3" t="s">
        <v>3905</v>
      </c>
      <c r="C4004" s="3" t="str">
        <f>IFERROR(__xludf.DUMMYFUNCTION("GOOGLETRANSLATE(B4004,""id"",""en"")"),"['signal', 'fix', 'quota', 'add', 'expensive', 'gini', 'loss']")</f>
        <v>['signal', 'fix', 'quota', 'add', 'expensive', 'gini', 'loss']</v>
      </c>
      <c r="D4004" s="3">
        <v>1.0</v>
      </c>
    </row>
    <row r="4005" ht="15.75" customHeight="1">
      <c r="A4005" s="1">
        <v>4283.0</v>
      </c>
      <c r="B4005" s="3" t="s">
        <v>3906</v>
      </c>
      <c r="C4005" s="3" t="str">
        <f>IFERROR(__xludf.DUMMYFUNCTION("GOOGLETRANSLATE(B4005,""id"",""en"")"),"['Login', 'process', 'slow']")</f>
        <v>['Login', 'process', 'slow']</v>
      </c>
      <c r="D4005" s="3">
        <v>3.0</v>
      </c>
    </row>
    <row r="4006" ht="15.75" customHeight="1">
      <c r="A4006" s="1">
        <v>4284.0</v>
      </c>
      <c r="B4006" s="3" t="s">
        <v>3907</v>
      </c>
      <c r="C4006" s="3" t="str">
        <f>IFERROR(__xludf.DUMMYFUNCTION("GOOGLETRANSLATE(B4006,""id"",""en"")"),"['Signal', 'Mangkin', 'Uda', 'Telkomsel', 'please', 'Singnal', 'Telkomsel']")</f>
        <v>['Signal', 'Mangkin', 'Uda', 'Telkomsel', 'please', 'Singnal', 'Telkomsel']</v>
      </c>
      <c r="D4006" s="3">
        <v>1.0</v>
      </c>
    </row>
    <row r="4007" ht="15.75" customHeight="1">
      <c r="A4007" s="1">
        <v>4285.0</v>
      </c>
      <c r="B4007" s="3" t="s">
        <v>3908</v>
      </c>
      <c r="C4007" s="3" t="str">
        <f>IFERROR(__xludf.DUMMYFUNCTION("GOOGLETRANSLATE(B4007,""id"",""en"")"),"['Star', 'lack of', 'oath', 'Season', 'really', 'Maen', 'Game', 'Ajah', 'Lost', 'Axis',' Signal ',' Kek ',' card ',' tri ',' mountain ',' weak ',' ']")</f>
        <v>['Star', 'lack of', 'oath', 'Season', 'really', 'Maen', 'Game', 'Ajah', 'Lost', 'Axis',' Signal ',' Kek ',' card ',' tri ',' mountain ',' weak ',' ']</v>
      </c>
      <c r="D4007" s="3">
        <v>1.0</v>
      </c>
    </row>
    <row r="4008" ht="15.75" customHeight="1">
      <c r="A4008" s="1">
        <v>4286.0</v>
      </c>
      <c r="B4008" s="3" t="s">
        <v>3909</v>
      </c>
      <c r="C4008" s="3" t="str">
        <f>IFERROR(__xludf.DUMMYFUNCTION("GOOGLETRANSLATE(B4008,""id"",""en"")"),"['comfortable']")</f>
        <v>['comfortable']</v>
      </c>
      <c r="D4008" s="3">
        <v>3.0</v>
      </c>
    </row>
    <row r="4009" ht="15.75" customHeight="1">
      <c r="A4009" s="1">
        <v>4287.0</v>
      </c>
      <c r="B4009" s="3" t="s">
        <v>3910</v>
      </c>
      <c r="C4009" s="3" t="str">
        <f>IFERROR(__xludf.DUMMYFUNCTION("GOOGLETRANSLATE(B4009,""id"",""en"")"),"['Network', 'mulu', 'city', 'good', 'pulp', 'signal']")</f>
        <v>['Network', 'mulu', 'city', 'good', 'pulp', 'signal']</v>
      </c>
      <c r="D4009" s="3">
        <v>1.0</v>
      </c>
    </row>
    <row r="4010" ht="15.75" customHeight="1">
      <c r="A4010" s="1">
        <v>4288.0</v>
      </c>
      <c r="B4010" s="3" t="s">
        <v>3911</v>
      </c>
      <c r="C4010" s="3" t="str">
        <f>IFERROR(__xludf.DUMMYFUNCTION("GOOGLETRANSLATE(B4010,""id"",""en"")"),"['speed', 'data', 'Telkomsel', 'good', 'down', 'play', 'game', 'connection', 'threat', 'request', 'Telkomsel', 'check', ' Fix it ',' Customer ',' Telkosel ',' Disappointed ',' ']")</f>
        <v>['speed', 'data', 'Telkomsel', 'good', 'down', 'play', 'game', 'connection', 'threat', 'request', 'Telkomsel', 'check', ' Fix it ',' Customer ',' Telkosel ',' Disappointed ',' ']</v>
      </c>
      <c r="D4010" s="3">
        <v>2.0</v>
      </c>
    </row>
    <row r="4011" ht="15.75" customHeight="1">
      <c r="A4011" s="1">
        <v>4289.0</v>
      </c>
      <c r="B4011" s="3" t="s">
        <v>3912</v>
      </c>
      <c r="C4011" s="3" t="str">
        <f>IFERROR(__xludf.DUMMYFUNCTION("GOOGLETRANSLATE(B4011,""id"",""en"")"),"['auto', 'uninstall', 'gajelas', 'signal', ""]")</f>
        <v>['auto', 'uninstall', 'gajelas', 'signal', "]</v>
      </c>
      <c r="D4011" s="3">
        <v>1.0</v>
      </c>
    </row>
    <row r="4012" ht="15.75" customHeight="1">
      <c r="A4012" s="1">
        <v>4290.0</v>
      </c>
      <c r="B4012" s="3" t="s">
        <v>3913</v>
      </c>
      <c r="C4012" s="3" t="str">
        <f>IFERROR(__xludf.DUMMYFUNCTION("GOOGLETRANSLATE(B4012,""id"",""en"")"),"['Cost', 'purchase', 'quota', 'user', 'loyal', 'give', 'price', 'special', 'expensive', 'thank you']")</f>
        <v>['Cost', 'purchase', 'quota', 'user', 'loyal', 'give', 'price', 'special', 'expensive', 'thank you']</v>
      </c>
      <c r="D4012" s="3">
        <v>3.0</v>
      </c>
    </row>
    <row r="4013" ht="15.75" customHeight="1">
      <c r="A4013" s="1">
        <v>4291.0</v>
      </c>
      <c r="B4013" s="3" t="s">
        <v>3914</v>
      </c>
      <c r="C4013" s="3" t="str">
        <f>IFERROR(__xludf.DUMMYFUNCTION("GOOGLETRANSLATE(B4013,""id"",""en"")"),"['mine', 'reset', 'checki', 'already', 'until', 'reset', 'lgi']")</f>
        <v>['mine', 'reset', 'checki', 'already', 'until', 'reset', 'lgi']</v>
      </c>
      <c r="D4013" s="3">
        <v>4.0</v>
      </c>
    </row>
    <row r="4014" ht="15.75" customHeight="1">
      <c r="A4014" s="1">
        <v>4293.0</v>
      </c>
      <c r="B4014" s="3" t="s">
        <v>3915</v>
      </c>
      <c r="C4014" s="3" t="str">
        <f>IFERROR(__xludf.DUMMYFUNCTION("GOOGLETRANSLATE(B4014,""id"",""en"")"),"['Price', 'quota', 'expensive', 'right', 'Soke', 'Telkomsel', 'has',' network ',' internet ',' hey ',' Telkomsel ',' Where ',' Jati ',' ']")</f>
        <v>['Price', 'quota', 'expensive', 'right', 'Soke', 'Telkomsel', 'has',' network ',' internet ',' hey ',' Telkomsel ',' Where ',' Jati ',' ']</v>
      </c>
      <c r="D4014" s="3">
        <v>1.0</v>
      </c>
    </row>
    <row r="4015" ht="15.75" customHeight="1">
      <c r="A4015" s="1">
        <v>4295.0</v>
      </c>
      <c r="B4015" s="3" t="s">
        <v>3916</v>
      </c>
      <c r="C4015" s="3" t="str">
        <f>IFERROR(__xludf.DUMMYFUNCTION("GOOGLETRANSLATE(B4015,""id"",""en"")"),"['Story', 'buy', 'Package', 'YouTube', 'unlimited', 'then', 'used', 'quota', 'main', 'what', 'what' do ',' buy ',' additional ',' package ',' quota ',' main ',' use ',' miserable ', ""]")</f>
        <v>['Story', 'buy', 'Package', 'YouTube', 'unlimited', 'then', 'used', 'quota', 'main', 'what', 'what' do ',' buy ',' additional ',' package ',' quota ',' main ',' use ',' miserable ', "]</v>
      </c>
      <c r="D4015" s="3">
        <v>1.0</v>
      </c>
    </row>
    <row r="4016" ht="15.75" customHeight="1">
      <c r="A4016" s="1">
        <v>4296.0</v>
      </c>
      <c r="B4016" s="3" t="s">
        <v>3917</v>
      </c>
      <c r="C4016" s="3" t="str">
        <f>IFERROR(__xludf.DUMMYFUNCTION("GOOGLETRANSLATE(B4016,""id"",""en"")"),"['Sya', 'buy', 'pulse']")</f>
        <v>['Sya', 'buy', 'pulse']</v>
      </c>
      <c r="D4016" s="3">
        <v>5.0</v>
      </c>
    </row>
    <row r="4017" ht="15.75" customHeight="1">
      <c r="A4017" s="1">
        <v>4298.0</v>
      </c>
      <c r="B4017" s="3" t="s">
        <v>3918</v>
      </c>
      <c r="C4017" s="3" t="str">
        <f>IFERROR(__xludf.DUMMYFUNCTION("GOOGLETRANSLATE(B4017,""id"",""en"")"),"['Lose', 'Package', 'Expensive', 'Gabi', 'Tempatan']")</f>
        <v>['Lose', 'Package', 'Expensive', 'Gabi', 'Tempatan']</v>
      </c>
      <c r="D4017" s="3">
        <v>1.0</v>
      </c>
    </row>
    <row r="4018" ht="15.75" customHeight="1">
      <c r="A4018" s="1">
        <v>4299.0</v>
      </c>
      <c r="B4018" s="3" t="s">
        <v>3919</v>
      </c>
      <c r="C4018" s="3" t="str">
        <f>IFERROR(__xludf.DUMMYFUNCTION("GOOGLETRANSLATE(B4018,""id"",""en"")"),"['Package', 'Telkomsel', 'expensive']")</f>
        <v>['Package', 'Telkomsel', 'expensive']</v>
      </c>
      <c r="D4018" s="3">
        <v>5.0</v>
      </c>
    </row>
    <row r="4019" ht="15.75" customHeight="1">
      <c r="A4019" s="1">
        <v>4300.0</v>
      </c>
      <c r="B4019" s="3" t="s">
        <v>779</v>
      </c>
      <c r="C4019" s="3" t="str">
        <f>IFERROR(__xludf.DUMMYFUNCTION("GOOGLETRANSLATE(B4019,""id"",""en"")"),"['Good', 'easy']")</f>
        <v>['Good', 'easy']</v>
      </c>
      <c r="D4019" s="3">
        <v>4.0</v>
      </c>
    </row>
    <row r="4020" ht="15.75" customHeight="1">
      <c r="A4020" s="1">
        <v>4301.0</v>
      </c>
      <c r="B4020" s="3" t="s">
        <v>3920</v>
      </c>
      <c r="C4020" s="3" t="str">
        <f>IFERROR(__xludf.DUMMYFUNCTION("GOOGLETRANSLATE(B4020,""id"",""en"")"),"['Dlm', 'Customer', 'Language', 'Easy', 'Understand']")</f>
        <v>['Dlm', 'Customer', 'Language', 'Easy', 'Understand']</v>
      </c>
      <c r="D4020" s="3">
        <v>5.0</v>
      </c>
    </row>
    <row r="4021" ht="15.75" customHeight="1">
      <c r="A4021" s="1">
        <v>4302.0</v>
      </c>
      <c r="B4021" s="3" t="s">
        <v>3921</v>
      </c>
      <c r="C4021" s="3" t="str">
        <f>IFERROR(__xludf.DUMMYFUNCTION("GOOGLETRANSLATE(B4021,""id"",""en"")"),"['complicated', 'accessed', 'awaited', 'open', 'tetep', 'accessed', 'already', 'diuninstall', 'download', 'tetep']")</f>
        <v>['complicated', 'accessed', 'awaited', 'open', 'tetep', 'accessed', 'already', 'diuninstall', 'download', 'tetep']</v>
      </c>
      <c r="D4021" s="3">
        <v>3.0</v>
      </c>
    </row>
    <row r="4022" ht="15.75" customHeight="1">
      <c r="A4022" s="1">
        <v>4303.0</v>
      </c>
      <c r="B4022" s="3" t="s">
        <v>3922</v>
      </c>
      <c r="C4022" s="3" t="str">
        <f>IFERROR(__xludf.DUMMYFUNCTION("GOOGLETRANSLATE(B4022,""id"",""en"")"),"['Welfrid', 'Flowers', 'Telkomsel', 'Real', 'Love', 'Telkomsel']")</f>
        <v>['Welfrid', 'Flowers', 'Telkomsel', 'Real', 'Love', 'Telkomsel']</v>
      </c>
      <c r="D4022" s="3">
        <v>5.0</v>
      </c>
    </row>
    <row r="4023" ht="15.75" customHeight="1">
      <c r="A4023" s="1">
        <v>4304.0</v>
      </c>
      <c r="B4023" s="3" t="s">
        <v>3923</v>
      </c>
      <c r="C4023" s="3" t="str">
        <f>IFERROR(__xludf.DUMMYFUNCTION("GOOGLETRANSLATE(B4023,""id"",""en"")"),"['Hopefully', 'get', ""]")</f>
        <v>['Hopefully', 'get', "]</v>
      </c>
      <c r="D4023" s="3">
        <v>5.0</v>
      </c>
    </row>
    <row r="4024" ht="15.75" customHeight="1">
      <c r="A4024" s="1">
        <v>4305.0</v>
      </c>
      <c r="B4024" s="3" t="s">
        <v>3924</v>
      </c>
      <c r="C4024" s="3" t="str">
        <f>IFERROR(__xludf.DUMMYFUNCTION("GOOGLETRANSLATE(B4024,""id"",""en"")"),"['card', 'Taik', 'expensive', 'Doank', 'HR', 'LOW', 'LOKER', 'POKING', 'CALL', 'TLPON', 'LIMITED', 'Read', ' Doank ',' signal ',' stable ',' dlu ',' sdm ',' low ',' change ',' card ',' fix ',' idiot ']")</f>
        <v>['card', 'Taik', 'expensive', 'Doank', 'HR', 'LOW', 'LOKER', 'POKING', 'CALL', 'TLPON', 'LIMITED', 'Read', ' Doank ',' signal ',' stable ',' dlu ',' sdm ',' low ',' change ',' card ',' fix ',' idiot ']</v>
      </c>
      <c r="D4024" s="3">
        <v>1.0</v>
      </c>
    </row>
    <row r="4025" ht="15.75" customHeight="1">
      <c r="A4025" s="1">
        <v>4306.0</v>
      </c>
      <c r="B4025" s="3" t="s">
        <v>3925</v>
      </c>
      <c r="C4025" s="3" t="str">
        <f>IFERROR(__xludf.DUMMYFUNCTION("GOOGLETRANSLATE(B4025,""id"",""en"")"),"['Telkomsel', 'Provider', 'Worst', 'Life', 'Kota', 'Kya', 'Life', 'Forest', 'Wilderness', 'Difficult', 'Signal', ""]")</f>
        <v>['Telkomsel', 'Provider', 'Worst', 'Life', 'Kota', 'Kya', 'Life', 'Forest', 'Wilderness', 'Difficult', 'Signal', "]</v>
      </c>
      <c r="D4025" s="3">
        <v>1.0</v>
      </c>
    </row>
    <row r="4026" ht="15.75" customHeight="1">
      <c r="A4026" s="1">
        <v>4307.0</v>
      </c>
      <c r="B4026" s="3" t="s">
        <v>3926</v>
      </c>
      <c r="C4026" s="3" t="str">
        <f>IFERROR(__xludf.DUMMYFUNCTION("GOOGLETRANSLATE(B4026,""id"",""en"")"),"['Signal', 'severe', 'crazy', 'UDH', 'missing', 'chaotic', 'Telkomsel']")</f>
        <v>['Signal', 'severe', 'crazy', 'UDH', 'missing', 'chaotic', 'Telkomsel']</v>
      </c>
      <c r="D4026" s="3">
        <v>1.0</v>
      </c>
    </row>
    <row r="4027" ht="15.75" customHeight="1">
      <c r="A4027" s="1">
        <v>4308.0</v>
      </c>
      <c r="B4027" s="3" t="s">
        <v>3927</v>
      </c>
      <c r="C4027" s="3" t="str">
        <f>IFERROR(__xludf.DUMMYFUNCTION("GOOGLETRANSLATE(B4027,""id"",""en"")"),"['stability', 'connection', 'internet', 'severe', 'taken', 'over', 'private', 'professional']")</f>
        <v>['stability', 'connection', 'internet', 'severe', 'taken', 'over', 'private', 'professional']</v>
      </c>
      <c r="D4027" s="3">
        <v>1.0</v>
      </c>
    </row>
    <row r="4028" ht="15.75" customHeight="1">
      <c r="A4028" s="1">
        <v>4309.0</v>
      </c>
      <c r="B4028" s="3" t="s">
        <v>3928</v>
      </c>
      <c r="C4028" s="3" t="str">
        <f>IFERROR(__xludf.DUMMYFUNCTION("GOOGLETRANSLATE(B4028,""id"",""en"")"),"['expensive', 'expensive', 'signal', 'kek']")</f>
        <v>['expensive', 'expensive', 'signal', 'kek']</v>
      </c>
      <c r="D4028" s="3">
        <v>1.0</v>
      </c>
    </row>
    <row r="4029" ht="15.75" customHeight="1">
      <c r="A4029" s="1">
        <v>4310.0</v>
      </c>
      <c r="B4029" s="3" t="s">
        <v>3929</v>
      </c>
      <c r="C4029" s="3" t="str">
        <f>IFERROR(__xludf.DUMMYFUNCTION("GOOGLETRANSLATE(B4029,""id"",""en"")"),"['use', 'Telkomsel', 'Telkomsel', 'signal', 'good', 'ugly', 'skarang', 'Telkomsel', 'signal', 'ugly', 'card', 'card', ' Bored ',' Merak ',' Telkomsel ',' Auto ',' Unplug ',' Card ',' Discard ',' Move ',' Card ',' Laen ', ""]")</f>
        <v>['use', 'Telkomsel', 'Telkomsel', 'signal', 'good', 'ugly', 'skarang', 'Telkomsel', 'signal', 'ugly', 'card', 'card', ' Bored ',' Merak ',' Telkomsel ',' Auto ',' Unplug ',' Card ',' Discard ',' Move ',' Card ',' Laen ', "]</v>
      </c>
      <c r="D4029" s="3">
        <v>1.0</v>
      </c>
    </row>
    <row r="4030" ht="15.75" customHeight="1">
      <c r="A4030" s="1">
        <v>4311.0</v>
      </c>
      <c r="B4030" s="3" t="s">
        <v>3930</v>
      </c>
      <c r="C4030" s="3" t="str">
        <f>IFERROR(__xludf.DUMMYFUNCTION("GOOGLETRANSLATE(B4030,""id"",""en"")"),"['Network', 'Telkom', 'Good', 'Disappointing']")</f>
        <v>['Network', 'Telkom', 'Good', 'Disappointing']</v>
      </c>
      <c r="D4030" s="3">
        <v>1.0</v>
      </c>
    </row>
    <row r="4031" ht="15.75" customHeight="1">
      <c r="A4031" s="1">
        <v>4312.0</v>
      </c>
      <c r="B4031" s="3" t="s">
        <v>3931</v>
      </c>
      <c r="C4031" s="3" t="str">
        <f>IFERROR(__xludf.DUMMYFUNCTION("GOOGLETRANSLATE(B4031,""id"",""en"")"),"['user', 'card', 'Telkom', 'disappointed', 'because' caused ',' signal ',' telkom ',' cell ',' weaker ',' night ',' hours ',' Ampe ',' ngeleg ',' severe ',' kyk ',' dlu ',' lgi ',' please ',' Telkomsel ',' repair ',' stay ',' remote ',' original ',' signa"&amp;"l ' , 'Ngeleg', 'Play', 'Plis',' Telkomsel ',' Signal ',' Murah ',' made ',' dizzy ',' because ',' signal ',' slow ',' Danemvuat ',' Frustration ',' Bundir ',' ']")</f>
        <v>['user', 'card', 'Telkom', 'disappointed', 'because' caused ',' signal ',' telkom ',' cell ',' weaker ',' night ',' hours ',' Ampe ',' ngeleg ',' severe ',' kyk ',' dlu ',' lgi ',' please ',' Telkomsel ',' repair ',' stay ',' remote ',' original ',' signal ' , 'Ngeleg', 'Play', 'Plis',' Telkomsel ',' Signal ',' Murah ',' made ',' dizzy ',' because ',' signal ',' slow ',' Danemvuat ',' Frustration ',' Bundir ',' ']</v>
      </c>
      <c r="D4031" s="3">
        <v>2.0</v>
      </c>
    </row>
    <row r="4032" ht="15.75" customHeight="1">
      <c r="A4032" s="1">
        <v>4313.0</v>
      </c>
      <c r="B4032" s="3" t="s">
        <v>3932</v>
      </c>
      <c r="C4032" s="3" t="str">
        <f>IFERROR(__xludf.DUMMYFUNCTION("GOOGLETRANSLATE(B4032,""id"",""en"")"),"['It's easy', 'transaction']")</f>
        <v>['It's easy', 'transaction']</v>
      </c>
      <c r="D4032" s="3">
        <v>5.0</v>
      </c>
    </row>
    <row r="4033" ht="15.75" customHeight="1">
      <c r="A4033" s="1">
        <v>4314.0</v>
      </c>
      <c r="B4033" s="3" t="s">
        <v>3933</v>
      </c>
      <c r="C4033" s="3" t="str">
        <f>IFERROR(__xludf.DUMMYFUNCTION("GOOGLETRANSLATE(B4033,""id"",""en"")"),"['Contents',' pulse ',' buy ',' package ',' for ',' pulses', 'then', 'pulse', 'reduced', 'then', 'buy', 'package', ' As follows', 'application', 'problematic', 'pulses',' reduced ',' daily ',' application ',' problematic ',' take ',' pulses', ""]")</f>
        <v>['Contents',' pulse ',' buy ',' package ',' for ',' pulses', 'then', 'pulse', 'reduced', 'then', 'buy', 'package', ' As follows', 'application', 'problematic', 'pulses',' reduced ',' daily ',' application ',' problematic ',' take ',' pulses', "]</v>
      </c>
      <c r="D4033" s="3">
        <v>1.0</v>
      </c>
    </row>
    <row r="4034" ht="15.75" customHeight="1">
      <c r="A4034" s="1">
        <v>4315.0</v>
      </c>
      <c r="B4034" s="3" t="s">
        <v>3934</v>
      </c>
      <c r="C4034" s="3" t="str">
        <f>IFERROR(__xludf.DUMMYFUNCTION("GOOGLETRANSLATE(B4034,""id"",""en"")"),"['Say "",' game ',' unlimited ',' reduce ',' speed ',' enter ',' lobby ',' game ',' pub ',' severe ',' emng ',""]")</f>
        <v>['Say ",' game ',' unlimited ',' reduce ',' speed ',' enter ',' lobby ',' game ',' pub ',' severe ',' emng ',"]</v>
      </c>
      <c r="D4034" s="3">
        <v>1.0</v>
      </c>
    </row>
    <row r="4035" ht="15.75" customHeight="1">
      <c r="A4035" s="1">
        <v>4318.0</v>
      </c>
      <c r="B4035" s="3" t="s">
        <v>3935</v>
      </c>
      <c r="C4035" s="3" t="str">
        <f>IFERROR(__xludf.DUMMYFUNCTION("GOOGLETRANSLATE(B4035,""id"",""en"")"),"['Application', 'like']")</f>
        <v>['Application', 'like']</v>
      </c>
      <c r="D4035" s="3">
        <v>3.0</v>
      </c>
    </row>
    <row r="4036" ht="15.75" customHeight="1">
      <c r="A4036" s="1">
        <v>4320.0</v>
      </c>
      <c r="B4036" s="3" t="s">
        <v>3936</v>
      </c>
      <c r="C4036" s="3" t="str">
        <f>IFERROR(__xludf.DUMMYFUNCTION("GOOGLETRANSLATE(B4036,""id"",""en"")"),"['Package', 'Call', 'Special', 'Monthly', 'Enabled', '']")</f>
        <v>['Package', 'Call', 'Special', 'Monthly', 'Enabled', '']</v>
      </c>
      <c r="D4036" s="3">
        <v>1.0</v>
      </c>
    </row>
    <row r="4037" ht="15.75" customHeight="1">
      <c r="A4037" s="1">
        <v>4322.0</v>
      </c>
      <c r="B4037" s="3" t="s">
        <v>3937</v>
      </c>
      <c r="C4037" s="3" t="str">
        <f>IFERROR(__xludf.DUMMYFUNCTION("GOOGLETRANSLATE(B4037,""id"",""en"")"),"['Knp', 'promo', 'price', 'ride', 'thousand']")</f>
        <v>['Knp', 'promo', 'price', 'ride', 'thousand']</v>
      </c>
      <c r="D4037" s="3">
        <v>1.0</v>
      </c>
    </row>
    <row r="4038" ht="15.75" customHeight="1">
      <c r="A4038" s="1">
        <v>4323.0</v>
      </c>
      <c r="B4038" s="3" t="s">
        <v>899</v>
      </c>
      <c r="C4038" s="3" t="str">
        <f>IFERROR(__xludf.DUMMYFUNCTION("GOOGLETRANSLATE(B4038,""id"",""en"")"),"['Service', 'Best']")</f>
        <v>['Service', 'Best']</v>
      </c>
      <c r="D4038" s="3">
        <v>5.0</v>
      </c>
    </row>
    <row r="4039" ht="15.75" customHeight="1">
      <c r="A4039" s="1">
        <v>4324.0</v>
      </c>
      <c r="B4039" s="3" t="s">
        <v>3938</v>
      </c>
      <c r="C4039" s="3" t="str">
        <f>IFERROR(__xludf.DUMMYFUNCTION("GOOGLETRANSLATE(B4039,""id"",""en"")"),"['Package', 'Data', 'Expensive', 'Network', 'Leet', '']")</f>
        <v>['Package', 'Data', 'Expensive', 'Network', 'Leet', '']</v>
      </c>
      <c r="D4039" s="3">
        <v>1.0</v>
      </c>
    </row>
    <row r="4040" ht="15.75" customHeight="1">
      <c r="A4040" s="1">
        <v>4325.0</v>
      </c>
      <c r="B4040" s="3" t="s">
        <v>3939</v>
      </c>
      <c r="C4040" s="3" t="str">
        <f>IFERROR(__xludf.DUMMYFUNCTION("GOOGLETRANSLATE(B4040,""id"",""en"")"),"['Good', 'good', 'price', 'kouta', 'cheap', 'hope', 'get', 'promo']")</f>
        <v>['Good', 'good', 'price', 'kouta', 'cheap', 'hope', 'get', 'promo']</v>
      </c>
      <c r="D4040" s="3">
        <v>5.0</v>
      </c>
    </row>
    <row r="4041" ht="15.75" customHeight="1">
      <c r="A4041" s="1">
        <v>4326.0</v>
      </c>
      <c r="B4041" s="3" t="s">
        <v>3940</v>
      </c>
      <c r="C4041" s="3" t="str">
        <f>IFERROR(__xludf.DUMMYFUNCTION("GOOGLETRANSLATE(B4041,""id"",""en"")"),"['bonus', 'yessss', 'hahaha']")</f>
        <v>['bonus', 'yessss', 'hahaha']</v>
      </c>
      <c r="D4041" s="3">
        <v>2.0</v>
      </c>
    </row>
    <row r="4042" ht="15.75" customHeight="1">
      <c r="A4042" s="1">
        <v>4328.0</v>
      </c>
      <c r="B4042" s="3" t="s">
        <v>3363</v>
      </c>
      <c r="C4042" s="3" t="str">
        <f>IFERROR(__xludf.DUMMYFUNCTION("GOOGLETRANSLATE(B4042,""id"",""en"")"),"['steady', 'easy']")</f>
        <v>['steady', 'easy']</v>
      </c>
      <c r="D4042" s="3">
        <v>5.0</v>
      </c>
    </row>
    <row r="4043" ht="15.75" customHeight="1">
      <c r="A4043" s="1">
        <v>4329.0</v>
      </c>
      <c r="B4043" s="3" t="s">
        <v>3941</v>
      </c>
      <c r="C4043" s="3" t="str">
        <f>IFERROR(__xludf.DUMMYFUNCTION("GOOGLETRANSLATE(B4043,""id"",""en"")"),"['Update', '']")</f>
        <v>['Update', '']</v>
      </c>
      <c r="D4043" s="3">
        <v>4.0</v>
      </c>
    </row>
    <row r="4044" ht="15.75" customHeight="1">
      <c r="A4044" s="1">
        <v>4330.0</v>
      </c>
      <c r="B4044" s="3" t="s">
        <v>3942</v>
      </c>
      <c r="C4044" s="3" t="str">
        <f>IFERROR(__xludf.DUMMYFUNCTION("GOOGLETRANSLATE(B4044,""id"",""en"")"),"['', 'star']")</f>
        <v>['', 'star']</v>
      </c>
      <c r="D4044" s="3">
        <v>3.0</v>
      </c>
    </row>
    <row r="4045" ht="15.75" customHeight="1">
      <c r="A4045" s="1">
        <v>4331.0</v>
      </c>
      <c r="B4045" s="3" t="s">
        <v>3943</v>
      </c>
      <c r="C4045" s="3" t="str">
        <f>IFERROR(__xludf.DUMMYFUNCTION("GOOGLETRANSLATE(B4045,""id"",""en"")"),"['steady']")</f>
        <v>['steady']</v>
      </c>
      <c r="D4045" s="3">
        <v>5.0</v>
      </c>
    </row>
    <row r="4046" ht="15.75" customHeight="1">
      <c r="A4046" s="1">
        <v>4332.0</v>
      </c>
      <c r="B4046" s="3" t="s">
        <v>3944</v>
      </c>
      <c r="C4046" s="3" t="str">
        <f>IFERROR(__xludf.DUMMYFUNCTION("GOOGLETRANSLATE(B4046,""id"",""en"")"),"['satisfying', 'service']")</f>
        <v>['satisfying', 'service']</v>
      </c>
      <c r="D4046" s="3">
        <v>5.0</v>
      </c>
    </row>
    <row r="4047" ht="15.75" customHeight="1">
      <c r="A4047" s="1">
        <v>4333.0</v>
      </c>
      <c r="B4047" s="3" t="s">
        <v>3945</v>
      </c>
      <c r="C4047" s="3" t="str">
        <f>IFERROR(__xludf.DUMMYFUNCTION("GOOGLETRANSLATE(B4047,""id"",""en"")"),"['Login', 'Link', 'Ngeepotin', 'Promo', 'Dancing']")</f>
        <v>['Login', 'Link', 'Ngeepotin', 'Promo', 'Dancing']</v>
      </c>
      <c r="D4047" s="3">
        <v>1.0</v>
      </c>
    </row>
    <row r="4048" ht="15.75" customHeight="1">
      <c r="A4048" s="1">
        <v>4334.0</v>
      </c>
      <c r="B4048" s="3" t="s">
        <v>3946</v>
      </c>
      <c r="C4048" s="3" t="str">
        <f>IFERROR(__xludf.DUMMYFUNCTION("GOOGLETRANSLATE(B4048,""id"",""en"")"),"['City', 'Enjoy', 'Promo', 'Vocer', '']")</f>
        <v>['City', 'Enjoy', 'Promo', 'Vocer', '']</v>
      </c>
      <c r="D4048" s="3">
        <v>2.0</v>
      </c>
    </row>
    <row r="4049" ht="15.75" customHeight="1">
      <c r="A4049" s="1">
        <v>4335.0</v>
      </c>
      <c r="B4049" s="3" t="s">
        <v>3947</v>
      </c>
      <c r="C4049" s="3" t="str">
        <f>IFERROR(__xludf.DUMMYFUNCTION("GOOGLETRANSLATE(B4049,""id"",""en"")"),"['network', 'super', 'slow', 'signal', 'slow', 'package', 'expensive']")</f>
        <v>['network', 'super', 'slow', 'signal', 'slow', 'package', 'expensive']</v>
      </c>
      <c r="D4049" s="3">
        <v>1.0</v>
      </c>
    </row>
    <row r="4050" ht="15.75" customHeight="1">
      <c r="A4050" s="1">
        <v>4336.0</v>
      </c>
      <c r="B4050" s="3" t="s">
        <v>3948</v>
      </c>
      <c r="C4050" s="3" t="str">
        <f>IFERROR(__xludf.DUMMYFUNCTION("GOOGLETRANSLATE(B4050,""id"",""en"")"),"['AnjiiiInggg', 'no', 'his grip', 'pig']")</f>
        <v>['AnjiiiInggg', 'no', 'his grip', 'pig']</v>
      </c>
      <c r="D4050" s="3">
        <v>1.0</v>
      </c>
    </row>
    <row r="4051" ht="15.75" customHeight="1">
      <c r="A4051" s="1">
        <v>4337.0</v>
      </c>
      <c r="B4051" s="3" t="s">
        <v>3949</v>
      </c>
      <c r="C4051" s="3" t="str">
        <f>IFERROR(__xludf.DUMMYFUNCTION("GOOGLETRANSLATE(B4051,""id"",""en"")"),"['Package', 'Telkomsel', 'expensive', 'expensive', 'bnget']")</f>
        <v>['Package', 'Telkomsel', 'expensive', 'expensive', 'bnget']</v>
      </c>
      <c r="D4051" s="3">
        <v>4.0</v>
      </c>
    </row>
    <row r="4052" ht="15.75" customHeight="1">
      <c r="A4052" s="1">
        <v>4338.0</v>
      </c>
      <c r="B4052" s="3" t="s">
        <v>3950</v>
      </c>
      <c r="C4052" s="3" t="str">
        <f>IFERROR(__xludf.DUMMYFUNCTION("GOOGLETRANSLATE(B4052,""id"",""en"")"),"['admin', 'Telkomsel', 'please', 'package', 'gamemaxs',' game ',' support ',' rich ',' pub ',' genshin ',' Impack ',' game ',' others', 'games',' packages', 'gamemaxs']")</f>
        <v>['admin', 'Telkomsel', 'please', 'package', 'gamemaxs',' game ',' support ',' rich ',' pub ',' genshin ',' Impack ',' game ',' others', 'games',' packages', 'gamemaxs']</v>
      </c>
      <c r="D4052" s="3">
        <v>2.0</v>
      </c>
    </row>
    <row r="4053" ht="15.75" customHeight="1">
      <c r="A4053" s="1">
        <v>4339.0</v>
      </c>
      <c r="B4053" s="3" t="s">
        <v>3951</v>
      </c>
      <c r="C4053" s="3" t="str">
        <f>IFERROR(__xludf.DUMMYFUNCTION("GOOGLETRANSLATE(B4053,""id"",""en"")"),"['UDH', 'buy', 'Kouta', 'credit', 'enter', 'get', 'cut', 'number', 'ajg']")</f>
        <v>['UDH', 'buy', 'Kouta', 'credit', 'enter', 'get', 'cut', 'number', 'ajg']</v>
      </c>
      <c r="D4053" s="3">
        <v>2.0</v>
      </c>
    </row>
    <row r="4054" ht="15.75" customHeight="1">
      <c r="A4054" s="1">
        <v>4340.0</v>
      </c>
      <c r="B4054" s="3" t="s">
        <v>3952</v>
      </c>
      <c r="C4054" s="3" t="str">
        <f>IFERROR(__xludf.DUMMYFUNCTION("GOOGLETRANSLATE(B4054,""id"",""en"")"),"['Jebod', 'Jebod', 'cave', 'UDH', 'loyal', 'Telkomsel', 'signal', 'slow', 'price', 'signal', 'UDH', 'KEK', ' complicated ',' card ',' Sultan ',' spec ',' lose ',' card ',' people ',' sorry ',' moved ',' cheap ',' signal ',' cool ',' ']")</f>
        <v>['Jebod', 'Jebod', 'cave', 'UDH', 'loyal', 'Telkomsel', 'signal', 'slow', 'price', 'signal', 'UDH', 'KEK', ' complicated ',' card ',' Sultan ',' spec ',' lose ',' card ',' people ',' sorry ',' moved ',' cheap ',' signal ',' cool ',' ']</v>
      </c>
      <c r="D4054" s="3">
        <v>1.0</v>
      </c>
    </row>
    <row r="4055" ht="15.75" customHeight="1">
      <c r="A4055" s="1">
        <v>4341.0</v>
      </c>
      <c r="B4055" s="3" t="s">
        <v>3953</v>
      </c>
      <c r="C4055" s="3" t="str">
        <f>IFERROR(__xludf.DUMMYFUNCTION("GOOGLETRANSLATE(B4055,""id"",""en"")"),"['Steady', 'Kortation']")</f>
        <v>['Steady', 'Kortation']</v>
      </c>
      <c r="D4055" s="3">
        <v>4.0</v>
      </c>
    </row>
    <row r="4056" ht="15.75" customHeight="1">
      <c r="A4056" s="1">
        <v>4342.0</v>
      </c>
      <c r="B4056" s="3" t="s">
        <v>3954</v>
      </c>
      <c r="C4056" s="3" t="str">
        <f>IFERROR(__xludf.DUMMYFUNCTION("GOOGLETRANSLATE(B4056,""id"",""en"")"),"['Hopefully', 'feel at home']")</f>
        <v>['Hopefully', 'feel at home']</v>
      </c>
      <c r="D4056" s="3">
        <v>5.0</v>
      </c>
    </row>
    <row r="4057" ht="15.75" customHeight="1">
      <c r="A4057" s="1">
        <v>4343.0</v>
      </c>
      <c r="B4057" s="3" t="s">
        <v>3955</v>
      </c>
      <c r="C4057" s="3" t="str">
        <f>IFERROR(__xludf.DUMMYFUNCTION("GOOGLETRANSLATE(B4057,""id"",""en"")"),"['', 'Russy', 'Download', 'Telkomsel', 'Cobain', 'Deh']")</f>
        <v>['', 'Russy', 'Download', 'Telkomsel', 'Cobain', 'Deh']</v>
      </c>
      <c r="D4057" s="3">
        <v>5.0</v>
      </c>
    </row>
    <row r="4058" ht="15.75" customHeight="1">
      <c r="A4058" s="1">
        <v>4344.0</v>
      </c>
      <c r="B4058" s="3" t="s">
        <v>3956</v>
      </c>
      <c r="C4058" s="3" t="str">
        <f>IFERROR(__xludf.DUMMYFUNCTION("GOOGLETRANSLATE(B4058,""id"",""en"")"),"['many years',' Telkomsel ',' disappointment ',' customers', 'increase', 'buy', 'pulse', 'take', 'package', 'internet', 'phone', 'sms',' loss', 'pulse', 'where', 'tuyul', 'take', 'pulse', 'disappear', 'pulse']")</f>
        <v>['many years',' Telkomsel ',' disappointment ',' customers', 'increase', 'buy', 'pulse', 'take', 'package', 'internet', 'phone', 'sms',' loss', 'pulse', 'where', 'tuyul', 'take', 'pulse', 'disappear', 'pulse']</v>
      </c>
      <c r="D4058" s="3">
        <v>1.0</v>
      </c>
    </row>
    <row r="4059" ht="15.75" customHeight="1">
      <c r="A4059" s="1">
        <v>4345.0</v>
      </c>
      <c r="B4059" s="3" t="s">
        <v>3957</v>
      </c>
      <c r="C4059" s="3" t="str">
        <f>IFERROR(__xludf.DUMMYFUNCTION("GOOGLETRANSLATE(B4059,""id"",""en"")"),"['Updated', 'updated', 'opened', 'already', 'update', 'opened', 'APK', 'check', 'pulse', 'quota', 'manual', ""]")</f>
        <v>['Updated', 'updated', 'opened', 'already', 'update', 'opened', 'APK', 'check', 'pulse', 'quota', 'manual', "]</v>
      </c>
      <c r="D4059" s="3">
        <v>1.0</v>
      </c>
    </row>
    <row r="4060" ht="15.75" customHeight="1">
      <c r="A4060" s="1">
        <v>4346.0</v>
      </c>
      <c r="B4060" s="3" t="s">
        <v>3958</v>
      </c>
      <c r="C4060" s="3" t="str">
        <f>IFERROR(__xludf.DUMMYFUNCTION("GOOGLETRANSLATE(B4060,""id"",""en"")"),"['Complaints',' Customers', 'Customer', 'Provider', 'Telkomsel', 'Forgiveness',' Deh ',' How ',' Are ',' You ',' Network ',' Plosok ',' Village ',' Bangsaaa ',' ']")</f>
        <v>['Complaints',' Customers', 'Customer', 'Provider', 'Telkomsel', 'Forgiveness',' Deh ',' How ',' Are ',' You ',' Network ',' Plosok ',' Village ',' Bangsaaa ',' ']</v>
      </c>
      <c r="D4060" s="3">
        <v>1.0</v>
      </c>
    </row>
    <row r="4061" ht="15.75" customHeight="1">
      <c r="A4061" s="1">
        <v>4347.0</v>
      </c>
      <c r="B4061" s="3" t="s">
        <v>3959</v>
      </c>
      <c r="C4061" s="3" t="str">
        <f>IFERROR(__xludf.DUMMYFUNCTION("GOOGLETRANSLATE(B4061,""id"",""en"")"),"['Come here', 'signal', 'Telkomsel', 'ugly', '']")</f>
        <v>['Come here', 'signal', 'Telkomsel', 'ugly', '']</v>
      </c>
      <c r="D4061" s="3">
        <v>2.0</v>
      </c>
    </row>
    <row r="4062" ht="15.75" customHeight="1">
      <c r="A4062" s="1">
        <v>4348.0</v>
      </c>
      <c r="B4062" s="3" t="s">
        <v>3960</v>
      </c>
      <c r="C4062" s="3" t="str">
        <f>IFERROR(__xludf.DUMMYFUNCTION("GOOGLETRANSLATE(B4062,""id"",""en"")"),"['function', 'uses',' help ',' makes it easy ',' need ',' suggestion ',' app ',' tsel ',' widget ',' display ',' leftover ',' pulses', ' Quota ',' easy ',' open ',' app ',' hope ',' help ', ""]")</f>
        <v>['function', 'uses',' help ',' makes it easy ',' need ',' suggestion ',' app ',' tsel ',' widget ',' display ',' leftover ',' pulses', ' Quota ',' easy ',' open ',' app ',' hope ',' help ', "]</v>
      </c>
      <c r="D4062" s="3">
        <v>5.0</v>
      </c>
    </row>
    <row r="4063" ht="15.75" customHeight="1">
      <c r="A4063" s="1">
        <v>4349.0</v>
      </c>
      <c r="B4063" s="3" t="s">
        <v>3961</v>
      </c>
      <c r="C4063" s="3" t="str">
        <f>IFERROR(__xludf.DUMMYFUNCTION("GOOGLETRANSLATE(B4063,""id"",""en"")"),"['price', 'internet', 'expensive', 'network', 'stable', 'basically', 'disappointed', 'emotion', 'until', 'slamar', 'Gara', 'Gara', ' Ngellag ']")</f>
        <v>['price', 'internet', 'expensive', 'network', 'stable', 'basically', 'disappointed', 'emotion', 'until', 'slamar', 'Gara', 'Gara', ' Ngellag ']</v>
      </c>
      <c r="D4063" s="3">
        <v>1.0</v>
      </c>
    </row>
    <row r="4064" ht="15.75" customHeight="1">
      <c r="A4064" s="1">
        <v>4350.0</v>
      </c>
      <c r="B4064" s="3" t="s">
        <v>3962</v>
      </c>
      <c r="C4064" s="3" t="str">
        <f>IFERROR(__xludf.DUMMYFUNCTION("GOOGLETRANSLATE(B4064,""id"",""en"")"),"['Login', 'Musti', 'Link', 'URL', 'Severe', 'Application']")</f>
        <v>['Login', 'Musti', 'Link', 'URL', 'Severe', 'Application']</v>
      </c>
      <c r="D4064" s="3">
        <v>1.0</v>
      </c>
    </row>
    <row r="4065" ht="15.75" customHeight="1">
      <c r="A4065" s="1">
        <v>4351.0</v>
      </c>
      <c r="B4065" s="3" t="s">
        <v>3963</v>
      </c>
      <c r="C4065" s="3" t="str">
        <f>IFERROR(__xludf.DUMMYFUNCTION("GOOGLETRANSLATE(B4065,""id"",""en"")"),"['APK', 'Help']")</f>
        <v>['APK', 'Help']</v>
      </c>
      <c r="D4065" s="3">
        <v>5.0</v>
      </c>
    </row>
    <row r="4066" ht="15.75" customHeight="1">
      <c r="A4066" s="1">
        <v>4352.0</v>
      </c>
      <c r="B4066" s="3" t="s">
        <v>3964</v>
      </c>
      <c r="C4066" s="3" t="str">
        <f>IFERROR(__xludf.DUMMYFUNCTION("GOOGLETRANSLATE(B4066,""id"",""en"")"),"['application', 'taik', 'cook', 'no', 'login', 'no', 'sent', 'message']")</f>
        <v>['application', 'taik', 'cook', 'no', 'login', 'no', 'sent', 'message']</v>
      </c>
      <c r="D4066" s="3">
        <v>1.0</v>
      </c>
    </row>
    <row r="4067" ht="15.75" customHeight="1">
      <c r="A4067" s="1">
        <v>4353.0</v>
      </c>
      <c r="B4067" s="3" t="s">
        <v>3965</v>
      </c>
      <c r="C4067" s="3" t="str">
        <f>IFERROR(__xludf.DUMMYFUNCTION("GOOGLETRANSLATE(B4067,""id"",""en"")"),"['thank', 'love', 'promo', 'success', 'slalu', 'best', ""]")</f>
        <v>['thank', 'love', 'promo', 'success', 'slalu', 'best', "]</v>
      </c>
      <c r="D4067" s="3">
        <v>5.0</v>
      </c>
    </row>
    <row r="4068" ht="15.75" customHeight="1">
      <c r="A4068" s="1">
        <v>4354.0</v>
      </c>
      <c r="B4068" s="3" t="s">
        <v>3966</v>
      </c>
      <c r="C4068" s="3" t="str">
        <f>IFERROR(__xludf.DUMMYFUNCTION("GOOGLETRANSLATE(B4068,""id"",""en"")"),"['Package', 'emergency', 'trapping', 'Notif', 'Dipagihari', 'right', 'wake up', 'sleep', 'Bangung', 'focus',' pressure ',' Tampa ',' Read ',' contents', 'message', 'wake up', 'sleep', 'focus',' leftover ',' quota ',' internet ',' leftover ',' bill ',' pac"&amp;"kage ',' emergency ' , 'pay', '']")</f>
        <v>['Package', 'emergency', 'trapping', 'Notif', 'Dipagihari', 'right', 'wake up', 'sleep', 'Bangung', 'focus',' pressure ',' Tampa ',' Read ',' contents', 'message', 'wake up', 'sleep', 'focus',' leftover ',' quota ',' internet ',' leftover ',' bill ',' package ',' emergency ' , 'pay', '']</v>
      </c>
      <c r="D4068" s="3">
        <v>1.0</v>
      </c>
    </row>
    <row r="4069" ht="15.75" customHeight="1">
      <c r="A4069" s="1">
        <v>4355.0</v>
      </c>
      <c r="B4069" s="3" t="s">
        <v>3967</v>
      </c>
      <c r="C4069" s="3" t="str">
        <f>IFERROR(__xludf.DUMMYFUNCTION("GOOGLETRANSLATE(B4069,""id"",""en"")"),"['Telkomsel', 'pig', 'pulse', 'suck', 'Teros', 'pig', 'Lahh', ""]")</f>
        <v>['Telkomsel', 'pig', 'pulse', 'suck', 'Teros', 'pig', 'Lahh', "]</v>
      </c>
      <c r="D4069" s="3">
        <v>1.0</v>
      </c>
    </row>
    <row r="4070" ht="15.75" customHeight="1">
      <c r="A4070" s="1">
        <v>4356.0</v>
      </c>
      <c r="B4070" s="3" t="s">
        <v>3968</v>
      </c>
      <c r="C4070" s="3" t="str">
        <f>IFERROR(__xludf.DUMMYFUNCTION("GOOGLETRANSLATE(B4070,""id"",""en"")"),"['Disappointed', 'Telkomsel', 'signal', 'ugly', 'quality', 'heart', 'person', 'annoyed', 'slow', 'signal', 'missing', ' Buy ',' Package ',' expensive ',' expensive ',' ']")</f>
        <v>['Disappointed', 'Telkomsel', 'signal', 'ugly', 'quality', 'heart', 'person', 'annoyed', 'slow', 'signal', 'missing', ' Buy ',' Package ',' expensive ',' expensive ',' ']</v>
      </c>
      <c r="D4070" s="3">
        <v>1.0</v>
      </c>
    </row>
    <row r="4071" ht="15.75" customHeight="1">
      <c r="A4071" s="1">
        <v>4357.0</v>
      </c>
      <c r="B4071" s="3" t="s">
        <v>3969</v>
      </c>
      <c r="C4071" s="3" t="str">
        <f>IFERROR(__xludf.DUMMYFUNCTION("GOOGLETRANSLATE(B4071,""id"",""en"")"),"['Telkomsel', 'ugly', 'severe', 'Telkomsel', 'Raying']")</f>
        <v>['Telkomsel', 'ugly', 'severe', 'Telkomsel', 'Raying']</v>
      </c>
      <c r="D4071" s="3">
        <v>1.0</v>
      </c>
    </row>
    <row r="4072" ht="15.75" customHeight="1">
      <c r="A4072" s="1">
        <v>4358.0</v>
      </c>
      <c r="B4072" s="3" t="s">
        <v>3970</v>
      </c>
      <c r="C4072" s="3" t="str">
        <f>IFERROR(__xludf.DUMMYFUNCTION("GOOGLETRANSLATE(B4072,""id"",""en"")"),"['Teruntuk', 'Telkomsel', 'read', 'messages',' donated ',' Points', 'please', 'do', 'people', 'difficult', 'Telkomsel', 'there', ' rich ',' package ',' internet ',' cheap ',' promo ',' expensive ',' package ',' bang ',' expensive ',' expensive ',' subscri"&amp;"ption ',' collapse ',' bang ' , '']")</f>
        <v>['Teruntuk', 'Telkomsel', 'read', 'messages',' donated ',' Points', 'please', 'do', 'people', 'difficult', 'Telkomsel', 'there', ' rich ',' package ',' internet ',' cheap ',' promo ',' expensive ',' package ',' bang ',' expensive ',' expensive ',' subscription ',' collapse ',' bang ' , '']</v>
      </c>
      <c r="D4072" s="3">
        <v>5.0</v>
      </c>
    </row>
    <row r="4073" ht="15.75" customHeight="1">
      <c r="A4073" s="1">
        <v>4359.0</v>
      </c>
      <c r="B4073" s="3" t="s">
        <v>3971</v>
      </c>
      <c r="C4073" s="3" t="str">
        <f>IFERROR(__xludf.DUMMYFUNCTION("GOOGLETRANSLATE(B4073,""id"",""en"")"),"['Simple', 'Gausah', 'Run', 'counter']")</f>
        <v>['Simple', 'Gausah', 'Run', 'counter']</v>
      </c>
      <c r="D4073" s="3">
        <v>5.0</v>
      </c>
    </row>
    <row r="4074" ht="15.75" customHeight="1">
      <c r="A4074" s="1">
        <v>4361.0</v>
      </c>
      <c r="B4074" s="3" t="s">
        <v>3972</v>
      </c>
      <c r="C4074" s="3" t="str">
        <f>IFERROR(__xludf.DUMMYFUNCTION("GOOGLETRANSLATE(B4074,""id"",""en"")"),"['', 'Error', 'Severe', 'BGD', 'Improve It', 'Expensive', 'Doang', 'Service', 'Good']")</f>
        <v>['', 'Error', 'Severe', 'BGD', 'Improve It', 'Expensive', 'Doang', 'Service', 'Good']</v>
      </c>
      <c r="D4074" s="3">
        <v>1.0</v>
      </c>
    </row>
    <row r="4075" ht="15.75" customHeight="1">
      <c r="A4075" s="1">
        <v>4362.0</v>
      </c>
      <c r="B4075" s="3" t="s">
        <v>3973</v>
      </c>
      <c r="C4075" s="3" t="str">
        <f>IFERROR(__xludf.DUMMYFUNCTION("GOOGLETRANSLATE(B4075,""id"",""en"")"),"['', 'against']")</f>
        <v>['', 'against']</v>
      </c>
      <c r="D4075" s="3">
        <v>5.0</v>
      </c>
    </row>
    <row r="4076" ht="15.75" customHeight="1">
      <c r="A4076" s="1">
        <v>4364.0</v>
      </c>
      <c r="B4076" s="3" t="s">
        <v>3974</v>
      </c>
      <c r="C4076" s="3" t="str">
        <f>IFERROR(__xludf.DUMMYFUNCTION("GOOGLETRANSLATE(B4076,""id"",""en"")"),"['signal', 'UBDate', '']")</f>
        <v>['signal', 'UBDate', '']</v>
      </c>
      <c r="D4076" s="3">
        <v>1.0</v>
      </c>
    </row>
    <row r="4077" ht="15.75" customHeight="1">
      <c r="A4077" s="1">
        <v>4365.0</v>
      </c>
      <c r="B4077" s="3" t="s">
        <v>3975</v>
      </c>
      <c r="C4077" s="3" t="str">
        <f>IFERROR(__xludf.DUMMYFUNCTION("GOOGLETRANSLATE(B4077,""id"",""en"")"),"['', 'lost', 'signal', 'internet', 'contents',' just ',' area ',' city ',' difficult ',' signal ',' kah ',' as beautiful as', 'the price ',' Sampek ',' Rb ',' GB ',' ']")</f>
        <v>['', 'lost', 'signal', 'internet', 'contents',' just ',' area ',' city ',' difficult ',' signal ',' kah ',' as beautiful as', 'the price ',' Sampek ',' Rb ',' GB ',' ']</v>
      </c>
      <c r="D4077" s="3">
        <v>1.0</v>
      </c>
    </row>
    <row r="4078" ht="15.75" customHeight="1">
      <c r="A4078" s="1">
        <v>4366.0</v>
      </c>
      <c r="B4078" s="3" t="s">
        <v>3976</v>
      </c>
      <c r="C4078" s="3" t="str">
        <f>IFERROR(__xludf.DUMMYFUNCTION("GOOGLETRANSLATE(B4078,""id"",""en"")"),"['account', 'Telkomsel', 'use', 'code', 'security', 'password', ""]")</f>
        <v>['account', 'Telkomsel', 'use', 'code', 'security', 'password', "]</v>
      </c>
      <c r="D4078" s="3">
        <v>3.0</v>
      </c>
    </row>
    <row r="4079" ht="15.75" customHeight="1">
      <c r="A4079" s="1">
        <v>4367.0</v>
      </c>
      <c r="B4079" s="3" t="s">
        <v>3977</v>
      </c>
      <c r="C4079" s="3" t="str">
        <f>IFERROR(__xludf.DUMMYFUNCTION("GOOGLETRANSLATE(B4079,""id"",""en"")"),"['Kapok', 'Use', 'Telkomsel', 'Price', 'Doank', 'Expensive', 'Kulitas',' Fix ',' Change ',' Provider ',' Gini ',' mah ',' Bye ',' Telkomsel ',' thanks', 'accompany', 'Slamama']")</f>
        <v>['Kapok', 'Use', 'Telkomsel', 'Price', 'Doank', 'Expensive', 'Kulitas',' Fix ',' Change ',' Provider ',' Gini ',' mah ',' Bye ',' Telkomsel ',' thanks', 'accompany', 'Slamama']</v>
      </c>
      <c r="D4079" s="3">
        <v>1.0</v>
      </c>
    </row>
    <row r="4080" ht="15.75" customHeight="1">
      <c r="A4080" s="1">
        <v>4368.0</v>
      </c>
      <c r="B4080" s="3" t="s">
        <v>3978</v>
      </c>
      <c r="C4080" s="3" t="str">
        <f>IFERROR(__xludf.DUMMYFUNCTION("GOOGLETRANSLATE(B4080,""id"",""en"")"),"['The application', 'good', 'thank you']")</f>
        <v>['The application', 'good', 'thank you']</v>
      </c>
      <c r="D4080" s="3">
        <v>5.0</v>
      </c>
    </row>
    <row r="4081" ht="15.75" customHeight="1">
      <c r="A4081" s="1">
        <v>4369.0</v>
      </c>
      <c r="B4081" s="3" t="s">
        <v>3979</v>
      </c>
      <c r="C4081" s="3" t="str">
        <f>IFERROR(__xludf.DUMMYFUNCTION("GOOGLETRANSLATE(B4081,""id"",""en"")"),"['area', 'Parung', 'Bogor', 'Java', 'West', 'signal', 'ugly', 'really', 'area', 'Waru', 'Jaya', 'Please', ' level ',' use ',' Telkomsel ',' UDH ',' Severe ',' signal ']")</f>
        <v>['area', 'Parung', 'Bogor', 'Java', 'West', 'signal', 'ugly', 'really', 'area', 'Waru', 'Jaya', 'Please', ' level ',' use ',' Telkomsel ',' UDH ',' Severe ',' signal ']</v>
      </c>
      <c r="D4081" s="3">
        <v>1.0</v>
      </c>
    </row>
    <row r="4082" ht="15.75" customHeight="1">
      <c r="A4082" s="1">
        <v>4370.0</v>
      </c>
      <c r="B4082" s="3" t="s">
        <v>3980</v>
      </c>
      <c r="C4082" s="3" t="str">
        <f>IFERROR(__xludf.DUMMYFUNCTION("GOOGLETRANSLATE(B4082,""id"",""en"")"),"['Fix', 'Network', 'expensive', 'Doang', 'Quality', 'Default', 'Season', 'Very', 'Network', 'ugly', 'Live', 'City', ' Play ',' game ',' Defeat ',' comparable ',' price ',' ']")</f>
        <v>['Fix', 'Network', 'expensive', 'Doang', 'Quality', 'Default', 'Season', 'Very', 'Network', 'ugly', 'Live', 'City', ' Play ',' game ',' Defeat ',' comparable ',' price ',' ']</v>
      </c>
      <c r="D4082" s="3">
        <v>1.0</v>
      </c>
    </row>
    <row r="4083" ht="15.75" customHeight="1">
      <c r="A4083" s="1">
        <v>4371.0</v>
      </c>
      <c r="B4083" s="3" t="s">
        <v>3981</v>
      </c>
      <c r="C4083" s="3" t="str">
        <f>IFERROR(__xludf.DUMMYFUNCTION("GOOGLETRANSLATE(B4083,""id"",""en"")"),"['Try', 'MyTelkomsel']")</f>
        <v>['Try', 'MyTelkomsel']</v>
      </c>
      <c r="D4083" s="3">
        <v>3.0</v>
      </c>
    </row>
    <row r="4084" ht="15.75" customHeight="1">
      <c r="A4084" s="1">
        <v>4372.0</v>
      </c>
      <c r="B4084" s="3" t="s">
        <v>3982</v>
      </c>
      <c r="C4084" s="3" t="str">
        <f>IFERROR(__xludf.DUMMYFUNCTION("GOOGLETRANSLATE(B4084,""id"",""en"")"),"['Price', 'package', '']")</f>
        <v>['Price', 'package', '']</v>
      </c>
      <c r="D4084" s="3">
        <v>4.0</v>
      </c>
    </row>
    <row r="4085" ht="15.75" customHeight="1">
      <c r="A4085" s="1">
        <v>4373.0</v>
      </c>
      <c r="B4085" s="3" t="s">
        <v>3983</v>
      </c>
      <c r="C4085" s="3" t="str">
        <f>IFERROR(__xludf.DUMMYFUNCTION("GOOGLETRANSLATE(B4085,""id"",""en"")"),"['try', '']")</f>
        <v>['try', '']</v>
      </c>
      <c r="D4085" s="3">
        <v>5.0</v>
      </c>
    </row>
    <row r="4086" ht="15.75" customHeight="1">
      <c r="A4086" s="1">
        <v>4374.0</v>
      </c>
      <c r="B4086" s="3" t="s">
        <v>3984</v>
      </c>
      <c r="C4086" s="3" t="str">
        <f>IFERROR(__xludf.DUMMYFUNCTION("GOOGLETRANSLATE(B4086,""id"",""en"")"),"['Provider', 'number', 'Indonesia', 'just', 'play', 'game', 'connection', 'ilang', 'please', 'high', 'price', 'packetan', ' Balance ',' quality ',' ']")</f>
        <v>['Provider', 'number', 'Indonesia', 'just', 'play', 'game', 'connection', 'ilang', 'please', 'high', 'price', 'packetan', ' Balance ',' quality ',' ']</v>
      </c>
      <c r="D4086" s="3">
        <v>1.0</v>
      </c>
    </row>
    <row r="4087" ht="15.75" customHeight="1">
      <c r="A4087" s="1">
        <v>4375.0</v>
      </c>
      <c r="B4087" s="3" t="s">
        <v>3985</v>
      </c>
      <c r="C4087" s="3" t="str">
        <f>IFERROR(__xludf.DUMMYFUNCTION("GOOGLETRANSLATE(B4087,""id"",""en"")"),"['Help', 'no', 'geratary']")</f>
        <v>['Help', 'no', 'geratary']</v>
      </c>
      <c r="D4087" s="3">
        <v>5.0</v>
      </c>
    </row>
    <row r="4088" ht="15.75" customHeight="1">
      <c r="A4088" s="1">
        <v>4376.0</v>
      </c>
      <c r="B4088" s="3" t="s">
        <v>3986</v>
      </c>
      <c r="C4088" s="3" t="str">
        <f>IFERROR(__xludf.DUMMYFUNCTION("GOOGLETRANSLATE(B4088,""id"",""en"")"),"['package', 'expensive', 'pouch', 'student']")</f>
        <v>['package', 'expensive', 'pouch', 'student']</v>
      </c>
      <c r="D4088" s="3">
        <v>5.0</v>
      </c>
    </row>
    <row r="4089" ht="15.75" customHeight="1">
      <c r="A4089" s="1">
        <v>4377.0</v>
      </c>
      <c r="B4089" s="3" t="s">
        <v>3987</v>
      </c>
      <c r="C4089" s="3" t="str">
        <f>IFERROR(__xludf.DUMMYFUNCTION("GOOGLETRANSLATE(B4089,""id"",""en"")"),"['The network', 'bad']")</f>
        <v>['The network', 'bad']</v>
      </c>
      <c r="D4089" s="3">
        <v>1.0</v>
      </c>
    </row>
    <row r="4090" ht="15.75" customHeight="1">
      <c r="A4090" s="1">
        <v>4378.0</v>
      </c>
      <c r="B4090" s="3" t="s">
        <v>3988</v>
      </c>
      <c r="C4090" s="3" t="str">
        <f>IFERROR(__xludf.DUMMYFUNCTION("GOOGLETRANSLATE(B4090,""id"",""en"")"),"['Destroyed', 'Network', 'Internet', 'Tsel', 'Stable', 'Amid', 'City', 'Lho', 'already', 'price', 'quota', 'expensive', ' Quality ',' comparable ',' ']")</f>
        <v>['Destroyed', 'Network', 'Internet', 'Tsel', 'Stable', 'Amid', 'City', 'Lho', 'already', 'price', 'quota', 'expensive', ' Quality ',' comparable ',' ']</v>
      </c>
      <c r="D4090" s="3">
        <v>1.0</v>
      </c>
    </row>
    <row r="4091" ht="15.75" customHeight="1">
      <c r="A4091" s="1">
        <v>4379.0</v>
      </c>
      <c r="B4091" s="3" t="s">
        <v>3989</v>
      </c>
      <c r="C4091" s="3" t="str">
        <f>IFERROR(__xludf.DUMMYFUNCTION("GOOGLETRANSLATE(B4091,""id"",""en"")"),"['Price', 'Package', 'Competitive', 'Member', 'Telkomsel', 'Different', 'Difference', 'Consistent']")</f>
        <v>['Price', 'Package', 'Competitive', 'Member', 'Telkomsel', 'Different', 'Difference', 'Consistent']</v>
      </c>
      <c r="D4091" s="3">
        <v>3.0</v>
      </c>
    </row>
    <row r="4092" ht="15.75" customHeight="1">
      <c r="A4092" s="1">
        <v>4380.0</v>
      </c>
      <c r="B4092" s="3" t="s">
        <v>3990</v>
      </c>
      <c r="C4092" s="3" t="str">
        <f>IFERROR(__xludf.DUMMYFUNCTION("GOOGLETRANSLATE(B4092,""id"",""en"")"),"['Network', 'Ngk']")</f>
        <v>['Network', 'Ngk']</v>
      </c>
      <c r="D4092" s="3">
        <v>1.0</v>
      </c>
    </row>
    <row r="4093" ht="15.75" customHeight="1">
      <c r="A4093" s="1">
        <v>4381.0</v>
      </c>
      <c r="B4093" s="3" t="s">
        <v>3991</v>
      </c>
      <c r="C4093" s="3" t="str">
        <f>IFERROR(__xludf.DUMMYFUNCTION("GOOGLETRANSLATE(B4093,""id"",""en"")"),"['Network', 'Rain', 'Ngelag', 'Expensive', 'Ngelag']")</f>
        <v>['Network', 'Rain', 'Ngelag', 'Expensive', 'Ngelag']</v>
      </c>
      <c r="D4093" s="3">
        <v>1.0</v>
      </c>
    </row>
    <row r="4094" ht="15.75" customHeight="1">
      <c r="A4094" s="1">
        <v>4382.0</v>
      </c>
      <c r="B4094" s="3" t="s">
        <v>3992</v>
      </c>
      <c r="C4094" s="3" t="str">
        <f>IFERROR(__xludf.DUMMYFUNCTION("GOOGLETRANSLATE(B4094,""id"",""en"")"),"['pulse', 'pulse', 'sufficient', 'idiot']")</f>
        <v>['pulse', 'pulse', 'sufficient', 'idiot']</v>
      </c>
      <c r="D4094" s="3">
        <v>1.0</v>
      </c>
    </row>
    <row r="4095" ht="15.75" customHeight="1">
      <c r="A4095" s="1">
        <v>4383.0</v>
      </c>
      <c r="B4095" s="3" t="s">
        <v>3993</v>
      </c>
      <c r="C4095" s="3" t="str">
        <f>IFERROR(__xludf.DUMMYFUNCTION("GOOGLETRANSLATE(B4095,""id"",""en"")"),"['application', 'effective', 'quota', 'pulse', 'access', 'emergency', 'Telkomsel', 'example', 'buy', 'quota', 'etc.']")</f>
        <v>['application', 'effective', 'quota', 'pulse', 'access', 'emergency', 'Telkomsel', 'example', 'buy', 'quota', 'etc.']</v>
      </c>
      <c r="D4095" s="3">
        <v>2.0</v>
      </c>
    </row>
    <row r="4096" ht="15.75" customHeight="1">
      <c r="A4096" s="1">
        <v>4384.0</v>
      </c>
      <c r="B4096" s="3" t="s">
        <v>3994</v>
      </c>
      <c r="C4096" s="3" t="str">
        <f>IFERROR(__xludf.DUMMYFUNCTION("GOOGLETRANSLATE(B4096,""id"",""en"")"),"['yes',' Telkomsel ',' network ',' already ',' full ',' signal ',' lag ',' surprised ',' package ',' expensive ',' signal ',' severe ',' lag ',' Jump ',' then ',' how ',' GTU ',' Haahhhhhhh ',' Disappointed ',' ']")</f>
        <v>['yes',' Telkomsel ',' network ',' already ',' full ',' signal ',' lag ',' surprised ',' package ',' expensive ',' signal ',' severe ',' lag ',' Jump ',' then ',' how ',' GTU ',' Haahhhhhhh ',' Disappointed ',' ']</v>
      </c>
      <c r="D4096" s="3">
        <v>1.0</v>
      </c>
    </row>
    <row r="4097" ht="15.75" customHeight="1">
      <c r="A4097" s="1">
        <v>4385.0</v>
      </c>
      <c r="B4097" s="3" t="s">
        <v>3995</v>
      </c>
      <c r="C4097" s="3" t="str">
        <f>IFERROR(__xludf.DUMMYFUNCTION("GOOGLETRANSLATE(B4097,""id"",""en"")"),"['smngat', 'petrified']")</f>
        <v>['smngat', 'petrified']</v>
      </c>
      <c r="D4097" s="3">
        <v>5.0</v>
      </c>
    </row>
    <row r="4098" ht="15.75" customHeight="1">
      <c r="A4098" s="1">
        <v>4386.0</v>
      </c>
      <c r="B4098" s="3" t="s">
        <v>3996</v>
      </c>
      <c r="C4098" s="3" t="str">
        <f>IFERROR(__xludf.DUMMYFUNCTION("GOOGLETRANSLATE(B4098,""id"",""en"")"),"['Please', 'Telomsel', 'Confirm', 'Yesterday', 'Protest', 'Application', 'BLM', 'Repair', 'Signal', 'Lost', 'Package', 'Expensive', ' Quality ',' bad ',' cook ',' city ',' bad ']")</f>
        <v>['Please', 'Telomsel', 'Confirm', 'Yesterday', 'Protest', 'Application', 'BLM', 'Repair', 'Signal', 'Lost', 'Package', 'Expensive', ' Quality ',' bad ',' cook ',' city ',' bad ']</v>
      </c>
      <c r="D4098" s="3">
        <v>1.0</v>
      </c>
    </row>
    <row r="4099" ht="15.75" customHeight="1">
      <c r="A4099" s="1">
        <v>4388.0</v>
      </c>
      <c r="B4099" s="3" t="s">
        <v>3997</v>
      </c>
      <c r="C4099" s="3" t="str">
        <f>IFERROR(__xludf.DUMMYFUNCTION("GOOGLETRANSLATE(B4099,""id"",""en"")"),"['Muach', 'Telkomsel']")</f>
        <v>['Muach', 'Telkomsel']</v>
      </c>
      <c r="D4099" s="3">
        <v>5.0</v>
      </c>
    </row>
    <row r="4100" ht="15.75" customHeight="1">
      <c r="A4100" s="1">
        <v>4389.0</v>
      </c>
      <c r="B4100" s="3" t="s">
        <v>3998</v>
      </c>
      <c r="C4100" s="3" t="str">
        <f>IFERROR(__xludf.DUMMYFUNCTION("GOOGLETRANSLATE(B4100,""id"",""en"")"),"['Network', 'bad', 'Harmumer', 'Costumer', 'Please', 'Fix', 'Jngan', 'Price', 'Package', 'Mahalbtapi', 'Quality', 'Network', ' Bad, 'virtue', 'bad', 'disappointed', 'customers', 'Telkomsel', 'bad', 'network']")</f>
        <v>['Network', 'bad', 'Harmumer', 'Costumer', 'Please', 'Fix', 'Jngan', 'Price', 'Package', 'Mahalbtapi', 'Quality', 'Network', ' Bad, 'virtue', 'bad', 'disappointed', 'customers', 'Telkomsel', 'bad', 'network']</v>
      </c>
      <c r="D4100" s="3">
        <v>1.0</v>
      </c>
    </row>
    <row r="4101" ht="15.75" customHeight="1">
      <c r="A4101" s="1">
        <v>4390.0</v>
      </c>
      <c r="B4101" s="3" t="s">
        <v>3999</v>
      </c>
      <c r="C4101" s="3" t="str">
        <f>IFERROR(__xludf.DUMMYFUNCTION("GOOGLETRANSLATE(B4101,""id"",""en"")"),"['easy', 'interesting', 'use']")</f>
        <v>['easy', 'interesting', 'use']</v>
      </c>
      <c r="D4101" s="3">
        <v>5.0</v>
      </c>
    </row>
    <row r="4102" ht="15.75" customHeight="1">
      <c r="A4102" s="1">
        <v>4391.0</v>
      </c>
      <c r="B4102" s="3" t="s">
        <v>830</v>
      </c>
      <c r="C4102" s="3" t="str">
        <f>IFERROR(__xludf.DUMMYFUNCTION("GOOGLETRANSLATE(B4102,""id"",""en"")"),"['', 'like']")</f>
        <v>['', 'like']</v>
      </c>
      <c r="D4102" s="3">
        <v>4.0</v>
      </c>
    </row>
    <row r="4103" ht="15.75" customHeight="1">
      <c r="A4103" s="1">
        <v>4392.0</v>
      </c>
      <c r="B4103" s="3" t="s">
        <v>4000</v>
      </c>
      <c r="C4103" s="3" t="str">
        <f>IFERROR(__xludf.DUMMYFUNCTION("GOOGLETRANSLATE(B4103,""id"",""en"")"),"['Cool', 'Telkomsel', 'Network', 'Package', 'Data', 'Used', 'Game', 'Online', 'Watch', 'Read', 'News',' GGL ',' Telkomsel ',' ']")</f>
        <v>['Cool', 'Telkomsel', 'Network', 'Package', 'Data', 'Used', 'Game', 'Online', 'Watch', 'Read', 'News',' GGL ',' Telkomsel ',' ']</v>
      </c>
      <c r="D4103" s="3">
        <v>1.0</v>
      </c>
    </row>
    <row r="4104" ht="15.75" customHeight="1">
      <c r="A4104" s="1">
        <v>4393.0</v>
      </c>
      <c r="B4104" s="3" t="s">
        <v>4001</v>
      </c>
      <c r="C4104" s="3" t="str">
        <f>IFERROR(__xludf.DUMMYFUNCTION("GOOGLETRANSLATE(B4104,""id"",""en"")"),"['geblek', 'application', 'deadline', 'contents',' kouta ',' right ',' account ',' turn ',' use ',' point ',' active ',' turn ',' Koutaa ',' Ojek ',' Kaga ',' Mampus', 'System']")</f>
        <v>['geblek', 'application', 'deadline', 'contents',' kouta ',' right ',' account ',' turn ',' use ',' point ',' active ',' turn ',' Koutaa ',' Ojek ',' Kaga ',' Mampus', 'System']</v>
      </c>
      <c r="D4104" s="3">
        <v>1.0</v>
      </c>
    </row>
    <row r="4105" ht="15.75" customHeight="1">
      <c r="A4105" s="1">
        <v>4394.0</v>
      </c>
      <c r="B4105" s="3" t="s">
        <v>4002</v>
      </c>
      <c r="C4105" s="3" t="str">
        <f>IFERROR(__xludf.DUMMYFUNCTION("GOOGLETRANSLATE(B4105,""id"",""en"")"),"['petrified']")</f>
        <v>['petrified']</v>
      </c>
      <c r="D4105" s="3">
        <v>5.0</v>
      </c>
    </row>
    <row r="4106" ht="15.75" customHeight="1">
      <c r="A4106" s="1">
        <v>4395.0</v>
      </c>
      <c r="B4106" s="3" t="s">
        <v>4003</v>
      </c>
      <c r="C4106" s="3" t="str">
        <f>IFERROR(__xludf.DUMMYFUNCTION("GOOGLETRANSLATE(B4106,""id"",""en"")"),"['promo', 'package', 'internet', 'infokan', 'notif', 'network', 'thrilled', 'gara', 'cloud']")</f>
        <v>['promo', 'package', 'internet', 'infokan', 'notif', 'network', 'thrilled', 'gara', 'cloud']</v>
      </c>
      <c r="D4106" s="3">
        <v>4.0</v>
      </c>
    </row>
    <row r="4107" ht="15.75" customHeight="1">
      <c r="A4107" s="1">
        <v>4396.0</v>
      </c>
      <c r="B4107" s="3" t="s">
        <v>4004</v>
      </c>
      <c r="C4107" s="3" t="str">
        <f>IFERROR(__xludf.DUMMYFUNCTION("GOOGLETRANSLATE(B4107,""id"",""en"")"),"['Sinyal', 'forgiveness', 'counts', 'market', 'plate', 'user', 'market', 'individual', 'great', 'great']")</f>
        <v>['Sinyal', 'forgiveness', 'counts', 'market', 'plate', 'user', 'market', 'individual', 'great', 'great']</v>
      </c>
      <c r="D4107" s="3">
        <v>3.0</v>
      </c>
    </row>
    <row r="4108" ht="15.75" customHeight="1">
      <c r="A4108" s="1">
        <v>4397.0</v>
      </c>
      <c r="B4108" s="3" t="s">
        <v>4005</v>
      </c>
      <c r="C4108" s="3" t="str">
        <f>IFERROR(__xludf.DUMMYFUNCTION("GOOGLETRANSLATE(B4108,""id"",""en"")"),"['signal', 'ugly', 'sometimes', 'missing', '']")</f>
        <v>['signal', 'ugly', 'sometimes', 'missing', '']</v>
      </c>
      <c r="D4108" s="3">
        <v>3.0</v>
      </c>
    </row>
    <row r="4109" ht="15.75" customHeight="1">
      <c r="A4109" s="1">
        <v>4398.0</v>
      </c>
      <c r="B4109" s="3" t="s">
        <v>4006</v>
      </c>
      <c r="C4109" s="3" t="str">
        <f>IFERROR(__xludf.DUMMYFUNCTION("GOOGLETRANSLATE(B4109,""id"",""en"")"),"['Mantul', 'Anyway', 'Mantap']")</f>
        <v>['Mantul', 'Anyway', 'Mantap']</v>
      </c>
      <c r="D4109" s="3">
        <v>4.0</v>
      </c>
    </row>
    <row r="4110" ht="15.75" customHeight="1">
      <c r="A4110" s="1">
        <v>4399.0</v>
      </c>
      <c r="B4110" s="3" t="s">
        <v>4007</v>
      </c>
      <c r="C4110" s="3" t="str">
        <f>IFERROR(__xludf.DUMMYFUNCTION("GOOGLETRANSLATE(B4110,""id"",""en"")"),"['Telkomsel', 'kersinj', 'signal', 'bad', 'really', 'kayak', 'pay', 'expensive', 'signal', 'good', 'pay', 'expensive', ' signal ',' ugly ',' hadeuh ']")</f>
        <v>['Telkomsel', 'kersinj', 'signal', 'bad', 'really', 'kayak', 'pay', 'expensive', 'signal', 'good', 'pay', 'expensive', ' signal ',' ugly ',' hadeuh ']</v>
      </c>
      <c r="D4110" s="3">
        <v>1.0</v>
      </c>
    </row>
    <row r="4111" ht="15.75" customHeight="1">
      <c r="A4111" s="1">
        <v>4400.0</v>
      </c>
      <c r="B4111" s="3" t="s">
        <v>4008</v>
      </c>
      <c r="C4111" s="3" t="str">
        <f>IFERROR(__xludf.DUMMYFUNCTION("GOOGLETRANSLATE(B4111,""id"",""en"")"),"['like', 'application']")</f>
        <v>['like', 'application']</v>
      </c>
      <c r="D4111" s="3">
        <v>5.0</v>
      </c>
    </row>
    <row r="4112" ht="15.75" customHeight="1">
      <c r="A4112" s="1">
        <v>4401.0</v>
      </c>
      <c r="B4112" s="3" t="s">
        <v>4009</v>
      </c>
      <c r="C4112" s="3" t="str">
        <f>IFERROR(__xludf.DUMMYFUNCTION("GOOGLETRANSLATE(B4112,""id"",""en"")"),"['Steady', 'fast', 'Telcomsel']")</f>
        <v>['Steady', 'fast', 'Telcomsel']</v>
      </c>
      <c r="D4112" s="3">
        <v>5.0</v>
      </c>
    </row>
    <row r="4113" ht="15.75" customHeight="1">
      <c r="A4113" s="1">
        <v>4402.0</v>
      </c>
      <c r="B4113" s="3" t="s">
        <v>4010</v>
      </c>
      <c r="C4113" s="3" t="str">
        <f>IFERROR(__xludf.DUMMYFUNCTION("GOOGLETRANSLATE(B4113,""id"",""en"")"),"['connection', 'slow', 'buy', 'quota', 'Jir', ""]")</f>
        <v>['connection', 'slow', 'buy', 'quota', 'Jir', "]</v>
      </c>
      <c r="D4113" s="3">
        <v>1.0</v>
      </c>
    </row>
    <row r="4114" ht="15.75" customHeight="1">
      <c r="A4114" s="1">
        <v>4403.0</v>
      </c>
      <c r="B4114" s="3" t="s">
        <v>4011</v>
      </c>
      <c r="C4114" s="3" t="str">
        <f>IFERROR(__xludf.DUMMYFUNCTION("GOOGLETRANSLATE(B4114,""id"",""en"")"),"['application', 'koq', 'nga', 'open']")</f>
        <v>['application', 'koq', 'nga', 'open']</v>
      </c>
      <c r="D4114" s="3">
        <v>1.0</v>
      </c>
    </row>
    <row r="4115" ht="15.75" customHeight="1">
      <c r="A4115" s="1">
        <v>4404.0</v>
      </c>
      <c r="B4115" s="3" t="s">
        <v>4012</v>
      </c>
      <c r="C4115" s="3" t="str">
        <f>IFERROR(__xludf.DUMMYFUNCTION("GOOGLETRANSLATE(B4115,""id"",""en"")"),"['practical', 'in', 'transaction']")</f>
        <v>['practical', 'in', 'transaction']</v>
      </c>
      <c r="D4115" s="3">
        <v>5.0</v>
      </c>
    </row>
    <row r="4116" ht="15.75" customHeight="1">
      <c r="A4116" s="1">
        <v>4405.0</v>
      </c>
      <c r="B4116" s="3" t="s">
        <v>4013</v>
      </c>
      <c r="C4116" s="3" t="str">
        <f>IFERROR(__xludf.DUMMYFUNCTION("GOOGLETRANSLATE(B4116,""id"",""en"")"),"['card', 'strange', 'buy', 'quota', 'application', 'read', 'comics',' online ',' feels', 'quota', 'open', 'apk', ' Effect ',' signal ',' Impossible ',' Move ',' Place ']")</f>
        <v>['card', 'strange', 'buy', 'quota', 'application', 'read', 'comics',' online ',' feels', 'quota', 'open', 'apk', ' Effect ',' signal ',' Impossible ',' Move ',' Place ']</v>
      </c>
      <c r="D4116" s="3">
        <v>1.0</v>
      </c>
    </row>
    <row r="4117" ht="15.75" customHeight="1">
      <c r="A4117" s="1">
        <v>4406.0</v>
      </c>
      <c r="B4117" s="3" t="s">
        <v>4014</v>
      </c>
      <c r="C4117" s="3" t="str">
        <f>IFERROR(__xludf.DUMMYFUNCTION("GOOGLETRANSLATE(B4117,""id"",""en"")"),"['skarang', 'Telkomsel', 'taste', 'rich', 'ugly', 'really', 'signal', 'bar', 'internet', 'disappointing']")</f>
        <v>['skarang', 'Telkomsel', 'taste', 'rich', 'ugly', 'really', 'signal', 'bar', 'internet', 'disappointing']</v>
      </c>
      <c r="D4117" s="3">
        <v>1.0</v>
      </c>
    </row>
    <row r="4118" ht="15.75" customHeight="1">
      <c r="A4118" s="1">
        <v>4407.0</v>
      </c>
      <c r="B4118" s="3" t="s">
        <v>4015</v>
      </c>
      <c r="C4118" s="3" t="str">
        <f>IFERROR(__xludf.DUMMYFUNCTION("GOOGLETRANSLATE(B4118,""id"",""en"")"),"['Telkomsel', 'Please', 'Fix', 'Signal', 'Slow', 'Setabil', 'Decreases',' Drastic ',' Please ',' Consider ',' Telkomsel ',' Satt ',' cave ',' fed up ',' ama ',' telkom ',' already ',' comment ',' told ',' fix ',' ttp ',' sat ',' telkomsel ',' pig ',' hala"&amp;" ' , 'ktl']")</f>
        <v>['Telkomsel', 'Please', 'Fix', 'Signal', 'Slow', 'Setabil', 'Decreases',' Drastic ',' Please ',' Consider ',' Telkomsel ',' Satt ',' cave ',' fed up ',' ama ',' telkom ',' already ',' comment ',' told ',' fix ',' ttp ',' sat ',' telkomsel ',' pig ',' hala ' , 'ktl']</v>
      </c>
      <c r="D4118" s="3">
        <v>1.0</v>
      </c>
    </row>
    <row r="4119" ht="15.75" customHeight="1">
      <c r="A4119" s="1">
        <v>4408.0</v>
      </c>
      <c r="B4119" s="3" t="s">
        <v>4016</v>
      </c>
      <c r="C4119" s="3" t="str">
        <f>IFERROR(__xludf.DUMMYFUNCTION("GOOGLETRANSLATE(B4119,""id"",""en"")"),"['Thank you', 'Telkomsel', 'Telkomsel', 'solution', 'exchanges', 'Points', 'pulses', ""]")</f>
        <v>['Thank you', 'Telkomsel', 'Telkomsel', 'solution', 'exchanges', 'Points', 'pulses', "]</v>
      </c>
      <c r="D4119" s="3">
        <v>5.0</v>
      </c>
    </row>
    <row r="4120" ht="15.75" customHeight="1">
      <c r="A4120" s="1">
        <v>4409.0</v>
      </c>
      <c r="B4120" s="3" t="s">
        <v>4017</v>
      </c>
      <c r="C4120" s="3" t="str">
        <f>IFERROR(__xludf.DUMMYFUNCTION("GOOGLETRANSLATE(B4120,""id"",""en"")"),"['signal', 'destroyed', 'want', 'move', 'card', 'klw', 'rich', 'gini', 'then']")</f>
        <v>['signal', 'destroyed', 'want', 'move', 'card', 'klw', 'rich', 'gini', 'then']</v>
      </c>
      <c r="D4120" s="3">
        <v>5.0</v>
      </c>
    </row>
    <row r="4121" ht="15.75" customHeight="1">
      <c r="A4121" s="1">
        <v>4410.0</v>
      </c>
      <c r="B4121" s="3" t="s">
        <v>4018</v>
      </c>
      <c r="C4121" s="3" t="str">
        <f>IFERROR(__xludf.DUMMYFUNCTION("GOOGLETRANSLATE(B4121,""id"",""en"")"),"['Help', 'Purchase', 'Package', 'Lottery', 'Donations', 'Mantap', '']")</f>
        <v>['Help', 'Purchase', 'Package', 'Lottery', 'Donations', 'Mantap', '']</v>
      </c>
      <c r="D4121" s="3">
        <v>5.0</v>
      </c>
    </row>
    <row r="4122" ht="15.75" customHeight="1">
      <c r="A4122" s="1">
        <v>4411.0</v>
      </c>
      <c r="B4122" s="3" t="s">
        <v>4019</v>
      </c>
      <c r="C4122" s="3" t="str">
        <f>IFERROR(__xludf.DUMMYFUNCTION("GOOGLETRANSLATE(B4122,""id"",""en"")"),"['The network', 'slow', 'Bngt', 'SKLH', 'BDR', 'Difficult', ""]")</f>
        <v>['The network', 'slow', 'Bngt', 'SKLH', 'BDR', 'Difficult', "]</v>
      </c>
      <c r="D4122" s="3">
        <v>1.0</v>
      </c>
    </row>
    <row r="4123" ht="15.75" customHeight="1">
      <c r="A4123" s="1">
        <v>4412.0</v>
      </c>
      <c r="B4123" s="3" t="s">
        <v>4020</v>
      </c>
      <c r="C4123" s="3" t="str">
        <f>IFERROR(__xludf.DUMMYFUNCTION("GOOGLETRANSLATE(B4123,""id"",""en"")"),"['Network', 'Kek', 'KNTD']")</f>
        <v>['Network', 'Kek', 'KNTD']</v>
      </c>
      <c r="D4123" s="3">
        <v>1.0</v>
      </c>
    </row>
    <row r="4124" ht="15.75" customHeight="1">
      <c r="A4124" s="1">
        <v>4413.0</v>
      </c>
      <c r="B4124" s="3" t="s">
        <v>4021</v>
      </c>
      <c r="C4124" s="3" t="str">
        <f>IFERROR(__xludf.DUMMYFUNCTION("GOOGLETRANSLATE(B4124,""id"",""en"")"),"['run out', 'pulse', 'limit', 'interests', 'restricted', '']")</f>
        <v>['run out', 'pulse', 'limit', 'interests', 'restricted', '']</v>
      </c>
      <c r="D4124" s="3">
        <v>2.0</v>
      </c>
    </row>
    <row r="4125" ht="15.75" customHeight="1">
      <c r="A4125" s="1">
        <v>4415.0</v>
      </c>
      <c r="B4125" s="3" t="s">
        <v>4022</v>
      </c>
      <c r="C4125" s="3" t="str">
        <f>IFERROR(__xludf.DUMMYFUNCTION("GOOGLETRANSLATE(B4125,""id"",""en"")"),"['ngirit', 'ngorot', 'Gara', 'crush', 'buy', 'package', 'cheerful', 'pulse', 'main', 'run out', 'access',' internet ',' Non ',' Package ',' Gara ',' Gara ',' Network ',' Enter ',' Sousal ',' ugly ',' really ', ""]")</f>
        <v>['ngirit', 'ngorot', 'Gara', 'crush', 'buy', 'package', 'cheerful', 'pulse', 'main', 'run out', 'access',' internet ',' Non ',' Package ',' Gara ',' Gara ',' Network ',' Enter ',' Sousal ',' ugly ',' really ', "]</v>
      </c>
      <c r="D4125" s="3">
        <v>1.0</v>
      </c>
    </row>
    <row r="4126" ht="15.75" customHeight="1">
      <c r="A4126" s="1">
        <v>4416.0</v>
      </c>
      <c r="B4126" s="3" t="s">
        <v>4023</v>
      </c>
      <c r="C4126" s="3" t="str">
        <f>IFERROR(__xludf.DUMMYFUNCTION("GOOGLETRANSLATE(B4126,""id"",""en"")"),"['quota', 'expensive', ""]")</f>
        <v>['quota', 'expensive', "]</v>
      </c>
      <c r="D4126" s="3">
        <v>1.0</v>
      </c>
    </row>
    <row r="4127" ht="15.75" customHeight="1">
      <c r="A4127" s="1">
        <v>4417.0</v>
      </c>
      <c r="B4127" s="3" t="s">
        <v>4024</v>
      </c>
      <c r="C4127" s="3" t="str">
        <f>IFERROR(__xludf.DUMMYFUNCTION("GOOGLETRANSLATE(B4127,""id"",""en"")"),"['min', 'admin', 'Telkomsel', 'already', 'buy', 'package', 'bln', 'lost', 'signal', 'mass',' simcard ',' signal ',' Good ',' Nokia ',' Doang ',' Usability ',' Packagein ',' old school ',' no ',' cellphone ',' like ',' so ', ""]")</f>
        <v>['min', 'admin', 'Telkomsel', 'already', 'buy', 'package', 'bln', 'lost', 'signal', 'mass',' simcard ',' signal ',' Good ',' Nokia ',' Doang ',' Usability ',' Packagein ',' old school ',' no ',' cellphone ',' like ',' so ', "]</v>
      </c>
      <c r="D4127" s="3">
        <v>1.0</v>
      </c>
    </row>
    <row r="4128" ht="15.75" customHeight="1">
      <c r="A4128" s="1">
        <v>4418.0</v>
      </c>
      <c r="B4128" s="3" t="s">
        <v>4025</v>
      </c>
      <c r="C4128" s="3" t="str">
        <f>IFERROR(__xludf.DUMMYFUNCTION("GOOGLETRANSLATE(B4128,""id"",""en"")"),"['Telkomsel', 'pig', 'repairs',' please ',' network ',' kelen ',' pig ',' play ',' right ',' rain ',' ngelag ',' times', ' Boss', 'Sell', 'Provider', 'Kelen', 'Gabisa', 'Ngatasin', ""]")</f>
        <v>['Telkomsel', 'pig', 'repairs',' please ',' network ',' kelen ',' pig ',' play ',' right ',' rain ',' ngelag ',' times', ' Boss', 'Sell', 'Provider', 'Kelen', 'Gabisa', 'Ngatasin', "]</v>
      </c>
      <c r="D4128" s="3">
        <v>1.0</v>
      </c>
    </row>
    <row r="4129" ht="15.75" customHeight="1">
      <c r="A4129" s="1">
        <v>4419.0</v>
      </c>
      <c r="B4129" s="3" t="s">
        <v>4026</v>
      </c>
      <c r="C4129" s="3" t="str">
        <f>IFERROR(__xludf.DUMMYFUNCTION("GOOGLETRANSLATE(B4129,""id"",""en"")"),"['Telkomsel', 'emng', 'cool']")</f>
        <v>['Telkomsel', 'emng', 'cool']</v>
      </c>
      <c r="D4129" s="3">
        <v>5.0</v>
      </c>
    </row>
    <row r="4130" ht="15.75" customHeight="1">
      <c r="A4130" s="1">
        <v>4420.0</v>
      </c>
      <c r="B4130" s="3" t="s">
        <v>4027</v>
      </c>
      <c r="C4130" s="3" t="str">
        <f>IFERROR(__xludf.DUMMYFUNCTION("GOOGLETRANSLATE(B4130,""id"",""en"")"),"['Help', 'Bangettt', ""]")</f>
        <v>['Help', 'Bangettt', "]</v>
      </c>
      <c r="D4130" s="3">
        <v>5.0</v>
      </c>
    </row>
    <row r="4131" ht="15.75" customHeight="1">
      <c r="A4131" s="1">
        <v>4421.0</v>
      </c>
      <c r="B4131" s="3" t="s">
        <v>4028</v>
      </c>
      <c r="C4131" s="3" t="str">
        <f>IFERROR(__xludf.DUMMYFUNCTION("GOOGLETRANSLATE(B4131,""id"",""en"")"),"['Satisfied', 'easy']")</f>
        <v>['Satisfied', 'easy']</v>
      </c>
      <c r="D4131" s="3">
        <v>5.0</v>
      </c>
    </row>
    <row r="4132" ht="15.75" customHeight="1">
      <c r="A4132" s="1">
        <v>4422.0</v>
      </c>
      <c r="B4132" s="3" t="s">
        <v>4029</v>
      </c>
      <c r="C4132" s="3" t="str">
        <f>IFERROR(__xludf.DUMMYFUNCTION("GOOGLETRANSLATE(B4132,""id"",""en"")"),"['Telkomsel', 'signal', 'battered', 'really', 'kayak', 'dlu', 'good', 'knp', 'oath', 'future', 'signal', 'repair', ' Move ',' Plis', 'Liat', 'Review', 'Ksihan', 'Sudab', 'Buy', 'satisfying', ""]")</f>
        <v>['Telkomsel', 'signal', 'battered', 'really', 'kayak', 'dlu', 'good', 'knp', 'oath', 'future', 'signal', 'repair', ' Move ',' Plis', 'Liat', 'Review', 'Ksihan', 'Sudab', 'Buy', 'satisfying', "]</v>
      </c>
      <c r="D4132" s="3">
        <v>1.0</v>
      </c>
    </row>
    <row r="4133" ht="15.75" customHeight="1">
      <c r="A4133" s="1">
        <v>4423.0</v>
      </c>
      <c r="B4133" s="3" t="s">
        <v>4030</v>
      </c>
      <c r="C4133" s="3" t="str">
        <f>IFERROR(__xludf.DUMMYFUNCTION("GOOGLETRANSLATE(B4133,""id"",""en"")"),"['Application', 'Good', 'promo', 'Not bad']")</f>
        <v>['Application', 'Good', 'promo', 'Not bad']</v>
      </c>
      <c r="D4133" s="3">
        <v>5.0</v>
      </c>
    </row>
    <row r="4134" ht="15.75" customHeight="1">
      <c r="A4134" s="1">
        <v>4424.0</v>
      </c>
      <c r="B4134" s="3" t="s">
        <v>4031</v>
      </c>
      <c r="C4134" s="3" t="str">
        <f>IFERROR(__xludf.DUMMYFUNCTION("GOOGLETRANSLATE(B4134,""id"",""en"")"),"['Hotoffer', 'Telkomsel', 'Tipu', 'please', 'service', 'leftover', 'pulse', 'run out', 'pairs',' package ',' said ',' leftover ',' Credit ',' sufficient ',' strange ',' Telkomsel ', ""]")</f>
        <v>['Hotoffer', 'Telkomsel', 'Tipu', 'please', 'service', 'leftover', 'pulse', 'run out', 'pairs',' package ',' said ',' leftover ',' Credit ',' sufficient ',' strange ',' Telkomsel ', "]</v>
      </c>
      <c r="D4134" s="3">
        <v>1.0</v>
      </c>
    </row>
    <row r="4135" ht="15.75" customHeight="1">
      <c r="A4135" s="1">
        <v>4425.0</v>
      </c>
      <c r="B4135" s="3" t="s">
        <v>4032</v>
      </c>
      <c r="C4135" s="3" t="str">
        <f>IFERROR(__xludf.DUMMYFUNCTION("GOOGLETRANSLATE(B4135,""id"",""en"")"),"['signal', 'network', 'drop', 'Come', 'BUMN', 'Signal', 'Network', 'Internet', 'Kableau', 'stabilin', 'Tambun', 'South', ' Regency ',' BEKASI ',' ']")</f>
        <v>['signal', 'network', 'drop', 'Come', 'BUMN', 'Signal', 'Network', 'Internet', 'Kableau', 'stabilin', 'Tambun', 'South', ' Regency ',' BEKASI ',' ']</v>
      </c>
      <c r="D4135" s="3">
        <v>1.0</v>
      </c>
    </row>
    <row r="4136" ht="15.75" customHeight="1">
      <c r="A4136" s="1">
        <v>4426.0</v>
      </c>
      <c r="B4136" s="3" t="s">
        <v>4033</v>
      </c>
      <c r="C4136" s="3" t="str">
        <f>IFERROR(__xludf.DUMMYFUNCTION("GOOGLETRANSLATE(B4136,""id"",""en"")"),"['', 'love', 'star', 'dlu', 'signal', 'udh', 'smooth', 'love', 'star', ""]")</f>
        <v>['', 'love', 'star', 'dlu', 'signal', 'udh', 'smooth', 'love', 'star', "]</v>
      </c>
      <c r="D4136" s="3">
        <v>3.0</v>
      </c>
    </row>
    <row r="4137" ht="15.75" customHeight="1">
      <c r="A4137" s="1">
        <v>4427.0</v>
      </c>
      <c r="B4137" s="3" t="s">
        <v>4034</v>
      </c>
      <c r="C4137" s="3" t="str">
        <f>IFERROR(__xludf.DUMMYFUNCTION("GOOGLETRANSLATE(B4137,""id"",""en"")"),"['Please', 'network', 'ugly', 'going forward', 'please', 'signal', 'repaired', 'napa', 'package', 'ajh', 'cave', 'fill', ' expensive ',' Ajah ',' ugly ', ""]")</f>
        <v>['Please', 'network', 'ugly', 'going forward', 'please', 'signal', 'repaired', 'napa', 'package', 'ajh', 'cave', 'fill', ' expensive ',' Ajah ',' ugly ', "]</v>
      </c>
      <c r="D4137" s="3">
        <v>3.0</v>
      </c>
    </row>
    <row r="4138" ht="15.75" customHeight="1">
      <c r="A4138" s="1">
        <v>4428.0</v>
      </c>
      <c r="B4138" s="3" t="s">
        <v>4035</v>
      </c>
      <c r="C4138" s="3" t="str">
        <f>IFERROR(__xludf.DUMMYFUNCTION("GOOGLETRANSLATE(B4138,""id"",""en"")"),"['The application', 'enhanced', 'access', 'difficult', 'enter', ""]")</f>
        <v>['The application', 'enhanced', 'access', 'difficult', 'enter', "]</v>
      </c>
      <c r="D4138" s="3">
        <v>3.0</v>
      </c>
    </row>
    <row r="4139" ht="15.75" customHeight="1">
      <c r="A4139" s="1">
        <v>4429.0</v>
      </c>
      <c r="B4139" s="3" t="s">
        <v>4036</v>
      </c>
      <c r="C4139" s="3" t="str">
        <f>IFERROR(__xludf.DUMMYFUNCTION("GOOGLETRANSLATE(B4139,""id"",""en"")"),"['users', 'Telkomsel', 'Like', 'Telkomsel', 'Network', 'Strong', 'Increase', 'Promo', 'Thanks']")</f>
        <v>['users', 'Telkomsel', 'Like', 'Telkomsel', 'Network', 'Strong', 'Increase', 'Promo', 'Thanks']</v>
      </c>
      <c r="D4139" s="3">
        <v>5.0</v>
      </c>
    </row>
    <row r="4140" ht="15.75" customHeight="1">
      <c r="A4140" s="1">
        <v>4431.0</v>
      </c>
      <c r="B4140" s="3" t="s">
        <v>4037</v>
      </c>
      <c r="C4140" s="3" t="str">
        <f>IFERROR(__xludf.DUMMYFUNCTION("GOOGLETRANSLATE(B4140,""id"",""en"")"),"['Telkomsel', 'bapuk', 'really', 'the network', 'expensive', 'doang']")</f>
        <v>['Telkomsel', 'bapuk', 'really', 'the network', 'expensive', 'doang']</v>
      </c>
      <c r="D4140" s="3">
        <v>1.0</v>
      </c>
    </row>
    <row r="4141" ht="15.75" customHeight="1">
      <c r="A4141" s="1">
        <v>4432.0</v>
      </c>
      <c r="B4141" s="3" t="s">
        <v>4038</v>
      </c>
      <c r="C4141" s="3" t="str">
        <f>IFERROR(__xludf.DUMMYFUNCTION("GOOGLETRANSLATE(B4141,""id"",""en"")"),"['oath', 'already', 'third', 'time', 'pulseku', 'chief', 'my quota', 'gaje', 'oath', 'looked', 'luck', 'this',' ']")</f>
        <v>['oath', 'already', 'third', 'time', 'pulseku', 'chief', 'my quota', 'gaje', 'oath', 'looked', 'luck', 'this',' ']</v>
      </c>
      <c r="D4141" s="3">
        <v>2.0</v>
      </c>
    </row>
    <row r="4142" ht="15.75" customHeight="1">
      <c r="A4142" s="1">
        <v>4433.0</v>
      </c>
      <c r="B4142" s="3" t="s">
        <v>4039</v>
      </c>
      <c r="C4142" s="3" t="str">
        <f>IFERROR(__xludf.DUMMYFUNCTION("GOOGLETRANSLATE(B4142,""id"",""en"")"),"['The price', 'difficult', 'signal', 'quota', 'GB', 'no', 'bought', 'Loading', ""]")</f>
        <v>['The price', 'difficult', 'signal', 'quota', 'GB', 'no', 'bought', 'Loading', "]</v>
      </c>
      <c r="D4142" s="3">
        <v>1.0</v>
      </c>
    </row>
    <row r="4143" ht="15.75" customHeight="1">
      <c r="A4143" s="1">
        <v>4434.0</v>
      </c>
      <c r="B4143" s="3" t="s">
        <v>4040</v>
      </c>
      <c r="C4143" s="3" t="str">
        <f>IFERROR(__xludf.DUMMYFUNCTION("GOOGLETRANSLATE(B4143,""id"",""en"")"),"['Subhanallah', 'Wear', 'Network', 'Telkomsel', 'Network', 'Cross',' Credit ',' Sucked ',' Reasons', 'Signal', 'ugly', 'Price', ' package ',' expensive ',' streaming ',' play ',' games', 'internet', 'sucked', 'pulse', 'disturbed', 'tendout', 'online', 'th"&amp;"ank', 'love' , 'hopefully', 'bleak']")</f>
        <v>['Subhanallah', 'Wear', 'Network', 'Telkomsel', 'Network', 'Cross',' Credit ',' Sucked ',' Reasons', 'Signal', 'ugly', 'Price', ' package ',' expensive ',' streaming ',' play ',' games', 'internet', 'sucked', 'pulse', 'disturbed', 'tendout', 'online', 'thank', 'love' , 'hopefully', 'bleak']</v>
      </c>
      <c r="D4143" s="3">
        <v>1.0</v>
      </c>
    </row>
    <row r="4144" ht="15.75" customHeight="1">
      <c r="A4144" s="1">
        <v>4435.0</v>
      </c>
      <c r="B4144" s="3" t="s">
        <v>4041</v>
      </c>
      <c r="C4144" s="3" t="str">
        <f>IFERROR(__xludf.DUMMYFUNCTION("GOOGLETRANSLATE(B4144,""id"",""en"")"),"['Not bad', 'network', 'stable']")</f>
        <v>['Not bad', 'network', 'stable']</v>
      </c>
      <c r="D4144" s="3">
        <v>3.0</v>
      </c>
    </row>
    <row r="4145" ht="15.75" customHeight="1">
      <c r="A4145" s="1">
        <v>4436.0</v>
      </c>
      <c r="B4145" s="3" t="s">
        <v>4042</v>
      </c>
      <c r="C4145" s="3" t="str">
        <f>IFERROR(__xludf.DUMMYFUNCTION("GOOGLETRANSLATE(B4145,""id"",""en"")"),"['Increases', 'Quality', 'Signal', 'Rates', 'Highest', 'Operator']")</f>
        <v>['Increases', 'Quality', 'Signal', 'Rates', 'Highest', 'Operator']</v>
      </c>
      <c r="D4145" s="3">
        <v>4.0</v>
      </c>
    </row>
    <row r="4146" ht="15.75" customHeight="1">
      <c r="A4146" s="1">
        <v>4437.0</v>
      </c>
      <c r="B4146" s="3" t="s">
        <v>4043</v>
      </c>
      <c r="C4146" s="3" t="str">
        <f>IFERROR(__xludf.DUMMYFUNCTION("GOOGLETRANSLATE(B4146,""id"",""en"")"),"['Application', 'makes it easier', 'users', 'Telkomsel', 'Thank you', 'Telkomsel']")</f>
        <v>['Application', 'makes it easier', 'users', 'Telkomsel', 'Thank you', 'Telkomsel']</v>
      </c>
      <c r="D4146" s="3">
        <v>5.0</v>
      </c>
    </row>
    <row r="4147" ht="15.75" customHeight="1">
      <c r="A4147" s="1">
        <v>4438.0</v>
      </c>
      <c r="B4147" s="3" t="s">
        <v>4044</v>
      </c>
      <c r="C4147" s="3" t="str">
        <f>IFERROR(__xludf.DUMMYFUNCTION("GOOGLETRANSLATE(B4147,""id"",""en"")"),"['buy', 'package', 'expensive', 'network', 'according to', 'feels', 'money', 'kek', 'waste', 'problem', 'network']")</f>
        <v>['buy', 'package', 'expensive', 'network', 'according to', 'feels', 'money', 'kek', 'waste', 'problem', 'network']</v>
      </c>
      <c r="D4147" s="3">
        <v>1.0</v>
      </c>
    </row>
    <row r="4148" ht="15.75" customHeight="1">
      <c r="A4148" s="1">
        <v>4439.0</v>
      </c>
      <c r="B4148" s="3" t="s">
        <v>4045</v>
      </c>
      <c r="C4148" s="3" t="str">
        <f>IFERROR(__xludf.DUMMYFUNCTION("GOOGLETRANSLATE(B4148,""id"",""en"")"),"['pulse', 'rb', 'internet', 'GB', 'use', 'internet', 'run out', 'first', 'pulses', 'stay', ""]")</f>
        <v>['pulse', 'rb', 'internet', 'GB', 'use', 'internet', 'run out', 'first', 'pulses', 'stay', "]</v>
      </c>
      <c r="D4148" s="3">
        <v>5.0</v>
      </c>
    </row>
    <row r="4149" ht="15.75" customHeight="1">
      <c r="A4149" s="1">
        <v>4440.0</v>
      </c>
      <c r="B4149" s="3" t="s">
        <v>4046</v>
      </c>
      <c r="C4149" s="3" t="str">
        <f>IFERROR(__xludf.DUMMYFUNCTION("GOOGLETRANSLATE(B4149,""id"",""en"")"),"['connection', 'slow', 'package', 'expensive', 'quality', 'weak', '']")</f>
        <v>['connection', 'slow', 'package', 'expensive', 'quality', 'weak', '']</v>
      </c>
      <c r="D4149" s="3">
        <v>1.0</v>
      </c>
    </row>
    <row r="4150" ht="15.75" customHeight="1">
      <c r="A4150" s="1">
        <v>4441.0</v>
      </c>
      <c r="B4150" s="3" t="s">
        <v>4047</v>
      </c>
      <c r="C4150" s="3" t="str">
        <f>IFERROR(__xludf.DUMMYFUNCTION("GOOGLETRANSLATE(B4150,""id"",""en"")"),"['Telkomsel', 'big one', 'good', 'application', 'features', 'uses']")</f>
        <v>['Telkomsel', 'big one', 'good', 'application', 'features', 'uses']</v>
      </c>
      <c r="D4150" s="3">
        <v>4.0</v>
      </c>
    </row>
    <row r="4151" ht="15.75" customHeight="1">
      <c r="A4151" s="1">
        <v>4442.0</v>
      </c>
      <c r="B4151" s="3" t="s">
        <v>4048</v>
      </c>
      <c r="C4151" s="3" t="str">
        <f>IFERROR(__xludf.DUMMYFUNCTION("GOOGLETRANSLATE(B4151,""id"",""en"")"),"['Please', 'Network', 'City', 'Tasikmalaya', 'Javanese', 'West', 'repaired', 'ugly', ""]")</f>
        <v>['Please', 'Network', 'City', 'Tasikmalaya', 'Javanese', 'West', 'repaired', 'ugly', "]</v>
      </c>
      <c r="D4151" s="3">
        <v>1.0</v>
      </c>
    </row>
    <row r="4152" ht="15.75" customHeight="1">
      <c r="A4152" s="1">
        <v>4443.0</v>
      </c>
      <c r="B4152" s="3" t="s">
        <v>4049</v>
      </c>
      <c r="C4152" s="3" t="str">
        <f>IFERROR(__xludf.DUMMYFUNCTION("GOOGLETRANSLATE(B4152,""id"",""en"")"),"['Woyy', 'quota', 'unlimited', 'already', 'package', 'internet', 'main', 'national', 'please', 'Telkomsel', 'beloved', 'consumer', ' Blood ',' Dahhh ',' Fix ',' ']")</f>
        <v>['Woyy', 'quota', 'unlimited', 'already', 'package', 'internet', 'main', 'national', 'please', 'Telkomsel', 'beloved', 'consumer', ' Blood ',' Dahhh ',' Fix ',' ']</v>
      </c>
      <c r="D4152" s="3">
        <v>2.0</v>
      </c>
    </row>
    <row r="4153" ht="15.75" customHeight="1">
      <c r="A4153" s="1">
        <v>4444.0</v>
      </c>
      <c r="B4153" s="3" t="s">
        <v>2972</v>
      </c>
      <c r="C4153" s="3" t="str">
        <f>IFERROR(__xludf.DUMMYFUNCTION("GOOGLETRANSLATE(B4153,""id"",""en"")"),"['bad network']")</f>
        <v>['bad network']</v>
      </c>
      <c r="D4153" s="3">
        <v>1.0</v>
      </c>
    </row>
    <row r="4154" ht="15.75" customHeight="1">
      <c r="A4154" s="1">
        <v>4445.0</v>
      </c>
      <c r="B4154" s="3" t="s">
        <v>902</v>
      </c>
      <c r="C4154" s="3" t="str">
        <f>IFERROR(__xludf.DUMMYFUNCTION("GOOGLETRANSLATE(B4154,""id"",""en"")"),"['best']")</f>
        <v>['best']</v>
      </c>
      <c r="D4154" s="3">
        <v>5.0</v>
      </c>
    </row>
    <row r="4155" ht="15.75" customHeight="1">
      <c r="A4155" s="1">
        <v>4446.0</v>
      </c>
      <c r="B4155" s="3" t="s">
        <v>4050</v>
      </c>
      <c r="C4155" s="3" t="str">
        <f>IFERROR(__xludf.DUMMYFUNCTION("GOOGLETRANSLATE(B4155,""id"",""en"")"),"['signal', 'internet', 'as good', 'package', 'internet', 'play', 'game', 'streaming', 'lag', 'city', '']")</f>
        <v>['signal', 'internet', 'as good', 'package', 'internet', 'play', 'game', 'streaming', 'lag', 'city', '']</v>
      </c>
      <c r="D4155" s="3">
        <v>1.0</v>
      </c>
    </row>
    <row r="4156" ht="15.75" customHeight="1">
      <c r="A4156" s="1">
        <v>4447.0</v>
      </c>
      <c r="B4156" s="3" t="s">
        <v>4051</v>
      </c>
      <c r="C4156" s="3" t="str">
        <f>IFERROR(__xludf.DUMMYFUNCTION("GOOGLETRANSLATE(B4156,""id"",""en"")"),"['Lemot', 'Open', 'Menu', 'Telk']")</f>
        <v>['Lemot', 'Open', 'Menu', 'Telk']</v>
      </c>
      <c r="D4156" s="3">
        <v>2.0</v>
      </c>
    </row>
    <row r="4157" ht="15.75" customHeight="1">
      <c r="A4157" s="1">
        <v>4448.0</v>
      </c>
      <c r="B4157" s="3" t="s">
        <v>4052</v>
      </c>
      <c r="C4157" s="3" t="str">
        <f>IFERROR(__xludf.DUMMYFUNCTION("GOOGLETRANSLATE(B4157,""id"",""en"")"),"['Kasi', 'star', 'because', 'app', 'help', 'at least', 'check', 'balance', 'pulse', 'data']")</f>
        <v>['Kasi', 'star', 'because', 'app', 'help', 'at least', 'check', 'balance', 'pulse', 'data']</v>
      </c>
      <c r="D4157" s="3">
        <v>5.0</v>
      </c>
    </row>
    <row r="4158" ht="15.75" customHeight="1">
      <c r="A4158" s="1">
        <v>4449.0</v>
      </c>
      <c r="B4158" s="3" t="s">
        <v>4053</v>
      </c>
      <c r="C4158" s="3" t="str">
        <f>IFERROR(__xludf.DUMMYFUNCTION("GOOGLETRANSLATE(B4158,""id"",""en"")"),"['Purchase', 'Package', 'Easy']")</f>
        <v>['Purchase', 'Package', 'Easy']</v>
      </c>
      <c r="D4158" s="3">
        <v>5.0</v>
      </c>
    </row>
    <row r="4159" ht="15.75" customHeight="1">
      <c r="A4159" s="1">
        <v>4450.0</v>
      </c>
      <c r="B4159" s="3" t="s">
        <v>4054</v>
      </c>
      <c r="C4159" s="3" t="str">
        <f>IFERROR(__xludf.DUMMYFUNCTION("GOOGLETRANSLATE(B4159,""id"",""en"")"),"['Package', 'Combo', 'Expensive', 'Total', 'Teeth', 'Differentiate', 'Card', '']")</f>
        <v>['Package', 'Combo', 'Expensive', 'Total', 'Teeth', 'Differentiate', 'Card', '']</v>
      </c>
      <c r="D4159" s="3">
        <v>2.0</v>
      </c>
    </row>
    <row r="4160" ht="15.75" customHeight="1">
      <c r="A4160" s="1">
        <v>4451.0</v>
      </c>
      <c r="B4160" s="3" t="s">
        <v>4055</v>
      </c>
      <c r="C4160" s="3" t="str">
        <f>IFERROR(__xludf.DUMMYFUNCTION("GOOGLETRANSLATE(B4160,""id"",""en"")"),"['KNTL', 'Nipu', 'quota', 'right', 'internet', 'pulse', 'ngentod', 'right', 'buy', 'quota', 'pulse', 'sufficient', ' balance ',' have ',' exceed ',' price ',' quota ',' replace ',' network ',' pig ',' emg ',' ']")</f>
        <v>['KNTL', 'Nipu', 'quota', 'right', 'internet', 'pulse', 'ngentod', 'right', 'buy', 'quota', 'pulse', 'sufficient', ' balance ',' have ',' exceed ',' price ',' quota ',' replace ',' network ',' pig ',' emg ',' ']</v>
      </c>
      <c r="D4160" s="3">
        <v>1.0</v>
      </c>
    </row>
    <row r="4161" ht="15.75" customHeight="1">
      <c r="A4161" s="1">
        <v>4452.0</v>
      </c>
      <c r="B4161" s="3" t="s">
        <v>4056</v>
      </c>
      <c r="C4161" s="3" t="str">
        <f>IFERROR(__xludf.DUMMYFUNCTION("GOOGLETRANSLATE(B4161,""id"",""en"")"),"['buy', 'quota', 'asiiik']")</f>
        <v>['buy', 'quota', 'asiiik']</v>
      </c>
      <c r="D4161" s="3">
        <v>4.0</v>
      </c>
    </row>
    <row r="4162" ht="15.75" customHeight="1">
      <c r="A4162" s="1">
        <v>4453.0</v>
      </c>
      <c r="B4162" s="3" t="s">
        <v>3909</v>
      </c>
      <c r="C4162" s="3" t="str">
        <f>IFERROR(__xludf.DUMMYFUNCTION("GOOGLETRANSLATE(B4162,""id"",""en"")"),"['comfortable']")</f>
        <v>['comfortable']</v>
      </c>
      <c r="D4162" s="3">
        <v>5.0</v>
      </c>
    </row>
    <row r="4163" ht="15.75" customHeight="1">
      <c r="A4163" s="1">
        <v>4454.0</v>
      </c>
      <c r="B4163" s="3" t="s">
        <v>4057</v>
      </c>
      <c r="C4163" s="3" t="str">
        <f>IFERROR(__xludf.DUMMYFUNCTION("GOOGLETRANSLATE(B4163,""id"",""en"")"),"['The application', 'steady']")</f>
        <v>['The application', 'steady']</v>
      </c>
      <c r="D4163" s="3">
        <v>5.0</v>
      </c>
    </row>
    <row r="4164" ht="15.75" customHeight="1">
      <c r="A4164" s="1">
        <v>4455.0</v>
      </c>
      <c r="B4164" s="3" t="s">
        <v>4058</v>
      </c>
      <c r="C4164" s="3" t="str">
        <f>IFERROR(__xludf.DUMMYFUNCTION("GOOGLETRANSLATE(B4164,""id"",""en"")"),"['fill', 'pulse', 'package', 'internet', 'easy']")</f>
        <v>['fill', 'pulse', 'package', 'internet', 'easy']</v>
      </c>
      <c r="D4164" s="3">
        <v>5.0</v>
      </c>
    </row>
    <row r="4165" ht="15.75" customHeight="1">
      <c r="A4165" s="1">
        <v>4456.0</v>
      </c>
      <c r="B4165" s="3" t="s">
        <v>4059</v>
      </c>
      <c r="C4165" s="3" t="str">
        <f>IFERROR(__xludf.DUMMYFUNCTION("GOOGLETRANSLATE(B4165,""id"",""en"")"),"['Plis',' deh ',' funny ',' really ',' already ',' buy ',' package ',' internet ',' package ',' internet ',' already ',' active ',' Internet ',' pulses', 'Kekeke', 'package', 'internet', 'used', 'pulses',' abis', 'funny', '']")</f>
        <v>['Plis',' deh ',' funny ',' really ',' already ',' buy ',' package ',' internet ',' package ',' internet ',' already ',' active ',' Internet ',' pulses', 'Kekeke', 'package', 'internet', 'used', 'pulses',' abis', 'funny', '']</v>
      </c>
      <c r="D4165" s="3">
        <v>3.0</v>
      </c>
    </row>
    <row r="4166" ht="15.75" customHeight="1">
      <c r="A4166" s="1">
        <v>4457.0</v>
      </c>
      <c r="B4166" s="3" t="s">
        <v>4060</v>
      </c>
      <c r="C4166" s="3" t="str">
        <f>IFERROR(__xludf.DUMMYFUNCTION("GOOGLETRANSLATE(B4166,""id"",""en"")"),"['Please', 'permission', 'additional', 'use', 'credit', 'loss', 'pulse', 'for', 'realize']")</f>
        <v>['Please', 'permission', 'additional', 'use', 'credit', 'loss', 'pulse', 'for', 'realize']</v>
      </c>
      <c r="D4166" s="3">
        <v>1.0</v>
      </c>
    </row>
    <row r="4167" ht="15.75" customHeight="1">
      <c r="A4167" s="1">
        <v>4458.0</v>
      </c>
      <c r="B4167" s="3" t="s">
        <v>4061</v>
      </c>
      <c r="C4167" s="3" t="str">
        <f>IFERROR(__xludf.DUMMYFUNCTION("GOOGLETRANSLATE(B4167,""id"",""en"")"),"['error', 'buy', 'notification', 'buy', 'pulse', 'vain', 'gara']")</f>
        <v>['error', 'buy', 'notification', 'buy', 'pulse', 'vain', 'gara']</v>
      </c>
      <c r="D4167" s="3">
        <v>1.0</v>
      </c>
    </row>
    <row r="4168" ht="15.75" customHeight="1">
      <c r="A4168" s="1">
        <v>4459.0</v>
      </c>
      <c r="B4168" s="3" t="s">
        <v>4062</v>
      </c>
      <c r="C4168" s="3" t="str">
        <f>IFERROR(__xludf.DUMMYFUNCTION("GOOGLETRANSLATE(B4168,""id"",""en"")"),"['Come on', 'Telkomsel', 'knp', 'signal', 'ugly', 'pdhl', 'good', 'nge', 'game', 'afternoon', 'mending', 'ngelag', ' Bet ',' please ',' repaired ']")</f>
        <v>['Come on', 'Telkomsel', 'knp', 'signal', 'ugly', 'pdhl', 'good', 'nge', 'game', 'afternoon', 'mending', 'ngelag', ' Bet ',' please ',' repaired ']</v>
      </c>
      <c r="D4168" s="3">
        <v>1.0</v>
      </c>
    </row>
    <row r="4169" ht="15.75" customHeight="1">
      <c r="A4169" s="1">
        <v>4461.0</v>
      </c>
      <c r="B4169" s="3" t="s">
        <v>4063</v>
      </c>
      <c r="C4169" s="3" t="str">
        <f>IFERROR(__xludf.DUMMYFUNCTION("GOOGLETRANSLATE(B4169,""id"",""en"")"),"['expensive', 'signal', 'lost']")</f>
        <v>['expensive', 'signal', 'lost']</v>
      </c>
      <c r="D4169" s="3">
        <v>1.0</v>
      </c>
    </row>
    <row r="4170" ht="15.75" customHeight="1">
      <c r="A4170" s="1">
        <v>4462.0</v>
      </c>
      <c r="B4170" s="3" t="s">
        <v>4064</v>
      </c>
      <c r="C4170" s="3" t="str">
        <f>IFERROR(__xludf.DUMMYFUNCTION("GOOGLETRANSLATE(B4170,""id"",""en"")"),"['Promo', 'Disney', 'ilang']")</f>
        <v>['Promo', 'Disney', 'ilang']</v>
      </c>
      <c r="D4170" s="3">
        <v>2.0</v>
      </c>
    </row>
    <row r="4171" ht="15.75" customHeight="1">
      <c r="A4171" s="1">
        <v>4463.0</v>
      </c>
      <c r="B4171" s="3" t="s">
        <v>4065</v>
      </c>
      <c r="C4171" s="3" t="str">
        <f>IFERROR(__xludf.DUMMYFUNCTION("GOOGLETRANSLATE(B4171,""id"",""en"")"),"['Application', 'fingered', 'APLKSI', 'LNCAR']")</f>
        <v>['Application', 'fingered', 'APLKSI', 'LNCAR']</v>
      </c>
      <c r="D4171" s="3">
        <v>2.0</v>
      </c>
    </row>
    <row r="4172" ht="15.75" customHeight="1">
      <c r="A4172" s="1">
        <v>4464.0</v>
      </c>
      <c r="B4172" s="3" t="s">
        <v>4066</v>
      </c>
      <c r="C4172" s="3" t="str">
        <f>IFERROR(__xludf.DUMMYFUNCTION("GOOGLETRANSLATE(B4172,""id"",""en"")"),"['Mantab', 'really', 'signal']")</f>
        <v>['Mantab', 'really', 'signal']</v>
      </c>
      <c r="D4172" s="3">
        <v>5.0</v>
      </c>
    </row>
    <row r="4173" ht="15.75" customHeight="1">
      <c r="A4173" s="1">
        <v>4465.0</v>
      </c>
      <c r="B4173" s="3" t="s">
        <v>4067</v>
      </c>
      <c r="C4173" s="3" t="str">
        <f>IFERROR(__xludf.DUMMYFUNCTION("GOOGLETRANSLATE(B4173,""id"",""en"")"),"['kdang', 'like', 'error', 'app']")</f>
        <v>['kdang', 'like', 'error', 'app']</v>
      </c>
      <c r="D4173" s="3">
        <v>1.0</v>
      </c>
    </row>
    <row r="4174" ht="15.75" customHeight="1">
      <c r="A4174" s="1">
        <v>4466.0</v>
      </c>
      <c r="B4174" s="3" t="s">
        <v>4068</v>
      </c>
      <c r="C4174" s="3" t="str">
        <f>IFERROR(__xludf.DUMMYFUNCTION("GOOGLETRANSLATE(B4174,""id"",""en"")"),"['bad connection', '']")</f>
        <v>['bad connection', '']</v>
      </c>
      <c r="D4174" s="3">
        <v>2.0</v>
      </c>
    </row>
    <row r="4175" ht="15.75" customHeight="1">
      <c r="A4175" s="1">
        <v>4467.0</v>
      </c>
      <c r="B4175" s="3" t="s">
        <v>4069</v>
      </c>
      <c r="C4175" s="3" t="str">
        <f>IFERROR(__xludf.DUMMYFUNCTION("GOOGLETRANSLATE(B4175,""id"",""en"")"),"['mantaffff', '']")</f>
        <v>['mantaffff', '']</v>
      </c>
      <c r="D4175" s="3">
        <v>5.0</v>
      </c>
    </row>
    <row r="4176" ht="15.75" customHeight="1">
      <c r="A4176" s="1">
        <v>4468.0</v>
      </c>
      <c r="B4176" s="3" t="s">
        <v>4070</v>
      </c>
      <c r="C4176" s="3" t="str">
        <f>IFERROR(__xludf.DUMMYFUNCTION("GOOGLETRANSLATE(B4176,""id"",""en"")"),"['expensive', 'network', 'slow', 'idiot']")</f>
        <v>['expensive', 'network', 'slow', 'idiot']</v>
      </c>
      <c r="D4176" s="3">
        <v>1.0</v>
      </c>
    </row>
    <row r="4177" ht="15.75" customHeight="1">
      <c r="A4177" s="1">
        <v>4469.0</v>
      </c>
      <c r="B4177" s="3" t="s">
        <v>4071</v>
      </c>
      <c r="C4177" s="3" t="str">
        <f>IFERROR(__xludf.DUMMYFUNCTION("GOOGLETRANSLATE(B4177,""id"",""en"")"),"['signal', 'internet', 'Telkomsel', 'Jekel', 'really', 'area', 'Ciputat', 'annoyed', 'sick', 'heart', 'signal', 'internet', ' Telkomsel ',' ugly ',' star ',' love ',' comment ',' bales', 'telkomsel', 'told', 'contact', 'contact', 'center', 'via', 'social'"&amp;" , 'Media', 'Perotes', 'Where', 'Change', 'Bad', 'Quality', 'Internet']")</f>
        <v>['signal', 'internet', 'Telkomsel', 'Jekel', 'really', 'area', 'Ciputat', 'annoyed', 'sick', 'heart', 'signal', 'internet', ' Telkomsel ',' ugly ',' star ',' love ',' comment ',' bales', 'telkomsel', 'told', 'contact', 'contact', 'center', 'via', 'social' , 'Media', 'Perotes', 'Where', 'Change', 'Bad', 'Quality', 'Internet']</v>
      </c>
      <c r="D4177" s="3">
        <v>1.0</v>
      </c>
    </row>
    <row r="4178" ht="15.75" customHeight="1">
      <c r="A4178" s="1">
        <v>4470.0</v>
      </c>
      <c r="B4178" s="3" t="s">
        <v>4072</v>
      </c>
      <c r="C4178" s="3" t="str">
        <f>IFERROR(__xludf.DUMMYFUNCTION("GOOGLETRANSLATE(B4178,""id"",""en"")"),"['Love', 'Cheap']")</f>
        <v>['Love', 'Cheap']</v>
      </c>
      <c r="D4178" s="3">
        <v>3.0</v>
      </c>
    </row>
    <row r="4179" ht="15.75" customHeight="1">
      <c r="A4179" s="1">
        <v>4471.0</v>
      </c>
      <c r="B4179" s="3" t="s">
        <v>4073</v>
      </c>
      <c r="C4179" s="3" t="str">
        <f>IFERROR(__xludf.DUMMYFUNCTION("GOOGLETRANSLATE(B4179,""id"",""en"")"),"['promo', 'package', 'buy', 'package', 'sudden', 'signal', 'boss', 'fix', 'switch', ""]")</f>
        <v>['promo', 'package', 'buy', 'package', 'sudden', 'signal', 'boss', 'fix', 'switch', "]</v>
      </c>
      <c r="D4179" s="3">
        <v>1.0</v>
      </c>
    </row>
    <row r="4180" ht="15.75" customHeight="1">
      <c r="A4180" s="1">
        <v>4472.0</v>
      </c>
      <c r="B4180" s="3" t="s">
        <v>4074</v>
      </c>
      <c r="C4180" s="3" t="str">
        <f>IFERROR(__xludf.DUMMYFUNCTION("GOOGLETRANSLATE(B4180,""id"",""en"")"),"['package', 'internet', 'expensive', 'return', 'package', 'unlimited', 'buy', 'package', 'unlimited', 'confused', 'buy', ""]")</f>
        <v>['package', 'internet', 'expensive', 'return', 'package', 'unlimited', 'buy', 'package', 'unlimited', 'confused', 'buy', "]</v>
      </c>
      <c r="D4180" s="3">
        <v>1.0</v>
      </c>
    </row>
    <row r="4181" ht="15.75" customHeight="1">
      <c r="A4181" s="1">
        <v>4473.0</v>
      </c>
      <c r="B4181" s="3" t="s">
        <v>4075</v>
      </c>
      <c r="C4181" s="3" t="str">
        <f>IFERROR(__xludf.DUMMYFUNCTION("GOOGLETRANSLATE(B4181,""id"",""en"")"),"['network', 'severe', 'super', 'slow', 'kouta', 'bnyak', 'network', 'neighbors',' cheap ',' smooth ',' Telkomsel ',' expensive ',' network ',' super ',' slow ']")</f>
        <v>['network', 'severe', 'super', 'slow', 'kouta', 'bnyak', 'network', 'neighbors',' cheap ',' smooth ',' Telkomsel ',' expensive ',' network ',' super ',' slow ']</v>
      </c>
      <c r="D4181" s="3">
        <v>1.0</v>
      </c>
    </row>
    <row r="4182" ht="15.75" customHeight="1">
      <c r="A4182" s="1">
        <v>4474.0</v>
      </c>
      <c r="B4182" s="3" t="s">
        <v>4076</v>
      </c>
      <c r="C4182" s="3" t="str">
        <f>IFERROR(__xludf.DUMMYFUNCTION("GOOGLETRANSLATE(B4182,""id"",""en"")"),"['Package', 'Offered', 'Telkomsel', 'skrg', 'interesting', 'expensive', '']")</f>
        <v>['Package', 'Offered', 'Telkomsel', 'skrg', 'interesting', 'expensive', '']</v>
      </c>
      <c r="D4182" s="3">
        <v>4.0</v>
      </c>
    </row>
    <row r="4183" ht="15.75" customHeight="1">
      <c r="A4183" s="1">
        <v>4475.0</v>
      </c>
      <c r="B4183" s="3" t="s">
        <v>3226</v>
      </c>
      <c r="C4183" s="3" t="str">
        <f>IFERROR(__xludf.DUMMYFUNCTION("GOOGLETRANSLATE(B4183,""id"",""en"")"),"['try', '']")</f>
        <v>['try', '']</v>
      </c>
      <c r="D4183" s="3">
        <v>5.0</v>
      </c>
    </row>
    <row r="4184" ht="15.75" customHeight="1">
      <c r="A4184" s="1">
        <v>4476.0</v>
      </c>
      <c r="B4184" s="3" t="s">
        <v>4077</v>
      </c>
      <c r="C4184" s="3" t="str">
        <f>IFERROR(__xludf.DUMMYFUNCTION("GOOGLETRANSLATE(B4184,""id"",""en"")"),"['quota', 'multimedia', 'watch', 'YouTube', '']")</f>
        <v>['quota', 'multimedia', 'watch', 'YouTube', '']</v>
      </c>
      <c r="D4184" s="3">
        <v>1.0</v>
      </c>
    </row>
    <row r="4185" ht="15.75" customHeight="1">
      <c r="A4185" s="1">
        <v>4477.0</v>
      </c>
      <c r="B4185" s="3" t="s">
        <v>4078</v>
      </c>
      <c r="C4185" s="3" t="str">
        <f>IFERROR(__xludf.DUMMYFUNCTION("GOOGLETRANSLATE(B4185,""id"",""en"")"),"['regret', 'Customer', 'card', 'Hello', 'Service', 'Customer', 'Via', 'Robot', 'After', 'Operator', 'Bales',' Reply ',' fill in ',' data ',' reply ',' email ',' chaotic ',' payment ',' expensive ',' connection ',' moral ']")</f>
        <v>['regret', 'Customer', 'card', 'Hello', 'Service', 'Customer', 'Via', 'Robot', 'After', 'Operator', 'Bales',' Reply ',' fill in ',' data ',' reply ',' email ',' chaotic ',' payment ',' expensive ',' connection ',' moral ']</v>
      </c>
      <c r="D4185" s="3">
        <v>1.0</v>
      </c>
    </row>
    <row r="4186" ht="15.75" customHeight="1">
      <c r="A4186" s="1">
        <v>4478.0</v>
      </c>
      <c r="B4186" s="3" t="s">
        <v>4079</v>
      </c>
      <c r="C4186" s="3" t="str">
        <f>IFERROR(__xludf.DUMMYFUNCTION("GOOGLETRANSLATE(B4186,""id"",""en"")"),"['', 'user', 'love', 'star', 'times', 'good', 'star', 'see', 'all', 'grop', '']")</f>
        <v>['', 'user', 'love', 'star', 'times', 'good', 'star', 'see', 'all', 'grop', '']</v>
      </c>
      <c r="D4186" s="3">
        <v>3.0</v>
      </c>
    </row>
    <row r="4187" ht="15.75" customHeight="1">
      <c r="A4187" s="1">
        <v>4479.0</v>
      </c>
      <c r="B4187" s="3" t="s">
        <v>4080</v>
      </c>
      <c r="C4187" s="3" t="str">
        <f>IFERROR(__xludf.DUMMYFUNCTION("GOOGLETRANSLATE(B4187,""id"",""en"")"),"['installed', 'week', 'until', 'now' right ',' open ',' APK ',' directly ',' appears ',' load ',' page ',' try ',' Then ',' Kyk ',' Loading ',' Mulu ',' Please ',' Solution ',' UDH ',' KSH ',' Impression ',' Good ', ""]")</f>
        <v>['installed', 'week', 'until', 'now' right ',' open ',' APK ',' directly ',' appears ',' load ',' page ',' try ',' Then ',' Kyk ',' Loading ',' Mulu ',' Please ',' Solution ',' UDH ',' KSH ',' Impression ',' Good ', "]</v>
      </c>
      <c r="D4187" s="3">
        <v>1.0</v>
      </c>
    </row>
    <row r="4188" ht="15.75" customHeight="1">
      <c r="A4188" s="1">
        <v>4480.0</v>
      </c>
      <c r="B4188" s="3" t="s">
        <v>4081</v>
      </c>
      <c r="C4188" s="3" t="str">
        <f>IFERROR(__xludf.DUMMYFUNCTION("GOOGLETRANSLATE(B4188,""id"",""en"")"),"['User', 'tens', 'expensive', 'buy', 'quota', 'unlimited', 'max', 'user']")</f>
        <v>['User', 'tens', 'expensive', 'buy', 'quota', 'unlimited', 'max', 'user']</v>
      </c>
      <c r="D4188" s="3">
        <v>1.0</v>
      </c>
    </row>
    <row r="4189" ht="15.75" customHeight="1">
      <c r="A4189" s="1">
        <v>4481.0</v>
      </c>
      <c r="B4189" s="3" t="s">
        <v>4082</v>
      </c>
      <c r="C4189" s="3" t="str">
        <f>IFERROR(__xludf.DUMMYFUNCTION("GOOGLETRANSLATE(B4189,""id"",""en"")"),"['Leet', 'Kejangetan', ""]")</f>
        <v>['Leet', 'Kejangetan', "]</v>
      </c>
      <c r="D4189" s="3">
        <v>1.0</v>
      </c>
    </row>
    <row r="4190" ht="15.75" customHeight="1">
      <c r="A4190" s="1">
        <v>4482.0</v>
      </c>
      <c r="B4190" s="3" t="s">
        <v>4083</v>
      </c>
      <c r="C4190" s="3" t="str">
        <f>IFERROR(__xludf.DUMMYFUNCTION("GOOGLETRANSLATE(B4190,""id"",""en"")"),"['network', 'Telkomsel', 'Ancurrr', 'price', 'expensive', 'service', 'bad', '']")</f>
        <v>['network', 'Telkomsel', 'Ancurrr', 'price', 'expensive', 'service', 'bad', '']</v>
      </c>
      <c r="D4190" s="3">
        <v>1.0</v>
      </c>
    </row>
    <row r="4191" ht="15.75" customHeight="1">
      <c r="A4191" s="1">
        <v>4484.0</v>
      </c>
      <c r="B4191" s="3" t="s">
        <v>4084</v>
      </c>
      <c r="C4191" s="3" t="str">
        <f>IFERROR(__xludf.DUMMYFUNCTION("GOOGLETRANSLATE(B4191,""id"",""en"")"),"['Network', 'Severe', 'Good', '']")</f>
        <v>['Network', 'Severe', 'Good', '']</v>
      </c>
      <c r="D4191" s="3">
        <v>4.0</v>
      </c>
    </row>
    <row r="4192" ht="15.75" customHeight="1">
      <c r="A4192" s="1">
        <v>4485.0</v>
      </c>
      <c r="B4192" s="3" t="s">
        <v>4085</v>
      </c>
      <c r="C4192" s="3" t="str">
        <f>IFERROR(__xludf.DUMMYFUNCTION("GOOGLETRANSLATE(B4192,""id"",""en"")"),"['Woii', 'pulse', 'no', 'dipake', 'cheek', 'no', 'subscription', 'RBT', 'Sumpot', 'pulses',' want ',' replace ',' Provider ',' deh ']")</f>
        <v>['Woii', 'pulse', 'no', 'dipake', 'cheek', 'no', 'subscription', 'RBT', 'Sumpot', 'pulses',' want ',' replace ',' Provider ',' deh ']</v>
      </c>
      <c r="D4192" s="3">
        <v>1.0</v>
      </c>
    </row>
    <row r="4193" ht="15.75" customHeight="1">
      <c r="A4193" s="1">
        <v>4486.0</v>
      </c>
      <c r="B4193" s="3" t="s">
        <v>4086</v>
      </c>
      <c r="C4193" s="3" t="str">
        <f>IFERROR(__xludf.DUMMYFUNCTION("GOOGLETRANSLATE(B4193,""id"",""en"")"),"['Application', 'interesting']")</f>
        <v>['Application', 'interesting']</v>
      </c>
      <c r="D4193" s="3">
        <v>5.0</v>
      </c>
    </row>
    <row r="4194" ht="15.75" customHeight="1">
      <c r="A4194" s="1">
        <v>4487.0</v>
      </c>
      <c r="B4194" s="3" t="s">
        <v>4087</v>
      </c>
      <c r="C4194" s="3" t="str">
        <f>IFERROR(__xludf.DUMMYFUNCTION("GOOGLETRANSLATE(B4194,""id"",""en"")"),"['steady', 'boss', 'network', 'setabilia', 'bangettt', 'home', 'boss', '']")</f>
        <v>['steady', 'boss', 'network', 'setabilia', 'bangettt', 'home', 'boss', '']</v>
      </c>
      <c r="D4194" s="3">
        <v>5.0</v>
      </c>
    </row>
    <row r="4195" ht="15.75" customHeight="1">
      <c r="A4195" s="1">
        <v>4489.0</v>
      </c>
      <c r="B4195" s="3" t="s">
        <v>4088</v>
      </c>
      <c r="C4195" s="3" t="str">
        <f>IFERROR(__xludf.DUMMYFUNCTION("GOOGLETRANSLATE(B4195,""id"",""en"")"),"['unlimited', 'synchy', 'ugly', 'really', 'watch', 'youtube', 'gabisa', 'donwload', 'game', 'gabisa', 'maen', 'game', ' lag ',' Severe ',' come on ',' fix ',' signal ',' ']")</f>
        <v>['unlimited', 'synchy', 'ugly', 'really', 'watch', 'youtube', 'gabisa', 'donwload', 'game', 'gabisa', 'maen', 'game', ' lag ',' Severe ',' come on ',' fix ',' signal ',' ']</v>
      </c>
      <c r="D4195" s="3">
        <v>1.0</v>
      </c>
    </row>
    <row r="4196" ht="15.75" customHeight="1">
      <c r="A4196" s="1">
        <v>4490.0</v>
      </c>
      <c r="B4196" s="3" t="s">
        <v>4089</v>
      </c>
      <c r="C4196" s="3" t="str">
        <f>IFERROR(__xludf.DUMMYFUNCTION("GOOGLETRANSLATE(B4196,""id"",""en"")"),"['Complaints',' Consumer ',' Telkomsel ',' Network ',' Leet ',' Price ',' Package ',' Honest ',' Placed ',' Already ',' Move ',' Exist ',' ']")</f>
        <v>['Complaints',' Consumer ',' Telkomsel ',' Network ',' Leet ',' Price ',' Package ',' Honest ',' Placed ',' Already ',' Move ',' Exist ',' ']</v>
      </c>
      <c r="D4196" s="3">
        <v>3.0</v>
      </c>
    </row>
    <row r="4197" ht="15.75" customHeight="1">
      <c r="A4197" s="1">
        <v>4491.0</v>
      </c>
      <c r="B4197" s="3" t="s">
        <v>4090</v>
      </c>
      <c r="C4197" s="3" t="str">
        <f>IFERROR(__xludf.DUMMYFUNCTION("GOOGLETRANSLATE(B4197,""id"",""en"")"),"['', 'area', 'tower', 'magnificent', 'looming', 'boss',' darling ',' network ',' disappointing ',' detrimental ',' user ',' card ',' wrong ',' only ',' believe ',' check ',' location ',' please ',' boss', 'cooperation', '']")</f>
        <v>['', 'area', 'tower', 'magnificent', 'looming', 'boss',' darling ',' network ',' disappointing ',' detrimental ',' user ',' card ',' wrong ',' only ',' believe ',' check ',' location ',' please ',' boss', 'cooperation', '']</v>
      </c>
      <c r="D4197" s="3">
        <v>1.0</v>
      </c>
    </row>
    <row r="4198" ht="15.75" customHeight="1">
      <c r="A4198" s="1">
        <v>4492.0</v>
      </c>
      <c r="B4198" s="3" t="s">
        <v>4091</v>
      </c>
      <c r="C4198" s="3" t="str">
        <f>IFERROR(__xludf.DUMMYFUNCTION("GOOGLETRANSLATE(B4198,""id"",""en"")"),"['Applikasih', 'help']")</f>
        <v>['Applikasih', 'help']</v>
      </c>
      <c r="D4198" s="3">
        <v>5.0</v>
      </c>
    </row>
    <row r="4199" ht="15.75" customHeight="1">
      <c r="A4199" s="1">
        <v>4493.0</v>
      </c>
      <c r="B4199" s="3" t="s">
        <v>4092</v>
      </c>
      <c r="C4199" s="3" t="str">
        <f>IFERROR(__xludf.DUMMYFUNCTION("GOOGLETRANSLATE(B4199,""id"",""en"")"),"['Increases', 'Quality', 'Signal', 'Telkomsel']")</f>
        <v>['Increases', 'Quality', 'Signal', 'Telkomsel']</v>
      </c>
      <c r="D4199" s="3">
        <v>5.0</v>
      </c>
    </row>
    <row r="4200" ht="15.75" customHeight="1">
      <c r="A4200" s="1">
        <v>4494.0</v>
      </c>
      <c r="B4200" s="3" t="s">
        <v>4093</v>
      </c>
      <c r="C4200" s="3" t="str">
        <f>IFERROR(__xludf.DUMMYFUNCTION("GOOGLETRANSLATE(B4200,""id"",""en"")"),"['Ngellag', 'signal', '']")</f>
        <v>['Ngellag', 'signal', '']</v>
      </c>
      <c r="D4200" s="3">
        <v>1.0</v>
      </c>
    </row>
    <row r="4201" ht="15.75" customHeight="1">
      <c r="A4201" s="1">
        <v>4495.0</v>
      </c>
      <c r="B4201" s="3" t="s">
        <v>4094</v>
      </c>
      <c r="C4201" s="3" t="str">
        <f>IFERROR(__xludf.DUMMYFUNCTION("GOOGLETRANSLATE(B4201,""id"",""en"")"),"['Buy', 'SIM', 'Card', 'Application', 'Fund', 'Different', 'Date', 'September', 'SIM', 'Card', 'DIKLASIN', 'HEHEHE']")</f>
        <v>['Buy', 'SIM', 'Card', 'Application', 'Fund', 'Different', 'Date', 'September', 'SIM', 'Card', 'DIKLASIN', 'HEHEHE']</v>
      </c>
      <c r="D4201" s="3">
        <v>1.0</v>
      </c>
    </row>
    <row r="4202" ht="15.75" customHeight="1">
      <c r="A4202" s="1">
        <v>4496.0</v>
      </c>
      <c r="B4202" s="3" t="s">
        <v>4095</v>
      </c>
      <c r="C4202" s="3" t="str">
        <f>IFERROR(__xludf.DUMMYFUNCTION("GOOGLETRANSLATE(B4202,""id"",""en"")"),"['Need', 'Package', 'Cheap']")</f>
        <v>['Need', 'Package', 'Cheap']</v>
      </c>
      <c r="D4202" s="3">
        <v>5.0</v>
      </c>
    </row>
    <row r="4203" ht="15.75" customHeight="1">
      <c r="A4203" s="1">
        <v>4497.0</v>
      </c>
      <c r="B4203" s="3" t="s">
        <v>4096</v>
      </c>
      <c r="C4203" s="3" t="str">
        <f>IFERROR(__xludf.DUMMYFUNCTION("GOOGLETRANSLATE(B4203,""id"",""en"")"),"['Loss',' code ',' Verification ',' enter ',' pay ',' block ',' proof ',' payment ',' sent ',' confirm ',' bank ',' send ',' Services', 'Lamban', 'classmates',' Telkomsel ',' ']")</f>
        <v>['Loss',' code ',' Verification ',' enter ',' pay ',' block ',' proof ',' payment ',' sent ',' confirm ',' bank ',' send ',' Services', 'Lamban', 'classmates',' Telkomsel ',' ']</v>
      </c>
      <c r="D4203" s="3">
        <v>1.0</v>
      </c>
    </row>
    <row r="4204" ht="15.75" customHeight="1">
      <c r="A4204" s="1">
        <v>4498.0</v>
      </c>
      <c r="B4204" s="3" t="s">
        <v>4097</v>
      </c>
      <c r="C4204" s="3" t="str">
        <f>IFERROR(__xludf.DUMMYFUNCTION("GOOGLETRANSLATE(B4204,""id"",""en"")"),"['', 'lie', 'Donglot', 'Apikasi', 'bonggggg', 'Haj', ""]")</f>
        <v>['', 'lie', 'Donglot', 'Apikasi', 'bonggggg', 'Haj', "]</v>
      </c>
      <c r="D4204" s="3">
        <v>5.0</v>
      </c>
    </row>
    <row r="4205" ht="15.75" customHeight="1">
      <c r="A4205" s="1">
        <v>4499.0</v>
      </c>
      <c r="B4205" s="3" t="s">
        <v>4098</v>
      </c>
      <c r="C4205" s="3" t="str">
        <f>IFERROR(__xludf.DUMMYFUNCTION("GOOGLETRANSLATE(B4205,""id"",""en"")"),"['Credit', 'Reduced', '']")</f>
        <v>['Credit', 'Reduced', '']</v>
      </c>
      <c r="D4205" s="3">
        <v>2.0</v>
      </c>
    </row>
    <row r="4206" ht="15.75" customHeight="1">
      <c r="A4206" s="1">
        <v>4500.0</v>
      </c>
      <c r="B4206" s="3" t="s">
        <v>4099</v>
      </c>
      <c r="C4206" s="3" t="str">
        <f>IFERROR(__xludf.DUMMYFUNCTION("GOOGLETRANSLATE(B4206,""id"",""en"")"),"['pampering', 'Customer', 'Anyway', 'Siiippp', ""]")</f>
        <v>['pampering', 'Customer', 'Anyway', 'Siiippp', "]</v>
      </c>
      <c r="D4206" s="3">
        <v>5.0</v>
      </c>
    </row>
    <row r="4207" ht="15.75" customHeight="1">
      <c r="A4207" s="1">
        <v>4501.0</v>
      </c>
      <c r="B4207" s="3" t="s">
        <v>4100</v>
      </c>
      <c r="C4207" s="3" t="str">
        <f>IFERROR(__xludf.DUMMYFUNCTION("GOOGLETRANSLATE(B4207,""id"",""en"")"),"['Display', 'menu', 'application', 'already', 'leftover', 'balance', 'reduced', 'slowly', 'everything', 'run out', 'buy', 'package', ' Combo ',' according to ',' Package ',' Take ',' Open ',' Application ',' Must ',' Credit ',' Credit ',' Rare ',' Claim '"&amp;",' Bonus', 'Check' , 'Daily', 'date', 'Nov', 'Nambah', 'pulse', 'thousand', 'buy', 'package', 'combo', 'taunya', 'left', 'run out', ' Buy ',' Package ',' Balance ',' ']")</f>
        <v>['Display', 'menu', 'application', 'already', 'leftover', 'balance', 'reduced', 'slowly', 'everything', 'run out', 'buy', 'package', ' Combo ',' according to ',' Package ',' Take ',' Open ',' Application ',' Must ',' Credit ',' Credit ',' Rare ',' Claim ',' Bonus', 'Check' , 'Daily', 'date', 'Nov', 'Nambah', 'pulse', 'thousand', 'buy', 'package', 'combo', 'taunya', 'left', 'run out', ' Buy ',' Package ',' Balance ',' ']</v>
      </c>
      <c r="D4207" s="3">
        <v>4.0</v>
      </c>
    </row>
    <row r="4208" ht="15.75" customHeight="1">
      <c r="A4208" s="1">
        <v>4503.0</v>
      </c>
      <c r="B4208" s="3" t="s">
        <v>4101</v>
      </c>
      <c r="C4208" s="3" t="str">
        <f>IFERROR(__xludf.DUMMYFUNCTION("GOOGLETRANSLATE(B4208,""id"",""en"")"),"['Network', 'as good', 'like', 'disorder', 'then']")</f>
        <v>['Network', 'as good', 'like', 'disorder', 'then']</v>
      </c>
      <c r="D4208" s="3">
        <v>1.0</v>
      </c>
    </row>
    <row r="4209" ht="15.75" customHeight="1">
      <c r="A4209" s="1">
        <v>4504.0</v>
      </c>
      <c r="B4209" s="3" t="s">
        <v>4102</v>
      </c>
      <c r="C4209" s="3" t="str">
        <f>IFERROR(__xludf.DUMMYFUNCTION("GOOGLETRANSLATE(B4209,""id"",""en"")"),"['APK', 'good', 'ngpain', 'see', 'down', '']")</f>
        <v>['APK', 'good', 'ngpain', 'see', 'down', '']</v>
      </c>
      <c r="D4209" s="3">
        <v>5.0</v>
      </c>
    </row>
    <row r="4210" ht="15.75" customHeight="1">
      <c r="A4210" s="1">
        <v>4505.0</v>
      </c>
      <c r="B4210" s="3" t="s">
        <v>4103</v>
      </c>
      <c r="C4210" s="3" t="str">
        <f>IFERROR(__xludf.DUMMYFUNCTION("GOOGLETRANSLATE(B4210,""id"",""en"")"),"['ugly', 'open', 'screen', 'white', 'error', 'usually', 'delete', 'data', 'open', 'housing', 'telkom', 'gini', ' application', '']")</f>
        <v>['ugly', 'open', 'screen', 'white', 'error', 'usually', 'delete', 'data', 'open', 'housing', 'telkom', 'gini', ' application', '']</v>
      </c>
      <c r="D4210" s="3">
        <v>2.0</v>
      </c>
    </row>
    <row r="4211" ht="15.75" customHeight="1">
      <c r="A4211" s="1">
        <v>4506.0</v>
      </c>
      <c r="B4211" s="3" t="s">
        <v>4104</v>
      </c>
      <c r="C4211" s="3" t="str">
        <f>IFERROR(__xludf.DUMMYFUNCTION("GOOGLETRANSLATE(B4211,""id"",""en"")"),"['network', 'kya', 'cob', 'udh', 'buy', 'expensive', 'pketan', 'rb', 'a month', 'network', 'rich', 'card', ' Trnama ',' MAIN ',' AJH ',' NGFREZE ',' MLU ',' motion ',' ping ',' red ',' then ',' skali ',' good ',' rich ',' lights' , 'Red', 'Abis',' Ijo ','"&amp;" Yellow ',' Ambis', 'Red', 'Lagy', 'Bngt', 'Udh', 'Bner', 'Kya', 'Lights',' Red ',' Good ',' Maen ',' Game ',' Current ',' Hrga ',' Pketan ',' Suits', 'Quality', 'Boz', ""]")</f>
        <v>['network', 'kya', 'cob', 'udh', 'buy', 'expensive', 'pketan', 'rb', 'a month', 'network', 'rich', 'card', ' Trnama ',' MAIN ',' AJH ',' NGFREZE ',' MLU ',' motion ',' ping ',' red ',' then ',' skali ',' good ',' rich ',' lights' , 'Red', 'Abis',' Ijo ',' Yellow ',' Ambis', 'Red', 'Lagy', 'Bngt', 'Udh', 'Bner', 'Kya', 'Lights',' Red ',' Good ',' Maen ',' Game ',' Current ',' Hrga ',' Pketan ',' Suits', 'Quality', 'Boz', "]</v>
      </c>
      <c r="D4211" s="3">
        <v>1.0</v>
      </c>
    </row>
    <row r="4212" ht="15.75" customHeight="1">
      <c r="A4212" s="1">
        <v>4507.0</v>
      </c>
      <c r="B4212" s="3" t="s">
        <v>4105</v>
      </c>
      <c r="C4212" s="3" t="str">
        <f>IFERROR(__xludf.DUMMYFUNCTION("GOOGLETRANSLATE(B4212,""id"",""en"")"),"['', 'Road', 'Bener', 'Cuk', 'Golare', 'People', 'Pelo', ""]")</f>
        <v>['', 'Road', 'Bener', 'Cuk', 'Golare', 'People', 'Pelo', "]</v>
      </c>
      <c r="D4212" s="3">
        <v>1.0</v>
      </c>
    </row>
    <row r="4213" ht="15.75" customHeight="1">
      <c r="A4213" s="1">
        <v>4508.0</v>
      </c>
      <c r="B4213" s="3" t="s">
        <v>4106</v>
      </c>
      <c r="C4213" s="3" t="str">
        <f>IFERROR(__xludf.DUMMYFUNCTION("GOOGLETRANSLATE(B4213,""id"",""en"")"),"['makes it easier', 'access', 'means', 'infrastructure', 'application', 'pulse', 'package', 'internet']")</f>
        <v>['makes it easier', 'access', 'means', 'infrastructure', 'application', 'pulse', 'package', 'internet']</v>
      </c>
      <c r="D4213" s="3">
        <v>5.0</v>
      </c>
    </row>
    <row r="4214" ht="15.75" customHeight="1">
      <c r="A4214" s="1">
        <v>4510.0</v>
      </c>
      <c r="B4214" s="3" t="s">
        <v>4107</v>
      </c>
      <c r="C4214" s="3" t="str">
        <f>IFERROR(__xludf.DUMMYFUNCTION("GOOGLETRANSLATE(B4214,""id"",""en"")"),"['easy', 'check', 'data', '']")</f>
        <v>['easy', 'check', 'data', '']</v>
      </c>
      <c r="D4214" s="3">
        <v>5.0</v>
      </c>
    </row>
    <row r="4215" ht="15.75" customHeight="1">
      <c r="A4215" s="1">
        <v>4511.0</v>
      </c>
      <c r="B4215" s="3" t="s">
        <v>4108</v>
      </c>
      <c r="C4215" s="3" t="str">
        <f>IFERROR(__xludf.DUMMYFUNCTION("GOOGLETRANSLATE(B4215,""id"",""en"")"),"['here', 'sad', 'customers',' Telkomsel ',' many years', 'signal', 'stable', 'stay', 'Jakarta', 'signal', 'bar', 'jokes',' how', '']")</f>
        <v>['here', 'sad', 'customers',' Telkomsel ',' many years', 'signal', 'stable', 'stay', 'Jakarta', 'signal', 'bar', 'jokes',' how', '']</v>
      </c>
      <c r="D4215" s="3">
        <v>1.0</v>
      </c>
    </row>
    <row r="4216" ht="15.75" customHeight="1">
      <c r="A4216" s="1">
        <v>4512.0</v>
      </c>
      <c r="B4216" s="3" t="s">
        <v>4109</v>
      </c>
      <c r="C4216" s="3" t="str">
        <f>IFERROR(__xludf.DUMMYFUNCTION("GOOGLETRANSLATE(B4216,""id"",""en"")"),"['Package', 'data', 'here', 'expensive']")</f>
        <v>['Package', 'data', 'here', 'expensive']</v>
      </c>
      <c r="D4216" s="3">
        <v>1.0</v>
      </c>
    </row>
    <row r="4217" ht="15.75" customHeight="1">
      <c r="A4217" s="1">
        <v>4513.0</v>
      </c>
      <c r="B4217" s="3" t="s">
        <v>4110</v>
      </c>
      <c r="C4217" s="3" t="str">
        <f>IFERROR(__xludf.DUMMYFUNCTION("GOOGLETRANSLATE(B4217,""id"",""en"")"),"['signal', 'slow', 'price', 'package', 'expensive', 'mending', 'provider', 'laen', 'quota', 'big', 'cheap', 'signal', ' fast']")</f>
        <v>['signal', 'slow', 'price', 'package', 'expensive', 'mending', 'provider', 'laen', 'quota', 'big', 'cheap', 'signal', ' fast']</v>
      </c>
      <c r="D4217" s="3">
        <v>1.0</v>
      </c>
    </row>
    <row r="4218" ht="15.75" customHeight="1">
      <c r="A4218" s="1">
        <v>4514.0</v>
      </c>
      <c r="B4218" s="3" t="s">
        <v>4111</v>
      </c>
      <c r="C4218" s="3" t="str">
        <f>IFERROR(__xludf.DUMMYFUNCTION("GOOGLETRANSLATE(B4218,""id"",""en"")"),"['Trima', 'love', 'raises', 'package', 'unlinmited', 'max', 'replace', 'card', 'MERKEK', 'Telkomsel']")</f>
        <v>['Trima', 'love', 'raises', 'package', 'unlinmited', 'max', 'replace', 'card', 'MERKEK', 'Telkomsel']</v>
      </c>
      <c r="D4218" s="3">
        <v>5.0</v>
      </c>
    </row>
    <row r="4219" ht="15.75" customHeight="1">
      <c r="A4219" s="1">
        <v>4515.0</v>
      </c>
      <c r="B4219" s="3" t="s">
        <v>4112</v>
      </c>
      <c r="C4219" s="3" t="str">
        <f>IFERROR(__xludf.DUMMYFUNCTION("GOOGLETRANSLATE(B4219,""id"",""en"")"),"['Service', 'steady']")</f>
        <v>['Service', 'steady']</v>
      </c>
      <c r="D4219" s="3">
        <v>5.0</v>
      </c>
    </row>
    <row r="4220" ht="15.75" customHeight="1">
      <c r="A4220" s="1">
        <v>4516.0</v>
      </c>
      <c r="B4220" s="3" t="s">
        <v>1972</v>
      </c>
      <c r="C4220" s="3" t="str">
        <f>IFERROR(__xludf.DUMMYFUNCTION("GOOGLETRANSLATE(B4220,""id"",""en"")"),"['complicated']")</f>
        <v>['complicated']</v>
      </c>
      <c r="D4220" s="3">
        <v>3.0</v>
      </c>
    </row>
    <row r="4221" ht="15.75" customHeight="1">
      <c r="A4221" s="1">
        <v>4517.0</v>
      </c>
      <c r="B4221" s="3" t="s">
        <v>4113</v>
      </c>
      <c r="C4221" s="3" t="str">
        <f>IFERROR(__xludf.DUMMYFUNCTION("GOOGLETRANSLATE(B4221,""id"",""en"")"),"['Like', 'You' You're, 'Provider', 'User', 'User', '']")</f>
        <v>['Like', 'You' You're, 'Provider', 'User', 'User', '']</v>
      </c>
      <c r="D4221" s="3">
        <v>1.0</v>
      </c>
    </row>
    <row r="4222" ht="15.75" customHeight="1">
      <c r="A4222" s="1">
        <v>4518.0</v>
      </c>
      <c r="B4222" s="3" t="s">
        <v>4114</v>
      </c>
      <c r="C4222" s="3" t="str">
        <f>IFERROR(__xludf.DUMMYFUNCTION("GOOGLETRANSLATE(B4222,""id"",""en"")"),"['signal', 'Telkomsel', 'disorder', 'chaotic', 'please', 'signal', 'internet', 'strength']")</f>
        <v>['signal', 'Telkomsel', 'disorder', 'chaotic', 'please', 'signal', 'internet', 'strength']</v>
      </c>
      <c r="D4222" s="3">
        <v>1.0</v>
      </c>
    </row>
    <row r="4223" ht="15.75" customHeight="1">
      <c r="A4223" s="1">
        <v>4519.0</v>
      </c>
      <c r="B4223" s="3" t="s">
        <v>4115</v>
      </c>
      <c r="C4223" s="3" t="str">
        <f>IFERROR(__xludf.DUMMYFUNCTION("GOOGLETRANSLATE(B4223,""id"",""en"")"),"['The network', 'good', '']")</f>
        <v>['The network', 'good', '']</v>
      </c>
      <c r="D4223" s="3">
        <v>4.0</v>
      </c>
    </row>
    <row r="4224" ht="15.75" customHeight="1">
      <c r="A4224" s="1">
        <v>4520.0</v>
      </c>
      <c r="B4224" s="3" t="s">
        <v>4116</v>
      </c>
      <c r="C4224" s="3" t="str">
        <f>IFERROR(__xludf.DUMMYFUNCTION("GOOGLETRANSLATE(B4224,""id"",""en"")"),"['Woy', 'buy', 'Package', 'Swadaya', '']")</f>
        <v>['Woy', 'buy', 'Package', 'Swadaya', '']</v>
      </c>
      <c r="D4224" s="3">
        <v>1.0</v>
      </c>
    </row>
    <row r="4225" ht="15.75" customHeight="1">
      <c r="A4225" s="1">
        <v>4521.0</v>
      </c>
      <c r="B4225" s="3" t="s">
        <v>4117</v>
      </c>
      <c r="C4225" s="3" t="str">
        <f>IFERROR(__xludf.DUMMYFUNCTION("GOOGLETRANSLATE(B4225,""id"",""en"")"),"['okay']")</f>
        <v>['okay']</v>
      </c>
      <c r="D4225" s="3">
        <v>4.0</v>
      </c>
    </row>
    <row r="4226" ht="15.75" customHeight="1">
      <c r="A4226" s="1">
        <v>4522.0</v>
      </c>
      <c r="B4226" s="3" t="s">
        <v>4118</v>
      </c>
      <c r="C4226" s="3" t="str">
        <f>IFERROR(__xludf.DUMMYFUNCTION("GOOGLETRANSLATE(B4226,""id"",""en"")"),"['Tekomsel', 'dobol', 'koyok', 'entry', 'package', 'expensive', 'signal', 'destitute', 'stay', 'pasuruan', 'city', 'play', ' Games', 'Lost', 'Due to', 'Signal', 'Stable', '']")</f>
        <v>['Tekomsel', 'dobol', 'koyok', 'entry', 'package', 'expensive', 'signal', 'destitute', 'stay', 'pasuruan', 'city', 'play', ' Games', 'Lost', 'Due to', 'Signal', 'Stable', '']</v>
      </c>
      <c r="D4226" s="3">
        <v>1.0</v>
      </c>
    </row>
    <row r="4227" ht="15.75" customHeight="1">
      <c r="A4227" s="1">
        <v>4523.0</v>
      </c>
      <c r="B4227" s="3" t="s">
        <v>4119</v>
      </c>
      <c r="C4227" s="3" t="str">
        <f>IFERROR(__xludf.DUMMYFUNCTION("GOOGLETRANSLATE(B4227,""id"",""en"")"),"['Knpa', 'Telkomsel', 'Sometimes',' Difficult ',' Tlfon ',' Credit ',' Tlfon ',' No "", '']")</f>
        <v>['Knpa', 'Telkomsel', 'Sometimes',' Difficult ',' Tlfon ',' Credit ',' Tlfon ',' No ", '']</v>
      </c>
      <c r="D4227" s="3">
        <v>3.0</v>
      </c>
    </row>
    <row r="4228" ht="15.75" customHeight="1">
      <c r="A4228" s="1">
        <v>4524.0</v>
      </c>
      <c r="B4228" s="3" t="s">
        <v>4120</v>
      </c>
      <c r="C4228" s="3" t="str">
        <f>IFERROR(__xludf.DUMMYFUNCTION("GOOGLETRANSLATE(B4228,""id"",""en"")"),"['Network', 'best']")</f>
        <v>['Network', 'best']</v>
      </c>
      <c r="D4228" s="3">
        <v>5.0</v>
      </c>
    </row>
    <row r="4229" ht="15.75" customHeight="1">
      <c r="A4229" s="1">
        <v>4525.0</v>
      </c>
      <c r="B4229" s="3" t="s">
        <v>4121</v>
      </c>
      <c r="C4229" s="3" t="str">
        <f>IFERROR(__xludf.DUMMYFUNCTION("GOOGLETRANSLATE(B4229,""id"",""en"")"),"['', 'Telkomsel', 'steady', 'staple']")</f>
        <v>['', 'Telkomsel', 'steady', 'staple']</v>
      </c>
      <c r="D4229" s="3">
        <v>5.0</v>
      </c>
    </row>
    <row r="4230" ht="15.75" customHeight="1">
      <c r="A4230" s="1">
        <v>4526.0</v>
      </c>
      <c r="B4230" s="3" t="s">
        <v>4122</v>
      </c>
      <c r="C4230" s="3" t="str">
        <f>IFERROR(__xludf.DUMMYFUNCTION("GOOGLETRANSLATE(B4230,""id"",""en"")"),"['ugly', 'open', 'apk', 'offline', 'buy', 'package', 'data', 'card', 'already', 'package', 'cheap', 'remove', ' Subscriptions', 'truss',' ']")</f>
        <v>['ugly', 'open', 'apk', 'offline', 'buy', 'package', 'data', 'card', 'already', 'package', 'cheap', 'remove', ' Subscriptions', 'truss',' ']</v>
      </c>
      <c r="D4230" s="3">
        <v>1.0</v>
      </c>
    </row>
    <row r="4231" ht="15.75" customHeight="1">
      <c r="A4231" s="1">
        <v>4527.0</v>
      </c>
      <c r="B4231" s="3" t="s">
        <v>4123</v>
      </c>
      <c r="C4231" s="3" t="str">
        <f>IFERROR(__xludf.DUMMYFUNCTION("GOOGLETRANSLATE(B4231,""id"",""en"")"),"['Ngellag', 'play', 'game']")</f>
        <v>['Ngellag', 'play', 'game']</v>
      </c>
      <c r="D4231" s="3">
        <v>1.0</v>
      </c>
    </row>
    <row r="4232" ht="15.75" customHeight="1">
      <c r="A4232" s="1">
        <v>4528.0</v>
      </c>
      <c r="B4232" s="3" t="s">
        <v>4124</v>
      </c>
      <c r="C4232" s="3" t="str">
        <f>IFERROR(__xludf.DUMMYFUNCTION("GOOGLETRANSLATE(B4232,""id"",""en"")"),"['application', 'good', 'darling', 'price', 'package', 'internet', 'expensive', 'cheap', 'little', 'ngeta']")</f>
        <v>['application', 'good', 'darling', 'price', 'package', 'internet', 'expensive', 'cheap', 'little', 'ngeta']</v>
      </c>
      <c r="D4232" s="3">
        <v>5.0</v>
      </c>
    </row>
    <row r="4233" ht="15.75" customHeight="1">
      <c r="A4233" s="1">
        <v>4529.0</v>
      </c>
      <c r="B4233" s="3" t="s">
        <v>4125</v>
      </c>
      <c r="C4233" s="3" t="str">
        <f>IFERROR(__xludf.DUMMYFUNCTION("GOOGLETRANSLATE(B4233,""id"",""en"")"),"['APL', 'pig', '']")</f>
        <v>['APL', 'pig', '']</v>
      </c>
      <c r="D4233" s="3">
        <v>1.0</v>
      </c>
    </row>
    <row r="4234" ht="15.75" customHeight="1">
      <c r="A4234" s="1">
        <v>4530.0</v>
      </c>
      <c r="B4234" s="3" t="s">
        <v>4126</v>
      </c>
      <c r="C4234" s="3" t="str">
        <f>IFERROR(__xludf.DUMMYFUNCTION("GOOGLETRANSLATE(B4234,""id"",""en"")"),"['Please', 'Developer', 'Telkom', 'Come', 'Take', 'Credit', 'Delicious',' Take ',' Rupiah ',' Tens', 'thousand', 'Bru', ' buy ',' pulse ',' rb ',' msk ',' blom ',' masang ',' package ',' blom ',' appain ',' udh ',' stay ',' rb ',' no ' , 'Ngilak', 'take i"&amp;"t', 'buy', 'pulse', 'money', 'difficult', 'hard', 'search', 'business',' can ',' customer ',' card ',' next door ',' think ']")</f>
        <v>['Please', 'Developer', 'Telkom', 'Come', 'Take', 'Credit', 'Delicious',' Take ',' Rupiah ',' Tens', 'thousand', 'Bru', ' buy ',' pulse ',' rb ',' msk ',' blom ',' masang ',' package ',' blom ',' appain ',' udh ',' stay ',' rb ',' no ' , 'Ngilak', 'take it', 'buy', 'pulse', 'money', 'difficult', 'hard', 'search', 'business',' can ',' customer ',' card ',' next door ',' think ']</v>
      </c>
      <c r="D4234" s="3">
        <v>1.0</v>
      </c>
    </row>
    <row r="4235" ht="15.75" customHeight="1">
      <c r="A4235" s="1">
        <v>4531.0</v>
      </c>
      <c r="B4235" s="3" t="s">
        <v>4127</v>
      </c>
      <c r="C4235" s="3" t="str">
        <f>IFERROR(__xludf.DUMMYFUNCTION("GOOGLETRANSLATE(B4235,""id"",""en"")"),"['Signal', 'Telkomsel', 'slow', 'Ampunnn', 'Come', 'Donk', 'Performs', 'Kya', 'Dlu', 'Lemot', 'Bingit', ""]")</f>
        <v>['Signal', 'Telkomsel', 'slow', 'Ampunnn', 'Come', 'Donk', 'Performs', 'Kya', 'Dlu', 'Lemot', 'Bingit', "]</v>
      </c>
      <c r="D4235" s="3">
        <v>3.0</v>
      </c>
    </row>
    <row r="4236" ht="15.75" customHeight="1">
      <c r="A4236" s="1">
        <v>4532.0</v>
      </c>
      <c r="B4236" s="3" t="s">
        <v>4128</v>
      </c>
      <c r="C4236" s="3" t="str">
        <f>IFERROR(__xludf.DUMMYFUNCTION("GOOGLETRANSLATE(B4236,""id"",""en"")"),"['Cool', 'deh', 'network', 'strong', 'baget']")</f>
        <v>['Cool', 'deh', 'network', 'strong', 'baget']</v>
      </c>
      <c r="D4236" s="3">
        <v>5.0</v>
      </c>
    </row>
    <row r="4237" ht="15.75" customHeight="1">
      <c r="A4237" s="1">
        <v>4534.0</v>
      </c>
      <c r="B4237" s="3" t="s">
        <v>4129</v>
      </c>
      <c r="C4237" s="3" t="str">
        <f>IFERROR(__xludf.DUMMYFUNCTION("GOOGLETRANSLATE(B4237,""id"",""en"")"),"['Satisfied', 'Shopping', 'Save', 'Price']")</f>
        <v>['Satisfied', 'Shopping', 'Save', 'Price']</v>
      </c>
      <c r="D4237" s="3">
        <v>4.0</v>
      </c>
    </row>
    <row r="4238" ht="15.75" customHeight="1">
      <c r="A4238" s="1">
        <v>4535.0</v>
      </c>
      <c r="B4238" s="3" t="s">
        <v>4130</v>
      </c>
      <c r="C4238" s="3" t="str">
        <f>IFERROR(__xludf.DUMMYFUNCTION("GOOGLETRANSLATE(B4238,""id"",""en"")"),"['sent', 'pulse', 'Abah', 'enter', 'download', 'APK', 'please', 'help', 'pulse', 'enter']")</f>
        <v>['sent', 'pulse', 'Abah', 'enter', 'download', 'APK', 'please', 'help', 'pulse', 'enter']</v>
      </c>
      <c r="D4238" s="3">
        <v>1.0</v>
      </c>
    </row>
    <row r="4239" ht="15.75" customHeight="1">
      <c r="A4239" s="1">
        <v>4536.0</v>
      </c>
      <c r="B4239" s="3" t="s">
        <v>4131</v>
      </c>
      <c r="C4239" s="3" t="str">
        <f>IFERROR(__xludf.DUMMYFUNCTION("GOOGLETRANSLATE(B4239,""id"",""en"")"),"['network', 'Telkomsel', 'please', 'repay', 'until', 'disappointed']")</f>
        <v>['network', 'Telkomsel', 'please', 'repay', 'until', 'disappointed']</v>
      </c>
      <c r="D4239" s="3">
        <v>1.0</v>
      </c>
    </row>
    <row r="4240" ht="15.75" customHeight="1">
      <c r="A4240" s="1">
        <v>4537.0</v>
      </c>
      <c r="B4240" s="3" t="s">
        <v>4132</v>
      </c>
      <c r="C4240" s="3" t="str">
        <f>IFERROR(__xludf.DUMMYFUNCTION("GOOGLETRANSLATE(B4240,""id"",""en"")"),"['Log', 'Log', '']")</f>
        <v>['Log', 'Log', '']</v>
      </c>
      <c r="D4240" s="3">
        <v>1.0</v>
      </c>
    </row>
    <row r="4241" ht="15.75" customHeight="1">
      <c r="A4241" s="1">
        <v>4539.0</v>
      </c>
      <c r="B4241" s="3" t="s">
        <v>4133</v>
      </c>
      <c r="C4241" s="3" t="str">
        <f>IFERROR(__xludf.DUMMYFUNCTION("GOOGLETRANSLATE(B4241,""id"",""en"")"),"['Good', 'easy', 'success']")</f>
        <v>['Good', 'easy', 'success']</v>
      </c>
      <c r="D4241" s="3">
        <v>5.0</v>
      </c>
    </row>
    <row r="4242" ht="15.75" customHeight="1">
      <c r="A4242" s="1">
        <v>4540.0</v>
      </c>
      <c r="B4242" s="3" t="s">
        <v>4134</v>
      </c>
      <c r="C4242" s="3" t="str">
        <f>IFERROR(__xludf.DUMMYFUNCTION("GOOGLETRANSLATE(B4242,""id"",""en"")"),"['contents',' pulse ',' data ',' UDH ',' Matiin ',' WiFi ',' Package ',' SMS ',' Credit ',' Remnant ',' Kek ',' Gini ',' oath ',' annoyed ',' really ',' payaaahhhhhhhh ',' as a result ',' uninstall ',' deh ',' mytekomsel ',' bye ',' byeee ',' ']")</f>
        <v>['contents',' pulse ',' data ',' UDH ',' Matiin ',' WiFi ',' Package ',' SMS ',' Credit ',' Remnant ',' Kek ',' Gini ',' oath ',' annoyed ',' really ',' payaaahhhhhhhh ',' as a result ',' uninstall ',' deh ',' mytekomsel ',' bye ',' byeee ',' ']</v>
      </c>
      <c r="D4242" s="3">
        <v>1.0</v>
      </c>
    </row>
    <row r="4243" ht="15.75" customHeight="1">
      <c r="A4243" s="1">
        <v>4541.0</v>
      </c>
      <c r="B4243" s="3" t="s">
        <v>4135</v>
      </c>
      <c r="C4243" s="3" t="str">
        <f>IFERROR(__xludf.DUMMYFUNCTION("GOOGLETRANSLATE(B4243,""id"",""en"")"),"['Cool', 'really', 'application', 'safe']")</f>
        <v>['Cool', 'really', 'application', 'safe']</v>
      </c>
      <c r="D4243" s="3">
        <v>5.0</v>
      </c>
    </row>
    <row r="4244" ht="15.75" customHeight="1">
      <c r="A4244" s="1">
        <v>4542.0</v>
      </c>
      <c r="B4244" s="3" t="s">
        <v>1718</v>
      </c>
      <c r="C4244" s="3" t="str">
        <f>IFERROR(__xludf.DUMMYFUNCTION("GOOGLETRANSLATE(B4244,""id"",""en"")"),"['Good', 'service']")</f>
        <v>['Good', 'service']</v>
      </c>
      <c r="D4244" s="3">
        <v>5.0</v>
      </c>
    </row>
    <row r="4245" ht="15.75" customHeight="1">
      <c r="A4245" s="1">
        <v>4543.0</v>
      </c>
      <c r="B4245" s="3" t="s">
        <v>4136</v>
      </c>
      <c r="C4245" s="3" t="str">
        <f>IFERROR(__xludf.DUMMYFUNCTION("GOOGLETRANSLATE(B4245,""id"",""en"")"),"['Try', 'star']")</f>
        <v>['Try', 'star']</v>
      </c>
      <c r="D4245" s="3">
        <v>3.0</v>
      </c>
    </row>
    <row r="4246" ht="15.75" customHeight="1">
      <c r="A4246" s="1">
        <v>4545.0</v>
      </c>
      <c r="B4246" s="3" t="s">
        <v>4137</v>
      </c>
      <c r="C4246" s="3" t="str">
        <f>IFERROR(__xludf.DUMMYFUNCTION("GOOGLETRANSLATE(B4246,""id"",""en"")"),"['UDH', 'Jripping', 'ugly', 'buy', 'Datannyapun', 'expensive', '']")</f>
        <v>['UDH', 'Jripping', 'ugly', 'buy', 'Datannyapun', 'expensive', '']</v>
      </c>
      <c r="D4246" s="3">
        <v>1.0</v>
      </c>
    </row>
    <row r="4247" ht="15.75" customHeight="1">
      <c r="A4247" s="1">
        <v>4546.0</v>
      </c>
      <c r="B4247" s="3" t="s">
        <v>4138</v>
      </c>
      <c r="C4247" s="3" t="str">
        <f>IFERROR(__xludf.DUMMYFUNCTION("GOOGLETRANSLATE(B4247,""id"",""en"")"),"['Reduce', 'star', 'Severe', 'already', 'clock', 'network', 'missing']")</f>
        <v>['Reduce', 'star', 'Severe', 'already', 'clock', 'network', 'missing']</v>
      </c>
      <c r="D4247" s="3">
        <v>1.0</v>
      </c>
    </row>
    <row r="4248" ht="15.75" customHeight="1">
      <c r="A4248" s="1">
        <v>4547.0</v>
      </c>
      <c r="B4248" s="3" t="s">
        <v>4139</v>
      </c>
      <c r="C4248" s="3" t="str">
        <f>IFERROR(__xludf.DUMMYFUNCTION("GOOGLETRANSLATE(B4248,""id"",""en"")"),"['Network', 'Severe', 'Dibener', 'Benerin', 'Mending', 'Change', 'Provider', 'Helped', 'Telkomsel']")</f>
        <v>['Network', 'Severe', 'Dibener', 'Benerin', 'Mending', 'Change', 'Provider', 'Helped', 'Telkomsel']</v>
      </c>
      <c r="D4248" s="3">
        <v>1.0</v>
      </c>
    </row>
    <row r="4249" ht="15.75" customHeight="1">
      <c r="A4249" s="1">
        <v>4548.0</v>
      </c>
      <c r="B4249" s="3" t="s">
        <v>4140</v>
      </c>
      <c r="C4249" s="3" t="str">
        <f>IFERROR(__xludf.DUMMYFUNCTION("GOOGLETRANSLATE(B4249,""id"",""en"")"),"['menu', 'complete', 'easy', 'undertlucted', 'fast', 'basically', 'top', 'markotop', 'dahhhhh', '']")</f>
        <v>['menu', 'complete', 'easy', 'undertlucted', 'fast', 'basically', 'top', 'markotop', 'dahhhhh', '']</v>
      </c>
      <c r="D4249" s="3">
        <v>5.0</v>
      </c>
    </row>
    <row r="4250" ht="15.75" customHeight="1">
      <c r="A4250" s="1">
        <v>4549.0</v>
      </c>
      <c r="B4250" s="3" t="s">
        <v>4141</v>
      </c>
      <c r="C4250" s="3" t="str">
        <f>IFERROR(__xludf.DUMMYFUNCTION("GOOGLETRANSLATE(B4250,""id"",""en"")"),"['It's easy', 'user', 'loyal']")</f>
        <v>['It's easy', 'user', 'loyal']</v>
      </c>
      <c r="D4250" s="3">
        <v>4.0</v>
      </c>
    </row>
    <row r="4251" ht="15.75" customHeight="1">
      <c r="A4251" s="1">
        <v>4550.0</v>
      </c>
      <c r="B4251" s="3" t="s">
        <v>4142</v>
      </c>
      <c r="C4251" s="3" t="str">
        <f>IFERROR(__xludf.DUMMYFUNCTION("GOOGLETRANSLATE(B4251,""id"",""en"")"),"['Network', 'data', 'ugly', 'expensive', 'functioned', 'center', 'complaint']")</f>
        <v>['Network', 'data', 'ugly', 'expensive', 'functioned', 'center', 'complaint']</v>
      </c>
      <c r="D4251" s="3">
        <v>1.0</v>
      </c>
    </row>
    <row r="4252" ht="15.75" customHeight="1">
      <c r="A4252" s="1">
        <v>4551.0</v>
      </c>
      <c r="B4252" s="3" t="s">
        <v>4143</v>
      </c>
      <c r="C4252" s="3" t="str">
        <f>IFERROR(__xludf.DUMMYFUNCTION("GOOGLETRANSLATE(B4252,""id"",""en"")"),"['Slalu', 'use', 'sympathy', 'tens', 'family', 'hopefully', 'network', 'level', 'signal', ""]")</f>
        <v>['Slalu', 'use', 'sympathy', 'tens', 'family', 'hopefully', 'network', 'level', 'signal', "]</v>
      </c>
      <c r="D4252" s="3">
        <v>5.0</v>
      </c>
    </row>
    <row r="4253" ht="15.75" customHeight="1">
      <c r="A4253" s="1">
        <v>4553.0</v>
      </c>
      <c r="B4253" s="3" t="s">
        <v>4144</v>
      </c>
      <c r="C4253" s="3" t="str">
        <f>IFERROR(__xludf.DUMMYFUNCTION("GOOGLETRANSLATE(B4253,""id"",""en"")"),"['Good', 'signal', 'strong', 'times', 'love', 'price', 'promo', 'rb']")</f>
        <v>['Good', 'signal', 'strong', 'times', 'love', 'price', 'promo', 'rb']</v>
      </c>
      <c r="D4253" s="3">
        <v>5.0</v>
      </c>
    </row>
    <row r="4254" ht="15.75" customHeight="1">
      <c r="A4254" s="1">
        <v>4554.0</v>
      </c>
      <c r="B4254" s="3" t="s">
        <v>4145</v>
      </c>
      <c r="C4254" s="3" t="str">
        <f>IFERROR(__xludf.DUMMYFUNCTION("GOOGLETRANSLATE(B4254,""id"",""en"")"),"['hope', 'promo', 'package', 'quota', 'number', 'appears']")</f>
        <v>['hope', 'promo', 'package', 'quota', 'number', 'appears']</v>
      </c>
      <c r="D4254" s="3">
        <v>5.0</v>
      </c>
    </row>
    <row r="4255" ht="15.75" customHeight="1">
      <c r="A4255" s="1">
        <v>4555.0</v>
      </c>
      <c r="B4255" s="3" t="s">
        <v>4146</v>
      </c>
      <c r="C4255" s="3" t="str">
        <f>IFERROR(__xludf.DUMMYFUNCTION("GOOGLETRANSLATE(B4255,""id"",""en"")"),"['stability', 'internet', 'please', 'repaired', 'service', 'consumer', 'preferably']")</f>
        <v>['stability', 'internet', 'please', 'repaired', 'service', 'consumer', 'preferably']</v>
      </c>
      <c r="D4255" s="3">
        <v>1.0</v>
      </c>
    </row>
    <row r="4256" ht="15.75" customHeight="1">
      <c r="A4256" s="1">
        <v>4557.0</v>
      </c>
      <c r="B4256" s="3" t="s">
        <v>4147</v>
      </c>
      <c r="C4256" s="3" t="str">
        <f>IFERROR(__xludf.DUMMYFUNCTION("GOOGLETRANSLATE(B4256,""id"",""en"")"),"['Decent', 'Bintg', ""]")</f>
        <v>['Decent', 'Bintg', "]</v>
      </c>
      <c r="D4256" s="3">
        <v>1.0</v>
      </c>
    </row>
    <row r="4257" ht="15.75" customHeight="1">
      <c r="A4257" s="1">
        <v>4558.0</v>
      </c>
      <c r="B4257" s="3" t="s">
        <v>4148</v>
      </c>
      <c r="C4257" s="3" t="str">
        <f>IFERROR(__xludf.DUMMYFUNCTION("GOOGLETRANSLATE(B4257,""id"",""en"")"),"['Sorry', 'subscribe', 'Perdana', 'Telkomsel', 'used', 'fees',' pay ',' package ',' expensive ',' network ',' tidk ',' tension ',' Waiting ',' regret ',' company ',' Telkomsel ']")</f>
        <v>['Sorry', 'subscribe', 'Perdana', 'Telkomsel', 'used', 'fees',' pay ',' package ',' expensive ',' network ',' tidk ',' tension ',' Waiting ',' regret ',' company ',' Telkomsel ']</v>
      </c>
      <c r="D4257" s="3">
        <v>1.0</v>
      </c>
    </row>
    <row r="4258" ht="15.75" customHeight="1">
      <c r="A4258" s="1">
        <v>4559.0</v>
      </c>
      <c r="B4258" s="3" t="s">
        <v>4149</v>
      </c>
      <c r="C4258" s="3" t="str">
        <f>IFERROR(__xludf.DUMMYFUNCTION("GOOGLETRANSLATE(B4258,""id"",""en"")"),"['convenience', 'pling', 'disappointed', 'login', 'difficult', 'color', 'white', 'empty']")</f>
        <v>['convenience', 'pling', 'disappointed', 'login', 'difficult', 'color', 'white', 'empty']</v>
      </c>
      <c r="D4258" s="3">
        <v>5.0</v>
      </c>
    </row>
    <row r="4259" ht="15.75" customHeight="1">
      <c r="A4259" s="1">
        <v>4561.0</v>
      </c>
      <c r="B4259" s="3" t="s">
        <v>4150</v>
      </c>
      <c r="C4259" s="3" t="str">
        <f>IFERROR(__xludf.DUMMYFUNCTION("GOOGLETRANSLATE(B4259,""id"",""en"")"),"['Telkomsel', 'signal', 'bad', 'lose', 'provider', 'cheap', 'expensive', 'doang', 'quality', 'cheap', 'not', 'recommended']")</f>
        <v>['Telkomsel', 'signal', 'bad', 'lose', 'provider', 'cheap', 'expensive', 'doang', 'quality', 'cheap', 'not', 'recommended']</v>
      </c>
      <c r="D4259" s="3">
        <v>1.0</v>
      </c>
    </row>
    <row r="4260" ht="15.75" customHeight="1">
      <c r="A4260" s="1">
        <v>4562.0</v>
      </c>
      <c r="B4260" s="3" t="s">
        <v>4151</v>
      </c>
      <c r="C4260" s="3" t="str">
        <f>IFERROR(__xludf.DUMMYFUNCTION("GOOGLETRANSLATE(B4260,""id"",""en"")"),"['pulse', 'like', 'run out', 'please', 'help', '']")</f>
        <v>['pulse', 'like', 'run out', 'please', 'help', '']</v>
      </c>
      <c r="D4260" s="3">
        <v>1.0</v>
      </c>
    </row>
    <row r="4261" ht="15.75" customHeight="1">
      <c r="A4261" s="1">
        <v>4563.0</v>
      </c>
      <c r="B4261" s="3" t="s">
        <v>4152</v>
      </c>
      <c r="C4261" s="3" t="str">
        <f>IFERROR(__xludf.DUMMYFUNCTION("GOOGLETRANSLATE(B4261,""id"",""en"")"),"['Network', 'garbage', 'package', 'doang', 'win', 'expensive', 'kiunity', 'lose', 'price', 'klen', 'garbage', 'network', ' Client ',' Taik ',' approximately ',' happy ',' klen ',' ama ',' weve ',' rich ',' so ',' network ',' garbage ',' eat ',' klen ' , '"&amp;"Taik', ""]")</f>
        <v>['Network', 'garbage', 'package', 'doang', 'win', 'expensive', 'kiunity', 'lose', 'price', 'klen', 'garbage', 'network', ' Client ',' Taik ',' approximately ',' happy ',' klen ',' ama ',' weve ',' rich ',' so ',' network ',' garbage ',' eat ',' klen ' , 'Taik', "]</v>
      </c>
      <c r="D4261" s="3">
        <v>1.0</v>
      </c>
    </row>
    <row r="4262" ht="15.75" customHeight="1">
      <c r="A4262" s="1">
        <v>4564.0</v>
      </c>
      <c r="B4262" s="3" t="s">
        <v>4153</v>
      </c>
      <c r="C4262" s="3" t="str">
        <f>IFERROR(__xludf.DUMMYFUNCTION("GOOGLETRANSLATE(B4262,""id"",""en"")"),"['signal', 'threat']")</f>
        <v>['signal', 'threat']</v>
      </c>
      <c r="D4262" s="3">
        <v>1.0</v>
      </c>
    </row>
    <row r="4263" ht="15.75" customHeight="1">
      <c r="A4263" s="1">
        <v>4565.0</v>
      </c>
      <c r="B4263" s="3" t="s">
        <v>4154</v>
      </c>
      <c r="C4263" s="3" t="str">
        <f>IFERROR(__xludf.DUMMYFUNCTION("GOOGLETRANSLATE(B4263,""id"",""en"")"),"['Package', 'Games', 'pub', 'ngak']")</f>
        <v>['Package', 'Games', 'pub', 'ngak']</v>
      </c>
      <c r="D4263" s="3">
        <v>5.0</v>
      </c>
    </row>
    <row r="4264" ht="15.75" customHeight="1">
      <c r="A4264" s="1">
        <v>4566.0</v>
      </c>
      <c r="B4264" s="3" t="s">
        <v>4155</v>
      </c>
      <c r="C4264" s="3" t="str">
        <f>IFERROR(__xludf.DUMMYFUNCTION("GOOGLETRANSLATE(B4264,""id"",""en"")"),"['Increase', 'Quality', 'Signal']")</f>
        <v>['Increase', 'Quality', 'Signal']</v>
      </c>
      <c r="D4264" s="3">
        <v>4.0</v>
      </c>
    </row>
    <row r="4265" ht="15.75" customHeight="1">
      <c r="A4265" s="1">
        <v>4567.0</v>
      </c>
      <c r="B4265" s="3" t="s">
        <v>4156</v>
      </c>
      <c r="C4265" s="3" t="str">
        <f>IFERROR(__xludf.DUMMYFUNCTION("GOOGLETRANSLATE(B4265,""id"",""en"")"),"['loss',' buy ',' Telkomsel ',' signal ',' bad ',' run out ',' update ',' enter ',' writing ',' update ',' gabisa ',' enter ',' Replace ',' Krtu ']")</f>
        <v>['loss',' buy ',' Telkomsel ',' signal ',' bad ',' run out ',' update ',' enter ',' writing ',' update ',' gabisa ',' enter ',' Replace ',' Krtu ']</v>
      </c>
      <c r="D4265" s="3">
        <v>1.0</v>
      </c>
    </row>
    <row r="4266" ht="15.75" customHeight="1">
      <c r="A4266" s="1">
        <v>4568.0</v>
      </c>
      <c r="B4266" s="3" t="s">
        <v>4157</v>
      </c>
      <c r="C4266" s="3" t="str">
        <f>IFERROR(__xludf.DUMMYFUNCTION("GOOGLETRANSLATE(B4266,""id"",""en"")"),"['Uda', 'expensive', 'slow', 'bangse', 'regret']")</f>
        <v>['Uda', 'expensive', 'slow', 'bangse', 'regret']</v>
      </c>
      <c r="D4266" s="3">
        <v>1.0</v>
      </c>
    </row>
    <row r="4267" ht="15.75" customHeight="1">
      <c r="A4267" s="1">
        <v>4570.0</v>
      </c>
      <c r="B4267" s="3" t="s">
        <v>4158</v>
      </c>
      <c r="C4267" s="3" t="str">
        <f>IFERROR(__xludf.DUMMYFUNCTION("GOOGLETRANSLATE(B4267,""id"",""en"")"),"['Expensive', 'Doang', 'The name', 'kayak', 'ghost', 'disappear']")</f>
        <v>['Expensive', 'Doang', 'The name', 'kayak', 'ghost', 'disappear']</v>
      </c>
      <c r="D4267" s="3">
        <v>3.0</v>
      </c>
    </row>
    <row r="4268" ht="15.75" customHeight="1">
      <c r="A4268" s="1">
        <v>4571.0</v>
      </c>
      <c r="B4268" s="3" t="s">
        <v>273</v>
      </c>
      <c r="C4268" s="3" t="str">
        <f>IFERROR(__xludf.DUMMYFUNCTION("GOOGLETRANSLATE(B4268,""id"",""en"")"),"['like']")</f>
        <v>['like']</v>
      </c>
      <c r="D4268" s="3">
        <v>1.0</v>
      </c>
    </row>
    <row r="4269" ht="15.75" customHeight="1">
      <c r="A4269" s="1">
        <v>4572.0</v>
      </c>
      <c r="B4269" s="3" t="s">
        <v>4159</v>
      </c>
      <c r="C4269" s="3" t="str">
        <f>IFERROR(__xludf.DUMMYFUNCTION("GOOGLETRANSLATE(B4269,""id"",""en"")"),"['Signal', 'already', 'area', 'edge', 'city', 'countryside', 'how', 'good', 'enhanced']")</f>
        <v>['Signal', 'already', 'area', 'edge', 'city', 'countryside', 'how', 'good', 'enhanced']</v>
      </c>
      <c r="D4269" s="3">
        <v>4.0</v>
      </c>
    </row>
    <row r="4270" ht="15.75" customHeight="1">
      <c r="A4270" s="1">
        <v>4573.0</v>
      </c>
      <c r="B4270" s="3" t="s">
        <v>4160</v>
      </c>
      <c r="C4270" s="3" t="str">
        <f>IFERROR(__xludf.DUMMYFUNCTION("GOOGLETRANSLATE(B4270,""id"",""en"")"),"['MyTelkomsel', 'help', 'check', 'use', 'pulse', 'quota', 'offer', 'promo', '']")</f>
        <v>['MyTelkomsel', 'help', 'check', 'use', 'pulse', 'quota', 'offer', 'promo', '']</v>
      </c>
      <c r="D4270" s="3">
        <v>5.0</v>
      </c>
    </row>
    <row r="4271" ht="15.75" customHeight="1">
      <c r="A4271" s="1">
        <v>4574.0</v>
      </c>
      <c r="B4271" s="3" t="s">
        <v>4161</v>
      </c>
      <c r="C4271" s="3" t="str">
        <f>IFERROR(__xludf.DUMMYFUNCTION("GOOGLETRANSLATE(B4271,""id"",""en"")"),"['Please', 'repaired', 'network', 'Sunyal', 'ugly', 'really', 'upset', 'network', 'Telkomsel', 'reliable', 'price', 'cheap', ' network ',' slow ',' kayak ',' snail ',' please ',' repaired ',' dog ',' pig ',' ghost ', ""]")</f>
        <v>['Please', 'repaired', 'network', 'Sunyal', 'ugly', 'really', 'upset', 'network', 'Telkomsel', 'reliable', 'price', 'cheap', ' network ',' slow ',' kayak ',' snail ',' please ',' repaired ',' dog ',' pig ',' ghost ', "]</v>
      </c>
      <c r="D4271" s="3">
        <v>1.0</v>
      </c>
    </row>
    <row r="4272" ht="15.75" customHeight="1">
      <c r="A4272" s="1">
        <v>4575.0</v>
      </c>
      <c r="B4272" s="3" t="s">
        <v>4162</v>
      </c>
      <c r="C4272" s="3" t="str">
        <f>IFERROR(__xludf.DUMMYFUNCTION("GOOGLETRANSLATE(B4272,""id"",""en"")"),"['ugly', 'signal', 'ugly']")</f>
        <v>['ugly', 'signal', 'ugly']</v>
      </c>
      <c r="D4272" s="3">
        <v>1.0</v>
      </c>
    </row>
    <row r="4273" ht="15.75" customHeight="1">
      <c r="A4273" s="1">
        <v>4576.0</v>
      </c>
      <c r="B4273" s="3" t="s">
        <v>4163</v>
      </c>
      <c r="C4273" s="3" t="str">
        <f>IFERROR(__xludf.DUMMYFUNCTION("GOOGLETRANSLATE(B4273,""id"",""en"")"),"['Sometimes', 'apk', 'like', 'weird']")</f>
        <v>['Sometimes', 'apk', 'like', 'weird']</v>
      </c>
      <c r="D4273" s="3">
        <v>3.0</v>
      </c>
    </row>
    <row r="4274" ht="15.75" customHeight="1">
      <c r="A4274" s="1">
        <v>4577.0</v>
      </c>
      <c r="B4274" s="3" t="s">
        <v>4164</v>
      </c>
      <c r="C4274" s="3" t="str">
        <f>IFERROR(__xludf.DUMMYFUNCTION("GOOGLETRANSLATE(B4274,""id"",""en"")"),"['Surmointed']")</f>
        <v>['Surmointed']</v>
      </c>
      <c r="D4274" s="3">
        <v>4.0</v>
      </c>
    </row>
    <row r="4275" ht="15.75" customHeight="1">
      <c r="A4275" s="1">
        <v>4578.0</v>
      </c>
      <c r="B4275" s="3" t="s">
        <v>181</v>
      </c>
      <c r="C4275" s="3" t="str">
        <f>IFERROR(__xludf.DUMMYFUNCTION("GOOGLETRANSLATE(B4275,""id"",""en"")"),"['help']")</f>
        <v>['help']</v>
      </c>
      <c r="D4275" s="3">
        <v>5.0</v>
      </c>
    </row>
    <row r="4276" ht="15.75" customHeight="1">
      <c r="A4276" s="1">
        <v>4580.0</v>
      </c>
      <c r="B4276" s="3" t="s">
        <v>4165</v>
      </c>
      <c r="C4276" s="3" t="str">
        <f>IFERROR(__xludf.DUMMYFUNCTION("GOOGLETRANSLATE(B4276,""id"",""en"")"),"['Cuih', 'package', 'expensive', 'network', 'kek', 'pulp']")</f>
        <v>['Cuih', 'package', 'expensive', 'network', 'kek', 'pulp']</v>
      </c>
      <c r="D4276" s="3">
        <v>1.0</v>
      </c>
    </row>
    <row r="4277" ht="15.75" customHeight="1">
      <c r="A4277" s="1">
        <v>4581.0</v>
      </c>
      <c r="B4277" s="3" t="s">
        <v>4166</v>
      </c>
      <c r="C4277" s="3" t="str">
        <f>IFERROR(__xludf.DUMMYFUNCTION("GOOGLETRANSLATE(B4277,""id"",""en"")"),"['Telkomsel', 'disappointing', 'price', 'expensive', 'quality', 'zero', 'slow', 'extraordinary', 'Telkomsel', 'damn']")</f>
        <v>['Telkomsel', 'disappointing', 'price', 'expensive', 'quality', 'zero', 'slow', 'extraordinary', 'Telkomsel', 'damn']</v>
      </c>
      <c r="D4277" s="3">
        <v>1.0</v>
      </c>
    </row>
    <row r="4278" ht="15.75" customHeight="1">
      <c r="A4278" s="1">
        <v>4582.0</v>
      </c>
      <c r="B4278" s="3" t="s">
        <v>4167</v>
      </c>
      <c r="C4278" s="3" t="str">
        <f>IFERROR(__xludf.DUMMYFUNCTION("GOOGLETRANSLATE(B4278,""id"",""en"")"),"['waahh', 'thank', 'love', 'Telkomsel', ""]")</f>
        <v>['waahh', 'thank', 'love', 'Telkomsel', "]</v>
      </c>
      <c r="D4278" s="3">
        <v>4.0</v>
      </c>
    </row>
    <row r="4279" ht="15.75" customHeight="1">
      <c r="A4279" s="1">
        <v>4583.0</v>
      </c>
      <c r="B4279" s="3" t="s">
        <v>4168</v>
      </c>
      <c r="C4279" s="3" t="str">
        <f>IFERROR(__xludf.DUMMYFUNCTION("GOOGLETRANSLATE(B4279,""id"",""en"")"),"['Network', 'number', 'Indonesia', 'Leg', 'Seh', 'Open', 'Link', 'Difficult', 'Law', 'boss',' Nomer ',' Nomer ',' Indonesia ',' Awokawok ',' Canda ']")</f>
        <v>['Network', 'number', 'Indonesia', 'Leg', 'Seh', 'Open', 'Link', 'Difficult', 'Law', 'boss',' Nomer ',' Nomer ',' Indonesia ',' Awokawok ',' Canda ']</v>
      </c>
      <c r="D4279" s="3">
        <v>1.0</v>
      </c>
    </row>
    <row r="4280" ht="15.75" customHeight="1">
      <c r="A4280" s="1">
        <v>4584.0</v>
      </c>
      <c r="B4280" s="3" t="s">
        <v>4169</v>
      </c>
      <c r="C4280" s="3" t="str">
        <f>IFERROR(__xludf.DUMMYFUNCTION("GOOGLETRANSLATE(B4280,""id"",""en"")"),"['package', 'economical', 'just', 'for a while', 'calculation', 'quota', 'fast', 'abis',' features', 'division', 'quota', 'features',' trap ',' Cut ',' pulse ',' ugly ']")</f>
        <v>['package', 'economical', 'just', 'for a while', 'calculation', 'quota', 'fast', 'abis',' features', 'division', 'quota', 'features',' trap ',' Cut ',' pulse ',' ugly ']</v>
      </c>
      <c r="D4280" s="3">
        <v>1.0</v>
      </c>
    </row>
    <row r="4281" ht="15.75" customHeight="1">
      <c r="A4281" s="1">
        <v>4585.0</v>
      </c>
      <c r="B4281" s="3" t="s">
        <v>2169</v>
      </c>
      <c r="C4281" s="3" t="str">
        <f>IFERROR(__xludf.DUMMYFUNCTION("GOOGLETRANSLATE(B4281,""id"",""en"")"),"['bad signal']")</f>
        <v>['bad signal']</v>
      </c>
      <c r="D4281" s="3">
        <v>1.0</v>
      </c>
    </row>
    <row r="4282" ht="15.75" customHeight="1">
      <c r="A4282" s="1">
        <v>4586.0</v>
      </c>
      <c r="B4282" s="3" t="s">
        <v>4170</v>
      </c>
      <c r="C4282" s="3" t="str">
        <f>IFERROR(__xludf.DUMMYFUNCTION("GOOGLETRANSLATE(B4282,""id"",""en"")"),"['staple', 'mantull', 'app']")</f>
        <v>['staple', 'mantull', 'app']</v>
      </c>
      <c r="D4282" s="3">
        <v>5.0</v>
      </c>
    </row>
    <row r="4283" ht="15.75" customHeight="1">
      <c r="A4283" s="1">
        <v>4587.0</v>
      </c>
      <c r="B4283" s="3" t="s">
        <v>4171</v>
      </c>
      <c r="C4283" s="3" t="str">
        <f>IFERROR(__xludf.DUMMYFUNCTION("GOOGLETRANSLATE(B4283,""id"",""en"")"),"['UDH', 'fill', 'Package', 'TPI', 'Package', 'Enter', ""]")</f>
        <v>['UDH', 'fill', 'Package', 'TPI', 'Package', 'Enter', "]</v>
      </c>
      <c r="D4283" s="3">
        <v>2.0</v>
      </c>
    </row>
    <row r="4284" ht="15.75" customHeight="1">
      <c r="A4284" s="1">
        <v>4588.0</v>
      </c>
      <c r="B4284" s="3" t="s">
        <v>4172</v>
      </c>
      <c r="C4284" s="3" t="str">
        <f>IFERROR(__xludf.DUMMYFUNCTION("GOOGLETRANSLATE(B4284,""id"",""en"")"),"['Network', 'Telkomsel', 'destroyed', 'please', 'fix', 'network', 'min', 'quota', 'deres',' really ',' end ',' min ',' thank you']")</f>
        <v>['Network', 'Telkomsel', 'destroyed', 'please', 'fix', 'network', 'min', 'quota', 'deres',' really ',' end ',' min ',' thank you']</v>
      </c>
      <c r="D4284" s="3">
        <v>2.0</v>
      </c>
    </row>
    <row r="4285" ht="15.75" customHeight="1">
      <c r="A4285" s="1">
        <v>4589.0</v>
      </c>
      <c r="B4285" s="3" t="s">
        <v>4173</v>
      </c>
      <c r="C4285" s="3" t="str">
        <f>IFERROR(__xludf.DUMMYFUNCTION("GOOGLETRANSLATE(B4285,""id"",""en"")"),"['How', 'Sinyal', 'Gini', 'Ngelegg', 'then', 'Kek', 'Gini', 'TRS', 'Mending', 'Move', 'Raying', 'Pakek', ' Telkom ',' expensive ',' doang ',' tasty ',' really ']")</f>
        <v>['How', 'Sinyal', 'Gini', 'Ngelegg', 'then', 'Kek', 'Gini', 'TRS', 'Mending', 'Move', 'Raying', 'Pakek', ' Telkom ',' expensive ',' doang ',' tasty ',' really ']</v>
      </c>
      <c r="D4285" s="3">
        <v>1.0</v>
      </c>
    </row>
    <row r="4286" ht="15.75" customHeight="1">
      <c r="A4286" s="1">
        <v>4590.0</v>
      </c>
      <c r="B4286" s="3" t="s">
        <v>4174</v>
      </c>
      <c r="C4286" s="3" t="str">
        <f>IFERROR(__xludf.DUMMYFUNCTION("GOOGLETRANSLATE(B4286,""id"",""en"")"),"['Like', 'Ngebug', 'Kalim', 'Login', 'Daily', 'Bad', 'Bad', 'Bad']")</f>
        <v>['Like', 'Ngebug', 'Kalim', 'Login', 'Daily', 'Bad', 'Bad', 'Bad']</v>
      </c>
      <c r="D4286" s="3">
        <v>2.0</v>
      </c>
    </row>
    <row r="4287" ht="15.75" customHeight="1">
      <c r="A4287" s="1">
        <v>4591.0</v>
      </c>
      <c r="B4287" s="3" t="s">
        <v>4175</v>
      </c>
      <c r="C4287" s="3" t="str">
        <f>IFERROR(__xludf.DUMMYFUNCTION("GOOGLETRANSLATE(B4287,""id"",""en"")"),"['', 'Network', 'mountains', 'please', 'fix']")</f>
        <v>['', 'Network', 'mountains', 'please', 'fix']</v>
      </c>
      <c r="D4287" s="3">
        <v>4.0</v>
      </c>
    </row>
    <row r="4288" ht="15.75" customHeight="1">
      <c r="A4288" s="1">
        <v>4592.0</v>
      </c>
      <c r="B4288" s="3" t="s">
        <v>4176</v>
      </c>
      <c r="C4288" s="3" t="str">
        <f>IFERROR(__xludf.DUMMYFUNCTION("GOOGLETRANSLATE(B4288,""id"",""en"")"),"['Process', 'fast']")</f>
        <v>['Process', 'fast']</v>
      </c>
      <c r="D4288" s="3">
        <v>5.0</v>
      </c>
    </row>
    <row r="4289" ht="15.75" customHeight="1">
      <c r="A4289" s="1">
        <v>4593.0</v>
      </c>
      <c r="B4289" s="3" t="s">
        <v>4177</v>
      </c>
      <c r="C4289" s="3" t="str">
        <f>IFERROR(__xludf.DUMMYFUNCTION("GOOGLETRANSLATE(B4289,""id"",""en"")"),"['already', 'expensive', 'expensive', 'buy', 'quota', 'game', 'dipake', 'ajg', ""]")</f>
        <v>['already', 'expensive', 'expensive', 'buy', 'quota', 'game', 'dipake', 'ajg', "]</v>
      </c>
      <c r="D4289" s="3">
        <v>1.0</v>
      </c>
    </row>
    <row r="4290" ht="15.75" customHeight="1">
      <c r="A4290" s="1">
        <v>4594.0</v>
      </c>
      <c r="B4290" s="3" t="s">
        <v>4178</v>
      </c>
      <c r="C4290" s="3" t="str">
        <f>IFERROR(__xludf.DUMMYFUNCTION("GOOGLETRANSLATE(B4290,""id"",""en"")"),"['Kouta', 'doang', 'expensive', 'dead', 'lights', 'network', 'missing', '']")</f>
        <v>['Kouta', 'doang', 'expensive', 'dead', 'lights', 'network', 'missing', '']</v>
      </c>
      <c r="D4290" s="3">
        <v>1.0</v>
      </c>
    </row>
    <row r="4291" ht="15.75" customHeight="1">
      <c r="A4291" s="1">
        <v>4595.0</v>
      </c>
      <c r="B4291" s="3" t="s">
        <v>4179</v>
      </c>
      <c r="C4291" s="3" t="str">
        <f>IFERROR(__xludf.DUMMYFUNCTION("GOOGLETRANSLATE(B4291,""id"",""en"")"),"['cave', 'Telkomsel', 'bad', 'smartfren', 'cave', 'hate', 'telkomsel']")</f>
        <v>['cave', 'Telkomsel', 'bad', 'smartfren', 'cave', 'hate', 'telkomsel']</v>
      </c>
      <c r="D4291" s="3">
        <v>5.0</v>
      </c>
    </row>
    <row r="4292" ht="15.75" customHeight="1">
      <c r="A4292" s="1">
        <v>4597.0</v>
      </c>
      <c r="B4292" s="3" t="s">
        <v>4180</v>
      </c>
      <c r="C4292" s="3" t="str">
        <f>IFERROR(__xludf.DUMMYFUNCTION("GOOGLETRANSLATE(B4292,""id"",""en"")"),"['male', 'error', 'replace', 'provider', 'play', 'game', 'signal', 'lost', 'package', 'already', 'expensive', 'network', ' not']")</f>
        <v>['male', 'error', 'replace', 'provider', 'play', 'game', 'signal', 'lost', 'package', 'already', 'expensive', 'network', ' not']</v>
      </c>
      <c r="D4292" s="3">
        <v>1.0</v>
      </c>
    </row>
    <row r="4293" ht="15.75" customHeight="1">
      <c r="A4293" s="1">
        <v>4598.0</v>
      </c>
      <c r="B4293" s="3" t="s">
        <v>4181</v>
      </c>
      <c r="C4293" s="3" t="str">
        <f>IFERROR(__xludf.DUMMYFUNCTION("GOOGLETRANSLATE(B4293,""id"",""en"")"),"['Paketan', 'Free']")</f>
        <v>['Paketan', 'Free']</v>
      </c>
      <c r="D4293" s="3">
        <v>5.0</v>
      </c>
    </row>
    <row r="4294" ht="15.75" customHeight="1">
      <c r="A4294" s="1">
        <v>4599.0</v>
      </c>
      <c r="B4294" s="3" t="s">
        <v>4182</v>
      </c>
      <c r="C4294" s="3" t="str">
        <f>IFERROR(__xludf.DUMMYFUNCTION("GOOGLETRANSLATE(B4294,""id"",""en"")"),"['Application', 'fast', 'response', 'thank you']")</f>
        <v>['Application', 'fast', 'response', 'thank you']</v>
      </c>
      <c r="D4294" s="3">
        <v>5.0</v>
      </c>
    </row>
    <row r="4295" ht="15.75" customHeight="1">
      <c r="A4295" s="1">
        <v>4600.0</v>
      </c>
      <c r="B4295" s="3" t="s">
        <v>890</v>
      </c>
      <c r="C4295" s="3" t="str">
        <f>IFERROR(__xludf.DUMMYFUNCTION("GOOGLETRANSLATE(B4295,""id"",""en"")"),"['good', '']")</f>
        <v>['good', '']</v>
      </c>
      <c r="D4295" s="3">
        <v>5.0</v>
      </c>
    </row>
    <row r="4296" ht="15.75" customHeight="1">
      <c r="A4296" s="1">
        <v>4601.0</v>
      </c>
      <c r="B4296" s="3" t="s">
        <v>4183</v>
      </c>
      <c r="C4296" s="3" t="str">
        <f>IFERROR(__xludf.DUMMYFUNCTION("GOOGLETRANSLATE(B4296,""id"",""en"")"),"['Sorry', 'Telkomsel', 'Star', 'Reduce', 'Network', 'Bad', 'Access', 'Application', 'MyTelkomsel', 'Slow', 'Network', 'Perdasana']")</f>
        <v>['Sorry', 'Telkomsel', 'Star', 'Reduce', 'Network', 'Bad', 'Access', 'Application', 'MyTelkomsel', 'Slow', 'Network', 'Perdasana']</v>
      </c>
      <c r="D4296" s="3">
        <v>1.0</v>
      </c>
    </row>
    <row r="4297" ht="15.75" customHeight="1">
      <c r="A4297" s="1">
        <v>4602.0</v>
      </c>
      <c r="B4297" s="3" t="s">
        <v>4184</v>
      </c>
      <c r="C4297" s="3" t="str">
        <f>IFERROR(__xludf.DUMMYFUNCTION("GOOGLETRANSLATE(B4297,""id"",""en"")"),"['Anyway', 'like', 'the application', 'good', 'easy', '']")</f>
        <v>['Anyway', 'like', 'the application', 'good', 'easy', '']</v>
      </c>
      <c r="D4297" s="3">
        <v>5.0</v>
      </c>
    </row>
    <row r="4298" ht="15.75" customHeight="1">
      <c r="A4298" s="1">
        <v>4603.0</v>
      </c>
      <c r="B4298" s="3" t="s">
        <v>4185</v>
      </c>
      <c r="C4298" s="3" t="str">
        <f>IFERROR(__xludf.DUMMYFUNCTION("GOOGLETRANSLATE(B4298,""id"",""en"")"),"['hopefully', 'gift', 'Telkomsel']")</f>
        <v>['hopefully', 'gift', 'Telkomsel']</v>
      </c>
      <c r="D4298" s="3">
        <v>5.0</v>
      </c>
    </row>
    <row r="4299" ht="15.75" customHeight="1">
      <c r="A4299" s="1">
        <v>4604.0</v>
      </c>
      <c r="B4299" s="3" t="s">
        <v>4186</v>
      </c>
      <c r="C4299" s="3" t="str">
        <f>IFERROR(__xludf.DUMMYFUNCTION("GOOGLETRANSLATE(B4299,""id"",""en"")"),"['App', 'Good']")</f>
        <v>['App', 'Good']</v>
      </c>
      <c r="D4299" s="3">
        <v>5.0</v>
      </c>
    </row>
    <row r="4300" ht="15.75" customHeight="1">
      <c r="A4300" s="1">
        <v>4605.0</v>
      </c>
      <c r="B4300" s="3" t="s">
        <v>4187</v>
      </c>
      <c r="C4300" s="3" t="str">
        <f>IFERROR(__xludf.DUMMYFUNCTION("GOOGLETRANSLATE(B4300,""id"",""en"")"),"['quota', 'internet', 'separated', 'separated', 'uses', 'quota', 'main', 'quota', 'chat', 'thank', 'love']")</f>
        <v>['quota', 'internet', 'separated', 'separated', 'uses', 'quota', 'main', 'quota', 'chat', 'thank', 'love']</v>
      </c>
      <c r="D4300" s="3">
        <v>5.0</v>
      </c>
    </row>
    <row r="4301" ht="15.75" customHeight="1">
      <c r="A4301" s="1">
        <v>4606.0</v>
      </c>
      <c r="B4301" s="3" t="s">
        <v>4188</v>
      </c>
      <c r="C4301" s="3" t="str">
        <f>IFERROR(__xludf.DUMMYFUNCTION("GOOGLETRANSLATE(B4301,""id"",""en"")"),"['hope', 'tmbh', 'developed', 'adjust', 'dngn', 'era', 'fix', 'labuan', 'bajo']")</f>
        <v>['hope', 'tmbh', 'developed', 'adjust', 'dngn', 'era', 'fix', 'labuan', 'bajo']</v>
      </c>
      <c r="D4301" s="3">
        <v>3.0</v>
      </c>
    </row>
    <row r="4302" ht="15.75" customHeight="1">
      <c r="A4302" s="1">
        <v>4607.0</v>
      </c>
      <c r="B4302" s="3" t="s">
        <v>4189</v>
      </c>
      <c r="C4302" s="3" t="str">
        <f>IFERROR(__xludf.DUMMYFUNCTION("GOOGLETRANSLATE(B4302,""id"",""en"")"),"['Easy', 'Ribet', '']")</f>
        <v>['Easy', 'Ribet', '']</v>
      </c>
      <c r="D4302" s="3">
        <v>5.0</v>
      </c>
    </row>
    <row r="4303" ht="15.75" customHeight="1">
      <c r="A4303" s="1">
        <v>4608.0</v>
      </c>
      <c r="B4303" s="3" t="s">
        <v>4190</v>
      </c>
      <c r="C4303" s="3" t="str">
        <f>IFERROR(__xludf.DUMMYFUNCTION("GOOGLETRANSLATE(B4303,""id"",""en"")"),"['Good', 'promo', 'cheap', '']")</f>
        <v>['Good', 'promo', 'cheap', '']</v>
      </c>
      <c r="D4303" s="3">
        <v>5.0</v>
      </c>
    </row>
    <row r="4304" ht="15.75" customHeight="1">
      <c r="A4304" s="1">
        <v>4609.0</v>
      </c>
      <c r="B4304" s="3" t="s">
        <v>4191</v>
      </c>
      <c r="C4304" s="3" t="str">
        <f>IFERROR(__xludf.DUMMYFUNCTION("GOOGLETRANSLATE(B4304,""id"",""en"")"),"['ugly', 'network', 'loss',' buy ',' Telkomsel ',' already ',' expensive ',' ugly ',' poor ',' big net ',' poor ',' work ',' hampered']")</f>
        <v>['ugly', 'network', 'loss',' buy ',' Telkomsel ',' already ',' expensive ',' ugly ',' poor ',' big net ',' poor ',' work ',' hampered']</v>
      </c>
      <c r="D4304" s="3">
        <v>1.0</v>
      </c>
    </row>
    <row r="4305" ht="15.75" customHeight="1">
      <c r="A4305" s="1">
        <v>4610.0</v>
      </c>
      <c r="B4305" s="3" t="s">
        <v>4192</v>
      </c>
      <c r="C4305" s="3" t="str">
        <f>IFERROR(__xludf.DUMMYFUNCTION("GOOGLETRANSLATE(B4305,""id"",""en"")"),"['Date', 'Nov', 'Through', 'Dial', 'Application', 'Credit', 'Rp', 'Buy', 'Package', 'Weekly', 'GB', 'Rp', ' Setatus', 'Credit', 'Adequate', 'Telkomsel', 'Telkomsel', 'Info', 'Hoax', 'Package', 'Weekly', 'Buy', 'GB', 'RB', 'Accessible' , 'Via', 'SMS', 'On'"&amp;", 'Package', 'Weekly', 'GB', 'RP', '']")</f>
        <v>['Date', 'Nov', 'Through', 'Dial', 'Application', 'Credit', 'Rp', 'Buy', 'Package', 'Weekly', 'GB', 'Rp', ' Setatus', 'Credit', 'Adequate', 'Telkomsel', 'Telkomsel', 'Info', 'Hoax', 'Package', 'Weekly', 'Buy', 'GB', 'RB', 'Accessible' , 'Via', 'SMS', 'On', 'Package', 'Weekly', 'GB', 'RP', '']</v>
      </c>
      <c r="D4305" s="3">
        <v>2.0</v>
      </c>
    </row>
    <row r="4306" ht="15.75" customHeight="1">
      <c r="A4306" s="1">
        <v>4612.0</v>
      </c>
      <c r="B4306" s="3" t="s">
        <v>4193</v>
      </c>
      <c r="C4306" s="3" t="str">
        <f>IFERROR(__xludf.DUMMYFUNCTION("GOOGLETRANSLATE(B4306,""id"",""en"")"),"['Out', 'ISI', 'Credit', 'Select', 'Package', 'Already', 'Out', '']")</f>
        <v>['Out', 'ISI', 'Credit', 'Select', 'Package', 'Already', 'Out', '']</v>
      </c>
      <c r="D4306" s="3">
        <v>1.0</v>
      </c>
    </row>
    <row r="4307" ht="15.75" customHeight="1">
      <c r="A4307" s="1">
        <v>4614.0</v>
      </c>
      <c r="B4307" s="3" t="s">
        <v>4194</v>
      </c>
      <c r="C4307" s="3" t="str">
        <f>IFERROR(__xludf.DUMMYFUNCTION("GOOGLETRANSLATE(B4307,""id"",""en"")"),"['application', 'ugly', 'try', 'exchange', 'get', 'quota', 'internet', 'gatherin', 'point', 'already', 'Ikt', 'cheated', ' ']")</f>
        <v>['application', 'ugly', 'try', 'exchange', 'get', 'quota', 'internet', 'gatherin', 'point', 'already', 'Ikt', 'cheated', ' ']</v>
      </c>
      <c r="D4307" s="3">
        <v>5.0</v>
      </c>
    </row>
    <row r="4308" ht="15.75" customHeight="1">
      <c r="A4308" s="1">
        <v>4615.0</v>
      </c>
      <c r="B4308" s="3" t="s">
        <v>4195</v>
      </c>
      <c r="C4308" s="3" t="str">
        <f>IFERROR(__xludf.DUMMYFUNCTION("GOOGLETRANSLATE(B4308,""id"",""en"")"),"['Please', 'Delete', 'offer', 'debt', 'credit', 'emergency', 'dizziness',' seller ',' pulse ',' buy ',' pulse ',' rb ',' Direct ',' sumps', 'debt', 'credit', 'RB', 'as a result', 'run out', 'credit', 'SMS', 'Telkomsel', 'slow', 'fight', 'customer' , '']")</f>
        <v>['Please', 'Delete', 'offer', 'debt', 'credit', 'emergency', 'dizziness',' seller ',' pulse ',' buy ',' pulse ',' rb ',' Direct ',' sumps', 'debt', 'credit', 'RB', 'as a result', 'run out', 'credit', 'SMS', 'Telkomsel', 'slow', 'fight', 'customer' , '']</v>
      </c>
      <c r="D4308" s="3">
        <v>2.0</v>
      </c>
    </row>
    <row r="4309" ht="15.75" customHeight="1">
      <c r="A4309" s="1">
        <v>4616.0</v>
      </c>
      <c r="B4309" s="3" t="s">
        <v>4196</v>
      </c>
      <c r="C4309" s="3" t="str">
        <f>IFERROR(__xludf.DUMMYFUNCTION("GOOGLETRANSLATE(B4309,""id"",""en"")"),"['Network', 'like', 'ilang', 'season', 'rain', ""]")</f>
        <v>['Network', 'like', 'ilang', 'season', 'rain', "]</v>
      </c>
      <c r="D4309" s="3">
        <v>5.0</v>
      </c>
    </row>
    <row r="4310" ht="15.75" customHeight="1">
      <c r="A4310" s="1">
        <v>4617.0</v>
      </c>
      <c r="B4310" s="3" t="s">
        <v>4197</v>
      </c>
      <c r="C4310" s="3" t="str">
        <f>IFERROR(__xludf.DUMMYFUNCTION("GOOGLETRANSLATE(B4310,""id"",""en"")"),"['buy', 'package', 'internet', 'apply', 'date', 'yesterday', 'motif', 'sms',' date ',' package ',' run out ',' How ',' until ',' Cok ']")</f>
        <v>['buy', 'package', 'internet', 'apply', 'date', 'yesterday', 'motif', 'sms',' date ',' package ',' run out ',' How ',' until ',' Cok ']</v>
      </c>
      <c r="D4310" s="3">
        <v>1.0</v>
      </c>
    </row>
    <row r="4311" ht="15.75" customHeight="1">
      <c r="A4311" s="1">
        <v>4618.0</v>
      </c>
      <c r="B4311" s="3" t="s">
        <v>4198</v>
      </c>
      <c r="C4311" s="3" t="str">
        <f>IFERROR(__xludf.DUMMYFUNCTION("GOOGLETRANSLATE(B4311,""id"",""en"")"),"['application', 'good', 'help', ""]")</f>
        <v>['application', 'good', 'help', "]</v>
      </c>
      <c r="D4311" s="3">
        <v>5.0</v>
      </c>
    </row>
    <row r="4312" ht="15.75" customHeight="1">
      <c r="A4312" s="1">
        <v>4619.0</v>
      </c>
      <c r="B4312" s="3" t="s">
        <v>4199</v>
      </c>
      <c r="C4312" s="3" t="str">
        <f>IFERROR(__xludf.DUMMYFUNCTION("GOOGLETRANSLATE(B4312,""id"",""en"")"),"['Severe', 'Signal', 'Telkomsel', 'Dlu', 'Where', 'Signal', 'Mantabb', 'Skarang', 'Severe', 'Very']")</f>
        <v>['Severe', 'Signal', 'Telkomsel', 'Dlu', 'Where', 'Signal', 'Mantabb', 'Skarang', 'Severe', 'Very']</v>
      </c>
      <c r="D4312" s="3">
        <v>1.0</v>
      </c>
    </row>
    <row r="4313" ht="15.75" customHeight="1">
      <c r="A4313" s="1">
        <v>4621.0</v>
      </c>
      <c r="B4313" s="3" t="s">
        <v>4200</v>
      </c>
      <c r="C4313" s="3" t="str">
        <f>IFERROR(__xludf.DUMMYFUNCTION("GOOGLETRANSLATE(B4313,""id"",""en"")"),"['Signal', 'Region', 'Bandar', 'Kedung', 'Mulyo', 'Jombang']")</f>
        <v>['Signal', 'Region', 'Bandar', 'Kedung', 'Mulyo', 'Jombang']</v>
      </c>
      <c r="D4313" s="3">
        <v>5.0</v>
      </c>
    </row>
    <row r="4314" ht="15.75" customHeight="1">
      <c r="A4314" s="1">
        <v>4622.0</v>
      </c>
      <c r="B4314" s="3" t="s">
        <v>4201</v>
      </c>
      <c r="C4314" s="3" t="str">
        <f>IFERROR(__xludf.DUMMYFUNCTION("GOOGLETRANSLATE(B4314,""id"",""en"")"),"['signal', 'please', 'fix', 'ngelag', 'truss', 'knp', 'good', 'ngelag']")</f>
        <v>['signal', 'please', 'fix', 'ngelag', 'truss', 'knp', 'good', 'ngelag']</v>
      </c>
      <c r="D4314" s="3">
        <v>1.0</v>
      </c>
    </row>
    <row r="4315" ht="15.75" customHeight="1">
      <c r="A4315" s="1">
        <v>4623.0</v>
      </c>
      <c r="B4315" s="3" t="s">
        <v>4202</v>
      </c>
      <c r="C4315" s="3" t="str">
        <f>IFERROR(__xludf.DUMMYFUNCTION("GOOGLETRANSLATE(B4315,""id"",""en"")"),"['Hopefully', 'Amanah']")</f>
        <v>['Hopefully', 'Amanah']</v>
      </c>
      <c r="D4315" s="3">
        <v>5.0</v>
      </c>
    </row>
    <row r="4316" ht="15.75" customHeight="1">
      <c r="A4316" s="1">
        <v>4624.0</v>
      </c>
      <c r="B4316" s="3" t="s">
        <v>4203</v>
      </c>
      <c r="C4316" s="3" t="str">
        <f>IFERROR(__xludf.DUMMYFUNCTION("GOOGLETRANSLATE(B4316,""id"",""en"")"),"['Good', 'match', 'DOandload']")</f>
        <v>['Good', 'match', 'DOandload']</v>
      </c>
      <c r="D4316" s="3">
        <v>5.0</v>
      </c>
    </row>
    <row r="4317" ht="15.75" customHeight="1">
      <c r="A4317" s="1">
        <v>4625.0</v>
      </c>
      <c r="B4317" s="3" t="s">
        <v>4204</v>
      </c>
      <c r="C4317" s="3" t="str">
        <f>IFERROR(__xludf.DUMMYFUNCTION("GOOGLETRANSLATE(B4317,""id"",""en"")"),"['easy', 'buy', 'package', 'application', 'thank', 'love', 'Telkomsel']")</f>
        <v>['easy', 'buy', 'package', 'application', 'thank', 'love', 'Telkomsel']</v>
      </c>
      <c r="D4317" s="3">
        <v>5.0</v>
      </c>
    </row>
    <row r="4318" ht="15.75" customHeight="1">
      <c r="A4318" s="1">
        <v>4626.0</v>
      </c>
      <c r="B4318" s="3" t="s">
        <v>4205</v>
      </c>
      <c r="C4318" s="3" t="str">
        <f>IFERROR(__xludf.DUMMYFUNCTION("GOOGLETRANSLATE(B4318,""id"",""en"")"),"['Information', 'Mantab', 'MyTelkomsel', '']")</f>
        <v>['Information', 'Mantab', 'MyTelkomsel', '']</v>
      </c>
      <c r="D4318" s="3">
        <v>5.0</v>
      </c>
    </row>
    <row r="4319" ht="15.75" customHeight="1">
      <c r="A4319" s="1">
        <v>4627.0</v>
      </c>
      <c r="B4319" s="3" t="s">
        <v>4206</v>
      </c>
      <c r="C4319" s="3" t="str">
        <f>IFERROR(__xludf.DUMMYFUNCTION("GOOGLETRANSLATE(B4319,""id"",""en"")"),"['easy', 'use', 'monitor', 'pulse', 'data']")</f>
        <v>['easy', 'use', 'monitor', 'pulse', 'data']</v>
      </c>
      <c r="D4319" s="3">
        <v>5.0</v>
      </c>
    </row>
    <row r="4320" ht="15.75" customHeight="1">
      <c r="A4320" s="1">
        <v>4628.0</v>
      </c>
      <c r="B4320" s="3" t="s">
        <v>4207</v>
      </c>
      <c r="C4320" s="3" t="str">
        <f>IFERROR(__xludf.DUMMYFUNCTION("GOOGLETRANSLATE(B4320,""id"",""en"")"),"['contents', 'pulse', 'direct', 'sumps', 'how', 'want', 'buy', 'quota', 'pulse', 'run out', '']")</f>
        <v>['contents', 'pulse', 'direct', 'sumps', 'how', 'want', 'buy', 'quota', 'pulse', 'run out', '']</v>
      </c>
      <c r="D4320" s="3">
        <v>1.0</v>
      </c>
    </row>
    <row r="4321" ht="15.75" customHeight="1">
      <c r="A4321" s="1">
        <v>4629.0</v>
      </c>
      <c r="B4321" s="3" t="s">
        <v>4208</v>
      </c>
      <c r="C4321" s="3" t="str">
        <f>IFERROR(__xludf.DUMMYFUNCTION("GOOGLETRANSLATE(B4321,""id"",""en"")"),"['The app', 'good', 'cmn', 'signal', 'no "",' dekenceng ',' buy ',' package ',' notif ',' disorder ',' system ',' plus ',' Where ',' ilangkan ',' package ',' bln ', ""]")</f>
        <v>['The app', 'good', 'cmn', 'signal', 'no ",' dekenceng ',' buy ',' package ',' notif ',' disorder ',' system ',' plus ',' Where ',' ilangkan ',' package ',' bln ', "]</v>
      </c>
      <c r="D4321" s="3">
        <v>4.0</v>
      </c>
    </row>
    <row r="4322" ht="15.75" customHeight="1">
      <c r="A4322" s="1">
        <v>4630.0</v>
      </c>
      <c r="B4322" s="3" t="s">
        <v>4209</v>
      </c>
      <c r="C4322" s="3" t="str">
        <f>IFERROR(__xludf.DUMMYFUNCTION("GOOGLETRANSLATE(B4322,""id"",""en"")"),"['Nice', 'application', 'Alhamdulillah', '']")</f>
        <v>['Nice', 'application', 'Alhamdulillah', '']</v>
      </c>
      <c r="D4322" s="3">
        <v>4.0</v>
      </c>
    </row>
    <row r="4323" ht="15.75" customHeight="1">
      <c r="A4323" s="1">
        <v>4631.0</v>
      </c>
      <c r="B4323" s="3" t="s">
        <v>4210</v>
      </c>
      <c r="C4323" s="3" t="str">
        <f>IFERROR(__xludf.DUMMYFUNCTION("GOOGLETRANSLATE(B4323,""id"",""en"")"),"['Subsequent']")</f>
        <v>['Subsequent']</v>
      </c>
      <c r="D4323" s="3">
        <v>4.0</v>
      </c>
    </row>
    <row r="4324" ht="15.75" customHeight="1">
      <c r="A4324" s="1">
        <v>4632.0</v>
      </c>
      <c r="B4324" s="3" t="s">
        <v>4211</v>
      </c>
      <c r="C4324" s="3" t="str">
        <f>IFERROR(__xludf.DUMMYFUNCTION("GOOGLETRANSLATE(B4324,""id"",""en"")"),"['Cool', 'It's easy', 'really', ""]")</f>
        <v>['Cool', 'It's easy', 'really', "]</v>
      </c>
      <c r="D4324" s="3">
        <v>5.0</v>
      </c>
    </row>
    <row r="4325" ht="15.75" customHeight="1">
      <c r="A4325" s="1">
        <v>4633.0</v>
      </c>
      <c r="B4325" s="3" t="s">
        <v>4212</v>
      </c>
      <c r="C4325" s="3" t="str">
        <f>IFERROR(__xludf.DUMMYFUNCTION("GOOGLETRANSLATE(B4325,""id"",""en"")"),"['easy', 'good']")</f>
        <v>['easy', 'good']</v>
      </c>
      <c r="D4325" s="3">
        <v>5.0</v>
      </c>
    </row>
    <row r="4326" ht="15.75" customHeight="1">
      <c r="A4326" s="1">
        <v>4634.0</v>
      </c>
      <c r="B4326" s="3" t="s">
        <v>4213</v>
      </c>
      <c r="C4326" s="3" t="str">
        <f>IFERROR(__xludf.DUMMYFUNCTION("GOOGLETRANSLATE(B4326,""id"",""en"")"),"['Package', 'Sometimes', 'Changed', 'appears', ""]")</f>
        <v>['Package', 'Sometimes', 'Changed', 'appears', "]</v>
      </c>
      <c r="D4326" s="3">
        <v>5.0</v>
      </c>
    </row>
    <row r="4327" ht="15.75" customHeight="1">
      <c r="A4327" s="1">
        <v>4635.0</v>
      </c>
      <c r="B4327" s="3" t="s">
        <v>4214</v>
      </c>
      <c r="C4327" s="3" t="str">
        <f>IFERROR(__xludf.DUMMYFUNCTION("GOOGLETRANSLATE(B4327,""id"",""en"")"),"['Good', 'Mejangmuda', 'access']")</f>
        <v>['Good', 'Mejangmuda', 'access']</v>
      </c>
      <c r="D4327" s="3">
        <v>5.0</v>
      </c>
    </row>
    <row r="4328" ht="15.75" customHeight="1">
      <c r="A4328" s="1">
        <v>4636.0</v>
      </c>
      <c r="B4328" s="3" t="s">
        <v>4215</v>
      </c>
      <c r="C4328" s="3" t="str">
        <f>IFERROR(__xludf.DUMMYFUNCTION("GOOGLETRANSLATE(B4328,""id"",""en"")"),"['Please', 'Quality', 'Signal', 'Keep', 'Rich', 'Gini', 'Mending', 'Indosat']")</f>
        <v>['Please', 'Quality', 'Signal', 'Keep', 'Rich', 'Gini', 'Mending', 'Indosat']</v>
      </c>
      <c r="D4328" s="3">
        <v>1.0</v>
      </c>
    </row>
    <row r="4329" ht="15.75" customHeight="1">
      <c r="A4329" s="1">
        <v>4637.0</v>
      </c>
      <c r="B4329" s="3" t="s">
        <v>4216</v>
      </c>
      <c r="C4329" s="3" t="str">
        <f>IFERROR(__xludf.DUMMYFUNCTION("GOOGLETRANSLATE(B4329,""id"",""en"")"),"['Love', 'lbih', 'cheap', 'ksih', '']")</f>
        <v>['Love', 'lbih', 'cheap', 'ksih', '']</v>
      </c>
      <c r="D4329" s="3">
        <v>3.0</v>
      </c>
    </row>
    <row r="4330" ht="15.75" customHeight="1">
      <c r="A4330" s="1">
        <v>4638.0</v>
      </c>
      <c r="B4330" s="3" t="s">
        <v>4217</v>
      </c>
      <c r="C4330" s="3" t="str">
        <f>IFERROR(__xludf.DUMMYFUNCTION("GOOGLETRANSLATE(B4330,""id"",""en"")"),"['bother', 'buy', 'package', 'subscribe']]")</f>
        <v>['bother', 'buy', 'package', 'subscribe']]</v>
      </c>
      <c r="D4330" s="3">
        <v>2.0</v>
      </c>
    </row>
    <row r="4331" ht="15.75" customHeight="1">
      <c r="A4331" s="1">
        <v>4639.0</v>
      </c>
      <c r="B4331" s="3" t="s">
        <v>4218</v>
      </c>
      <c r="C4331" s="3" t="str">
        <f>IFERROR(__xludf.DUMMYFUNCTION("GOOGLETRANSLATE(B4331,""id"",""en"")"),"['Transaction', 'easy', 'simple']")</f>
        <v>['Transaction', 'easy', 'simple']</v>
      </c>
      <c r="D4331" s="3">
        <v>5.0</v>
      </c>
    </row>
    <row r="4332" ht="15.75" customHeight="1">
      <c r="A4332" s="1">
        <v>4640.0</v>
      </c>
      <c r="B4332" s="3" t="s">
        <v>4219</v>
      </c>
      <c r="C4332" s="3" t="str">
        <f>IFERROR(__xludf.DUMMYFUNCTION("GOOGLETRANSLATE(B4332,""id"",""en"")"),"['Telkomsel', 'buy', 'package', 'internet', 'price', 'expensive', 'really', 'try', 'rich', 'cheap', 'cheap', 'please', ' Deliycekin ',' Restricted ',' Thank you ', ""]")</f>
        <v>['Telkomsel', 'buy', 'package', 'internet', 'price', 'expensive', 'really', 'try', 'rich', 'cheap', 'cheap', 'please', ' Deliycekin ',' Restricted ',' Thank you ', "]</v>
      </c>
      <c r="D4332" s="3">
        <v>1.0</v>
      </c>
    </row>
    <row r="4333" ht="15.75" customHeight="1">
      <c r="A4333" s="1">
        <v>4641.0</v>
      </c>
      <c r="B4333" s="3" t="s">
        <v>4220</v>
      </c>
      <c r="C4333" s="3" t="str">
        <f>IFERROR(__xludf.DUMMYFUNCTION("GOOGLETRANSLATE(B4333,""id"",""en"")"),"['application', 'sometimes', 'stop', 'quota', 'daily', 'check', 'access', 'internet', 'non', 'package', 'pulses', 'reduced']")</f>
        <v>['application', 'sometimes', 'stop', 'quota', 'daily', 'check', 'access', 'internet', 'non', 'package', 'pulses', 'reduced']</v>
      </c>
      <c r="D4333" s="3">
        <v>1.0</v>
      </c>
    </row>
    <row r="4334" ht="15.75" customHeight="1">
      <c r="A4334" s="1">
        <v>4642.0</v>
      </c>
      <c r="B4334" s="3" t="s">
        <v>4221</v>
      </c>
      <c r="C4334" s="3" t="str">
        <f>IFERROR(__xludf.DUMMYFUNCTION("GOOGLETRANSLATE(B4334,""id"",""en"")"),"['Severe', 'really', 'network', 'Yach', 'Lola', 'expensive']")</f>
        <v>['Severe', 'really', 'network', 'Yach', 'Lola', 'expensive']</v>
      </c>
      <c r="D4334" s="3">
        <v>1.0</v>
      </c>
    </row>
    <row r="4335" ht="15.75" customHeight="1">
      <c r="A4335" s="1">
        <v>4643.0</v>
      </c>
      <c r="B4335" s="3" t="s">
        <v>4222</v>
      </c>
      <c r="C4335" s="3" t="str">
        <f>IFERROR(__xludf.DUMMYFUNCTION("GOOGLETRANSLATE(B4335,""id"",""en"")"),"['Bru', 'try', 'nie']")</f>
        <v>['Bru', 'try', 'nie']</v>
      </c>
      <c r="D4335" s="3">
        <v>4.0</v>
      </c>
    </row>
    <row r="4336" ht="15.75" customHeight="1">
      <c r="A4336" s="1">
        <v>4644.0</v>
      </c>
      <c r="B4336" s="3" t="s">
        <v>4223</v>
      </c>
      <c r="C4336" s="3" t="str">
        <f>IFERROR(__xludf.DUMMYFUNCTION("GOOGLETRANSLATE(B4336,""id"",""en"")"),"['Huuuh', 'slow', 'open', 'APK', 'signal', 'ugly']")</f>
        <v>['Huuuh', 'slow', 'open', 'APK', 'signal', 'ugly']</v>
      </c>
      <c r="D4336" s="3">
        <v>1.0</v>
      </c>
    </row>
    <row r="4337" ht="15.75" customHeight="1">
      <c r="A4337" s="1">
        <v>4645.0</v>
      </c>
      <c r="B4337" s="3" t="s">
        <v>4224</v>
      </c>
      <c r="C4337" s="3" t="str">
        <f>IFERROR(__xludf.DUMMYFUNCTION("GOOGLETRANSLATE(B4337,""id"",""en"")"),"['pulse', 'gada', 'data', 'ilang', 'Hadehh']")</f>
        <v>['pulse', 'gada', 'data', 'ilang', 'Hadehh']</v>
      </c>
      <c r="D4337" s="3">
        <v>1.0</v>
      </c>
    </row>
    <row r="4338" ht="15.75" customHeight="1">
      <c r="A4338" s="1">
        <v>4646.0</v>
      </c>
      <c r="B4338" s="3" t="s">
        <v>4225</v>
      </c>
      <c r="C4338" s="3" t="str">
        <f>IFERROR(__xludf.DUMMYFUNCTION("GOOGLETRANSLATE(B4338,""id"",""en"")"),"['Price', 'Quality', 'Low', 'Disappointed', 'Network', 'Telkomsel']")</f>
        <v>['Price', 'Quality', 'Low', 'Disappointed', 'Network', 'Telkomsel']</v>
      </c>
      <c r="D4338" s="3">
        <v>1.0</v>
      </c>
    </row>
    <row r="4339" ht="15.75" customHeight="1">
      <c r="A4339" s="1">
        <v>4647.0</v>
      </c>
      <c r="B4339" s="3" t="s">
        <v>4226</v>
      </c>
      <c r="C4339" s="3" t="str">
        <f>IFERROR(__xludf.DUMMYFUNCTION("GOOGLETRANSLATE(B4339,""id"",""en"")"),"['price', 'package', 'expensive', 'network', 'strange', 'ilang', 'expensive', 'network', 'mess']")</f>
        <v>['price', 'package', 'expensive', 'network', 'strange', 'ilang', 'expensive', 'network', 'mess']</v>
      </c>
      <c r="D4339" s="3">
        <v>1.0</v>
      </c>
    </row>
    <row r="4340" ht="15.75" customHeight="1">
      <c r="A4340" s="1">
        <v>4648.0</v>
      </c>
      <c r="B4340" s="3" t="s">
        <v>4227</v>
      </c>
      <c r="C4340" s="3" t="str">
        <f>IFERROR(__xludf.DUMMYFUNCTION("GOOGLETRANSLATE(B4340,""id"",""en"")"),"['My APK', 'Good']")</f>
        <v>['My APK', 'Good']</v>
      </c>
      <c r="D4340" s="3">
        <v>5.0</v>
      </c>
    </row>
    <row r="4341" ht="15.75" customHeight="1">
      <c r="A4341" s="1">
        <v>4649.0</v>
      </c>
      <c r="B4341" s="3" t="s">
        <v>4228</v>
      </c>
      <c r="C4341" s="3" t="str">
        <f>IFERROR(__xludf.DUMMYFUNCTION("GOOGLETRANSLATE(B4341,""id"",""en"")"),"['installed', 'update', 'koq', 'open', 'how', 'told', 'update', 'sdk', 'click', 'open', '']")</f>
        <v>['installed', 'update', 'koq', 'open', 'how', 'told', 'update', 'sdk', 'click', 'open', '']</v>
      </c>
      <c r="D4341" s="3">
        <v>2.0</v>
      </c>
    </row>
    <row r="4342" ht="15.75" customHeight="1">
      <c r="A4342" s="1">
        <v>4650.0</v>
      </c>
      <c r="B4342" s="3" t="s">
        <v>4229</v>
      </c>
      <c r="C4342" s="3" t="str">
        <f>IFERROR(__xludf.DUMMYFUNCTION("GOOGLETRANSLATE(B4342,""id"",""en"")"),"['Network', 'bad', 'package', 'GB', 'Cook', 'open', 'Google', 'slow', 'error', 'network', 'operator', 'IM', ' network ',' price ',' package ',' promises']")</f>
        <v>['Network', 'bad', 'package', 'GB', 'Cook', 'open', 'Google', 'slow', 'error', 'network', 'operator', 'IM', ' network ',' price ',' package ',' promises']</v>
      </c>
      <c r="D4342" s="3">
        <v>1.0</v>
      </c>
    </row>
    <row r="4343" ht="15.75" customHeight="1">
      <c r="A4343" s="1">
        <v>4651.0</v>
      </c>
      <c r="B4343" s="3" t="s">
        <v>4230</v>
      </c>
      <c r="C4343" s="3" t="str">
        <f>IFERROR(__xludf.DUMMYFUNCTION("GOOGLETRANSLATE(B4343,""id"",""en"")"),"['Update', 'Software', 'Android', 'Version', 'Google', 'Pixel', 'Application', 'Telkomsel', 'Open', 'Try', 'Uninstall', 'Install', ' reset ',' Download ']")</f>
        <v>['Update', 'Software', 'Android', 'Version', 'Google', 'Pixel', 'Application', 'Telkomsel', 'Open', 'Try', 'Uninstall', 'Install', ' reset ',' Download ']</v>
      </c>
      <c r="D4343" s="3">
        <v>2.0</v>
      </c>
    </row>
    <row r="4344" ht="15.75" customHeight="1">
      <c r="A4344" s="1">
        <v>4652.0</v>
      </c>
      <c r="B4344" s="3" t="s">
        <v>4231</v>
      </c>
      <c r="C4344" s="3" t="str">
        <f>IFERROR(__xludf.DUMMYFUNCTION("GOOGLETRANSLATE(B4344,""id"",""en"")"),"['Time', 'use', 'Telkomsel', 'Good', 'Speed', 'ugly', 'good', 'area', 'Baureno', 'Bojonegoro']")</f>
        <v>['Time', 'use', 'Telkomsel', 'Good', 'Speed', 'ugly', 'good', 'area', 'Baureno', 'Bojonegoro']</v>
      </c>
      <c r="D4344" s="3">
        <v>1.0</v>
      </c>
    </row>
    <row r="4345" ht="15.75" customHeight="1">
      <c r="A4345" s="1">
        <v>4653.0</v>
      </c>
      <c r="B4345" s="3" t="s">
        <v>4232</v>
      </c>
      <c r="C4345" s="3" t="str">
        <f>IFERROR(__xludf.DUMMYFUNCTION("GOOGLETRANSLATE(B4345,""id"",""en"")"),"['Application', 'GBLOG', 'LEMOT', 'Discard', 'Efficient', 'Data', 'Road', 'Speed', 'Mbps',' Rich ',' Download ',' Kelon ',' Open ',' really ',' fix ',' ']")</f>
        <v>['Application', 'GBLOG', 'LEMOT', 'Discard', 'Efficient', 'Data', 'Road', 'Speed', 'Mbps',' Rich ',' Download ',' Kelon ',' Open ',' really ',' fix ',' ']</v>
      </c>
      <c r="D4345" s="3">
        <v>1.0</v>
      </c>
    </row>
    <row r="4346" ht="15.75" customHeight="1">
      <c r="A4346" s="1">
        <v>4654.0</v>
      </c>
      <c r="B4346" s="3" t="s">
        <v>4233</v>
      </c>
      <c r="C4346" s="3" t="str">
        <f>IFERROR(__xludf.DUMMYFUNCTION("GOOGLETRANSLATE(B4346,""id"",""en"")"),"['Good', 'TPI', 'like', 'sucked', 'pls',' gmana ',' quota ',' get ',' sms', 'trs',' sdg ',' access', ' internet ',' non ',' non ',' package ',' bought ',' bought ',' package ',' internet ',' tsel ',' tsel ',' pls', 'chick', 'star' , 'DLU', 'Blm', 'Tangaga"&amp;"apan', ""]")</f>
        <v>['Good', 'TPI', 'like', 'sucked', 'pls',' gmana ',' quota ',' get ',' sms', 'trs',' sdg ',' access', ' internet ',' non ',' non ',' package ',' bought ',' bought ',' package ',' internet ',' tsel ',' tsel ',' pls', 'chick', 'star' , 'DLU', 'Blm', 'Tangagaapan', "]</v>
      </c>
      <c r="D4346" s="3">
        <v>1.0</v>
      </c>
    </row>
    <row r="4347" ht="15.75" customHeight="1">
      <c r="A4347" s="1">
        <v>4655.0</v>
      </c>
      <c r="B4347" s="3" t="s">
        <v>4234</v>
      </c>
      <c r="C4347" s="3" t="str">
        <f>IFERROR(__xludf.DUMMYFUNCTION("GOOGLETRANSLATE(B4347,""id"",""en"")"),"['See', 'Promo', 'GB', 'pressure', 'writing', 'promo', 'found', 'intention', 'no', 'love', 'promo']")</f>
        <v>['See', 'Promo', 'GB', 'pressure', 'writing', 'promo', 'found', 'intention', 'no', 'love', 'promo']</v>
      </c>
      <c r="D4347" s="3">
        <v>2.0</v>
      </c>
    </row>
    <row r="4348" ht="15.75" customHeight="1">
      <c r="A4348" s="1">
        <v>4656.0</v>
      </c>
      <c r="B4348" s="3" t="s">
        <v>4235</v>
      </c>
      <c r="C4348" s="3" t="str">
        <f>IFERROR(__xludf.DUMMYFUNCTION("GOOGLETRANSLATE(B4348,""id"",""en"")"),"['Good', 'help', 'kdang', 'like', 'difficult', 'really', 'entry', 'application']")</f>
        <v>['Good', 'help', 'kdang', 'like', 'difficult', 'really', 'entry', 'application']</v>
      </c>
      <c r="D4348" s="3">
        <v>4.0</v>
      </c>
    </row>
    <row r="4349" ht="15.75" customHeight="1">
      <c r="A4349" s="1">
        <v>4658.0</v>
      </c>
      <c r="B4349" s="3" t="s">
        <v>4236</v>
      </c>
      <c r="C4349" s="3" t="str">
        <f>IFERROR(__xludf.DUMMYFUNCTION("GOOGLETRANSLATE(B4349,""id"",""en"")"),"['thanks',' love ',' promo ',' buy ',' kouta ',' GB ',' RB ',' love ',' promo ',' mytelkomsel ',' success', 'mytelkomsel', ' ']")</f>
        <v>['thanks',' love ',' promo ',' buy ',' kouta ',' GB ',' RB ',' love ',' promo ',' mytelkomsel ',' success', 'mytelkomsel', ' ']</v>
      </c>
      <c r="D4349" s="3">
        <v>5.0</v>
      </c>
    </row>
    <row r="4350" ht="15.75" customHeight="1">
      <c r="A4350" s="1">
        <v>4659.0</v>
      </c>
      <c r="B4350" s="3" t="s">
        <v>4237</v>
      </c>
      <c r="C4350" s="3" t="str">
        <f>IFERROR(__xludf.DUMMYFUNCTION("GOOGLETRANSLATE(B4350,""id"",""en"")"),"['Help', 'promo']")</f>
        <v>['Help', 'promo']</v>
      </c>
      <c r="D4350" s="3">
        <v>5.0</v>
      </c>
    </row>
    <row r="4351" ht="15.75" customHeight="1">
      <c r="A4351" s="1">
        <v>4660.0</v>
      </c>
      <c r="B4351" s="3" t="s">
        <v>4238</v>
      </c>
      <c r="C4351" s="3" t="str">
        <f>IFERROR(__xludf.DUMMYFUNCTION("GOOGLETRANSLATE(B4351,""id"",""en"")"),"['Times', 'Activities', 'City', 'Telkomsel', 'air']")</f>
        <v>['Times', 'Activities', 'City', 'Telkomsel', 'air']</v>
      </c>
      <c r="D4351" s="3">
        <v>4.0</v>
      </c>
    </row>
    <row r="4352" ht="15.75" customHeight="1">
      <c r="A4352" s="1">
        <v>4661.0</v>
      </c>
      <c r="B4352" s="3" t="s">
        <v>4239</v>
      </c>
      <c r="C4352" s="3" t="str">
        <f>IFERROR(__xludf.DUMMYFUNCTION("GOOGLETRANSLATE(B4352,""id"",""en"")"),"['Segini', ""]")</f>
        <v>['Segini', "]</v>
      </c>
      <c r="D4352" s="3">
        <v>3.0</v>
      </c>
    </row>
    <row r="4353" ht="15.75" customHeight="1">
      <c r="A4353" s="1">
        <v>4662.0</v>
      </c>
      <c r="B4353" s="3" t="s">
        <v>4240</v>
      </c>
      <c r="C4353" s="3" t="str">
        <f>IFERROR(__xludf.DUMMYFUNCTION("GOOGLETRANSLATE(B4353,""id"",""en"")"),"['pulse', 'buy', 'package', 'internet', 'failed', 'reason', 'pulse', 'sufficient', 'you', ""]")</f>
        <v>['pulse', 'buy', 'package', 'internet', 'failed', 'reason', 'pulse', 'sufficient', 'you', "]</v>
      </c>
      <c r="D4353" s="3">
        <v>1.0</v>
      </c>
    </row>
    <row r="4354" ht="15.75" customHeight="1">
      <c r="A4354" s="1">
        <v>4663.0</v>
      </c>
      <c r="B4354" s="3" t="s">
        <v>4241</v>
      </c>
      <c r="C4354" s="3" t="str">
        <f>IFERROR(__xludf.DUMMYFUNCTION("GOOGLETRANSLATE(B4354,""id"",""en"")"),"['Steady', 'Service', 'Kiriablbhbdi', 'Increase', 'lbh']")</f>
        <v>['Steady', 'Service', 'Kiriablbhbdi', 'Increase', 'lbh']</v>
      </c>
      <c r="D4354" s="3">
        <v>5.0</v>
      </c>
    </row>
    <row r="4355" ht="15.75" customHeight="1">
      <c r="A4355" s="1">
        <v>4664.0</v>
      </c>
      <c r="B4355" s="3" t="s">
        <v>4242</v>
      </c>
      <c r="C4355" s="3" t="str">
        <f>IFERROR(__xludf.DUMMYFUNCTION("GOOGLETRANSLATE(B4355,""id"",""en"")"),"['NGLAG', 'NGLAG', 'Network', 'Telkomsel', 'Signal', 'Fix', 'NJ', 'NG', 'Duid', 'Jan', 'Rent', 'Doang']")</f>
        <v>['NGLAG', 'NGLAG', 'Network', 'Telkomsel', 'Signal', 'Fix', 'NJ', 'NG', 'Duid', 'Jan', 'Rent', 'Doang']</v>
      </c>
      <c r="D4355" s="3">
        <v>1.0</v>
      </c>
    </row>
    <row r="4356" ht="15.75" customHeight="1">
      <c r="A4356" s="1">
        <v>4665.0</v>
      </c>
      <c r="B4356" s="3" t="s">
        <v>4243</v>
      </c>
      <c r="C4356" s="3" t="str">
        <f>IFERROR(__xludf.DUMMYFUNCTION("GOOGLETRANSLATE(B4356,""id"",""en"")"),"['Signal', 'Strong', 'Province', 'Sulawesi', 'North', 'promotion', 'promotion', 'cheap', 'pulses',' data ',' quota ',' internet ',' ']")</f>
        <v>['Signal', 'Strong', 'Province', 'Sulawesi', 'North', 'promotion', 'promotion', 'cheap', 'pulses',' data ',' quota ',' internet ',' ']</v>
      </c>
      <c r="D4356" s="3">
        <v>5.0</v>
      </c>
    </row>
    <row r="4357" ht="15.75" customHeight="1">
      <c r="A4357" s="1">
        <v>4666.0</v>
      </c>
      <c r="B4357" s="3" t="s">
        <v>4244</v>
      </c>
      <c r="C4357" s="3" t="str">
        <f>IFERROR(__xludf.DUMMYFUNCTION("GOOGLETRANSLATE(B4357,""id"",""en"")"),"['Not bad', 'Helping', 'Thanks', 'Tsel', '']")</f>
        <v>['Not bad', 'Helping', 'Thanks', 'Tsel', '']</v>
      </c>
      <c r="D4357" s="3">
        <v>3.0</v>
      </c>
    </row>
    <row r="4358" ht="15.75" customHeight="1">
      <c r="A4358" s="1">
        <v>4667.0</v>
      </c>
      <c r="B4358" s="3" t="s">
        <v>4245</v>
      </c>
      <c r="C4358" s="3" t="str">
        <f>IFERROR(__xludf.DUMMYFUNCTION("GOOGLETRANSLATE(B4358,""id"",""en"")"),"['hi', 'admin', 'application', 'Telkomsel', 'difficult', 'open', 'download', 'leftover', 'quota', 'buy', 'package', 'tlg', ' Increase ',' admin ',' ']")</f>
        <v>['hi', 'admin', 'application', 'Telkomsel', 'difficult', 'open', 'download', 'leftover', 'quota', 'buy', 'package', 'tlg', ' Increase ',' admin ',' ']</v>
      </c>
      <c r="D4358" s="3">
        <v>1.0</v>
      </c>
    </row>
    <row r="4359" ht="15.75" customHeight="1">
      <c r="A4359" s="1">
        <v>4668.0</v>
      </c>
      <c r="B4359" s="3" t="s">
        <v>4246</v>
      </c>
      <c r="C4359" s="3" t="str">
        <f>IFERROR(__xludf.DUMMYFUNCTION("GOOGLETRANSLATE(B4359,""id"",""en"")"),"['rare', 'promo', 'package']")</f>
        <v>['rare', 'promo', 'package']</v>
      </c>
      <c r="D4359" s="3">
        <v>5.0</v>
      </c>
    </row>
    <row r="4360" ht="15.75" customHeight="1">
      <c r="A4360" s="1">
        <v>4669.0</v>
      </c>
      <c r="B4360" s="3" t="s">
        <v>4247</v>
      </c>
      <c r="C4360" s="3" t="str">
        <f>IFERROR(__xludf.DUMMYFUNCTION("GOOGLETRANSLATE(B4360,""id"",""en"")"),"['Telkomsel', 'network', 'ugly', 'really', 'please', 'donk', 'fix', 'network', 'customer', 'Telkomsel', 'comfortable', 'card', ' Telkomsel ',' ']")</f>
        <v>['Telkomsel', 'network', 'ugly', 'really', 'please', 'donk', 'fix', 'network', 'customer', 'Telkomsel', 'comfortable', 'card', ' Telkomsel ',' ']</v>
      </c>
      <c r="D4360" s="3">
        <v>3.0</v>
      </c>
    </row>
    <row r="4361" ht="15.75" customHeight="1">
      <c r="A4361" s="1">
        <v>4670.0</v>
      </c>
      <c r="B4361" s="3" t="s">
        <v>4248</v>
      </c>
      <c r="C4361" s="3" t="str">
        <f>IFERROR(__xludf.DUMMYFUNCTION("GOOGLETRANSLATE(B4361,""id"",""en"")"),"['Please', 'noticed', 'at the time', 'season', 'rain', 'ketrobelan', 'trim', ""]")</f>
        <v>['Please', 'noticed', 'at the time', 'season', 'rain', 'ketrobelan', 'trim', "]</v>
      </c>
      <c r="D4361" s="3">
        <v>4.0</v>
      </c>
    </row>
    <row r="4362" ht="15.75" customHeight="1">
      <c r="A4362" s="1">
        <v>4671.0</v>
      </c>
      <c r="B4362" s="3" t="s">
        <v>4249</v>
      </c>
      <c r="C4362" s="3" t="str">
        <f>IFERROR(__xludf.DUMMYFUNCTION("GOOGLETRANSLATE(B4362,""id"",""en"")"),"['', 'Loading', 'Page', 'Sorry', 'Evilted', 'System', 'Yesterday', 'Litu', 'Min', ""]")</f>
        <v>['', 'Loading', 'Page', 'Sorry', 'Evilted', 'System', 'Yesterday', 'Litu', 'Min', "]</v>
      </c>
      <c r="D4362" s="3">
        <v>1.0</v>
      </c>
    </row>
    <row r="4363" ht="15.75" customHeight="1">
      <c r="A4363" s="1">
        <v>4672.0</v>
      </c>
      <c r="B4363" s="3" t="s">
        <v>4250</v>
      </c>
      <c r="C4363" s="3" t="str">
        <f>IFERROR(__xludf.DUMMYFUNCTION("GOOGLETRANSLATE(B4363,""id"",""en"")"),"['Disappointed', 'buy', 'quota', 'Telkomsel', 'Pay', 'Gopay', 'Gopay', 'Cut', 'quota', 'enter']")</f>
        <v>['Disappointed', 'buy', 'quota', 'Telkomsel', 'Pay', 'Gopay', 'Gopay', 'Cut', 'quota', 'enter']</v>
      </c>
      <c r="D4363" s="3">
        <v>4.0</v>
      </c>
    </row>
    <row r="4364" ht="15.75" customHeight="1">
      <c r="A4364" s="1">
        <v>4674.0</v>
      </c>
      <c r="B4364" s="3" t="s">
        <v>4251</v>
      </c>
      <c r="C4364" s="3" t="str">
        <f>IFERROR(__xludf.DUMMYFUNCTION("GOOGLETRANSLATE(B4364,""id"",""en"")"),"['', 'Ngumpuli', 'Points', 'Exchange', 'Credit', 'Paketan', 'Telkomsel', 'emng', 'card', 'stingy']")</f>
        <v>['', 'Ngumpuli', 'Points', 'Exchange', 'Credit', 'Paketan', 'Telkomsel', 'emng', 'card', 'stingy']</v>
      </c>
      <c r="D4364" s="3">
        <v>1.0</v>
      </c>
    </row>
    <row r="4365" ht="15.75" customHeight="1">
      <c r="A4365" s="1">
        <v>4675.0</v>
      </c>
      <c r="B4365" s="3" t="s">
        <v>4252</v>
      </c>
      <c r="C4365" s="3" t="str">
        <f>IFERROR(__xludf.DUMMYFUNCTION("GOOGLETRANSLATE(B4365,""id"",""en"")"),"['Steady', 'thank', 'love', 'Telkomsel']")</f>
        <v>['Steady', 'thank', 'love', 'Telkomsel']</v>
      </c>
      <c r="D4365" s="3">
        <v>5.0</v>
      </c>
    </row>
    <row r="4366" ht="15.75" customHeight="1">
      <c r="A4366" s="1">
        <v>4676.0</v>
      </c>
      <c r="B4366" s="3" t="s">
        <v>4253</v>
      </c>
      <c r="C4366" s="3" t="str">
        <f>IFERROR(__xludf.DUMMYFUNCTION("GOOGLETRANSLATE(B4366,""id"",""en"")"),"['main', 'improving', 'competitors', 'show', 'service', '']")</f>
        <v>['main', 'improving', 'competitors', 'show', 'service', '']</v>
      </c>
      <c r="D4366" s="3">
        <v>2.0</v>
      </c>
    </row>
    <row r="4367" ht="15.75" customHeight="1">
      <c r="A4367" s="1">
        <v>4677.0</v>
      </c>
      <c r="B4367" s="3" t="s">
        <v>4254</v>
      </c>
      <c r="C4367" s="3" t="str">
        <f>IFERROR(__xludf.DUMMYFUNCTION("GOOGLETRANSLATE(B4367,""id"",""en"")"),"['hopefully it works']")</f>
        <v>['hopefully it works']</v>
      </c>
      <c r="D4367" s="3">
        <v>5.0</v>
      </c>
    </row>
    <row r="4368" ht="15.75" customHeight="1">
      <c r="A4368" s="1">
        <v>4678.0</v>
      </c>
      <c r="B4368" s="3" t="s">
        <v>4255</v>
      </c>
      <c r="C4368" s="3" t="str">
        <f>IFERROR(__xludf.DUMMYFUNCTION("GOOGLETRANSLATE(B4368,""id"",""en"")"),"['star', 'Telkomsel', 'anjjj', 'ng', 'already', 'money', 'package', 'use', 'chat', 'response', ""]")</f>
        <v>['star', 'Telkomsel', 'anjjj', 'ng', 'already', 'money', 'package', 'use', 'chat', 'response', "]</v>
      </c>
      <c r="D4368" s="3">
        <v>1.0</v>
      </c>
    </row>
    <row r="4369" ht="15.75" customHeight="1">
      <c r="A4369" s="1">
        <v>4679.0</v>
      </c>
      <c r="B4369" s="3" t="s">
        <v>4256</v>
      </c>
      <c r="C4369" s="3" t="str">
        <f>IFERROR(__xludf.DUMMYFUNCTION("GOOGLETRANSLATE(B4369,""id"",""en"")"),"['Price', 'Package', 'Data', 'Telkomsel', 'Expensive']")</f>
        <v>['Price', 'Package', 'Data', 'Telkomsel', 'Expensive']</v>
      </c>
      <c r="D4369" s="3">
        <v>3.0</v>
      </c>
    </row>
    <row r="4370" ht="15.75" customHeight="1">
      <c r="A4370" s="1">
        <v>4680.0</v>
      </c>
      <c r="B4370" s="3" t="s">
        <v>4257</v>
      </c>
      <c r="C4370" s="3" t="str">
        <f>IFERROR(__xludf.DUMMYFUNCTION("GOOGLETRANSLATE(B4370,""id"",""en"")"),"['', 'Telkomsel', 'steady', 'steady']")</f>
        <v>['', 'Telkomsel', 'steady', 'steady']</v>
      </c>
      <c r="D4370" s="3">
        <v>5.0</v>
      </c>
    </row>
    <row r="4371" ht="15.75" customHeight="1">
      <c r="A4371" s="1">
        <v>4681.0</v>
      </c>
      <c r="B4371" s="3" t="s">
        <v>4258</v>
      </c>
      <c r="C4371" s="3" t="str">
        <f>IFERROR(__xludf.DUMMYFUNCTION("GOOGLETRANSLATE(B4371,""id"",""en"")"),"['Steady', 'quality']")</f>
        <v>['Steady', 'quality']</v>
      </c>
      <c r="D4371" s="3">
        <v>5.0</v>
      </c>
    </row>
    <row r="4372" ht="15.75" customHeight="1">
      <c r="A4372" s="1">
        <v>4682.0</v>
      </c>
      <c r="B4372" s="3" t="s">
        <v>4259</v>
      </c>
      <c r="C4372" s="3" t="str">
        <f>IFERROR(__xludf.DUMMYFUNCTION("GOOGLETRANSLATE(B4372,""id"",""en"")"),"['Telkomsel', 'good', 'service']")</f>
        <v>['Telkomsel', 'good', 'service']</v>
      </c>
      <c r="D4372" s="3">
        <v>5.0</v>
      </c>
    </row>
    <row r="4373" ht="15.75" customHeight="1">
      <c r="A4373" s="1">
        <v>4683.0</v>
      </c>
      <c r="B4373" s="3" t="s">
        <v>4260</v>
      </c>
      <c r="C4373" s="3" t="str">
        <f>IFERROR(__xludf.DUMMYFUNCTION("GOOGLETRANSLATE(B4373,""id"",""en"")"),"['special']")</f>
        <v>['special']</v>
      </c>
      <c r="D4373" s="3">
        <v>4.0</v>
      </c>
    </row>
    <row r="4374" ht="15.75" customHeight="1">
      <c r="A4374" s="1">
        <v>4684.0</v>
      </c>
      <c r="B4374" s="3" t="s">
        <v>4261</v>
      </c>
      <c r="C4374" s="3" t="str">
        <f>IFERROR(__xludf.DUMMYFUNCTION("GOOGLETRANSLATE(B4374,""id"",""en"")"),"['Miskiness', 'publication', 'pulse', 'quota']")</f>
        <v>['Miskiness', 'publication', 'pulse', 'quota']</v>
      </c>
      <c r="D4374" s="3">
        <v>5.0</v>
      </c>
    </row>
    <row r="4375" ht="15.75" customHeight="1">
      <c r="A4375" s="1">
        <v>4685.0</v>
      </c>
      <c r="B4375" s="3" t="s">
        <v>4262</v>
      </c>
      <c r="C4375" s="3" t="str">
        <f>IFERROR(__xludf.DUMMYFUNCTION("GOOGLETRANSLATE(B4375,""id"",""en"")"),"['exchanges', 'Points', 'Credit', 'Telkomsel']")</f>
        <v>['exchanges', 'Points', 'Credit', 'Telkomsel']</v>
      </c>
      <c r="D4375" s="3">
        <v>1.0</v>
      </c>
    </row>
    <row r="4376" ht="15.75" customHeight="1">
      <c r="A4376" s="1">
        <v>4686.0</v>
      </c>
      <c r="B4376" s="3" t="s">
        <v>4263</v>
      </c>
      <c r="C4376" s="3" t="str">
        <f>IFERROR(__xludf.DUMMYFUNCTION("GOOGLETRANSLATE(B4376,""id"",""en"")"),"['repaired', 'kek', 'package', 'gamemax', 'telkom', 'cook', 'package', 'game', 'no', 'game', 'just', 'login', ' ']")</f>
        <v>['repaired', 'kek', 'package', 'gamemax', 'telkom', 'cook', 'package', 'game', 'no', 'game', 'just', 'login', ' ']</v>
      </c>
      <c r="D4376" s="3">
        <v>1.0</v>
      </c>
    </row>
    <row r="4377" ht="15.75" customHeight="1">
      <c r="A4377" s="1">
        <v>4688.0</v>
      </c>
      <c r="B4377" s="3" t="s">
        <v>4264</v>
      </c>
      <c r="C4377" s="3" t="str">
        <f>IFERROR(__xludf.DUMMYFUNCTION("GOOGLETRANSLATE(B4377,""id"",""en"")"),"['card', 'expensive', 'network', 'ilang', 'Nilagan', 'maketin', 'difficult', 'connection', 'tlol']")</f>
        <v>['card', 'expensive', 'network', 'ilang', 'Nilagan', 'maketin', 'difficult', 'connection', 'tlol']</v>
      </c>
      <c r="D4377" s="3">
        <v>1.0</v>
      </c>
    </row>
    <row r="4378" ht="15.75" customHeight="1">
      <c r="A4378" s="1">
        <v>4689.0</v>
      </c>
      <c r="B4378" s="3" t="s">
        <v>4265</v>
      </c>
      <c r="C4378" s="3" t="str">
        <f>IFERROR(__xludf.DUMMYFUNCTION("GOOGLETRANSLATE(B4378,""id"",""en"")"),"['', 'APK']")</f>
        <v>['', 'APK']</v>
      </c>
      <c r="D4378" s="3">
        <v>4.0</v>
      </c>
    </row>
    <row r="4379" ht="15.75" customHeight="1">
      <c r="A4379" s="1">
        <v>4690.0</v>
      </c>
      <c r="B4379" s="3" t="s">
        <v>4266</v>
      </c>
      <c r="C4379" s="3" t="str">
        <f>IFERROR(__xludf.DUMMYFUNCTION("GOOGLETRANSLATE(B4379,""id"",""en"")"),"['Application', 'Meras',' Credit ',' People ',' Credit ',' Hangus', 'Purchase', 'Whatever', 'Quotes',' Expensive ',' Expensive ',' Really ',' Claims', 'bonus',' use ',' pulse ',' pulses', 'key', 'kepakai', 'intentionally', 'suggestion', 'sediain', 'featur"&amp;"es',' key ',' pulse ' , 'pulses', 'kepakai', 'deliberate']")</f>
        <v>['Application', 'Meras',' Credit ',' People ',' Credit ',' Hangus', 'Purchase', 'Whatever', 'Quotes',' Expensive ',' Expensive ',' Really ',' Claims', 'bonus',' use ',' pulse ',' pulses', 'key', 'kepakai', 'intentionally', 'suggestion', 'sediain', 'features',' key ',' pulse ' , 'pulses', 'kepakai', 'deliberate']</v>
      </c>
      <c r="D4379" s="3">
        <v>1.0</v>
      </c>
    </row>
    <row r="4380" ht="15.75" customHeight="1">
      <c r="A4380" s="1">
        <v>4692.0</v>
      </c>
      <c r="B4380" s="3" t="s">
        <v>4267</v>
      </c>
      <c r="C4380" s="3" t="str">
        <f>IFERROR(__xludf.DUMMYFUNCTION("GOOGLETRANSLATE(B4380,""id"",""en"")"),"['Thank', 'You', 'Telkomsel', 'Get', 'Kouta', 'Internet', 'Local', 'Free', ""]")</f>
        <v>['Thank', 'You', 'Telkomsel', 'Get', 'Kouta', 'Internet', 'Local', 'Free', "]</v>
      </c>
      <c r="D4380" s="3">
        <v>5.0</v>
      </c>
    </row>
    <row r="4381" ht="15.75" customHeight="1">
      <c r="A4381" s="1">
        <v>4693.0</v>
      </c>
      <c r="B4381" s="3" t="s">
        <v>4268</v>
      </c>
      <c r="C4381" s="3" t="str">
        <f>IFERROR(__xludf.DUMMYFUNCTION("GOOGLETRANSLATE(B4381,""id"",""en"")"),"['Please', 'Network', 'Accelerated']")</f>
        <v>['Please', 'Network', 'Accelerated']</v>
      </c>
      <c r="D4381" s="3">
        <v>5.0</v>
      </c>
    </row>
    <row r="4382" ht="15.75" customHeight="1">
      <c r="A4382" s="1">
        <v>4694.0</v>
      </c>
      <c r="B4382" s="3" t="s">
        <v>4269</v>
      </c>
      <c r="C4382" s="3" t="str">
        <f>IFERROR(__xludf.DUMMYFUNCTION("GOOGLETRANSLATE(B4382,""id"",""en"")"),"['Good', 'Feature']")</f>
        <v>['Good', 'Feature']</v>
      </c>
      <c r="D4382" s="3">
        <v>5.0</v>
      </c>
    </row>
    <row r="4383" ht="15.75" customHeight="1">
      <c r="A4383" s="1">
        <v>4696.0</v>
      </c>
      <c r="B4383" s="3" t="s">
        <v>4270</v>
      </c>
      <c r="C4383" s="3" t="str">
        <f>IFERROR(__xludf.DUMMYFUNCTION("GOOGLETRANSLATE(B4383,""id"",""en"")"),"['looks', 'difficult', 'memorized', 'looks', 'package', 'buy', 'difficult']")</f>
        <v>['looks', 'difficult', 'memorized', 'looks', 'package', 'buy', 'difficult']</v>
      </c>
      <c r="D4383" s="3">
        <v>4.0</v>
      </c>
    </row>
    <row r="4384" ht="15.75" customHeight="1">
      <c r="A4384" s="1">
        <v>4697.0</v>
      </c>
      <c r="B4384" s="3" t="s">
        <v>4271</v>
      </c>
      <c r="C4384" s="3" t="str">
        <f>IFERROR(__xludf.DUMMYFUNCTION("GOOGLETRANSLATE(B4384,""id"",""en"")"),"['Internet', 'Stable', 'Region', 'Village', 'Tegalmat', 'Kec', 'Petarukan', 'Kab', 'Pemalang', 'Sunday', 'Play', 'Mobile', ' Legend ',' Signal ',' Disconnect ',' Disconnect ', ""]")</f>
        <v>['Internet', 'Stable', 'Region', 'Village', 'Tegalmat', 'Kec', 'Petarukan', 'Kab', 'Pemalang', 'Sunday', 'Play', 'Mobile', ' Legend ',' Signal ',' Disconnect ',' Disconnect ', "]</v>
      </c>
      <c r="D4384" s="3">
        <v>1.0</v>
      </c>
    </row>
    <row r="4385" ht="15.75" customHeight="1">
      <c r="A4385" s="1">
        <v>4698.0</v>
      </c>
      <c r="B4385" s="3" t="s">
        <v>4272</v>
      </c>
      <c r="C4385" s="3" t="str">
        <f>IFERROR(__xludf.DUMMYFUNCTION("GOOGLETRANSLATE(B4385,""id"",""en"")"),"['access', 'fast']")</f>
        <v>['access', 'fast']</v>
      </c>
      <c r="D4385" s="3">
        <v>5.0</v>
      </c>
    </row>
    <row r="4386" ht="15.75" customHeight="1">
      <c r="A4386" s="1">
        <v>4699.0</v>
      </c>
      <c r="B4386" s="3" t="s">
        <v>4273</v>
      </c>
      <c r="C4386" s="3" t="str">
        <f>IFERROR(__xludf.DUMMYFUNCTION("GOOGLETRANSLATE(B4386,""id"",""en"")"),"['Good', 'Knp', 'yaa', 'QLO', 'quota', 'run out', 'buy', 'data', 'use', 'wifi', 'use', 'hotspot', ' friend ',' please ',' fix ']")</f>
        <v>['Good', 'Knp', 'yaa', 'QLO', 'quota', 'run out', 'buy', 'data', 'use', 'wifi', 'use', 'hotspot', ' friend ',' please ',' fix ']</v>
      </c>
      <c r="D4386" s="3">
        <v>4.0</v>
      </c>
    </row>
    <row r="4387" ht="15.75" customHeight="1">
      <c r="A4387" s="1">
        <v>4700.0</v>
      </c>
      <c r="B4387" s="3" t="s">
        <v>4274</v>
      </c>
      <c r="C4387" s="3" t="str">
        <f>IFERROR(__xludf.DUMMYFUNCTION("GOOGLETRANSLATE(B4387,""id"",""en"")"),"['Alhamdulillah', 'makes it easier', 'in', 'Purchase', 'Package', 'Telkomsel', '']")</f>
        <v>['Alhamdulillah', 'makes it easier', 'in', 'Purchase', 'Package', 'Telkomsel', '']</v>
      </c>
      <c r="D4387" s="3">
        <v>5.0</v>
      </c>
    </row>
    <row r="4388" ht="15.75" customHeight="1">
      <c r="A4388" s="1">
        <v>4701.0</v>
      </c>
      <c r="B4388" s="3" t="s">
        <v>2423</v>
      </c>
      <c r="C4388" s="3" t="str">
        <f>IFERROR(__xludf.DUMMYFUNCTION("GOOGLETRANSLATE(B4388,""id"",""en"")"),"['Steady', 'help']")</f>
        <v>['Steady', 'help']</v>
      </c>
      <c r="D4388" s="3">
        <v>5.0</v>
      </c>
    </row>
    <row r="4389" ht="15.75" customHeight="1">
      <c r="A4389" s="1">
        <v>4702.0</v>
      </c>
      <c r="B4389" s="3" t="s">
        <v>4275</v>
      </c>
      <c r="C4389" s="3" t="str">
        <f>IFERROR(__xludf.DUMMYFUNCTION("GOOGLETRANSLATE(B4389,""id"",""en"")"),"['fast', 'makes it easy', 'transaction']")</f>
        <v>['fast', 'makes it easy', 'transaction']</v>
      </c>
      <c r="D4389" s="3">
        <v>4.0</v>
      </c>
    </row>
    <row r="4390" ht="15.75" customHeight="1">
      <c r="A4390" s="1">
        <v>4704.0</v>
      </c>
      <c r="B4390" s="3" t="s">
        <v>4276</v>
      </c>
      <c r="C4390" s="3" t="str">
        <f>IFERROR(__xludf.DUMMYFUNCTION("GOOGLETRANSLATE(B4390,""id"",""en"")"),"['hope', 'bankrupt', 'system', 'package', 'data', 'expensive']")</f>
        <v>['hope', 'bankrupt', 'system', 'package', 'data', 'expensive']</v>
      </c>
      <c r="D4390" s="3">
        <v>1.0</v>
      </c>
    </row>
    <row r="4391" ht="15.75" customHeight="1">
      <c r="A4391" s="1">
        <v>4705.0</v>
      </c>
      <c r="B4391" s="3" t="s">
        <v>4277</v>
      </c>
      <c r="C4391" s="3" t="str">
        <f>IFERROR(__xludf.DUMMYFUNCTION("GOOGLETRANSLATE(B4391,""id"",""en"")"),"['Application', 'Cool', 'Easy']")</f>
        <v>['Application', 'Cool', 'Easy']</v>
      </c>
      <c r="D4391" s="3">
        <v>5.0</v>
      </c>
    </row>
    <row r="4392" ht="15.75" customHeight="1">
      <c r="A4392" s="1">
        <v>4706.0</v>
      </c>
      <c r="B4392" s="3" t="s">
        <v>4278</v>
      </c>
      <c r="C4392" s="3" t="str">
        <f>IFERROR(__xludf.DUMMYFUNCTION("GOOGLETRANSLATE(B4392,""id"",""en"")"),"['APK', 'Helpful']")</f>
        <v>['APK', 'Helpful']</v>
      </c>
      <c r="D4392" s="3">
        <v>5.0</v>
      </c>
    </row>
    <row r="4393" ht="15.75" customHeight="1">
      <c r="A4393" s="1">
        <v>4707.0</v>
      </c>
      <c r="B4393" s="3" t="s">
        <v>4279</v>
      </c>
      <c r="C4393" s="3" t="str">
        <f>IFERROR(__xludf.DUMMYFUNCTION("GOOGLETRANSLATE(B4393,""id"",""en"")"),"['Signal', 'Internet', 'Nge', 'Drop']")</f>
        <v>['Signal', 'Internet', 'Nge', 'Drop']</v>
      </c>
      <c r="D4393" s="3">
        <v>5.0</v>
      </c>
    </row>
    <row r="4394" ht="15.75" customHeight="1">
      <c r="A4394" s="1">
        <v>4708.0</v>
      </c>
      <c r="B4394" s="3" t="s">
        <v>4280</v>
      </c>
      <c r="C4394" s="3" t="str">
        <f>IFERROR(__xludf.DUMMYFUNCTION("GOOGLETRANSLATE(B4394,""id"",""en"")"),"['application', 'update', 'bad', '']")</f>
        <v>['application', 'update', 'bad', '']</v>
      </c>
      <c r="D4394" s="3">
        <v>1.0</v>
      </c>
    </row>
    <row r="4395" ht="15.75" customHeight="1">
      <c r="A4395" s="1">
        <v>4710.0</v>
      </c>
      <c r="B4395" s="3" t="s">
        <v>4281</v>
      </c>
      <c r="C4395" s="3" t="str">
        <f>IFERROR(__xludf.DUMMYFUNCTION("GOOGLETRANSLATE(B4395,""id"",""en"")"),"['Telkomsel', 'network', 'mmg', 'mantaaaap', '']")</f>
        <v>['Telkomsel', 'network', 'mmg', 'mantaaaap', '']</v>
      </c>
      <c r="D4395" s="3">
        <v>4.0</v>
      </c>
    </row>
    <row r="4396" ht="15.75" customHeight="1">
      <c r="A4396" s="1">
        <v>4711.0</v>
      </c>
      <c r="B4396" s="3" t="s">
        <v>4282</v>
      </c>
      <c r="C4396" s="3" t="str">
        <f>IFERROR(__xludf.DUMMYFUNCTION("GOOGLETRANSLATE(B4396,""id"",""en"")"),"['Signal', 'Plus', 'Benefit']")</f>
        <v>['Signal', 'Plus', 'Benefit']</v>
      </c>
      <c r="D4396" s="3">
        <v>5.0</v>
      </c>
    </row>
    <row r="4397" ht="15.75" customHeight="1">
      <c r="A4397" s="1">
        <v>4712.0</v>
      </c>
      <c r="B4397" s="3" t="s">
        <v>4283</v>
      </c>
      <c r="C4397" s="3" t="str">
        <f>IFERROR(__xludf.DUMMYFUNCTION("GOOGLETRANSLATE(B4397,""id"",""en"")"),"['cave', 'apk', 'right', 'cave', 'content', 'pulse', 'pulse', 'abis',' cave ',' turn on ',' data ',' suggestion ',' cave ',' apk ',' lang ',' sung ',' cave ',' delete ',' download ',' regret ',' apk ',' cave ',' love ',' star ',' actually ' , 'love', 'sta"&amp;"r', 'love', 'star', 'post', '']")</f>
        <v>['cave', 'apk', 'right', 'cave', 'content', 'pulse', 'pulse', 'abis',' cave ',' turn on ',' data ',' suggestion ',' cave ',' apk ',' lang ',' sung ',' cave ',' delete ',' download ',' regret ',' apk ',' cave ',' love ',' star ',' actually ' , 'love', 'star', 'love', 'star', 'post', '']</v>
      </c>
      <c r="D4397" s="3">
        <v>1.0</v>
      </c>
    </row>
    <row r="4398" ht="15.75" customHeight="1">
      <c r="A4398" s="1">
        <v>4714.0</v>
      </c>
      <c r="B4398" s="3" t="s">
        <v>4284</v>
      </c>
      <c r="C4398" s="3" t="str">
        <f>IFERROR(__xludf.DUMMYFUNCTION("GOOGLETRANSLATE(B4398,""id"",""en"")"),"['Please', 'Increase', 'Quality', 'Network', 'Good', 'Buffering']")</f>
        <v>['Please', 'Increase', 'Quality', 'Network', 'Good', 'Buffering']</v>
      </c>
      <c r="D4398" s="3">
        <v>4.0</v>
      </c>
    </row>
    <row r="4399" ht="15.75" customHeight="1">
      <c r="A4399" s="1">
        <v>4715.0</v>
      </c>
      <c r="B4399" s="3" t="s">
        <v>4285</v>
      </c>
      <c r="C4399" s="3" t="str">
        <f>IFERROR(__xludf.DUMMYFUNCTION("GOOGLETRANSLATE(B4399,""id"",""en"")"),"['', 'Ngerni', 'fill']")</f>
        <v>['', 'Ngerni', 'fill']</v>
      </c>
      <c r="D4399" s="3">
        <v>2.0</v>
      </c>
    </row>
    <row r="4400" ht="15.75" customHeight="1">
      <c r="A4400" s="1">
        <v>4716.0</v>
      </c>
      <c r="B4400" s="3" t="s">
        <v>4286</v>
      </c>
      <c r="C4400" s="3" t="str">
        <f>IFERROR(__xludf.DUMMYFUNCTION("GOOGLETRANSLATE(B4400,""id"",""en"")"),"['help', 'checks', 'leftover', 'package', 'data', 'buy', 'package', 'data', 'easy']")</f>
        <v>['help', 'checks', 'leftover', 'package', 'data', 'buy', 'package', 'data', 'easy']</v>
      </c>
      <c r="D4400" s="3">
        <v>5.0</v>
      </c>
    </row>
    <row r="4401" ht="15.75" customHeight="1">
      <c r="A4401" s="1">
        <v>4717.0</v>
      </c>
      <c r="B4401" s="3" t="s">
        <v>4287</v>
      </c>
      <c r="C4401" s="3" t="str">
        <f>IFERROR(__xludf.DUMMYFUNCTION("GOOGLETRANSLATE(B4401,""id"",""en"")"),"['card', 'price', 'package', 'different', 'card', 'price', 'promo', 'interesting']")</f>
        <v>['card', 'price', 'package', 'different', 'card', 'price', 'promo', 'interesting']</v>
      </c>
      <c r="D4401" s="3">
        <v>1.0</v>
      </c>
    </row>
    <row r="4402" ht="15.75" customHeight="1">
      <c r="A4402" s="1">
        <v>4718.0</v>
      </c>
      <c r="B4402" s="3" t="s">
        <v>4288</v>
      </c>
      <c r="C4402" s="3" t="str">
        <f>IFERROR(__xludf.DUMMYFUNCTION("GOOGLETRANSLATE(B4402,""id"",""en"")"),"['Disappointed', 'Telkomsel', 'old', 'network', 'slow', 'times',' pdhl ',' in the area ',' good ',' really ',' sorry ',' really ',' comment ',' Kek ',' gini ',' caper ']")</f>
        <v>['Disappointed', 'Telkomsel', 'old', 'network', 'slow', 'times',' pdhl ',' in the area ',' good ',' really ',' sorry ',' really ',' comment ',' Kek ',' gini ',' caper ']</v>
      </c>
      <c r="D4402" s="3">
        <v>3.0</v>
      </c>
    </row>
    <row r="4403" ht="15.75" customHeight="1">
      <c r="A4403" s="1">
        <v>4719.0</v>
      </c>
      <c r="B4403" s="3" t="s">
        <v>4289</v>
      </c>
      <c r="C4403" s="3" t="str">
        <f>IFERROR(__xludf.DUMMYFUNCTION("GOOGLETRANSLATE(B4403,""id"",""en"")"),"['', 'Love', 'Telkomsel', 'like', 'like', '']")</f>
        <v>['', 'Love', 'Telkomsel', 'like', 'like', '']</v>
      </c>
      <c r="D4403" s="3">
        <v>5.0</v>
      </c>
    </row>
    <row r="4404" ht="15.75" customHeight="1">
      <c r="A4404" s="1">
        <v>4720.0</v>
      </c>
      <c r="B4404" s="3" t="s">
        <v>4290</v>
      </c>
      <c r="C4404" s="3" t="str">
        <f>IFERROR(__xludf.DUMMYFUNCTION("GOOGLETRANSLATE(B4404,""id"",""en"")"),"['ugly', 'really']")</f>
        <v>['ugly', 'really']</v>
      </c>
      <c r="D4404" s="3">
        <v>1.0</v>
      </c>
    </row>
    <row r="4405" ht="15.75" customHeight="1">
      <c r="A4405" s="1">
        <v>4721.0</v>
      </c>
      <c r="B4405" s="3" t="s">
        <v>4291</v>
      </c>
      <c r="C4405" s="3" t="str">
        <f>IFERROR(__xludf.DUMMYFUNCTION("GOOGLETRANSLATE(B4405,""id"",""en"")"),"['', 'Like', 'use', 'Telkosel', 'Banya', 'Gift']")</f>
        <v>['', 'Like', 'use', 'Telkosel', 'Banya', 'Gift']</v>
      </c>
      <c r="D4405" s="3">
        <v>5.0</v>
      </c>
    </row>
    <row r="4406" ht="15.75" customHeight="1">
      <c r="A4406" s="1">
        <v>4722.0</v>
      </c>
      <c r="B4406" s="3" t="s">
        <v>4292</v>
      </c>
      <c r="C4406" s="3" t="str">
        <f>IFERROR(__xludf.DUMMYFUNCTION("GOOGLETRANSLATE(B4406,""id"",""en"")"),"['bonus', 'pulse', 'thousand', 'use', 'love', 'bonus', 'scorched', 'bonus', ""]")</f>
        <v>['bonus', 'pulse', 'thousand', 'use', 'love', 'bonus', 'scorched', 'bonus', "]</v>
      </c>
      <c r="D4406" s="3">
        <v>1.0</v>
      </c>
    </row>
    <row r="4407" ht="15.75" customHeight="1">
      <c r="A4407" s="1">
        <v>4723.0</v>
      </c>
      <c r="B4407" s="3" t="s">
        <v>4293</v>
      </c>
      <c r="C4407" s="3" t="str">
        <f>IFERROR(__xludf.DUMMYFUNCTION("GOOGLETRANSLATE(B4407,""id"",""en"")"),"['buy', 'package', 'Combo', 'Sakti', 'buy', 'package', 'cheap', 'strange', 'emg', 'money', 'given', 'choice', ' ']")</f>
        <v>['buy', 'package', 'Combo', 'Sakti', 'buy', 'package', 'cheap', 'strange', 'emg', 'money', 'given', 'choice', ' ']</v>
      </c>
      <c r="D4407" s="3">
        <v>1.0</v>
      </c>
    </row>
    <row r="4408" ht="15.75" customHeight="1">
      <c r="A4408" s="1">
        <v>4724.0</v>
      </c>
      <c r="B4408" s="3" t="s">
        <v>4294</v>
      </c>
      <c r="C4408" s="3" t="str">
        <f>IFERROR(__xludf.DUMMYFUNCTION("GOOGLETRANSLATE(B4408,""id"",""en"")"),"['Alhamdulillah', 'Telkomsel']")</f>
        <v>['Alhamdulillah', 'Telkomsel']</v>
      </c>
      <c r="D4408" s="3">
        <v>4.0</v>
      </c>
    </row>
    <row r="4409" ht="15.75" customHeight="1">
      <c r="A4409" s="1">
        <v>4725.0</v>
      </c>
      <c r="B4409" s="3" t="s">
        <v>4295</v>
      </c>
      <c r="C4409" s="3" t="str">
        <f>IFERROR(__xludf.DUMMYFUNCTION("GOOGLETRANSLATE(B4409,""id"",""en"")"),"['Get', 'Lottery']")</f>
        <v>['Get', 'Lottery']</v>
      </c>
      <c r="D4409" s="3">
        <v>5.0</v>
      </c>
    </row>
    <row r="4410" ht="15.75" customHeight="1">
      <c r="A4410" s="1">
        <v>4726.0</v>
      </c>
      <c r="B4410" s="3" t="s">
        <v>4296</v>
      </c>
      <c r="C4410" s="3" t="str">
        <f>IFERROR(__xludf.DUMMYFUNCTION("GOOGLETRANSLATE(B4410,""id"",""en"")"),"['bandit', 'pulse', 'quota', 'trh', 'run out', 'responded', 'complaints', 'customer', '']")</f>
        <v>['bandit', 'pulse', 'quota', 'trh', 'run out', 'responded', 'complaints', 'customer', '']</v>
      </c>
      <c r="D4410" s="3">
        <v>1.0</v>
      </c>
    </row>
    <row r="4411" ht="15.75" customHeight="1">
      <c r="A4411" s="1">
        <v>4727.0</v>
      </c>
      <c r="B4411" s="3" t="s">
        <v>4297</v>
      </c>
      <c r="C4411" s="3" t="str">
        <f>IFERROR(__xludf.DUMMYFUNCTION("GOOGLETRANSLATE(B4411,""id"",""en"")"),"['Uograde', 'Andro', 'Lost', 'Try', 'Install', 'reset', 'Not', 'Support']")</f>
        <v>['Uograde', 'Andro', 'Lost', 'Try', 'Install', 'reset', 'Not', 'Support']</v>
      </c>
      <c r="D4411" s="3">
        <v>1.0</v>
      </c>
    </row>
    <row r="4412" ht="15.75" customHeight="1">
      <c r="A4412" s="1">
        <v>4728.0</v>
      </c>
      <c r="B4412" s="3" t="s">
        <v>4298</v>
      </c>
      <c r="C4412" s="3" t="str">
        <f>IFERROR(__xludf.DUMMYFUNCTION("GOOGLETRANSLATE(B4412,""id"",""en"")"),"['network', 'internet', 'sometimes', 'down']")</f>
        <v>['network', 'internet', 'sometimes', 'down']</v>
      </c>
      <c r="D4412" s="3">
        <v>4.0</v>
      </c>
    </row>
    <row r="4413" ht="15.75" customHeight="1">
      <c r="A4413" s="1">
        <v>4729.0</v>
      </c>
      <c r="B4413" s="3" t="s">
        <v>271</v>
      </c>
      <c r="C4413" s="3" t="str">
        <f>IFERROR(__xludf.DUMMYFUNCTION("GOOGLETRANSLATE(B4413,""id"",""en"")"),"['It's easier for']")</f>
        <v>['It's easier for']</v>
      </c>
      <c r="D4413" s="3">
        <v>5.0</v>
      </c>
    </row>
    <row r="4414" ht="15.75" customHeight="1">
      <c r="A4414" s="1">
        <v>4730.0</v>
      </c>
      <c r="B4414" s="3" t="s">
        <v>4299</v>
      </c>
      <c r="C4414" s="3" t="str">
        <f>IFERROR(__xludf.DUMMYFUNCTION("GOOGLETRANSLATE(B4414,""id"",""en"")"),"['ugly', 'network']")</f>
        <v>['ugly', 'network']</v>
      </c>
      <c r="D4414" s="3">
        <v>1.0</v>
      </c>
    </row>
    <row r="4415" ht="15.75" customHeight="1">
      <c r="A4415" s="1">
        <v>4731.0</v>
      </c>
      <c r="B4415" s="3" t="s">
        <v>4300</v>
      </c>
      <c r="C4415" s="3" t="str">
        <f>IFERROR(__xludf.DUMMYFUNCTION("GOOGLETRANSLATE(B4415,""id"",""en"")"),"['network', 'taii', 'already', 'expensive', 'expensive', 'buy', 'quota', 'network', 'pig']")</f>
        <v>['network', 'taii', 'already', 'expensive', 'expensive', 'buy', 'quota', 'network', 'pig']</v>
      </c>
      <c r="D4415" s="3">
        <v>1.0</v>
      </c>
    </row>
    <row r="4416" ht="15.75" customHeight="1">
      <c r="A4416" s="1">
        <v>4732.0</v>
      </c>
      <c r="B4416" s="3" t="s">
        <v>4301</v>
      </c>
      <c r="C4416" s="3" t="str">
        <f>IFERROR(__xludf.DUMMYFUNCTION("GOOGLETRANSLATE(B4416,""id"",""en"")"),"['Application', 'Yanh', 'complete']")</f>
        <v>['Application', 'Yanh', 'complete']</v>
      </c>
      <c r="D4416" s="3">
        <v>5.0</v>
      </c>
    </row>
    <row r="4417" ht="15.75" customHeight="1">
      <c r="A4417" s="1">
        <v>4733.0</v>
      </c>
      <c r="B4417" s="3" t="s">
        <v>4302</v>
      </c>
      <c r="C4417" s="3" t="str">
        <f>IFERROR(__xludf.DUMMYFUNCTION("GOOGLETRANSLATE(B4417,""id"",""en"")"),"['Okay', 'Lahh', 'Sangt', 'Helpful', 'Simpell', 'Buy', 'PKET']")</f>
        <v>['Okay', 'Lahh', 'Sangt', 'Helpful', 'Simpell', 'Buy', 'PKET']</v>
      </c>
      <c r="D4417" s="3">
        <v>5.0</v>
      </c>
    </row>
    <row r="4418" ht="15.75" customHeight="1">
      <c r="A4418" s="1">
        <v>4734.0</v>
      </c>
      <c r="B4418" s="3" t="s">
        <v>4303</v>
      </c>
      <c r="C4418" s="3" t="str">
        <f>IFERROR(__xludf.DUMMYFUNCTION("GOOGLETRANSLATE(B4418,""id"",""en"")"),"['Easy', 'Purchase', 'Package', 'Internet', 'Diakk', '']")</f>
        <v>['Easy', 'Purchase', 'Package', 'Internet', 'Diakk', '']</v>
      </c>
      <c r="D4418" s="3">
        <v>4.0</v>
      </c>
    </row>
    <row r="4419" ht="15.75" customHeight="1">
      <c r="A4419" s="1">
        <v>4735.0</v>
      </c>
      <c r="B4419" s="3" t="s">
        <v>677</v>
      </c>
      <c r="C4419" s="3" t="str">
        <f>IFERROR(__xludf.DUMMYFUNCTION("GOOGLETRANSLATE(B4419,""id"",""en"")"),"['Telkomsel']")</f>
        <v>['Telkomsel']</v>
      </c>
      <c r="D4419" s="3">
        <v>5.0</v>
      </c>
    </row>
    <row r="4420" ht="15.75" customHeight="1">
      <c r="A4420" s="1">
        <v>4736.0</v>
      </c>
      <c r="B4420" s="3" t="s">
        <v>4304</v>
      </c>
      <c r="C4420" s="3" t="str">
        <f>IFERROR(__xludf.DUMMYFUNCTION("GOOGLETRANSLATE(B4420,""id"",""en"")"),"['', 'package', 'internet', 'extended', 'automatic', 'jelly', 'right', 'package', 'internet', 'pulse', 'eroded', 'fast', 'extended ',' automatic ',' extension ',' right ',' automatic ',' shorten ',' apply ',' package ']")</f>
        <v>['', 'package', 'internet', 'extended', 'automatic', 'jelly', 'right', 'package', 'internet', 'pulse', 'eroded', 'fast', 'extended ',' automatic ',' extension ',' right ',' automatic ',' shorten ',' apply ',' package ']</v>
      </c>
      <c r="D4420" s="3">
        <v>2.0</v>
      </c>
    </row>
    <row r="4421" ht="15.75" customHeight="1">
      <c r="A4421" s="1">
        <v>4737.0</v>
      </c>
      <c r="B4421" s="3" t="s">
        <v>2670</v>
      </c>
      <c r="C4421" s="3" t="str">
        <f>IFERROR(__xludf.DUMMYFUNCTION("GOOGLETRANSLATE(B4421,""id"",""en"")"),"['Good', 'promo']")</f>
        <v>['Good', 'promo']</v>
      </c>
      <c r="D4421" s="3">
        <v>4.0</v>
      </c>
    </row>
    <row r="4422" ht="15.75" customHeight="1">
      <c r="A4422" s="1">
        <v>4738.0</v>
      </c>
      <c r="B4422" s="3" t="s">
        <v>4305</v>
      </c>
      <c r="C4422" s="3" t="str">
        <f>IFERROR(__xludf.DUMMYFUNCTION("GOOGLETRANSLATE(B4422,""id"",""en"")"),"['Application', 'Cool', 'Masi', 'Disorders',' Masi ',' Sorry ',' Soon ',' Fergusoo ',' Nge ',' Quota ',' Free ',' Please ',' Need ',' niII ']")</f>
        <v>['Application', 'Cool', 'Masi', 'Disorders',' Masi ',' Sorry ',' Soon ',' Fergusoo ',' Nge ',' Quota ',' Free ',' Please ',' Need ',' niII ']</v>
      </c>
      <c r="D4422" s="3">
        <v>5.0</v>
      </c>
    </row>
    <row r="4423" ht="15.75" customHeight="1">
      <c r="A4423" s="1">
        <v>4739.0</v>
      </c>
      <c r="B4423" s="3" t="s">
        <v>4306</v>
      </c>
      <c r="C4423" s="3" t="str">
        <f>IFERROR(__xludf.DUMMYFUNCTION("GOOGLETRANSLATE(B4423,""id"",""en"")"),"['buy', 'internet']")</f>
        <v>['buy', 'internet']</v>
      </c>
      <c r="D4423" s="3">
        <v>4.0</v>
      </c>
    </row>
    <row r="4424" ht="15.75" customHeight="1">
      <c r="A4424" s="1">
        <v>4740.0</v>
      </c>
      <c r="B4424" s="3" t="s">
        <v>4307</v>
      </c>
      <c r="C4424" s="3" t="str">
        <f>IFERROR(__xludf.DUMMYFUNCTION("GOOGLETRANSLATE(B4424,""id"",""en"")"),"['APK', 'good', 'really', 'oath']")</f>
        <v>['APK', 'good', 'really', 'oath']</v>
      </c>
      <c r="D4424" s="3">
        <v>5.0</v>
      </c>
    </row>
    <row r="4425" ht="15.75" customHeight="1">
      <c r="A4425" s="1">
        <v>4741.0</v>
      </c>
      <c r="B4425" s="3" t="s">
        <v>4308</v>
      </c>
      <c r="C4425" s="3" t="str">
        <f>IFERROR(__xludf.DUMMYFUNCTION("GOOGLETRANSLATE(B4425,""id"",""en"")"),"['Good', 'easy', 'bonus']")</f>
        <v>['Good', 'easy', 'bonus']</v>
      </c>
      <c r="D4425" s="3">
        <v>4.0</v>
      </c>
    </row>
    <row r="4426" ht="15.75" customHeight="1">
      <c r="A4426" s="1">
        <v>4742.0</v>
      </c>
      <c r="B4426" s="3" t="s">
        <v>4309</v>
      </c>
      <c r="C4426" s="3" t="str">
        <f>IFERROR(__xludf.DUMMYFUNCTION("GOOGLETRANSLATE(B4426,""id"",""en"")"),"['Telkom', '']")</f>
        <v>['Telkom', '']</v>
      </c>
      <c r="D4426" s="3">
        <v>5.0</v>
      </c>
    </row>
    <row r="4427" ht="15.75" customHeight="1">
      <c r="A4427" s="1">
        <v>4743.0</v>
      </c>
      <c r="B4427" s="3" t="s">
        <v>4310</v>
      </c>
      <c r="C4427" s="3" t="str">
        <f>IFERROR(__xludf.DUMMYFUNCTION("GOOGLETRANSLATE(B4427,""id"",""en"")"),"['makes it easier', 'need', 'internet', '']")</f>
        <v>['makes it easier', 'need', 'internet', '']</v>
      </c>
      <c r="D4427" s="3">
        <v>5.0</v>
      </c>
    </row>
    <row r="4428" ht="15.75" customHeight="1">
      <c r="A4428" s="1">
        <v>4746.0</v>
      </c>
      <c r="B4428" s="3" t="s">
        <v>4311</v>
      </c>
      <c r="C4428" s="3" t="str">
        <f>IFERROR(__xludf.DUMMYFUNCTION("GOOGLETRANSLATE(B4428,""id"",""en"")"),"['price', 'package', 'internet', 'expensive']")</f>
        <v>['price', 'package', 'internet', 'expensive']</v>
      </c>
      <c r="D4428" s="3">
        <v>3.0</v>
      </c>
    </row>
    <row r="4429" ht="15.75" customHeight="1">
      <c r="A4429" s="1">
        <v>4747.0</v>
      </c>
      <c r="B4429" s="3" t="s">
        <v>4312</v>
      </c>
      <c r="C4429" s="3" t="str">
        <f>IFERROR(__xludf.DUMMYFUNCTION("GOOGLETRANSLATE(B4429,""id"",""en"")"),"['Telkomsel', 'down', 'pket', 'bought', 'run out', 'pulses']")</f>
        <v>['Telkomsel', 'down', 'pket', 'bought', 'run out', 'pulses']</v>
      </c>
      <c r="D4429" s="3">
        <v>1.0</v>
      </c>
    </row>
    <row r="4430" ht="15.75" customHeight="1">
      <c r="A4430" s="1">
        <v>4748.0</v>
      </c>
      <c r="B4430" s="3" t="s">
        <v>4313</v>
      </c>
      <c r="C4430" s="3" t="str">
        <f>IFERROR(__xludf.DUMMYFUNCTION("GOOGLETRANSLATE(B4430,""id"",""en"")"),"['Sya', 'Disappointed', 'SMA', 'Telkomsel', 'MSA', 'yeah', 'pulse', 'Sya', 'Sumpot', 'Sya', 'subscribe', 'high school', ' Laen ',' pressure ',' Link ',' ATT ',' list ',' onps', 'etc.', 'Sya', 'contents',' pulses', 'a week', 'contents',' quota ' , 'TPI', '"&amp;"knapa', 'pulse', 'sya', 'use', 'top', 'pulse', 'ilang', 'sya', 'mhn', 'tlng', 'fix', ' replace ',' pulse ',' sya ',' hundreds', 'thousand', 'return', 'lakh', 'kmi', 'bli', 'pulse', 'pkek', 'money' , 'Lokh', 'Pakek', 'Leaves',' Easy ',' CRI ',' Money ',' T"&amp;"hinking ',' Donk ',' Udh ',' Life ',' Hard ',' Mlh ',' Persusah ',' high school ',' klian ']")</f>
        <v>['Sya', 'Disappointed', 'SMA', 'Telkomsel', 'MSA', 'yeah', 'pulse', 'Sya', 'Sumpot', 'Sya', 'subscribe', 'high school', ' Laen ',' pressure ',' Link ',' ATT ',' list ',' onps', 'etc.', 'Sya', 'contents',' pulses', 'a week', 'contents',' quota ' , 'TPI', 'knapa', 'pulse', 'sya', 'use', 'top', 'pulse', 'ilang', 'sya', 'mhn', 'tlng', 'fix', ' replace ',' pulse ',' sya ',' hundreds', 'thousand', 'return', 'lakh', 'kmi', 'bli', 'pulse', 'pkek', 'money' , 'Lokh', 'Pakek', 'Leaves',' Easy ',' CRI ',' Money ',' Thinking ',' Donk ',' Udh ',' Life ',' Hard ',' Mlh ',' Persusah ',' high school ',' klian ']</v>
      </c>
      <c r="D4430" s="3">
        <v>2.0</v>
      </c>
    </row>
    <row r="4431" ht="15.75" customHeight="1">
      <c r="A4431" s="1">
        <v>4749.0</v>
      </c>
      <c r="B4431" s="3" t="s">
        <v>4314</v>
      </c>
      <c r="C4431" s="3" t="str">
        <f>IFERROR(__xludf.DUMMYFUNCTION("GOOGLETRANSLATE(B4431,""id"",""en"")"),"['Telkomsel', 'Severe', 'already', 'signal', 'slow', 'package', 'data', 'run out', 'cut', 'pulse', 'pulse', 'thousand', ' Check ',' Severe ',' really ',' eat ',' torture ',' person ',' eat ',' full ',' ']")</f>
        <v>['Telkomsel', 'Severe', 'already', 'signal', 'slow', 'package', 'data', 'run out', 'cut', 'pulse', 'pulse', 'thousand', ' Check ',' Severe ',' really ',' eat ',' torture ',' person ',' eat ',' full ',' ']</v>
      </c>
      <c r="D4431" s="3">
        <v>5.0</v>
      </c>
    </row>
    <row r="4432" ht="15.75" customHeight="1">
      <c r="A4432" s="1">
        <v>4750.0</v>
      </c>
      <c r="B4432" s="3" t="s">
        <v>4315</v>
      </c>
      <c r="C4432" s="3" t="str">
        <f>IFERROR(__xludf.DUMMYFUNCTION("GOOGLETRANSLATE(B4432,""id"",""en"")"),"['Try', 'Follow', 'Points', 'Udian', 'fortune', 'Lottery', 'Karna', 'Rejeki', ""]")</f>
        <v>['Try', 'Follow', 'Points', 'Udian', 'fortune', 'Lottery', 'Karna', 'Rejeki', "]</v>
      </c>
      <c r="D4432" s="3">
        <v>3.0</v>
      </c>
    </row>
    <row r="4433" ht="15.75" customHeight="1">
      <c r="A4433" s="1">
        <v>4751.0</v>
      </c>
      <c r="B4433" s="3" t="s">
        <v>4316</v>
      </c>
      <c r="C4433" s="3" t="str">
        <f>IFERROR(__xludf.DUMMYFUNCTION("GOOGLETRANSLATE(B4433,""id"",""en"")"),"['quota', 'internet', 'suck', 'quota', 'internet', 'contac', 'just', 'contents',' follow ',' tpi ',' kagak ',' finished ',' ']")</f>
        <v>['quota', 'internet', 'suck', 'quota', 'internet', 'contac', 'just', 'contents',' follow ',' tpi ',' kagak ',' finished ',' ']</v>
      </c>
      <c r="D4433" s="3">
        <v>1.0</v>
      </c>
    </row>
    <row r="4434" ht="15.75" customHeight="1">
      <c r="A4434" s="1">
        <v>4752.0</v>
      </c>
      <c r="B4434" s="3" t="s">
        <v>4317</v>
      </c>
      <c r="C4434" s="3" t="str">
        <f>IFERROR(__xludf.DUMMYFUNCTION("GOOGLETRANSLATE(B4434,""id"",""en"")"),"['Hope', 'kdepan']")</f>
        <v>['Hope', 'kdepan']</v>
      </c>
      <c r="D4434" s="3">
        <v>5.0</v>
      </c>
    </row>
    <row r="4435" ht="15.75" customHeight="1">
      <c r="A4435" s="1">
        <v>4753.0</v>
      </c>
      <c r="B4435" s="3" t="s">
        <v>4318</v>
      </c>
      <c r="C4435" s="3" t="str">
        <f>IFERROR(__xludf.DUMMYFUNCTION("GOOGLETRANSLATE(B4435,""id"",""en"")"),"['Help', 'easy']")</f>
        <v>['Help', 'easy']</v>
      </c>
      <c r="D4435" s="3">
        <v>4.0</v>
      </c>
    </row>
    <row r="4436" ht="15.75" customHeight="1">
      <c r="A4436" s="1">
        <v>4754.0</v>
      </c>
      <c r="B4436" s="3" t="s">
        <v>4319</v>
      </c>
      <c r="C4436" s="3" t="str">
        <f>IFERROR(__xludf.DUMMYFUNCTION("GOOGLETRANSLATE(B4436,""id"",""en"")"),"['Good', 'condition', 'multiply', 'area', 'beach']")</f>
        <v>['Good', 'condition', 'multiply', 'area', 'beach']</v>
      </c>
      <c r="D4436" s="3">
        <v>5.0</v>
      </c>
    </row>
    <row r="4437" ht="15.75" customHeight="1">
      <c r="A4437" s="1">
        <v>4755.0</v>
      </c>
      <c r="B4437" s="3" t="s">
        <v>4320</v>
      </c>
      <c r="C4437" s="3" t="str">
        <f>IFERROR(__xludf.DUMMYFUNCTION("GOOGLETRANSLATE(B4437,""id"",""en"")"),"['Nggk', 'Register', 'Package', 'Telkomsel', 'PDAH', 'Credit', 'Customer', 'Satisfied', ""]")</f>
        <v>['Nggk', 'Register', 'Package', 'Telkomsel', 'PDAH', 'Credit', 'Customer', 'Satisfied', "]</v>
      </c>
      <c r="D4437" s="3">
        <v>1.0</v>
      </c>
    </row>
    <row r="4438" ht="15.75" customHeight="1">
      <c r="A4438" s="1">
        <v>4756.0</v>
      </c>
      <c r="B4438" s="3" t="s">
        <v>4321</v>
      </c>
      <c r="C4438" s="3" t="str">
        <f>IFERROR(__xludf.DUMMYFUNCTION("GOOGLETRANSLATE(B4438,""id"",""en"")"),"['Constraints',' buy ',' quota ',' until ',' pulse ',' enter ',' already ',' slow ',' maintenance ',' signal ',' select ',' times', ' Buy ',' Credit ',' enter ',' Slow ',' response ',' already ',' subscription ',' good ',' ugly ', ""]")</f>
        <v>['Constraints',' buy ',' quota ',' until ',' pulse ',' enter ',' already ',' slow ',' maintenance ',' signal ',' select ',' times', ' Buy ',' Credit ',' enter ',' Slow ',' response ',' already ',' subscription ',' good ',' ugly ', "]</v>
      </c>
      <c r="D4438" s="3">
        <v>1.0</v>
      </c>
    </row>
    <row r="4439" ht="15.75" customHeight="1">
      <c r="A4439" s="1">
        <v>4757.0</v>
      </c>
      <c r="B4439" s="3" t="s">
        <v>4322</v>
      </c>
      <c r="C4439" s="3" t="str">
        <f>IFERROR(__xludf.DUMMYFUNCTION("GOOGLETRANSLATE(B4439,""id"",""en"")"),"['Telkomsel', 'dog', 'network', 'jancuk', 'package', 'expensive', 'network', 'kayak', 'taik', 'dog', ""]")</f>
        <v>['Telkomsel', 'dog', 'network', 'jancuk', 'package', 'expensive', 'network', 'kayak', 'taik', 'dog', "]</v>
      </c>
      <c r="D4439" s="3">
        <v>1.0</v>
      </c>
    </row>
    <row r="4440" ht="15.75" customHeight="1">
      <c r="A4440" s="1">
        <v>4758.0</v>
      </c>
      <c r="B4440" s="3" t="s">
        <v>4323</v>
      </c>
      <c r="C4440" s="3" t="str">
        <f>IFERROR(__xludf.DUMMYFUNCTION("GOOGLETRANSLATE(B4440,""id"",""en"")"),"['Koutaa', 'little', 'Hargay', 'expensive']")</f>
        <v>['Koutaa', 'little', 'Hargay', 'expensive']</v>
      </c>
      <c r="D4440" s="3">
        <v>1.0</v>
      </c>
    </row>
    <row r="4441" ht="15.75" customHeight="1">
      <c r="A4441" s="1">
        <v>4759.0</v>
      </c>
      <c r="B4441" s="3" t="s">
        <v>4324</v>
      </c>
      <c r="C4441" s="3" t="str">
        <f>IFERROR(__xludf.DUMMYFUNCTION("GOOGLETRANSLATE(B4441,""id"",""en"")"),"['Switch', 'Points',' Quota ',' GB ',' Credit ',' Take ',' Exchange ',' Points', 'Ehh', 'Points',' Reduced ',' Credit ',' Decreases', 'Write', 'clarity']")</f>
        <v>['Switch', 'Points',' Quota ',' GB ',' Credit ',' Take ',' Exchange ',' Points', 'Ehh', 'Points',' Reduced ',' Credit ',' Decreases', 'Write', 'clarity']</v>
      </c>
      <c r="D4441" s="3">
        <v>1.0</v>
      </c>
    </row>
    <row r="4442" ht="15.75" customHeight="1">
      <c r="A4442" s="1">
        <v>4760.0</v>
      </c>
      <c r="B4442" s="3" t="s">
        <v>4325</v>
      </c>
      <c r="C4442" s="3" t="str">
        <f>IFERROR(__xludf.DUMMYFUNCTION("GOOGLETRANSLATE(B4442,""id"",""en"")"),"['Telkomsel', 'gini', 'contents',' pulse ',' sumps', 'run out', 'fill', 'already', 'run out', 'package', 'data', 'turned off', ' wifi ',' notification ',' access', 'internet', 'non', 'package', 'as a result', 'pulse', 'sumps',' vain ',' sia ',' what ',' e"&amp;"xhausted ' , 'contents', 'pulse', 'loss', ""]")</f>
        <v>['Telkomsel', 'gini', 'contents',' pulse ',' sumps', 'run out', 'fill', 'already', 'run out', 'package', 'data', 'turned off', ' wifi ',' notification ',' access', 'internet', 'non', 'package', 'as a result', 'pulse', 'sumps',' vain ',' sia ',' what ',' exhausted ' , 'contents', 'pulse', 'loss', "]</v>
      </c>
      <c r="D4442" s="3">
        <v>1.0</v>
      </c>
    </row>
    <row r="4443" ht="15.75" customHeight="1">
      <c r="A4443" s="1">
        <v>4761.0</v>
      </c>
      <c r="B4443" s="3" t="s">
        <v>4326</v>
      </c>
      <c r="C4443" s="3" t="str">
        <f>IFERROR(__xludf.DUMMYFUNCTION("GOOGLETRANSLATE(B4443,""id"",""en"")"),"['', 'promo', 'cheap', 'addin', 'donxs', '']")</f>
        <v>['', 'promo', 'cheap', 'addin', 'donxs', '']</v>
      </c>
      <c r="D4443" s="3">
        <v>5.0</v>
      </c>
    </row>
    <row r="4444" ht="15.75" customHeight="1">
      <c r="A4444" s="1">
        <v>4763.0</v>
      </c>
      <c r="B4444" s="3" t="s">
        <v>4327</v>
      </c>
      <c r="C4444" s="3" t="str">
        <f>IFERROR(__xludf.DUMMYFUNCTION("GOOGLETRANSLATE(B4444,""id"",""en"")"),"['Good', 'really', 'Anyway', '']")</f>
        <v>['Good', 'really', 'Anyway', '']</v>
      </c>
      <c r="D4444" s="3">
        <v>5.0</v>
      </c>
    </row>
    <row r="4445" ht="15.75" customHeight="1">
      <c r="A4445" s="1">
        <v>4764.0</v>
      </c>
      <c r="B4445" s="3" t="s">
        <v>4328</v>
      </c>
      <c r="C4445" s="3" t="str">
        <f>IFERROR(__xludf.DUMMYFUNCTION("GOOGLETRANSLATE(B4445,""id"",""en"")"),"['Easy', 'fast', 'signal', 'Fulk']")</f>
        <v>['Easy', 'fast', 'signal', 'Fulk']</v>
      </c>
      <c r="D4445" s="3">
        <v>5.0</v>
      </c>
    </row>
    <row r="4446" ht="15.75" customHeight="1">
      <c r="A4446" s="1">
        <v>4765.0</v>
      </c>
      <c r="B4446" s="3" t="s">
        <v>4329</v>
      </c>
      <c r="C4446" s="3" t="str">
        <f>IFERROR(__xludf.DUMMYFUNCTION("GOOGLETRANSLATE(B4446,""id"",""en"")"),"['Telkomsel', 'Kyk', 'Taik', 'Network', 'Mna', 'Package', 'Expensive', 'Change', 'Provider', 'Males', 'Pakek', 'Telkomsel']")</f>
        <v>['Telkomsel', 'Kyk', 'Taik', 'Network', 'Mna', 'Package', 'Expensive', 'Change', 'Provider', 'Males', 'Pakek', 'Telkomsel']</v>
      </c>
      <c r="D4446" s="3">
        <v>1.0</v>
      </c>
    </row>
    <row r="4447" ht="15.75" customHeight="1">
      <c r="A4447" s="1">
        <v>4766.0</v>
      </c>
      <c r="B4447" s="3" t="s">
        <v>4330</v>
      </c>
      <c r="C4447" s="3" t="str">
        <f>IFERROR(__xludf.DUMMYFUNCTION("GOOGLETRANSLATE(B4447,""id"",""en"")"),"['interesting', '']")</f>
        <v>['interesting', '']</v>
      </c>
      <c r="D4447" s="3">
        <v>5.0</v>
      </c>
    </row>
    <row r="4448" ht="15.75" customHeight="1">
      <c r="A4448" s="1">
        <v>4767.0</v>
      </c>
      <c r="B4448" s="3" t="s">
        <v>4331</v>
      </c>
      <c r="C4448" s="3" t="str">
        <f>IFERROR(__xludf.DUMMYFUNCTION("GOOGLETRANSLATE(B4448,""id"",""en"")"),"['Network', 'Telkomsel', 'Kayak', 'Taik', 'Network', 'Telkomsel', 'please', 'cell', 'fix']")</f>
        <v>['Network', 'Telkomsel', 'Kayak', 'Taik', 'Network', 'Telkomsel', 'please', 'cell', 'fix']</v>
      </c>
      <c r="D4448" s="3">
        <v>1.0</v>
      </c>
    </row>
    <row r="4449" ht="15.75" customHeight="1">
      <c r="A4449" s="1">
        <v>4768.0</v>
      </c>
      <c r="B4449" s="3" t="s">
        <v>4332</v>
      </c>
      <c r="C4449" s="3" t="str">
        <f>IFERROR(__xludf.DUMMYFUNCTION("GOOGLETRANSLATE(B4449,""id"",""en"")"),"['telephone', 'nge', 'game', 'rotten', 'really', 'signal', 'buy', 'package', 'smooth', 'hlo', 'please', 'game', ' Entertainment ',' signal ',' rotten ',' happy ',' dizziness', 'nge', 'game', 'game', 'smooth', 'smooth', 'game', 'troubling', 'city' , 'good'"&amp;", 'the difference', 'card', '']")</f>
        <v>['telephone', 'nge', 'game', 'rotten', 'really', 'signal', 'buy', 'package', 'smooth', 'hlo', 'please', 'game', ' Entertainment ',' signal ',' rotten ',' happy ',' dizziness', 'nge', 'game', 'game', 'smooth', 'smooth', 'game', 'troubling', 'city' , 'good', 'the difference', 'card', '']</v>
      </c>
      <c r="D4449" s="3">
        <v>2.0</v>
      </c>
    </row>
    <row r="4450" ht="15.75" customHeight="1">
      <c r="A4450" s="1">
        <v>4770.0</v>
      </c>
      <c r="B4450" s="3" t="s">
        <v>4333</v>
      </c>
      <c r="C4450" s="3" t="str">
        <f>IFERROR(__xludf.DUMMYFUNCTION("GOOGLETRANSLATE(B4450,""id"",""en"")"),"['Contents',' pulse ',' buy ',' kouta ',' GB ',' RbU ',' leftover ',' use ',' application ',' MyTelkomsel ',' safe ',' MSA ',' puksa ',' bsa ',' leftover ',' silver ',' bber ',' aje ',' uda ',' chat ',' veronica ',' hga ',' lazy ',' buy ',' kouta ' , 'pka"&amp;"i', 'wifi', 'aje', 'aekrang', 'pke', 'tnya', 'lost', 'kjadian', 'clock', 'brpa', 'bilng', 'see', ' KONPUTER ',' JGA ',' credit ',' KTA ',' take ',' ape ',' send ',' ptong ',' mslah ',' dri ',' operator ',' send ' , 'MSA', 'Credit', 'Cut', 'Nmanye', 'Malin"&amp;"g', 'Credit', 'Rich', 'MPU', 'BLI', 'PULSA', 'AJE', 'Credit', ' Org ',' take it ', ""]")</f>
        <v>['Contents',' pulse ',' buy ',' kouta ',' GB ',' RbU ',' leftover ',' use ',' application ',' MyTelkomsel ',' safe ',' MSA ',' puksa ',' bsa ',' leftover ',' silver ',' bber ',' aje ',' uda ',' chat ',' veronica ',' hga ',' lazy ',' buy ',' kouta ' , 'pkai', 'wifi', 'aje', 'aekrang', 'pke', 'tnya', 'lost', 'kjadian', 'clock', 'brpa', 'bilng', 'see', ' KONPUTER ',' JGA ',' credit ',' KTA ',' take ',' ape ',' send ',' ptong ',' mslah ',' dri ',' operator ',' send ' , 'MSA', 'Credit', 'Cut', 'Nmanye', 'Maling', 'Credit', 'Rich', 'MPU', 'BLI', 'PULSA', 'AJE', 'Credit', ' Org ',' take it ', "]</v>
      </c>
      <c r="D4450" s="3">
        <v>1.0</v>
      </c>
    </row>
    <row r="4451" ht="15.75" customHeight="1">
      <c r="A4451" s="1">
        <v>4771.0</v>
      </c>
      <c r="B4451" s="3" t="s">
        <v>4334</v>
      </c>
      <c r="C4451" s="3" t="str">
        <f>IFERROR(__xludf.DUMMYFUNCTION("GOOGLETRANSLATE(B4451,""id"",""en"")"),"['bad signal']")</f>
        <v>['bad signal']</v>
      </c>
      <c r="D4451" s="3">
        <v>1.0</v>
      </c>
    </row>
    <row r="4452" ht="15.75" customHeight="1">
      <c r="A4452" s="1">
        <v>4772.0</v>
      </c>
      <c r="B4452" s="3" t="s">
        <v>4335</v>
      </c>
      <c r="C4452" s="3" t="str">
        <f>IFERROR(__xludf.DUMMYFUNCTION("GOOGLETRANSLATE(B4452,""id"",""en"")"),"['Credit', 'sesaan', 'buy', 'quota', 'lost', 'missing', 'no', 'Telkomsel', 'no', 'rich', 'Akis',' seal ',' Credit ',' automatic ']")</f>
        <v>['Credit', 'sesaan', 'buy', 'quota', 'lost', 'missing', 'no', 'Telkomsel', 'no', 'rich', 'Akis',' seal ',' Credit ',' automatic ']</v>
      </c>
      <c r="D4452" s="3">
        <v>1.0</v>
      </c>
    </row>
    <row r="4453" ht="15.75" customHeight="1">
      <c r="A4453" s="1">
        <v>4773.0</v>
      </c>
      <c r="B4453" s="3" t="s">
        <v>4336</v>
      </c>
      <c r="C4453" s="3" t="str">
        <f>IFERROR(__xludf.DUMMYFUNCTION("GOOGLETRANSLATE(B4453,""id"",""en"")"),"['Help', 'Thank', 'Love', 'Telkomsel']")</f>
        <v>['Help', 'Thank', 'Love', 'Telkomsel']</v>
      </c>
      <c r="D4453" s="3">
        <v>5.0</v>
      </c>
    </row>
    <row r="4454" ht="15.75" customHeight="1">
      <c r="A4454" s="1">
        <v>4774.0</v>
      </c>
      <c r="B4454" s="3" t="s">
        <v>4337</v>
      </c>
      <c r="C4454" s="3" t="str">
        <f>IFERROR(__xludf.DUMMYFUNCTION("GOOGLETRANSLATE(B4454,""id"",""en"")"),"['Current', 'smooth']")</f>
        <v>['Current', 'smooth']</v>
      </c>
      <c r="D4454" s="3">
        <v>5.0</v>
      </c>
    </row>
    <row r="4455" ht="15.75" customHeight="1">
      <c r="A4455" s="1">
        <v>4775.0</v>
      </c>
      <c r="B4455" s="3" t="s">
        <v>4338</v>
      </c>
      <c r="C4455" s="3" t="str">
        <f>IFERROR(__xludf.DUMMYFUNCTION("GOOGLETRANSLATE(B4455,""id"",""en"")"),"['Matilamu', 'rain', 'signal', 'ugly', ""]")</f>
        <v>['Matilamu', 'rain', 'signal', 'ugly', "]</v>
      </c>
      <c r="D4455" s="3">
        <v>3.0</v>
      </c>
    </row>
    <row r="4456" ht="15.75" customHeight="1">
      <c r="A4456" s="1">
        <v>4776.0</v>
      </c>
      <c r="B4456" s="3" t="s">
        <v>4339</v>
      </c>
      <c r="C4456" s="3" t="str">
        <f>IFERROR(__xludf.DUMMYFUNCTION("GOOGLETRANSLATE(B4456,""id"",""en"")"),"['signal', 'sympathy', 'quality', 'break up', 'break up', 'Los', 'conection', 'please', 'fix', '']")</f>
        <v>['signal', 'sympathy', 'quality', 'break up', 'break up', 'Los', 'conection', 'please', 'fix', '']</v>
      </c>
      <c r="D4456" s="3">
        <v>5.0</v>
      </c>
    </row>
    <row r="4457" ht="15.75" customHeight="1">
      <c r="A4457" s="1">
        <v>4778.0</v>
      </c>
      <c r="B4457" s="3" t="s">
        <v>4340</v>
      </c>
      <c r="C4457" s="3" t="str">
        <f>IFERROR(__xludf.DUMMYFUNCTION("GOOGLETRANSLATE(B4457,""id"",""en"")"),"['Disappointed', 'Telkomsel', 'offers',' card ',' Hello ',' postpaid ',' situ ',' offer ',' Package ',' RB ',' LIMITED ',' Lying ',' then ',' problematic ',' transaction ',' contents', 'pls',' contents', 'contents',' rb ',' telkomsel ',' rich ',' policy '"&amp;",' detrimental ',' customer ' , 'use', 'operator', 'Telkomsel', 'Region', 'Kwitang', 'Senen', 'Jakarta', 'Center', 'nets', 'ugly', 'severe', 'network']")</f>
        <v>['Disappointed', 'Telkomsel', 'offers',' card ',' Hello ',' postpaid ',' situ ',' offer ',' Package ',' RB ',' LIMITED ',' Lying ',' then ',' problematic ',' transaction ',' contents', 'pls',' contents', 'contents',' rb ',' telkomsel ',' rich ',' policy ',' detrimental ',' customer ' , 'use', 'operator', 'Telkomsel', 'Region', 'Kwitang', 'Senen', 'Jakarta', 'Center', 'nets', 'ugly', 'severe', 'network']</v>
      </c>
      <c r="D4457" s="3">
        <v>1.0</v>
      </c>
    </row>
    <row r="4458" ht="15.75" customHeight="1">
      <c r="A4458" s="1">
        <v>4779.0</v>
      </c>
      <c r="B4458" s="3" t="s">
        <v>4341</v>
      </c>
      <c r="C4458" s="3" t="str">
        <f>IFERROR(__xludf.DUMMYFUNCTION("GOOGLETRANSLATE(B4458,""id"",""en"")"),"['Boss',' expensive ',' package ',' you ',' sell ',' ugly ',' network ',' you ',' eat ',' riba ',' Jan ',' every ',' Boss', 'TELKOMSEL', 'Telkomsel', 'Network', 'Klau', 'Telkomsel', 'Expensive', 'You', 'Sell', 'Package']")</f>
        <v>['Boss',' expensive ',' package ',' you ',' sell ',' ugly ',' network ',' you ',' eat ',' riba ',' Jan ',' every ',' Boss', 'TELKOMSEL', 'Telkomsel', 'Network', 'Klau', 'Telkomsel', 'Expensive', 'You', 'Sell', 'Package']</v>
      </c>
      <c r="D4458" s="3">
        <v>1.0</v>
      </c>
    </row>
    <row r="4459" ht="15.75" customHeight="1">
      <c r="A4459" s="1">
        <v>4780.0</v>
      </c>
      <c r="B4459" s="3" t="s">
        <v>4342</v>
      </c>
      <c r="C4459" s="3" t="str">
        <f>IFERROR(__xludf.DUMMYFUNCTION("GOOGLETRANSLATE(B4459,""id"",""en"")"),"['application', 'diarrhea']")</f>
        <v>['application', 'diarrhea']</v>
      </c>
      <c r="D4459" s="3">
        <v>1.0</v>
      </c>
    </row>
    <row r="4460" ht="15.75" customHeight="1">
      <c r="A4460" s="1">
        <v>4781.0</v>
      </c>
      <c r="B4460" s="3" t="s">
        <v>4343</v>
      </c>
      <c r="C4460" s="3" t="str">
        <f>IFERROR(__xludf.DUMMYFUNCTION("GOOGLETRANSLATE(B4460,""id"",""en"")"),"['Simple']")</f>
        <v>['Simple']</v>
      </c>
      <c r="D4460" s="3">
        <v>5.0</v>
      </c>
    </row>
    <row r="4461" ht="15.75" customHeight="1">
      <c r="A4461" s="1">
        <v>4783.0</v>
      </c>
      <c r="B4461" s="3" t="s">
        <v>4344</v>
      </c>
      <c r="C4461" s="3" t="str">
        <f>IFERROR(__xludf.DUMMYFUNCTION("GOOGLETRANSLATE(B4461,""id"",""en"")"),"['Credit', 'Sumpot', 'Abis', 'Gara', 'Forgot', 'Extension', 'Package']")</f>
        <v>['Credit', 'Sumpot', 'Abis', 'Gara', 'Forgot', 'Extension', 'Package']</v>
      </c>
      <c r="D4461" s="3">
        <v>1.0</v>
      </c>
    </row>
    <row r="4462" ht="15.75" customHeight="1">
      <c r="A4462" s="1">
        <v>4784.0</v>
      </c>
      <c r="B4462" s="3" t="s">
        <v>4345</v>
      </c>
      <c r="C4462" s="3" t="str">
        <f>IFERROR(__xludf.DUMMYFUNCTION("GOOGLETRANSLATE(B4462,""id"",""en"")"),"['Package', 'Kuata', 'Fast', 'Changed', 'Change', '']")</f>
        <v>['Package', 'Kuata', 'Fast', 'Changed', 'Change', '']</v>
      </c>
      <c r="D4462" s="3">
        <v>5.0</v>
      </c>
    </row>
    <row r="4463" ht="15.75" customHeight="1">
      <c r="A4463" s="1">
        <v>4785.0</v>
      </c>
      <c r="B4463" s="3" t="s">
        <v>4346</v>
      </c>
      <c r="C4463" s="3" t="str">
        <f>IFERROR(__xludf.DUMMYFUNCTION("GOOGLETRANSLATE(B4463,""id"",""en"")"),"['', 'BEFORE', 'buy', 'package', 'quota', 'migration', 'LTE', 'ngepain', 'package', 'quota', 'use', 'already', 'LTE ',' SIM ',' Card ',' Urus', 'LTE', '']")</f>
        <v>['', 'BEFORE', 'buy', 'package', 'quota', 'migration', 'LTE', 'ngepain', 'package', 'quota', 'use', 'already', 'LTE ',' SIM ',' Card ',' Urus', 'LTE', '']</v>
      </c>
      <c r="D4463" s="3">
        <v>2.0</v>
      </c>
    </row>
    <row r="4464" ht="15.75" customHeight="1">
      <c r="A4464" s="1">
        <v>4786.0</v>
      </c>
      <c r="B4464" s="3" t="s">
        <v>4347</v>
      </c>
      <c r="C4464" s="3" t="str">
        <f>IFERROR(__xludf.DUMMYFUNCTION("GOOGLETRANSLATE(B4464,""id"",""en"")"),"['promo', 'price', 'populat', 'awaited']")</f>
        <v>['promo', 'price', 'populat', 'awaited']</v>
      </c>
      <c r="D4464" s="3">
        <v>5.0</v>
      </c>
    </row>
    <row r="4465" ht="15.75" customHeight="1">
      <c r="A4465" s="1">
        <v>4787.0</v>
      </c>
      <c r="B4465" s="3" t="s">
        <v>4348</v>
      </c>
      <c r="C4465" s="3" t="str">
        <f>IFERROR(__xludf.DUMMYFUNCTION("GOOGLETRANSLATE(B4465,""id"",""en"")"),"['', 'expensive', '']")</f>
        <v>['', 'expensive', '']</v>
      </c>
      <c r="D4465" s="3">
        <v>5.0</v>
      </c>
    </row>
    <row r="4466" ht="15.75" customHeight="1">
      <c r="A4466" s="1">
        <v>4788.0</v>
      </c>
      <c r="B4466" s="3" t="s">
        <v>4349</v>
      </c>
      <c r="C4466" s="3" t="str">
        <f>IFERROR(__xludf.DUMMYFUNCTION("GOOGLETRANSLATE(B4466,""id"",""en"")"),"['buy', 'package', 'difficult', 'forgiveness', 'Gara', 'connection', 'lost', 'steady', 'Telkomsel', 'skrg', 'severe']")</f>
        <v>['buy', 'package', 'difficult', 'forgiveness', 'Gara', 'connection', 'lost', 'steady', 'Telkomsel', 'skrg', 'severe']</v>
      </c>
      <c r="D4466" s="3">
        <v>2.0</v>
      </c>
    </row>
    <row r="4467" ht="15.75" customHeight="1">
      <c r="A4467" s="1">
        <v>4789.0</v>
      </c>
      <c r="B4467" s="3" t="s">
        <v>4350</v>
      </c>
      <c r="C4467" s="3" t="str">
        <f>IFERROR(__xludf.DUMMYFUNCTION("GOOGLETRANSLATE(B4467,""id"",""en"")"),"['printed', 'promo', 'cheerful', 'bought', 'description', 'processed', 'dial', 'knocker', 'wait', 'notification', 'use', 'ealy', ' Ngak ',' promo ',' Yokgan ',' Jamgan ',' Show ',' Application ',' Telkomsel ',' Kayak ',' Gini ',' Disappointed ',' ']")</f>
        <v>['printed', 'promo', 'cheerful', 'bought', 'description', 'processed', 'dial', 'knocker', 'wait', 'notification', 'use', 'ealy', ' Ngak ',' promo ',' Yokgan ',' Jamgan ',' Show ',' Application ',' Telkomsel ',' Kayak ',' Gini ',' Disappointed ',' ']</v>
      </c>
      <c r="D4467" s="3">
        <v>2.0</v>
      </c>
    </row>
    <row r="4468" ht="15.75" customHeight="1">
      <c r="A4468" s="1">
        <v>4790.0</v>
      </c>
      <c r="B4468" s="3" t="s">
        <v>4351</v>
      </c>
      <c r="C4468" s="3" t="str">
        <f>IFERROR(__xludf.DUMMYFUNCTION("GOOGLETRANSLATE(B4468,""id"",""en"")"),"['Network', 'Telkomsel', 'here', 'bad', 'times', 'signal', 'chaotic', 'moved', 'next door', 'bad', 'bad', 'severe']")</f>
        <v>['Network', 'Telkomsel', 'here', 'bad', 'times', 'signal', 'chaotic', 'moved', 'next door', 'bad', 'bad', 'severe']</v>
      </c>
      <c r="D4468" s="3">
        <v>3.0</v>
      </c>
    </row>
    <row r="4469" ht="15.75" customHeight="1">
      <c r="A4469" s="1">
        <v>4791.0</v>
      </c>
      <c r="B4469" s="3" t="s">
        <v>4352</v>
      </c>
      <c r="C4469" s="3" t="str">
        <f>IFERROR(__xludf.DUMMYFUNCTION("GOOGLETRANSLATE(B4469,""id"",""en"")"),"['Please', 'repaired', 'clicked', 'application', 'login', 'reset']")</f>
        <v>['Please', 'repaired', 'clicked', 'application', 'login', 'reset']</v>
      </c>
      <c r="D4469" s="3">
        <v>5.0</v>
      </c>
    </row>
    <row r="4470" ht="15.75" customHeight="1">
      <c r="A4470" s="1">
        <v>4792.0</v>
      </c>
      <c r="B4470" s="3" t="s">
        <v>4353</v>
      </c>
      <c r="C4470" s="3" t="str">
        <f>IFERROR(__xludf.DUMMYFUNCTION("GOOGLETRANSLATE(B4470,""id"",""en"")"),"['signal', 'slow', 'expensive', 'doang', 'slow', 'mending', 'provider', 'leftover', 'GB', 'slow', 'really', 'hard' It's better ',' Indosat ']")</f>
        <v>['signal', 'slow', 'expensive', 'doang', 'slow', 'mending', 'provider', 'leftover', 'GB', 'slow', 'really', 'hard' It's better ',' Indosat ']</v>
      </c>
      <c r="D4470" s="3">
        <v>1.0</v>
      </c>
    </row>
    <row r="4471" ht="15.75" customHeight="1">
      <c r="A4471" s="1">
        <v>4793.0</v>
      </c>
      <c r="B4471" s="3" t="s">
        <v>4354</v>
      </c>
      <c r="C4471" s="3" t="str">
        <f>IFERROR(__xludf.DUMMYFUNCTION("GOOGLETRANSLATE(B4471,""id"",""en"")"),"['Quality', 'Not bad']")</f>
        <v>['Quality', 'Not bad']</v>
      </c>
      <c r="D4471" s="3">
        <v>5.0</v>
      </c>
    </row>
    <row r="4472" ht="15.75" customHeight="1">
      <c r="A4472" s="1">
        <v>4794.0</v>
      </c>
      <c r="B4472" s="3" t="s">
        <v>181</v>
      </c>
      <c r="C4472" s="3" t="str">
        <f>IFERROR(__xludf.DUMMYFUNCTION("GOOGLETRANSLATE(B4472,""id"",""en"")"),"['help']")</f>
        <v>['help']</v>
      </c>
      <c r="D4472" s="3">
        <v>5.0</v>
      </c>
    </row>
    <row r="4473" ht="15.75" customHeight="1">
      <c r="A4473" s="1">
        <v>4795.0</v>
      </c>
      <c r="B4473" s="3" t="s">
        <v>4355</v>
      </c>
      <c r="C4473" s="3" t="str">
        <f>IFERROR(__xludf.DUMMYFUNCTION("GOOGLETRANSLATE(B4473,""id"",""en"")"),"['Down', 'star', 'signal', 'destroyed', 'severe', 'rich', 'dlu', 'hancuuur']")</f>
        <v>['Down', 'star', 'signal', 'destroyed', 'severe', 'rich', 'dlu', 'hancuuur']</v>
      </c>
      <c r="D4473" s="3">
        <v>2.0</v>
      </c>
    </row>
    <row r="4474" ht="15.75" customHeight="1">
      <c r="A4474" s="1">
        <v>4796.0</v>
      </c>
      <c r="B4474" s="3" t="s">
        <v>4356</v>
      </c>
      <c r="C4474" s="3" t="str">
        <f>IFERROR(__xludf.DUMMYFUNCTION("GOOGLETRANSLATE(B4474,""id"",""en"")"),"['MyTelkomsel', 'emang', 'satisfying', 'full', 'promo', 'goodluck', 'mytekomsel']")</f>
        <v>['MyTelkomsel', 'emang', 'satisfying', 'full', 'promo', 'goodluck', 'mytekomsel']</v>
      </c>
      <c r="D4474" s="3">
        <v>5.0</v>
      </c>
    </row>
    <row r="4475" ht="15.75" customHeight="1">
      <c r="A4475" s="1">
        <v>4797.0</v>
      </c>
      <c r="B4475" s="3" t="s">
        <v>4357</v>
      </c>
      <c r="C4475" s="3" t="str">
        <f>IFERROR(__xludf.DUMMYFUNCTION("GOOGLETRANSLATE(B4475,""id"",""en"")"),"['signal', 'bond']")</f>
        <v>['signal', 'bond']</v>
      </c>
      <c r="D4475" s="3">
        <v>2.0</v>
      </c>
    </row>
    <row r="4476" ht="15.75" customHeight="1">
      <c r="A4476" s="1">
        <v>4799.0</v>
      </c>
      <c r="B4476" s="3" t="s">
        <v>4358</v>
      </c>
      <c r="C4476" s="3" t="str">
        <f>IFERROR(__xludf.DUMMYFUNCTION("GOOGLETRANSLATE(B4476,""id"",""en"")"),"['BLI', 'Credit', 'Link', 'Gopay']")</f>
        <v>['BLI', 'Credit', 'Link', 'Gopay']</v>
      </c>
      <c r="D4476" s="3">
        <v>1.0</v>
      </c>
    </row>
    <row r="4477" ht="15.75" customHeight="1">
      <c r="A4477" s="1">
        <v>4800.0</v>
      </c>
      <c r="B4477" s="3" t="s">
        <v>4359</v>
      </c>
      <c r="C4477" s="3" t="str">
        <f>IFERROR(__xludf.DUMMYFUNCTION("GOOGLETRANSLATE(B4477,""id"",""en"")"),"['already', 'good', 'package', 'internet', 'combo', 'magic', 'lost', 'package', 'expensive', '']")</f>
        <v>['already', 'good', 'package', 'internet', 'combo', 'magic', 'lost', 'package', 'expensive', '']</v>
      </c>
      <c r="D4477" s="3">
        <v>5.0</v>
      </c>
    </row>
    <row r="4478" ht="15.75" customHeight="1">
      <c r="A4478" s="1">
        <v>4801.0</v>
      </c>
      <c r="B4478" s="3" t="s">
        <v>4360</v>
      </c>
      <c r="C4478" s="3" t="str">
        <f>IFERROR(__xludf.DUMMYFUNCTION("GOOGLETRANSLATE(B4478,""id"",""en"")"),"['Hopefully', 'Sya', 'winner']")</f>
        <v>['Hopefully', 'Sya', 'winner']</v>
      </c>
      <c r="D4478" s="3">
        <v>5.0</v>
      </c>
    </row>
    <row r="4479" ht="15.75" customHeight="1">
      <c r="A4479" s="1">
        <v>4802.0</v>
      </c>
      <c r="B4479" s="3" t="s">
        <v>4361</v>
      </c>
      <c r="C4479" s="3" t="str">
        <f>IFERROR(__xludf.DUMMYFUNCTION("GOOGLETRANSLATE(B4479,""id"",""en"")"),"['package', 'then', 'package', 'odd', 'then', 'nominal', '']")</f>
        <v>['package', 'then', 'package', 'odd', 'then', 'nominal', '']</v>
      </c>
      <c r="D4479" s="3">
        <v>2.0</v>
      </c>
    </row>
    <row r="4480" ht="15.75" customHeight="1">
      <c r="A4480" s="1">
        <v>4803.0</v>
      </c>
      <c r="B4480" s="3" t="s">
        <v>4362</v>
      </c>
      <c r="C4480" s="3" t="str">
        <f>IFERROR(__xludf.DUMMYFUNCTION("GOOGLETRANSLATE(B4480,""id"",""en"")"),"['package', 'expensive', 'network', 'kayak', 'pig', 'udh', 'network', 'kayak', 'knon']")</f>
        <v>['package', 'expensive', 'network', 'kayak', 'pig', 'udh', 'network', 'kayak', 'knon']</v>
      </c>
      <c r="D4480" s="3">
        <v>1.0</v>
      </c>
    </row>
    <row r="4481" ht="15.75" customHeight="1">
      <c r="A4481" s="1">
        <v>4805.0</v>
      </c>
      <c r="B4481" s="3" t="s">
        <v>4363</v>
      </c>
      <c r="C4481" s="3" t="str">
        <f>IFERROR(__xludf.DUMMYFUNCTION("GOOGLETRANSLATE(B4481,""id"",""en"")"),"['Not bad', 'Bgus', 'Increase', 'like', 'failed', 'Loading']")</f>
        <v>['Not bad', 'Bgus', 'Increase', 'like', 'failed', 'Loading']</v>
      </c>
      <c r="D4481" s="3">
        <v>4.0</v>
      </c>
    </row>
    <row r="4482" ht="15.75" customHeight="1">
      <c r="A4482" s="1">
        <v>4806.0</v>
      </c>
      <c r="B4482" s="3" t="s">
        <v>4364</v>
      </c>
      <c r="C4482" s="3" t="str">
        <f>IFERROR(__xludf.DUMMYFUNCTION("GOOGLETRANSLATE(B4482,""id"",""en"")"),"['Price', 'cheap', 'process', 'fast', 'mantaap']")</f>
        <v>['Price', 'cheap', 'process', 'fast', 'mantaap']</v>
      </c>
      <c r="D4482" s="3">
        <v>5.0</v>
      </c>
    </row>
    <row r="4483" ht="15.75" customHeight="1">
      <c r="A4483" s="1">
        <v>4807.0</v>
      </c>
      <c r="B4483" s="3" t="s">
        <v>4365</v>
      </c>
      <c r="C4483" s="3" t="str">
        <f>IFERROR(__xludf.DUMMYFUNCTION("GOOGLETRANSLATE(B4483,""id"",""en"")"),"['Application', 'Good', 'Control', 'Use']")</f>
        <v>['Application', 'Good', 'Control', 'Use']</v>
      </c>
      <c r="D4483" s="3">
        <v>5.0</v>
      </c>
    </row>
    <row r="4484" ht="15.75" customHeight="1">
      <c r="A4484" s="1">
        <v>4808.0</v>
      </c>
      <c r="B4484" s="3" t="s">
        <v>4366</v>
      </c>
      <c r="C4484" s="3" t="str">
        <f>IFERROR(__xludf.DUMMYFUNCTION("GOOGLETRANSLATE(B4484,""id"",""en"")"),"['KNPA', 'Open', 'Application', 'Telkomsel', 'slow', 'earnings', 'Severe', 'bikes']")</f>
        <v>['KNPA', 'Open', 'Application', 'Telkomsel', 'slow', 'earnings', 'Severe', 'bikes']</v>
      </c>
      <c r="D4484" s="3">
        <v>5.0</v>
      </c>
    </row>
    <row r="4485" ht="15.75" customHeight="1">
      <c r="A4485" s="1">
        <v>4811.0</v>
      </c>
      <c r="B4485" s="3" t="s">
        <v>4367</v>
      </c>
      <c r="C4485" s="3" t="str">
        <f>IFERROR(__xludf.DUMMYFUNCTION("GOOGLETRANSLATE(B4485,""id"",""en"")"),"['Satisfied', 'Service', 'Application', 'Register', 'Kouta', 'Membai', 'Coin', 'Collect', 'Troubled', 'Please', 'Fix']")</f>
        <v>['Satisfied', 'Service', 'Application', 'Register', 'Kouta', 'Membai', 'Coin', 'Collect', 'Troubled', 'Please', 'Fix']</v>
      </c>
      <c r="D4485" s="3">
        <v>2.0</v>
      </c>
    </row>
    <row r="4486" ht="15.75" customHeight="1">
      <c r="A4486" s="1">
        <v>4812.0</v>
      </c>
      <c r="B4486" s="3" t="s">
        <v>4368</v>
      </c>
      <c r="C4486" s="3" t="str">
        <f>IFERROR(__xludf.DUMMYFUNCTION("GOOGLETRANSLATE(B4486,""id"",""en"")"),"['Loading', 'heavy', 'failed', 'enter', 'activation', 'reset', ""]")</f>
        <v>['Loading', 'heavy', 'failed', 'enter', 'activation', 'reset', "]</v>
      </c>
      <c r="D4486" s="3">
        <v>2.0</v>
      </c>
    </row>
    <row r="4487" ht="15.75" customHeight="1">
      <c r="A4487" s="1">
        <v>4813.0</v>
      </c>
      <c r="B4487" s="3" t="s">
        <v>4369</v>
      </c>
      <c r="C4487" s="3" t="str">
        <f>IFERROR(__xludf.DUMMYFUNCTION("GOOGLETRANSLATE(B4487,""id"",""en"")"),"['Please', 'Sorry', 'Telkomsel', 'Network', 'Bad', 'Change', 'Card', 'Thank you', 'accompany', ""]")</f>
        <v>['Please', 'Sorry', 'Telkomsel', 'Network', 'Bad', 'Change', 'Card', 'Thank you', 'accompany', "]</v>
      </c>
      <c r="D4487" s="3">
        <v>1.0</v>
      </c>
    </row>
    <row r="4488" ht="15.75" customHeight="1">
      <c r="A4488" s="1">
        <v>4814.0</v>
      </c>
      <c r="B4488" s="3" t="s">
        <v>4370</v>
      </c>
      <c r="C4488" s="3" t="str">
        <f>IFERROR(__xludf.DUMMYFUNCTION("GOOGLETRANSLATE(B4488,""id"",""en"")"),"['package', 'internet', 'here', 'expensive', '']")</f>
        <v>['package', 'internet', 'here', 'expensive', '']</v>
      </c>
      <c r="D4488" s="3">
        <v>1.0</v>
      </c>
    </row>
    <row r="4489" ht="15.75" customHeight="1">
      <c r="A4489" s="1">
        <v>4815.0</v>
      </c>
      <c r="B4489" s="3" t="s">
        <v>4371</v>
      </c>
      <c r="C4489" s="3" t="str">
        <f>IFERROR(__xludf.DUMMYFUNCTION("GOOGLETRANSLATE(B4489,""id"",""en"")"),"['Please', 'Fix', 'Network', 'Internet', 'Telkomsel', 'Housing', 'Pura', 'Bojonggede', 'County', 'Bogor', 'Kecamatan', 'Tajurhalang', ' Kelurahan ',' Tajurhalang ']")</f>
        <v>['Please', 'Fix', 'Network', 'Internet', 'Telkomsel', 'Housing', 'Pura', 'Bojonggede', 'County', 'Bogor', 'Kecamatan', 'Tajurhalang', ' Kelurahan ',' Tajurhalang ']</v>
      </c>
      <c r="D4489" s="3">
        <v>1.0</v>
      </c>
    </row>
    <row r="4490" ht="15.75" customHeight="1">
      <c r="A4490" s="1">
        <v>4816.0</v>
      </c>
      <c r="B4490" s="3" t="s">
        <v>4372</v>
      </c>
      <c r="C4490" s="3" t="str">
        <f>IFERROR(__xludf.DUMMYFUNCTION("GOOGLETRANSLATE(B4490,""id"",""en"")"),"['Ngga', 'Network', 'Ngadat']")</f>
        <v>['Ngga', 'Network', 'Ngadat']</v>
      </c>
      <c r="D4490" s="3">
        <v>1.0</v>
      </c>
    </row>
    <row r="4491" ht="15.75" customHeight="1">
      <c r="A4491" s="1">
        <v>4817.0</v>
      </c>
      <c r="B4491" s="3" t="s">
        <v>4373</v>
      </c>
      <c r="C4491" s="3" t="str">
        <f>IFERROR(__xludf.DUMMYFUNCTION("GOOGLETRANSLATE(B4491,""id"",""en"")"),"['Please', 'Disorders', 'Udh', 'ilang', 'pulse', 'ngegulating', 'oath', 'gini', 'mending', 'fill', 'card']")</f>
        <v>['Please', 'Disorders', 'Udh', 'ilang', 'pulse', 'ngegulating', 'oath', 'gini', 'mending', 'fill', 'card']</v>
      </c>
      <c r="D4491" s="3">
        <v>1.0</v>
      </c>
    </row>
    <row r="4492" ht="15.75" customHeight="1">
      <c r="A4492" s="1">
        <v>4819.0</v>
      </c>
      <c r="B4492" s="3" t="s">
        <v>4374</v>
      </c>
      <c r="C4492" s="3" t="str">
        <f>IFERROR(__xludf.DUMMYFUNCTION("GOOGLETRANSLATE(B4492,""id"",""en"")"),"['Package', 'Cheap', 'Wooy']")</f>
        <v>['Package', 'Cheap', 'Wooy']</v>
      </c>
      <c r="D4492" s="3">
        <v>5.0</v>
      </c>
    </row>
    <row r="4493" ht="15.75" customHeight="1">
      <c r="A4493" s="1">
        <v>4821.0</v>
      </c>
      <c r="B4493" s="3" t="s">
        <v>4375</v>
      </c>
      <c r="C4493" s="3" t="str">
        <f>IFERROR(__xludf.DUMMYFUNCTION("GOOGLETRANSLATE(B4493,""id"",""en"")"),"['It's easy', 'communicating']")</f>
        <v>['It's easy', 'communicating']</v>
      </c>
      <c r="D4493" s="3">
        <v>5.0</v>
      </c>
    </row>
    <row r="4494" ht="15.75" customHeight="1">
      <c r="A4494" s="1">
        <v>4822.0</v>
      </c>
      <c r="B4494" s="3" t="s">
        <v>4376</v>
      </c>
      <c r="C4494" s="3" t="str">
        <f>IFERROR(__xludf.DUMMYFUNCTION("GOOGLETRANSLATE(B4494,""id"",""en"")"),"['Trims', 'help']")</f>
        <v>['Trims', 'help']</v>
      </c>
      <c r="D4494" s="3">
        <v>5.0</v>
      </c>
    </row>
    <row r="4495" ht="15.75" customHeight="1">
      <c r="A4495" s="1">
        <v>4823.0</v>
      </c>
      <c r="B4495" s="3" t="s">
        <v>4377</v>
      </c>
      <c r="C4495" s="3" t="str">
        <f>IFERROR(__xludf.DUMMYFUNCTION("GOOGLETRANSLATE(B4495,""id"",""en"")"),"['product', 'expensive', 'bad', 'signal', 'all-round', 'expensive', 'promo', 'special', 'student', 'bad', 'products',' manasih ',' Elu ',' ']")</f>
        <v>['product', 'expensive', 'bad', 'signal', 'all-round', 'expensive', 'promo', 'special', 'student', 'bad', 'products',' manasih ',' Elu ',' ']</v>
      </c>
      <c r="D4495" s="3">
        <v>3.0</v>
      </c>
    </row>
    <row r="4496" ht="15.75" customHeight="1">
      <c r="A4496" s="1">
        <v>4824.0</v>
      </c>
      <c r="B4496" s="3" t="s">
        <v>4378</v>
      </c>
      <c r="C4496" s="3" t="str">
        <f>IFERROR(__xludf.DUMMYFUNCTION("GOOGLETRANSLATE(B4496,""id"",""en"")"),"['signal', 'threat', 'rented', 'airport', 'jelekkk', 'bagusan', 'signal', 'card', 'tri', 'card', 'expensive', '']")</f>
        <v>['signal', 'threat', 'rented', 'airport', 'jelekkk', 'bagusan', 'signal', 'card', 'tri', 'card', 'expensive', '']</v>
      </c>
      <c r="D4496" s="3">
        <v>1.0</v>
      </c>
    </row>
    <row r="4497" ht="15.75" customHeight="1">
      <c r="A4497" s="1">
        <v>4825.0</v>
      </c>
      <c r="B4497" s="3" t="s">
        <v>4379</v>
      </c>
      <c r="C4497" s="3" t="str">
        <f>IFERROR(__xludf.DUMMYFUNCTION("GOOGLETRANSLATE(B4497,""id"",""en"")"),"['quota', 'expensive', 'jringan', 'smakin', 'bad']")</f>
        <v>['quota', 'expensive', 'jringan', 'smakin', 'bad']</v>
      </c>
      <c r="D4497" s="3">
        <v>4.0</v>
      </c>
    </row>
    <row r="4498" ht="15.75" customHeight="1">
      <c r="A4498" s="1">
        <v>4826.0</v>
      </c>
      <c r="B4498" s="3" t="s">
        <v>4380</v>
      </c>
      <c r="C4498" s="3" t="str">
        <f>IFERROR(__xludf.DUMMYFUNCTION("GOOGLETRANSLATE(B4498,""id"",""en"")"),"['Severe', 'signal', 'Telkomsel', 'Sunday', 'Bener', 'already', 'quota', 'expensive', 'network', 'severe', 'area', 'metro', ' Lampung ',' ']")</f>
        <v>['Severe', 'signal', 'Telkomsel', 'Sunday', 'Bener', 'already', 'quota', 'expensive', 'network', 'severe', 'area', 'metro', ' Lampung ',' ']</v>
      </c>
      <c r="D4498" s="3">
        <v>1.0</v>
      </c>
    </row>
    <row r="4499" ht="15.75" customHeight="1">
      <c r="A4499" s="1">
        <v>4827.0</v>
      </c>
      <c r="B4499" s="3" t="s">
        <v>4381</v>
      </c>
      <c r="C4499" s="3" t="str">
        <f>IFERROR(__xludf.DUMMYFUNCTION("GOOGLETRANSLATE(B4499,""id"",""en"")"),"['Telkomsel', 'Leet', 'Network', 'Severe', '']")</f>
        <v>['Telkomsel', 'Leet', 'Network', 'Severe', '']</v>
      </c>
      <c r="D4499" s="3">
        <v>2.0</v>
      </c>
    </row>
    <row r="4500" ht="15.75" customHeight="1">
      <c r="A4500" s="1">
        <v>4828.0</v>
      </c>
      <c r="B4500" s="3" t="s">
        <v>4382</v>
      </c>
      <c r="C4500" s="3" t="str">
        <f>IFERROR(__xludf.DUMMYFUNCTION("GOOGLETRANSLATE(B4500,""id"",""en"")"),"['', 'Exchange', 'Points',' Data ',' Daily ',' Can ',' Exchanged ',' Contents', 'Credit', 'LGI', 'Terms',' Exchange ',' Points ',' Lottery ',' DPT ',' Gifts', 'groups',' Network ',' Telkomsel ',' Weak ',' Region ',' Sulawesi ',' South ',' City ',' Palopo "&amp;"', 'Paketan', 'pulse', 'data', 'offer', 'it is fair', 'expensive', 'upgrade', 'donk', 'circles',' medium ',' enjoy ',' user ',' city ',' Palopo ',' sul ',' cell ']")</f>
        <v>['', 'Exchange', 'Points',' Data ',' Daily ',' Can ',' Exchanged ',' Contents', 'Credit', 'LGI', 'Terms',' Exchange ',' Points ',' Lottery ',' DPT ',' Gifts', 'groups',' Network ',' Telkomsel ',' Weak ',' Region ',' Sulawesi ',' South ',' City ',' Palopo ', 'Paketan', 'pulse', 'data', 'offer', 'it is fair', 'expensive', 'upgrade', 'donk', 'circles',' medium ',' enjoy ',' user ',' city ',' Palopo ',' sul ',' cell ']</v>
      </c>
      <c r="D4500" s="3">
        <v>4.0</v>
      </c>
    </row>
    <row r="4501" ht="15.75" customHeight="1">
      <c r="A4501" s="1">
        <v>4829.0</v>
      </c>
      <c r="B4501" s="3" t="s">
        <v>4383</v>
      </c>
      <c r="C4501" s="3" t="str">
        <f>IFERROR(__xludf.DUMMYFUNCTION("GOOGLETRANSLATE(B4501,""id"",""en"")"),"['leftover', 'quota', 'GB', 'DPT', 'Notif', 'SMS', 'Package', 'Out', 'Automatic', 'Direct', 'Internet', 'Disappointing']")</f>
        <v>['leftover', 'quota', 'GB', 'DPT', 'Notif', 'SMS', 'Package', 'Out', 'Automatic', 'Direct', 'Internet', 'Disappointing']</v>
      </c>
      <c r="D4501" s="3">
        <v>1.0</v>
      </c>
    </row>
    <row r="4502" ht="15.75" customHeight="1">
      <c r="A4502" s="1">
        <v>4830.0</v>
      </c>
      <c r="B4502" s="3" t="s">
        <v>4384</v>
      </c>
      <c r="C4502" s="3" t="str">
        <f>IFERROR(__xludf.DUMMYFUNCTION("GOOGLETRANSLATE(B4502,""id"",""en"")"),"['Dahl', 'regret', 'cave', 'run out', 'it's out', 'buy', 'pulse', 'know', 'signal', 'kek', 'gini', 'play', ' games', 'difficult', 'quota', 'expensive', 'kek', 'gini', 'mending', 'replace', 'card']")</f>
        <v>['Dahl', 'regret', 'cave', 'run out', 'it's out', 'buy', 'pulse', 'know', 'signal', 'kek', 'gini', 'play', ' games', 'difficult', 'quota', 'expensive', 'kek', 'gini', 'mending', 'replace', 'card']</v>
      </c>
      <c r="D4502" s="3">
        <v>1.0</v>
      </c>
    </row>
    <row r="4503" ht="15.75" customHeight="1">
      <c r="A4503" s="1">
        <v>4831.0</v>
      </c>
      <c r="B4503" s="3" t="s">
        <v>4385</v>
      </c>
      <c r="C4503" s="3" t="str">
        <f>IFERROR(__xludf.DUMMYFUNCTION("GOOGLETRANSLATE(B4503,""id"",""en"")"),"['Network', 'delay', 'Credit', 'Cut', 'Use', 'Activation', 'Package', 'Sometimes',' On ',' Complete ',' Derita ',' TelkomTod ',' ']")</f>
        <v>['Network', 'delay', 'Credit', 'Cut', 'Use', 'Activation', 'Package', 'Sometimes',' On ',' Complete ',' Derita ',' TelkomTod ',' ']</v>
      </c>
      <c r="D4503" s="3">
        <v>1.0</v>
      </c>
    </row>
    <row r="4504" ht="15.75" customHeight="1">
      <c r="A4504" s="1">
        <v>4832.0</v>
      </c>
      <c r="B4504" s="3" t="s">
        <v>4386</v>
      </c>
      <c r="C4504" s="3" t="str">
        <f>IFERROR(__xludf.DUMMYFUNCTION("GOOGLETRANSLATE(B4504,""id"",""en"")"),"['Telkomsel', 'network', 'difficult', 'really', 'pakek', 'Telkomsel', 'UDH', 'network', 'difficult', 'really', 'oath']")</f>
        <v>['Telkomsel', 'network', 'difficult', 'really', 'pakek', 'Telkomsel', 'UDH', 'network', 'difficult', 'really', 'oath']</v>
      </c>
      <c r="D4504" s="3">
        <v>5.0</v>
      </c>
    </row>
    <row r="4505" ht="15.75" customHeight="1">
      <c r="A4505" s="1">
        <v>4833.0</v>
      </c>
      <c r="B4505" s="3" t="s">
        <v>4387</v>
      </c>
      <c r="C4505" s="3" t="str">
        <f>IFERROR(__xludf.DUMMYFUNCTION("GOOGLETRANSLATE(B4505,""id"",""en"")"),"['Make', 'card', 'Telkomsel', 'promo', 'quota', 'expensive', 'friend', 'promo', 'GB', 'pulses', ""]")</f>
        <v>['Make', 'card', 'Telkomsel', 'promo', 'quota', 'expensive', 'friend', 'promo', 'GB', 'pulses', "]</v>
      </c>
      <c r="D4505" s="3">
        <v>1.0</v>
      </c>
    </row>
    <row r="4506" ht="15.75" customHeight="1">
      <c r="A4506" s="1">
        <v>4834.0</v>
      </c>
      <c r="B4506" s="3" t="s">
        <v>4388</v>
      </c>
      <c r="C4506" s="3" t="str">
        <f>IFERROR(__xludf.DUMMYFUNCTION("GOOGLETRANSLATE(B4506,""id"",""en"")"),"['Ngga', 'Redem', 'Points', '']")</f>
        <v>['Ngga', 'Redem', 'Points', '']</v>
      </c>
      <c r="D4506" s="3">
        <v>3.0</v>
      </c>
    </row>
    <row r="4507" ht="15.75" customHeight="1">
      <c r="A4507" s="1">
        <v>4835.0</v>
      </c>
      <c r="B4507" s="3" t="s">
        <v>4389</v>
      </c>
      <c r="C4507" s="3" t="str">
        <f>IFERROR(__xludf.DUMMYFUNCTION("GOOGLETRANSLATE(B4507,""id"",""en"")"),"['expensive', 'signalny', 'slow']")</f>
        <v>['expensive', 'signalny', 'slow']</v>
      </c>
      <c r="D4507" s="3">
        <v>1.0</v>
      </c>
    </row>
    <row r="4508" ht="15.75" customHeight="1">
      <c r="A4508" s="1">
        <v>4836.0</v>
      </c>
      <c r="B4508" s="3" t="s">
        <v>4390</v>
      </c>
      <c r="C4508" s="3" t="str">
        <f>IFERROR(__xludf.DUMMYFUNCTION("GOOGLETRANSLATE(B4508,""id"",""en"")"),"['Function']")</f>
        <v>['Function']</v>
      </c>
      <c r="D4508" s="3">
        <v>5.0</v>
      </c>
    </row>
    <row r="4509" ht="15.75" customHeight="1">
      <c r="A4509" s="1">
        <v>4837.0</v>
      </c>
      <c r="B4509" s="3" t="s">
        <v>1550</v>
      </c>
      <c r="C4509" s="3" t="str">
        <f>IFERROR(__xludf.DUMMYFUNCTION("GOOGLETRANSLATE(B4509,""id"",""en"")"),"['beneficial']")</f>
        <v>['beneficial']</v>
      </c>
      <c r="D4509" s="3">
        <v>5.0</v>
      </c>
    </row>
    <row r="4510" ht="15.75" customHeight="1">
      <c r="A4510" s="1">
        <v>4839.0</v>
      </c>
      <c r="B4510" s="3" t="s">
        <v>4391</v>
      </c>
      <c r="C4510" s="3" t="str">
        <f>IFERROR(__xludf.DUMMYFUNCTION("GOOGLETRANSLATE(B4510,""id"",""en"")"),"['Good', 'easy', 'use']")</f>
        <v>['Good', 'easy', 'use']</v>
      </c>
      <c r="D4510" s="3">
        <v>5.0</v>
      </c>
    </row>
    <row r="4511" ht="15.75" customHeight="1">
      <c r="A4511" s="1">
        <v>4840.0</v>
      </c>
      <c r="B4511" s="3" t="s">
        <v>4392</v>
      </c>
      <c r="C4511" s="3" t="str">
        <f>IFERROR(__xludf.DUMMYFUNCTION("GOOGLETRANSLATE(B4511,""id"",""en"")"),"['LEG', 'anywhat', 'quota', 'pulses',' run out ',' message ',' access', 'quota', 'non', 'package', 'buy', 'package', ' Mending ',' Rich ',' Application ',' Axis', 'Lock', 'Pulses',' ']")</f>
        <v>['LEG', 'anywhat', 'quota', 'pulses',' run out ',' message ',' access', 'quota', 'non', 'package', 'buy', 'package', ' Mending ',' Rich ',' Application ',' Axis', 'Lock', 'Pulses',' ']</v>
      </c>
      <c r="D4511" s="3">
        <v>1.0</v>
      </c>
    </row>
    <row r="4512" ht="15.75" customHeight="1">
      <c r="A4512" s="1">
        <v>4841.0</v>
      </c>
      <c r="B4512" s="3" t="s">
        <v>4393</v>
      </c>
      <c r="C4512" s="3" t="str">
        <f>IFERROR(__xludf.DUMMYFUNCTION("GOOGLETRANSLATE(B4512,""id"",""en"")"),"['MyTelkomsel', 'The', 'BEST', 'LIKE', 'PAKEL', 'Application', 'Katna', 'It's easy', 'buy', 'quota', 'check', 'quota', ' JGA ',' buy ',' pulse ']")</f>
        <v>['MyTelkomsel', 'The', 'BEST', 'LIKE', 'PAKEL', 'Application', 'Katna', 'It's easy', 'buy', 'quota', 'check', 'quota', ' JGA ',' buy ',' pulse ']</v>
      </c>
      <c r="D4512" s="3">
        <v>5.0</v>
      </c>
    </row>
    <row r="4513" ht="15.75" customHeight="1">
      <c r="A4513" s="1">
        <v>4843.0</v>
      </c>
      <c r="B4513" s="3" t="s">
        <v>4394</v>
      </c>
      <c r="C4513" s="3" t="str">
        <f>IFERROR(__xludf.DUMMYFUNCTION("GOOGLETRANSLATE(B4513,""id"",""en"")"),"['easy', 'purchase', 'complicated', 'price', 'affordable', 'bnyak', 'choice', 'package']")</f>
        <v>['easy', 'purchase', 'complicated', 'price', 'affordable', 'bnyak', 'choice', 'package']</v>
      </c>
      <c r="D4513" s="3">
        <v>5.0</v>
      </c>
    </row>
    <row r="4514" ht="15.75" customHeight="1">
      <c r="A4514" s="1">
        <v>4844.0</v>
      </c>
      <c r="B4514" s="3" t="s">
        <v>4395</v>
      </c>
      <c r="C4514" s="3" t="str">
        <f>IFERROR(__xludf.DUMMYFUNCTION("GOOGLETRANSLATE(B4514,""id"",""en"")"),"['Good', 'ALIIIII']")</f>
        <v>['Good', 'ALIIIII']</v>
      </c>
      <c r="D4514" s="3">
        <v>5.0</v>
      </c>
    </row>
    <row r="4515" ht="15.75" customHeight="1">
      <c r="A4515" s="1">
        <v>4845.0</v>
      </c>
      <c r="B4515" s="3" t="s">
        <v>4396</v>
      </c>
      <c r="C4515" s="3" t="str">
        <f>IFERROR(__xludf.DUMMYFUNCTION("GOOGLETRANSLATE(B4515,""id"",""en"")"),"['Good', 'easy', 'packagein', 'data', 'top', 'staple', '']")</f>
        <v>['Good', 'easy', 'packagein', 'data', 'top', 'staple', '']</v>
      </c>
      <c r="D4515" s="3">
        <v>5.0</v>
      </c>
    </row>
    <row r="4516" ht="15.75" customHeight="1">
      <c r="A4516" s="1">
        <v>4846.0</v>
      </c>
      <c r="B4516" s="3" t="s">
        <v>4397</v>
      </c>
      <c r="C4516" s="3" t="str">
        <f>IFERROR(__xludf.DUMMYFUNCTION("GOOGLETRANSLATE(B4516,""id"",""en"")"),"['Network', 'Beres']")</f>
        <v>['Network', 'Beres']</v>
      </c>
      <c r="D4516" s="3">
        <v>1.0</v>
      </c>
    </row>
    <row r="4517" ht="15.75" customHeight="1">
      <c r="A4517" s="1">
        <v>4848.0</v>
      </c>
      <c r="B4517" s="3" t="s">
        <v>4398</v>
      </c>
      <c r="C4517" s="3" t="str">
        <f>IFERROR(__xludf.DUMMYFUNCTION("GOOGLETRANSLATE(B4517,""id"",""en"")"),"['years',' signal ',' Telkomsel ',' ugly ',' really ',' good ',' application ',' update ',' service ',' network ',' ugly ',' mending ',' Instead ',' signal ',' steady ',' Telkomsel ',' ']")</f>
        <v>['years',' signal ',' Telkomsel ',' ugly ',' really ',' good ',' application ',' update ',' service ',' network ',' ugly ',' mending ',' Instead ',' signal ',' steady ',' Telkomsel ',' ']</v>
      </c>
      <c r="D4517" s="3">
        <v>1.0</v>
      </c>
    </row>
    <row r="4518" ht="15.75" customHeight="1">
      <c r="A4518" s="1">
        <v>4849.0</v>
      </c>
      <c r="B4518" s="3" t="s">
        <v>4399</v>
      </c>
      <c r="C4518" s="3" t="str">
        <f>IFERROR(__xludf.DUMMYFUNCTION("GOOGLETRANSLATE(B4518,""id"",""en"")"),"['Tens',' users', 'Telkomsel', 'bright', 'here', 'disappointed', 'good', 'fishing', 'consumer', 'disorder', 'signal', 'like', ' ilang ',' buy ',' package ',' application ',' buy ',' package ',' buy ',' package ',' situ ',' the application ',' response ','"&amp;" complaint ',' bales' , 'Bae', 'Bae', 'aje', ""]")</f>
        <v>['Tens',' users', 'Telkomsel', 'bright', 'here', 'disappointed', 'good', 'fishing', 'consumer', 'disorder', 'signal', 'like', ' ilang ',' buy ',' package ',' application ',' buy ',' package ',' buy ',' package ',' situ ',' the application ',' response ',' complaint ',' bales' , 'Bae', 'Bae', 'aje', "]</v>
      </c>
      <c r="D4518" s="3">
        <v>1.0</v>
      </c>
    </row>
    <row r="4519" ht="15.75" customHeight="1">
      <c r="A4519" s="1">
        <v>4850.0</v>
      </c>
      <c r="B4519" s="3" t="s">
        <v>4400</v>
      </c>
      <c r="C4519" s="3" t="str">
        <f>IFERROR(__xludf.DUMMYFUNCTION("GOOGLETRANSLATE(B4519,""id"",""en"")"),"['Knpah', 'package', 'Shah', 'expensive']")</f>
        <v>['Knpah', 'package', 'Shah', 'expensive']</v>
      </c>
      <c r="D4519" s="3">
        <v>1.0</v>
      </c>
    </row>
    <row r="4520" ht="15.75" customHeight="1">
      <c r="A4520" s="1">
        <v>4851.0</v>
      </c>
      <c r="B4520" s="3" t="s">
        <v>4401</v>
      </c>
      <c r="C4520" s="3" t="str">
        <f>IFERROR(__xludf.DUMMYFUNCTION("GOOGLETRANSLATE(B4520,""id"",""en"")"),"['Price', 'Sultan', 'Network', 'Rich', 'Price', 'Cheap', 'Meriah']")</f>
        <v>['Price', 'Sultan', 'Network', 'Rich', 'Price', 'Cheap', 'Meriah']</v>
      </c>
      <c r="D4520" s="3">
        <v>1.0</v>
      </c>
    </row>
    <row r="4521" ht="15.75" customHeight="1">
      <c r="A4521" s="1">
        <v>4853.0</v>
      </c>
      <c r="B4521" s="3" t="s">
        <v>4402</v>
      </c>
      <c r="C4521" s="3" t="str">
        <f>IFERROR(__xludf.DUMMYFUNCTION("GOOGLETRANSLATE(B4521,""id"",""en"")"),"['Come on', 'lbh', 'lag', 'min', '']")</f>
        <v>['Come on', 'lbh', 'lag', 'min', '']</v>
      </c>
      <c r="D4521" s="3">
        <v>5.0</v>
      </c>
    </row>
    <row r="4522" ht="15.75" customHeight="1">
      <c r="A4522" s="1">
        <v>4854.0</v>
      </c>
      <c r="B4522" s="3" t="s">
        <v>4403</v>
      </c>
      <c r="C4522" s="3" t="str">
        <f>IFERROR(__xludf.DUMMYFUNCTION("GOOGLETRANSLATE(B4522,""id"",""en"")"),"['price', 'package', 'quota', 'expensive', 'wasteful', 'social', 'media', 'other', 'network', 'drop', 'setabil']")</f>
        <v>['price', 'package', 'quota', 'expensive', 'wasteful', 'social', 'media', 'other', 'network', 'drop', 'setabil']</v>
      </c>
      <c r="D4522" s="3">
        <v>3.0</v>
      </c>
    </row>
    <row r="4523" ht="15.75" customHeight="1">
      <c r="A4523" s="1">
        <v>4855.0</v>
      </c>
      <c r="B4523" s="3" t="s">
        <v>4404</v>
      </c>
      <c r="C4523" s="3" t="str">
        <f>IFERROR(__xludf.DUMMYFUNCTION("GOOGLETRANSLATE(B4523,""id"",""en"")"),"['buy', 'package', 'buy', 'error', 'What's', 'exciting', '']")</f>
        <v>['buy', 'package', 'buy', 'error', 'What's', 'exciting', '']</v>
      </c>
      <c r="D4523" s="3">
        <v>2.0</v>
      </c>
    </row>
    <row r="4524" ht="15.75" customHeight="1">
      <c r="A4524" s="1">
        <v>4856.0</v>
      </c>
      <c r="B4524" s="3" t="s">
        <v>4405</v>
      </c>
      <c r="C4524" s="3" t="str">
        <f>IFERROR(__xludf.DUMMYFUNCTION("GOOGLETRANSLATE(B4524,""id"",""en"")"),"['network', 'Telkomsel', 'good', 'difficult', 'play', 'game', 'ngelag', 'clock', 'night', 'signal', 'right', 'play', ' Game ',' Network ',' Error ',' Please ',' Min ',' Fix ',' Quality ',' Network ']")</f>
        <v>['network', 'Telkomsel', 'good', 'difficult', 'play', 'game', 'ngelag', 'clock', 'night', 'signal', 'right', 'play', ' Game ',' Network ',' Error ',' Please ',' Min ',' Fix ',' Quality ',' Network ']</v>
      </c>
      <c r="D4524" s="3">
        <v>3.0</v>
      </c>
    </row>
    <row r="4525" ht="15.75" customHeight="1">
      <c r="A4525" s="1">
        <v>4857.0</v>
      </c>
      <c r="B4525" s="3" t="s">
        <v>4406</v>
      </c>
      <c r="C4525" s="3" t="str">
        <f>IFERROR(__xludf.DUMMYFUNCTION("GOOGLETRANSLATE(B4525,""id"",""en"")"),"['Application', 'Good', 'Loding', 'Delete', 'Install', 'Good', 'Person', 'Dri']")</f>
        <v>['Application', 'Good', 'Loding', 'Delete', 'Install', 'Good', 'Person', 'Dri']</v>
      </c>
      <c r="D4525" s="3">
        <v>1.0</v>
      </c>
    </row>
    <row r="4526" ht="15.75" customHeight="1">
      <c r="A4526" s="1">
        <v>4858.0</v>
      </c>
      <c r="B4526" s="3" t="s">
        <v>4407</v>
      </c>
      <c r="C4526" s="3" t="str">
        <f>IFERROR(__xludf.DUMMYFUNCTION("GOOGLETRANSLATE(B4526,""id"",""en"")"),"['Update', 'Andoid', 'installed']")</f>
        <v>['Update', 'Andoid', 'installed']</v>
      </c>
      <c r="D4526" s="3">
        <v>3.0</v>
      </c>
    </row>
    <row r="4527" ht="15.75" customHeight="1">
      <c r="A4527" s="1">
        <v>4859.0</v>
      </c>
      <c r="B4527" s="3" t="s">
        <v>4408</v>
      </c>
      <c r="C4527" s="3" t="str">
        <f>IFERROR(__xludf.DUMMYFUNCTION("GOOGLETRANSLATE(B4527,""id"",""en"")"),"['disappointed', 'slow', 'network', 'kayak', 'snail', 'BUMN', 'lean', 'condition', 'comfortable', 'company', 'private', 'pecatin', ' KGK ',' innovate ', ""]")</f>
        <v>['disappointed', 'slow', 'network', 'kayak', 'snail', 'BUMN', 'lean', 'condition', 'comfortable', 'company', 'private', 'pecatin', ' KGK ',' innovate ', "]</v>
      </c>
      <c r="D4527" s="3">
        <v>1.0</v>
      </c>
    </row>
    <row r="4528" ht="15.75" customHeight="1">
      <c r="A4528" s="1">
        <v>4860.0</v>
      </c>
      <c r="B4528" s="3" t="s">
        <v>4409</v>
      </c>
      <c r="C4528" s="3" t="str">
        <f>IFERROR(__xludf.DUMMYFUNCTION("GOOGLETRANSLATE(B4528,""id"",""en"")"),"['Noodles',' dann ',' murahh ',' ngeapain ',' stupid ',' see ',' see ',' weve ',' handsome ',' that's', 'down', 'want', ' LOO ',' Liatin ',' Akuu ',' Kann ',' already ',' bilah ',' Bagus', 'dann', 'murahh', 'loo', ""]")</f>
        <v>['Noodles',' dann ',' murahh ',' ngeapain ',' stupid ',' see ',' see ',' weve ',' handsome ',' that's', 'down', 'want', ' LOO ',' Liatin ',' Akuu ',' Kann ',' already ',' bilah ',' Bagus', 'dann', 'murahh', 'loo', "]</v>
      </c>
      <c r="D4528" s="3">
        <v>5.0</v>
      </c>
    </row>
    <row r="4529" ht="15.75" customHeight="1">
      <c r="A4529" s="1">
        <v>4861.0</v>
      </c>
      <c r="B4529" s="3" t="s">
        <v>4410</v>
      </c>
      <c r="C4529" s="3" t="str">
        <f>IFERROR(__xludf.DUMMYFUNCTION("GOOGLETRANSLATE(B4529,""id"",""en"")"),"['hope', 'Skian', 'prize', 'bonus', 'Allah', 'Aminn', 'Robb', 'Aminn', ""]")</f>
        <v>['hope', 'Skian', 'prize', 'bonus', 'Allah', 'Aminn', 'Robb', 'Aminn', "]</v>
      </c>
      <c r="D4529" s="3">
        <v>5.0</v>
      </c>
    </row>
    <row r="4530" ht="15.75" customHeight="1">
      <c r="A4530" s="1">
        <v>4862.0</v>
      </c>
      <c r="B4530" s="3" t="s">
        <v>4411</v>
      </c>
      <c r="C4530" s="3" t="str">
        <f>IFERROR(__xludf.DUMMYFUNCTION("GOOGLETRANSLATE(B4530,""id"",""en"")"),"['hard', 'wind', 'rain', 'get', 'Notif', 'access',' internet ',' rates', 'non', 'package', 'package', 'me', ' KNP ',' non ',' non ',' package ',' already ',' package ',' expensive ',' powt ',' second ',' already ',' chick ',' thousand ',' balance ' , 'I',"&amp;" 'please', 'Donk', 'Bener', 'JNG', 'expensive', 'Doank', 'Quality', 'Increases', '']")</f>
        <v>['hard', 'wind', 'rain', 'get', 'Notif', 'access',' internet ',' rates', 'non', 'package', 'package', 'me', ' KNP ',' non ',' non ',' package ',' already ',' package ',' expensive ',' powt ',' second ',' already ',' chick ',' thousand ',' balance ' , 'I', 'please', 'Donk', 'Bener', 'JNG', 'expensive', 'Doank', 'Quality', 'Increases', '']</v>
      </c>
      <c r="D4530" s="3">
        <v>1.0</v>
      </c>
    </row>
    <row r="4531" ht="15.75" customHeight="1">
      <c r="A4531" s="1">
        <v>4863.0</v>
      </c>
      <c r="B4531" s="3" t="s">
        <v>313</v>
      </c>
      <c r="C4531" s="3" t="str">
        <f>IFERROR(__xludf.DUMMYFUNCTION("GOOGLETRANSLATE(B4531,""id"",""en"")"),"['signal']")</f>
        <v>['signal']</v>
      </c>
      <c r="D4531" s="3">
        <v>4.0</v>
      </c>
    </row>
    <row r="4532" ht="15.75" customHeight="1">
      <c r="A4532" s="1">
        <v>4864.0</v>
      </c>
      <c r="B4532" s="3" t="s">
        <v>4412</v>
      </c>
      <c r="C4532" s="3" t="str">
        <f>IFERROR(__xludf.DUMMYFUNCTION("GOOGLETRANSLATE(B4532,""id"",""en"")"),"['Signal', 'Internet', 'Telkomsel', 'Severe', 'Special', 'Sunday', 'Severe', 'BNGET', 'GINI', 'TRUS', 'MOVEMENT', 'Next to']")</f>
        <v>['Signal', 'Internet', 'Telkomsel', 'Severe', 'Special', 'Sunday', 'Severe', 'BNGET', 'GINI', 'TRUS', 'MOVEMENT', 'Next to']</v>
      </c>
      <c r="D4532" s="3">
        <v>2.0</v>
      </c>
    </row>
    <row r="4533" ht="15.75" customHeight="1">
      <c r="A4533" s="1">
        <v>4866.0</v>
      </c>
      <c r="B4533" s="3" t="s">
        <v>4413</v>
      </c>
      <c r="C4533" s="3" t="str">
        <f>IFERROR(__xludf.DUMMYFUNCTION("GOOGLETRANSLATE(B4533,""id"",""en"")"),"['Useful', 'Easy', 'Thank you', 'Telkomsel']")</f>
        <v>['Useful', 'Easy', 'Thank you', 'Telkomsel']</v>
      </c>
      <c r="D4533" s="3">
        <v>5.0</v>
      </c>
    </row>
    <row r="4534" ht="15.75" customHeight="1">
      <c r="A4534" s="1">
        <v>4868.0</v>
      </c>
      <c r="B4534" s="3" t="s">
        <v>4414</v>
      </c>
      <c r="C4534" s="3" t="str">
        <f>IFERROR(__xludf.DUMMYFUNCTION("GOOGLETRANSLATE(B4534,""id"",""en"")"),"['Come here', 'Record', 'Bet', 'Sousal']")</f>
        <v>['Come here', 'Record', 'Bet', 'Sousal']</v>
      </c>
      <c r="D4534" s="3">
        <v>3.0</v>
      </c>
    </row>
    <row r="4535" ht="15.75" customHeight="1">
      <c r="A4535" s="1">
        <v>4869.0</v>
      </c>
      <c r="B4535" s="3" t="s">
        <v>4415</v>
      </c>
      <c r="C4535" s="3" t="str">
        <f>IFERROR(__xludf.DUMMYFUNCTION("GOOGLETRANSLATE(B4535,""id"",""en"")"),"['Network', 'steady']")</f>
        <v>['Network', 'steady']</v>
      </c>
      <c r="D4535" s="3">
        <v>5.0</v>
      </c>
    </row>
    <row r="4536" ht="15.75" customHeight="1">
      <c r="A4536" s="1">
        <v>4870.0</v>
      </c>
      <c r="B4536" s="3" t="s">
        <v>4416</v>
      </c>
      <c r="C4536" s="3" t="str">
        <f>IFERROR(__xludf.DUMMYFUNCTION("GOOGLETRANSLATE(B4536,""id"",""en"")"),"['Nice', 'Sngat', 'Useful']")</f>
        <v>['Nice', 'Sngat', 'Useful']</v>
      </c>
      <c r="D4536" s="3">
        <v>5.0</v>
      </c>
    </row>
    <row r="4537" ht="15.75" customHeight="1">
      <c r="A4537" s="1">
        <v>4871.0</v>
      </c>
      <c r="B4537" s="3" t="s">
        <v>4334</v>
      </c>
      <c r="C4537" s="3" t="str">
        <f>IFERROR(__xludf.DUMMYFUNCTION("GOOGLETRANSLATE(B4537,""id"",""en"")"),"['bad signal']")</f>
        <v>['bad signal']</v>
      </c>
      <c r="D4537" s="3">
        <v>1.0</v>
      </c>
    </row>
    <row r="4538" ht="15.75" customHeight="1">
      <c r="A4538" s="1">
        <v>4872.0</v>
      </c>
      <c r="B4538" s="3" t="s">
        <v>4417</v>
      </c>
      <c r="C4538" s="3" t="str">
        <f>IFERROR(__xludf.DUMMYFUNCTION("GOOGLETRANSLATE(B4538,""id"",""en"")"),"['expensive', 'please', '']")</f>
        <v>['expensive', 'please', '']</v>
      </c>
      <c r="D4538" s="3">
        <v>4.0</v>
      </c>
    </row>
    <row r="4539" ht="15.75" customHeight="1">
      <c r="A4539" s="1">
        <v>4873.0</v>
      </c>
      <c r="B4539" s="3" t="s">
        <v>4418</v>
      </c>
      <c r="C4539" s="3" t="str">
        <f>IFERROR(__xludf.DUMMYFUNCTION("GOOGLETRANSLATE(B4539,""id"",""en"")"),"['Want', 'discount', 'cheap']")</f>
        <v>['Want', 'discount', 'cheap']</v>
      </c>
      <c r="D4539" s="3">
        <v>5.0</v>
      </c>
    </row>
    <row r="4540" ht="15.75" customHeight="1">
      <c r="A4540" s="1">
        <v>4874.0</v>
      </c>
      <c r="B4540" s="3" t="s">
        <v>4419</v>
      </c>
      <c r="C4540" s="3" t="str">
        <f>IFERROR(__xludf.DUMMYFUNCTION("GOOGLETRANSLATE(B4540,""id"",""en"")"),"['disease', 'sesek', 'breath', 'Wait', 'finish', 'download', 'video', 'duration', 'second', 'quota', 'Telkomsel', 'access',' internet ',' Telkomsel ',' slow ',' provider ',' forced ',' change ',' sikuning ',' sesek ',' breath ',' lost ',' access', 'super'"&amp;", 'fast' ]")</f>
        <v>['disease', 'sesek', 'breath', 'Wait', 'finish', 'download', 'video', 'duration', 'second', 'quota', 'Telkomsel', 'access',' internet ',' Telkomsel ',' slow ',' provider ',' forced ',' change ',' sikuning ',' sesek ',' breath ',' lost ',' access', 'super', 'fast' ]</v>
      </c>
      <c r="D4540" s="3">
        <v>1.0</v>
      </c>
    </row>
    <row r="4541" ht="15.75" customHeight="1">
      <c r="A4541" s="1">
        <v>4875.0</v>
      </c>
      <c r="B4541" s="3" t="s">
        <v>1542</v>
      </c>
      <c r="C4541" s="3" t="str">
        <f>IFERROR(__xludf.DUMMYFUNCTION("GOOGLETRANSLATE(B4541,""id"",""en"")"),"['It's easy', 'purchase']")</f>
        <v>['It's easy', 'purchase']</v>
      </c>
      <c r="D4541" s="3">
        <v>4.0</v>
      </c>
    </row>
    <row r="4542" ht="15.75" customHeight="1">
      <c r="A4542" s="1">
        <v>4876.0</v>
      </c>
      <c r="B4542" s="3" t="s">
        <v>4420</v>
      </c>
      <c r="C4542" s="3" t="str">
        <f>IFERROR(__xludf.DUMMYFUNCTION("GOOGLETRANSLATE(B4542,""id"",""en"")"),"['Love', 'Package', 'Cheap']")</f>
        <v>['Love', 'Package', 'Cheap']</v>
      </c>
      <c r="D4542" s="3">
        <v>5.0</v>
      </c>
    </row>
    <row r="4543" ht="15.75" customHeight="1">
      <c r="A4543" s="1">
        <v>4878.0</v>
      </c>
      <c r="B4543" s="3" t="s">
        <v>4421</v>
      </c>
      <c r="C4543" s="3" t="str">
        <f>IFERROR(__xludf.DUMMYFUNCTION("GOOGLETRANSLATE(B4543,""id"",""en"")"),"['Kek', 'Corruption', 'Mulu', 'Telkomsel', 'Figure', 'Credit', 'Slalu', 'PTONG', 'Rupiah', 'Forced', 'HRUS', 'CISSION', ' Hadehh ',' Bener ',' ']")</f>
        <v>['Kek', 'Corruption', 'Mulu', 'Telkomsel', 'Figure', 'Credit', 'Slalu', 'PTONG', 'Rupiah', 'Forced', 'HRUS', 'CISSION', ' Hadehh ',' Bener ',' ']</v>
      </c>
      <c r="D4543" s="3">
        <v>2.0</v>
      </c>
    </row>
    <row r="4544" ht="15.75" customHeight="1">
      <c r="A4544" s="1">
        <v>4879.0</v>
      </c>
      <c r="B4544" s="3" t="s">
        <v>4422</v>
      </c>
      <c r="C4544" s="3" t="str">
        <f>IFERROR(__xludf.DUMMYFUNCTION("GOOGLETRANSLATE(B4544,""id"",""en"")"),"['Forward', 'Telkomsel']")</f>
        <v>['Forward', 'Telkomsel']</v>
      </c>
      <c r="D4544" s="3">
        <v>5.0</v>
      </c>
    </row>
    <row r="4545" ht="15.75" customHeight="1">
      <c r="A4545" s="1">
        <v>4880.0</v>
      </c>
      <c r="B4545" s="3" t="s">
        <v>4423</v>
      </c>
      <c r="C4545" s="3" t="str">
        <f>IFERROR(__xludf.DUMMYFUNCTION("GOOGLETRANSLATE(B4545,""id"",""en"")"),"['Disappointed', 'pulse', 'pulled', 'bonus', 'call', 'credit', 'taken', 'please', 'repaired', 'Telkomsel']")</f>
        <v>['Disappointed', 'pulse', 'pulled', 'bonus', 'call', 'credit', 'taken', 'please', 'repaired', 'Telkomsel']</v>
      </c>
      <c r="D4545" s="3">
        <v>1.0</v>
      </c>
    </row>
    <row r="4546" ht="15.75" customHeight="1">
      <c r="A4546" s="1">
        <v>4881.0</v>
      </c>
      <c r="B4546" s="3" t="s">
        <v>4424</v>
      </c>
      <c r="C4546" s="3" t="str">
        <f>IFERROR(__xludf.DUMMYFUNCTION("GOOGLETRANSLATE(B4546,""id"",""en"")"),"['Sousiny', 'chaotic', 'bill', 'according to', 'quality', 'signal', 'bandwidth']")</f>
        <v>['Sousiny', 'chaotic', 'bill', 'according to', 'quality', 'signal', 'bandwidth']</v>
      </c>
      <c r="D4546" s="3">
        <v>3.0</v>
      </c>
    </row>
    <row r="4547" ht="15.75" customHeight="1">
      <c r="A4547" s="1">
        <v>4883.0</v>
      </c>
      <c r="B4547" s="3" t="s">
        <v>4425</v>
      </c>
      <c r="C4547" s="3" t="str">
        <f>IFERROR(__xludf.DUMMYFUNCTION("GOOGLETRANSLATE(B4547,""id"",""en"")"),"['Telkomsel', 'LEG', 'Especially', 'Nusa', 'southeast', 'West', 'exact', 'City', 'Bima', 'Severe', 'Signal', 'balanced']")</f>
        <v>['Telkomsel', 'LEG', 'Especially', 'Nusa', 'southeast', 'West', 'exact', 'City', 'Bima', 'Severe', 'Signal', 'balanced']</v>
      </c>
      <c r="D4547" s="3">
        <v>1.0</v>
      </c>
    </row>
    <row r="4548" ht="15.75" customHeight="1">
      <c r="A4548" s="1">
        <v>4885.0</v>
      </c>
      <c r="B4548" s="3" t="s">
        <v>4426</v>
      </c>
      <c r="C4548" s="3" t="str">
        <f>IFERROR(__xludf.DUMMYFUNCTION("GOOGLETRANSLATE(B4548,""id"",""en"")"),"['APK', 'good', 'promo', 'cheap']")</f>
        <v>['APK', 'good', 'promo', 'cheap']</v>
      </c>
      <c r="D4548" s="3">
        <v>5.0</v>
      </c>
    </row>
    <row r="4549" ht="15.75" customHeight="1">
      <c r="A4549" s="1">
        <v>4886.0</v>
      </c>
      <c r="B4549" s="3" t="s">
        <v>4427</v>
      </c>
      <c r="C4549" s="3" t="str">
        <f>IFERROR(__xludf.DUMMYFUNCTION("GOOGLETRANSLATE(B4549,""id"",""en"")"),"['Severe', 'quality', 'network', 'Telkomsel', 'already', 'like', 'provider', 'bgus',' signal ',' city ',' tnggal ',' keperun ',' Severe ',' Out ',' Satisfied ',' PKai ',' Internet ',' Card ',' Telkomsel ',' Please ',' Fix ',' Service ',' Country ',' Sprti"&amp;" ',' Quality ' , 'Star', 'Quality', 'Signal', '']")</f>
        <v>['Severe', 'quality', 'network', 'Telkomsel', 'already', 'like', 'provider', 'bgus',' signal ',' city ',' tnggal ',' keperun ',' Severe ',' Out ',' Satisfied ',' PKai ',' Internet ',' Card ',' Telkomsel ',' Please ',' Fix ',' Service ',' Country ',' Sprti ',' Quality ' , 'Star', 'Quality', 'Signal', '']</v>
      </c>
      <c r="D4549" s="3">
        <v>1.0</v>
      </c>
    </row>
    <row r="4550" ht="15.75" customHeight="1">
      <c r="A4550" s="1">
        <v>4887.0</v>
      </c>
      <c r="B4550" s="3" t="s">
        <v>4428</v>
      </c>
      <c r="C4550" s="3" t="str">
        <f>IFERROR(__xludf.DUMMYFUNCTION("GOOGLETRANSLATE(B4550,""id"",""en"")"),"['Try', 'keep']")</f>
        <v>['Try', 'keep']</v>
      </c>
      <c r="D4550" s="3">
        <v>4.0</v>
      </c>
    </row>
    <row r="4551" ht="15.75" customHeight="1">
      <c r="A4551" s="1">
        <v>4888.0</v>
      </c>
      <c r="B4551" s="3" t="s">
        <v>4429</v>
      </c>
      <c r="C4551" s="3" t="str">
        <f>IFERROR(__xludf.DUMMYFUNCTION("GOOGLETRANSLATE(B4551,""id"",""en"")"),"['Please', 'Telkomsel', 'Segara', 'fix', 'network', 'slow', 'stable', 'consumer', 'Disappointed', 'disappointed', 'quality', 'internet', ' ugly ',' network ',' Telkomsel ',' free ',' fast ',' normalized ',' trimakasih ']")</f>
        <v>['Please', 'Telkomsel', 'Segara', 'fix', 'network', 'slow', 'stable', 'consumer', 'Disappointed', 'disappointed', 'quality', 'internet', ' ugly ',' network ',' Telkomsel ',' free ',' fast ',' normalized ',' trimakasih ']</v>
      </c>
      <c r="D4551" s="3">
        <v>1.0</v>
      </c>
    </row>
    <row r="4552" ht="15.75" customHeight="1">
      <c r="A4552" s="1">
        <v>4889.0</v>
      </c>
      <c r="B4552" s="3" t="s">
        <v>4430</v>
      </c>
      <c r="C4552" s="3" t="str">
        <f>IFERROR(__xludf.DUMMYFUNCTION("GOOGLETRANSLATE(B4552,""id"",""en"")"),"['', 'Android', 'Install', 'Breee', 'Update', 'Support', 'Android', '']")</f>
        <v>['', 'Android', 'Install', 'Breee', 'Update', 'Support', 'Android', '']</v>
      </c>
      <c r="D4552" s="3">
        <v>5.0</v>
      </c>
    </row>
    <row r="4553" ht="15.75" customHeight="1">
      <c r="A4553" s="1">
        <v>4890.0</v>
      </c>
      <c r="B4553" s="3" t="s">
        <v>4431</v>
      </c>
      <c r="C4553" s="3" t="str">
        <f>IFERROR(__xludf.DUMMYFUNCTION("GOOGLETRANSLATE(B4553,""id"",""en"")"),"['Give', 'Best']")</f>
        <v>['Give', 'Best']</v>
      </c>
      <c r="D4553" s="3">
        <v>1.0</v>
      </c>
    </row>
    <row r="4554" ht="15.75" customHeight="1">
      <c r="A4554" s="1">
        <v>4891.0</v>
      </c>
      <c r="B4554" s="3" t="s">
        <v>4432</v>
      </c>
      <c r="C4554" s="3" t="str">
        <f>IFERROR(__xludf.DUMMYFUNCTION("GOOGLETRANSLATE(B4554,""id"",""en"")"),"['automatic', 'select', '']")</f>
        <v>['automatic', 'select', '']</v>
      </c>
      <c r="D4554" s="3">
        <v>4.0</v>
      </c>
    </row>
    <row r="4555" ht="15.75" customHeight="1">
      <c r="A4555" s="1">
        <v>4892.0</v>
      </c>
      <c r="B4555" s="3" t="s">
        <v>4433</v>
      </c>
      <c r="C4555" s="3" t="str">
        <f>IFERROR(__xludf.DUMMYFUNCTION("GOOGLETRANSLATE(B4555,""id"",""en"")"),"['Telkomsel', 'idiot', 'buy', 'package', 'game', 'Main', 'Game', 'Telkomsel', 'idiot']")</f>
        <v>['Telkomsel', 'idiot', 'buy', 'package', 'game', 'Main', 'Game', 'Telkomsel', 'idiot']</v>
      </c>
      <c r="D4555" s="3">
        <v>1.0</v>
      </c>
    </row>
    <row r="4556" ht="15.75" customHeight="1">
      <c r="A4556" s="1">
        <v>4893.0</v>
      </c>
      <c r="B4556" s="3" t="s">
        <v>4434</v>
      </c>
      <c r="C4556" s="3" t="str">
        <f>IFERROR(__xludf.DUMMYFUNCTION("GOOGLETRANSLATE(B4556,""id"",""en"")"),"['Allah', 'Maha', 'servant', 'Allah', 'Maha', 'fair', 'best', 'servant', ""]")</f>
        <v>['Allah', 'Maha', 'servant', 'Allah', 'Maha', 'fair', 'best', 'servant', "]</v>
      </c>
      <c r="D4556" s="3">
        <v>1.0</v>
      </c>
    </row>
    <row r="4557" ht="15.75" customHeight="1">
      <c r="A4557" s="1">
        <v>4894.0</v>
      </c>
      <c r="B4557" s="3" t="s">
        <v>4435</v>
      </c>
      <c r="C4557" s="3" t="str">
        <f>IFERROR(__xludf.DUMMYFUNCTION("GOOGLETRANSLATE(B4557,""id"",""en"")"),"['Gadak', 'Brain', 'Telkomsel', 'Pulak', 'Exchange', 'On', 'Yesterday', 'Buy', 'Active', 'smpe', 'Skrng', 'Change', ' Active ',' buy ',' Package ',' Telkomsel ',' Times', 'Uda', 'expensive', 'Mentik', 'Pulak']")</f>
        <v>['Gadak', 'Brain', 'Telkomsel', 'Pulak', 'Exchange', 'On', 'Yesterday', 'Buy', 'Active', 'smpe', 'Skrng', 'Change', ' Active ',' buy ',' Package ',' Telkomsel ',' Times', 'Uda', 'expensive', 'Mentik', 'Pulak']</v>
      </c>
      <c r="D4557" s="3">
        <v>1.0</v>
      </c>
    </row>
    <row r="4558" ht="15.75" customHeight="1">
      <c r="A4558" s="1">
        <v>4895.0</v>
      </c>
      <c r="B4558" s="3" t="s">
        <v>4436</v>
      </c>
      <c r="C4558" s="3" t="str">
        <f>IFERROR(__xludf.DUMMYFUNCTION("GOOGLETRANSLATE(B4558,""id"",""en"")"),"['ngelus',' chest ',' right ',' see ',' package ',' monthly ',' rb ',' package ',' match ',' CMA ',' GB ',' RB ',' a month ',' Sad ',' Telkomsel ',' BNI ',' Please ',' BNI ',' ']")</f>
        <v>['ngelus',' chest ',' right ',' see ',' package ',' monthly ',' rb ',' package ',' match ',' CMA ',' GB ',' RB ',' a month ',' Sad ',' Telkomsel ',' BNI ',' Please ',' BNI ',' ']</v>
      </c>
      <c r="D4558" s="3">
        <v>1.0</v>
      </c>
    </row>
    <row r="4559" ht="15.75" customHeight="1">
      <c r="A4559" s="1">
        <v>4896.0</v>
      </c>
      <c r="B4559" s="3" t="s">
        <v>4437</v>
      </c>
      <c r="C4559" s="3" t="str">
        <f>IFERROR(__xludf.DUMMYFUNCTION("GOOGLETRANSLATE(B4559,""id"",""en"")"),"['take', 'storage', 'check', 'number', 'quota', 'right', 'check', 'storage', 'GB', 'Storage']")</f>
        <v>['take', 'storage', 'check', 'number', 'quota', 'right', 'check', 'storage', 'GB', 'Storage']</v>
      </c>
      <c r="D4559" s="3">
        <v>4.0</v>
      </c>
    </row>
    <row r="4560" ht="15.75" customHeight="1">
      <c r="A4560" s="1">
        <v>4897.0</v>
      </c>
      <c r="B4560" s="3" t="s">
        <v>4438</v>
      </c>
      <c r="C4560" s="3" t="str">
        <f>IFERROR(__xludf.DUMMYFUNCTION("GOOGLETRANSLATE(B4560,""id"",""en"")"),"['Telkomsel', 'opponent', '']")</f>
        <v>['Telkomsel', 'opponent', '']</v>
      </c>
      <c r="D4560" s="3">
        <v>5.0</v>
      </c>
    </row>
    <row r="4561" ht="15.75" customHeight="1">
      <c r="A4561" s="1">
        <v>4898.0</v>
      </c>
      <c r="B4561" s="3" t="s">
        <v>4439</v>
      </c>
      <c r="C4561" s="3" t="str">
        <f>IFERROR(__xludf.DUMMYFUNCTION("GOOGLETRANSLATE(B4561,""id"",""en"")"),"['Claim', 'Program', 'Dially', 'Check', 'Voucher', 'Discount', 'Buy', 'Package', 'MaxStream', 'Video', 'for' 'pulses',' Blum ',' compensation ',' pulse ',' ']")</f>
        <v>['Claim', 'Program', 'Dially', 'Check', 'Voucher', 'Discount', 'Buy', 'Package', 'MaxStream', 'Video', 'for' 'pulses',' Blum ',' compensation ',' pulse ',' ']</v>
      </c>
      <c r="D4561" s="3">
        <v>2.0</v>
      </c>
    </row>
    <row r="4562" ht="15.75" customHeight="1">
      <c r="A4562" s="1">
        <v>4899.0</v>
      </c>
      <c r="B4562" s="3" t="s">
        <v>4440</v>
      </c>
      <c r="C4562" s="3" t="str">
        <f>IFERROR(__xludf.DUMMYFUNCTION("GOOGLETRANSLATE(B4562,""id"",""en"")"),"['Please', 'Network', 'Outside', 'Javanese', 'Severe', 'Very', 'Network', 'The Widest', 'Fastest', 'Telkomsel', 'The Network', 'Lost', ' Appearing ',' location ',' signal ',' Kendaan ',' Often ',' quota ',' data ',' missing ',' ter ',' disconnect ',' obst"&amp;"acle ',' appears', 'hose' , 'minutes', 'Ter', 'disconnect', 'interrupted', 'comfortable', 'Telkomsel', 'please', 'response', ""]")</f>
        <v>['Please', 'Network', 'Outside', 'Javanese', 'Severe', 'Very', 'Network', 'The Widest', 'Fastest', 'Telkomsel', 'The Network', 'Lost', ' Appearing ',' location ',' signal ',' Kendaan ',' Often ',' quota ',' data ',' missing ',' ter ',' disconnect ',' obstacle ',' appears', 'hose' , 'minutes', 'Ter', 'disconnect', 'interrupted', 'comfortable', 'Telkomsel', 'please', 'response', "]</v>
      </c>
      <c r="D4562" s="3">
        <v>2.0</v>
      </c>
    </row>
    <row r="4563" ht="15.75" customHeight="1">
      <c r="A4563" s="1">
        <v>4900.0</v>
      </c>
      <c r="B4563" s="3" t="s">
        <v>4441</v>
      </c>
      <c r="C4563" s="3" t="str">
        <f>IFERROR(__xludf.DUMMYFUNCTION("GOOGLETRANSLATE(B4563,""id"",""en"")"),"['Network', 'Telkomsel', 'repaired', '']")</f>
        <v>['Network', 'Telkomsel', 'repaired', '']</v>
      </c>
      <c r="D4563" s="3">
        <v>1.0</v>
      </c>
    </row>
    <row r="4564" ht="15.75" customHeight="1">
      <c r="A4564" s="1">
        <v>4902.0</v>
      </c>
      <c r="B4564" s="3" t="s">
        <v>4442</v>
      </c>
      <c r="C4564" s="3" t="str">
        <f>IFERROR(__xludf.DUMMYFUNCTION("GOOGLETRANSLATE(B4564,""id"",""en"")"),"['Sousiny', 'sick', 'head', ""]")</f>
        <v>['Sousiny', 'sick', 'head', "]</v>
      </c>
      <c r="D4564" s="3">
        <v>1.0</v>
      </c>
    </row>
    <row r="4565" ht="15.75" customHeight="1">
      <c r="A4565" s="1">
        <v>4903.0</v>
      </c>
      <c r="B4565" s="3" t="s">
        <v>4443</v>
      </c>
      <c r="C4565" s="3" t="str">
        <f>IFERROR(__xludf.DUMMYFUNCTION("GOOGLETRANSLATE(B4565,""id"",""en"")"),"['Telkomsel', 'Leet', '']")</f>
        <v>['Telkomsel', 'Leet', '']</v>
      </c>
      <c r="D4565" s="3">
        <v>2.0</v>
      </c>
    </row>
    <row r="4566" ht="15.75" customHeight="1">
      <c r="A4566" s="1">
        <v>4905.0</v>
      </c>
      <c r="B4566" s="3" t="s">
        <v>4444</v>
      </c>
      <c r="C4566" s="3" t="str">
        <f>IFERROR(__xludf.DUMMYFUNCTION("GOOGLETRANSLATE(B4566,""id"",""en"")"),"['Main', 'Game', 'Mobile', 'Legend', 'The network', 'ilang', 'Network', 'Changed', 'Change', ""]")</f>
        <v>['Main', 'Game', 'Mobile', 'Legend', 'The network', 'ilang', 'Network', 'Changed', 'Change', "]</v>
      </c>
      <c r="D4566" s="3">
        <v>1.0</v>
      </c>
    </row>
    <row r="4567" ht="15.75" customHeight="1">
      <c r="A4567" s="1">
        <v>4906.0</v>
      </c>
      <c r="B4567" s="3" t="s">
        <v>4445</v>
      </c>
      <c r="C4567" s="3" t="str">
        <f>IFERROR(__xludf.DUMMYFUNCTION("GOOGLETRANSLATE(B4567,""id"",""en"")"),"['Dunwload', 'Bintang', 'Ajj', 'Dlu', 'Entar', 'Misalkn', 'Enk', 'PKE', 'Tamh', 'LGI', 'bead']")</f>
        <v>['Dunwload', 'Bintang', 'Ajj', 'Dlu', 'Entar', 'Misalkn', 'Enk', 'PKE', 'Tamh', 'LGI', 'bead']</v>
      </c>
      <c r="D4567" s="3">
        <v>2.0</v>
      </c>
    </row>
    <row r="4568" ht="15.75" customHeight="1">
      <c r="A4568" s="1">
        <v>4907.0</v>
      </c>
      <c r="B4568" s="3" t="s">
        <v>4446</v>
      </c>
      <c r="C4568" s="3" t="str">
        <f>IFERROR(__xludf.DUMMYFUNCTION("GOOGLETRANSLATE(B4568,""id"",""en"")"),"['Signal', 'Internet', 'ugly', 'slow', 'annoying', 'fix', 'performance']")</f>
        <v>['Signal', 'Internet', 'ugly', 'slow', 'annoying', 'fix', 'performance']</v>
      </c>
      <c r="D4568" s="3">
        <v>1.0</v>
      </c>
    </row>
    <row r="4569" ht="15.75" customHeight="1">
      <c r="A4569" s="1">
        <v>4908.0</v>
      </c>
      <c r="B4569" s="3" t="s">
        <v>4447</v>
      </c>
      <c r="C4569" s="3" t="str">
        <f>IFERROR(__xludf.DUMMYFUNCTION("GOOGLETRANSLATE(B4569,""id"",""en"")"),"['Lose', 'ugly', 'Ama', 'Tri', 'Manyakan', 'lag', 'lag', 'rare', 'lag', 'lag', 'minute', 'lag', ' Mulu ',' crying ',' cry ',' right ',' meet ',' lag ',' severe ',' right ',' play ',' lag ',' severe ',' because 'jejeka' , 'tri', 'yaudah', '']")</f>
        <v>['Lose', 'ugly', 'Ama', 'Tri', 'Manyakan', 'lag', 'lag', 'rare', 'lag', 'lag', 'minute', 'lag', ' Mulu ',' crying ',' cry ',' right ',' meet ',' lag ',' severe ',' right ',' play ',' lag ',' severe ',' because 'jejeka' , 'tri', 'yaudah', '']</v>
      </c>
      <c r="D4569" s="3">
        <v>2.0</v>
      </c>
    </row>
    <row r="4570" ht="15.75" customHeight="1">
      <c r="A4570" s="1">
        <v>4909.0</v>
      </c>
      <c r="B4570" s="3" t="s">
        <v>4448</v>
      </c>
      <c r="C4570" s="3" t="str">
        <f>IFERROR(__xludf.DUMMYFUNCTION("GOOGLETRANSLATE(B4570,""id"",""en"")"),"['Bagusan', 'version']")</f>
        <v>['Bagusan', 'version']</v>
      </c>
      <c r="D4570" s="3">
        <v>4.0</v>
      </c>
    </row>
    <row r="4571" ht="15.75" customHeight="1">
      <c r="A4571" s="1">
        <v>4910.0</v>
      </c>
      <c r="B4571" s="3" t="s">
        <v>4449</v>
      </c>
      <c r="C4571" s="3" t="str">
        <f>IFERROR(__xludf.DUMMYFUNCTION("GOOGLETRANSLATE(B4571,""id"",""en"")"),"['difficult', 'login', 'repeat', 'times', 'error', 'mulu']")</f>
        <v>['difficult', 'login', 'repeat', 'times', 'error', 'mulu']</v>
      </c>
      <c r="D4571" s="3">
        <v>1.0</v>
      </c>
    </row>
    <row r="4572" ht="15.75" customHeight="1">
      <c r="A4572" s="1">
        <v>4911.0</v>
      </c>
      <c r="B4572" s="3" t="s">
        <v>4450</v>
      </c>
      <c r="C4572" s="3" t="str">
        <f>IFERROR(__xludf.DUMMYFUNCTION("GOOGLETRANSLATE(B4572,""id"",""en"")"),"['Assalamualaikum', 'Please', 'Telkomsel', 'Network', 'Internet', 'Disorders', 'Thank you']")</f>
        <v>['Assalamualaikum', 'Please', 'Telkomsel', 'Network', 'Internet', 'Disorders', 'Thank you']</v>
      </c>
      <c r="D4572" s="3">
        <v>5.0</v>
      </c>
    </row>
    <row r="4573" ht="15.75" customHeight="1">
      <c r="A4573" s="1">
        <v>4912.0</v>
      </c>
      <c r="B4573" s="3" t="s">
        <v>4451</v>
      </c>
      <c r="C4573" s="3" t="str">
        <f>IFERROR(__xludf.DUMMYFUNCTION("GOOGLETRANSLATE(B4573,""id"",""en"")"),"['Network', 'extensive', 'good']")</f>
        <v>['Network', 'extensive', 'good']</v>
      </c>
      <c r="D4573" s="3">
        <v>5.0</v>
      </c>
    </row>
    <row r="4574" ht="15.75" customHeight="1">
      <c r="A4574" s="1">
        <v>4913.0</v>
      </c>
      <c r="B4574" s="3" t="s">
        <v>4452</v>
      </c>
      <c r="C4574" s="3" t="str">
        <f>IFERROR(__xludf.DUMMYFUNCTION("GOOGLETRANSLATE(B4574,""id"",""en"")"),"['Fast', 'short']")</f>
        <v>['Fast', 'short']</v>
      </c>
      <c r="D4574" s="3">
        <v>5.0</v>
      </c>
    </row>
    <row r="4575" ht="15.75" customHeight="1">
      <c r="A4575" s="1">
        <v>4914.0</v>
      </c>
      <c r="B4575" s="3" t="s">
        <v>4453</v>
      </c>
      <c r="C4575" s="3" t="str">
        <f>IFERROR(__xludf.DUMMYFUNCTION("GOOGLETRANSLATE(B4575,""id"",""en"")"),"['quota', 'expensive', 'slow', 'kayak', 'wifi', 'indihome']")</f>
        <v>['quota', 'expensive', 'slow', 'kayak', 'wifi', 'indihome']</v>
      </c>
      <c r="D4575" s="3">
        <v>1.0</v>
      </c>
    </row>
    <row r="4576" ht="15.75" customHeight="1">
      <c r="A4576" s="1">
        <v>4916.0</v>
      </c>
      <c r="B4576" s="3" t="s">
        <v>4454</v>
      </c>
      <c r="C4576" s="3" t="str">
        <f>IFERROR(__xludf.DUMMYFUNCTION("GOOGLETRANSLATE(B4576,""id"",""en"")"),"['The application', 'good', 'minus', 'sometimes', 'right', 'opened', 'likes', 'loading']")</f>
        <v>['The application', 'good', 'minus', 'sometimes', 'right', 'opened', 'likes', 'loading']</v>
      </c>
      <c r="D4576" s="3">
        <v>4.0</v>
      </c>
    </row>
    <row r="4577" ht="15.75" customHeight="1">
      <c r="A4577" s="1">
        <v>4917.0</v>
      </c>
      <c r="B4577" s="3" t="s">
        <v>4455</v>
      </c>
      <c r="C4577" s="3" t="str">
        <f>IFERROR(__xludf.DUMMYFUNCTION("GOOGLETRANSLATE(B4577,""id"",""en"")"),"['Bad', 'all', 'expensive']")</f>
        <v>['Bad', 'all', 'expensive']</v>
      </c>
      <c r="D4577" s="3">
        <v>1.0</v>
      </c>
    </row>
    <row r="4578" ht="15.75" customHeight="1">
      <c r="A4578" s="1">
        <v>4918.0</v>
      </c>
      <c r="B4578" s="3" t="s">
        <v>4456</v>
      </c>
      <c r="C4578" s="3" t="str">
        <f>IFERROR(__xludf.DUMMYFUNCTION("GOOGLETRANSLATE(B4578,""id"",""en"")"),"['Nice', 'Success', 'cell', '']")</f>
        <v>['Nice', 'Success', 'cell', '']</v>
      </c>
      <c r="D4578" s="3">
        <v>5.0</v>
      </c>
    </row>
    <row r="4579" ht="15.75" customHeight="1">
      <c r="A4579" s="1">
        <v>4919.0</v>
      </c>
      <c r="B4579" s="3" t="s">
        <v>4457</v>
      </c>
      <c r="C4579" s="3" t="str">
        <f>IFERROR(__xludf.DUMMYFUNCTION("GOOGLETRANSLATE(B4579,""id"",""en"")"),"['Credit', 'relative', 'cheap', 'hope', 'package', 'data', 'cheap', 'price', 'friendly']")</f>
        <v>['Credit', 'relative', 'cheap', 'hope', 'package', 'data', 'cheap', 'price', 'friendly']</v>
      </c>
      <c r="D4579" s="3">
        <v>4.0</v>
      </c>
    </row>
    <row r="4580" ht="15.75" customHeight="1">
      <c r="A4580" s="1">
        <v>4921.0</v>
      </c>
      <c r="B4580" s="3" t="s">
        <v>4458</v>
      </c>
      <c r="C4580" s="3" t="str">
        <f>IFERROR(__xludf.DUMMYFUNCTION("GOOGLETRANSLATE(B4580,""id"",""en"")"),"['signal', 'ugly', 'kayak', 'epep', 'right', 'play', 'game', 'ping', 'squeezed']")</f>
        <v>['signal', 'ugly', 'kayak', 'epep', 'right', 'play', 'game', 'ping', 'squeezed']</v>
      </c>
      <c r="D4580" s="3">
        <v>1.0</v>
      </c>
    </row>
    <row r="4581" ht="15.75" customHeight="1">
      <c r="A4581" s="1">
        <v>4922.0</v>
      </c>
      <c r="B4581" s="3" t="s">
        <v>4459</v>
      </c>
      <c r="C4581" s="3" t="str">
        <f>IFERROR(__xludf.DUMMYFUNCTION("GOOGLETRANSLATE(B4581,""id"",""en"")"),"['Sorry', 'please', 'fix', 'network', 'internet', 'Telkomsel', 'region', 'city', 'bengkulu', 'difficult', 'really', 'signal', ' Cards', 'Telkomsel', '']")</f>
        <v>['Sorry', 'please', 'fix', 'network', 'internet', 'Telkomsel', 'region', 'city', 'bengkulu', 'difficult', 'really', 'signal', ' Cards', 'Telkomsel', '']</v>
      </c>
      <c r="D4581" s="3">
        <v>2.0</v>
      </c>
    </row>
    <row r="4582" ht="15.75" customHeight="1">
      <c r="A4582" s="1">
        <v>4923.0</v>
      </c>
      <c r="B4582" s="3" t="s">
        <v>4460</v>
      </c>
      <c r="C4582" s="3" t="str">
        <f>IFERROR(__xludf.DUMMYFUNCTION("GOOGLETRANSLATE(B4582,""id"",""en"")"),"['Features', 'Application', 'Telkomsel', 'Good', 'Promo', 'Increases', 'Enhanced', 'Signal', 'Region']")</f>
        <v>['Features', 'Application', 'Telkomsel', 'Good', 'Promo', 'Increases', 'Enhanced', 'Signal', 'Region']</v>
      </c>
      <c r="D4582" s="3">
        <v>5.0</v>
      </c>
    </row>
    <row r="4583" ht="15.75" customHeight="1">
      <c r="A4583" s="1">
        <v>4924.0</v>
      </c>
      <c r="B4583" s="3" t="s">
        <v>4461</v>
      </c>
      <c r="C4583" s="3" t="str">
        <f>IFERROR(__xludf.DUMMYFUNCTION("GOOGLETRANSLATE(B4583,""id"",""en"")"),"['card', 'a million', 'people', ""]")</f>
        <v>['card', 'a million', 'people', "]</v>
      </c>
      <c r="D4583" s="3">
        <v>5.0</v>
      </c>
    </row>
    <row r="4584" ht="15.75" customHeight="1">
      <c r="A4584" s="1">
        <v>4926.0</v>
      </c>
      <c r="B4584" s="3" t="s">
        <v>4462</v>
      </c>
      <c r="C4584" s="3" t="str">
        <f>IFERROR(__xludf.DUMMYFUNCTION("GOOGLETRANSLATE(B4584,""id"",""en"")"),"['Jancoook', 'Telkomsel', 'No', 'Network', 'No', 'WiFi', 'Jancook', 'Pay', 'Expensive', 'Network', 'Jancook']")</f>
        <v>['Jancoook', 'Telkomsel', 'No', 'Network', 'No', 'WiFi', 'Jancook', 'Pay', 'Expensive', 'Network', 'Jancook']</v>
      </c>
      <c r="D4584" s="3">
        <v>1.0</v>
      </c>
    </row>
    <row r="4585" ht="15.75" customHeight="1">
      <c r="A4585" s="1">
        <v>4927.0</v>
      </c>
      <c r="B4585" s="3" t="s">
        <v>4463</v>
      </c>
      <c r="C4585" s="3" t="str">
        <f>IFERROR(__xludf.DUMMYFUNCTION("GOOGLETRANSLATE(B4585,""id"",""en"")"),"['application', 'emang', 'good', 'network', 'good', 'users', 'Telkomsel', 'complain', 'data', 'expensive', 'please', 'fix']")</f>
        <v>['application', 'emang', 'good', 'network', 'good', 'users', 'Telkomsel', 'complain', 'data', 'expensive', 'please', 'fix']</v>
      </c>
      <c r="D4585" s="3">
        <v>1.0</v>
      </c>
    </row>
    <row r="4586" ht="15.75" customHeight="1">
      <c r="A4586" s="1">
        <v>4928.0</v>
      </c>
      <c r="B4586" s="3" t="s">
        <v>4464</v>
      </c>
      <c r="C4586" s="3" t="str">
        <f>IFERROR(__xludf.DUMMYFUNCTION("GOOGLETRANSLATE(B4586,""id"",""en"")"),"['Disappointed', 'Telkomsel', 'contents',' pulses', 'sumps',' pdhal ',' package ',' package ',' quota ',' sya ',' jrang ',' sya ',' AkrIf ',' because ',' Sring ',' Use ',' WiFi ',' Activate ',' Data ',' cellular ',' credit ',' Sya ',' little ',' a little "&amp;"' , 'Sumpot', 'Rupiah', 'Please', 'Fix', 'Complaints', 'Good', 'Disappointed', 'User', 'Telkomsel', ""]")</f>
        <v>['Disappointed', 'Telkomsel', 'contents',' pulses', 'sumps',' pdhal ',' package ',' package ',' quota ',' sya ',' jrang ',' sya ',' AkrIf ',' because ',' Sring ',' Use ',' WiFi ',' Activate ',' Data ',' cellular ',' credit ',' Sya ',' little ',' a little ' , 'Sumpot', 'Rupiah', 'Please', 'Fix', 'Complaints', 'Good', 'Disappointed', 'User', 'Telkomsel', "]</v>
      </c>
      <c r="D4586" s="3">
        <v>1.0</v>
      </c>
    </row>
    <row r="4587" ht="15.75" customHeight="1">
      <c r="A4587" s="1">
        <v>4930.0</v>
      </c>
      <c r="B4587" s="3" t="s">
        <v>4465</v>
      </c>
      <c r="C4587" s="3" t="str">
        <f>IFERROR(__xludf.DUMMYFUNCTION("GOOGLETRANSLATE(B4587,""id"",""en"")"),"['complicated', 'account', 'mama', 'logout', 'contents', 'pulse', 'difficult', '']")</f>
        <v>['complicated', 'account', 'mama', 'logout', 'contents', 'pulse', 'difficult', '']</v>
      </c>
      <c r="D4587" s="3">
        <v>1.0</v>
      </c>
    </row>
    <row r="4588" ht="15.75" customHeight="1">
      <c r="A4588" s="1">
        <v>4931.0</v>
      </c>
      <c r="B4588" s="3" t="s">
        <v>4466</v>
      </c>
      <c r="C4588" s="3" t="str">
        <f>IFERROR(__xludf.DUMMYFUNCTION("GOOGLETRANSLATE(B4588,""id"",""en"")"),"['Network', 'Ngen', ""]")</f>
        <v>['Network', 'Ngen', "]</v>
      </c>
      <c r="D4588" s="3">
        <v>1.0</v>
      </c>
    </row>
    <row r="4589" ht="15.75" customHeight="1">
      <c r="A4589" s="1">
        <v>4932.0</v>
      </c>
      <c r="B4589" s="3" t="s">
        <v>4467</v>
      </c>
      <c r="C4589" s="3" t="str">
        <f>IFERROR(__xludf.DUMMYFUNCTION("GOOGLETRANSLATE(B4589,""id"",""en"")"),"['skrg', 'buy', 'package', 'night', 'udh', 'how', 'Telkomsel', 'severe']")</f>
        <v>['skrg', 'buy', 'package', 'night', 'udh', 'how', 'Telkomsel', 'severe']</v>
      </c>
      <c r="D4589" s="3">
        <v>1.0</v>
      </c>
    </row>
    <row r="4590" ht="15.75" customHeight="1">
      <c r="A4590" s="1">
        <v>4933.0</v>
      </c>
      <c r="B4590" s="3" t="s">
        <v>4468</v>
      </c>
      <c r="C4590" s="3" t="str">
        <f>IFERROR(__xludf.DUMMYFUNCTION("GOOGLETRANSLATE(B4590,""id"",""en"")"),"['smg', 'promo']")</f>
        <v>['smg', 'promo']</v>
      </c>
      <c r="D4590" s="3">
        <v>5.0</v>
      </c>
    </row>
    <row r="4591" ht="15.75" customHeight="1">
      <c r="A4591" s="1">
        <v>4934.0</v>
      </c>
      <c r="B4591" s="3" t="s">
        <v>4469</v>
      </c>
      <c r="C4591" s="3" t="str">
        <f>IFERROR(__xludf.DUMMYFUNCTION("GOOGLETRANSLATE(B4591,""id"",""en"")"),"['Mantap', 'pokonamah']")</f>
        <v>['Mantap', 'pokonamah']</v>
      </c>
      <c r="D4591" s="3">
        <v>5.0</v>
      </c>
    </row>
    <row r="4592" ht="15.75" customHeight="1">
      <c r="A4592" s="1">
        <v>4935.0</v>
      </c>
      <c r="B4592" s="3" t="s">
        <v>4470</v>
      </c>
      <c r="C4592" s="3" t="str">
        <f>IFERROR(__xludf.DUMMYFUNCTION("GOOGLETRANSLATE(B4592,""id"",""en"")"),"['bad', 'the application', 'update', 'updated', 'slow', 'buy', 'quota', 'quota', 'compared', 'quota', 'buy', 'quota', ' Description ',' Quota ',' Entertainment ',' Network ',' Kenceng ', ""]")</f>
        <v>['bad', 'the application', 'update', 'updated', 'slow', 'buy', 'quota', 'quota', 'compared', 'quota', 'buy', 'quota', ' Description ',' Quota ',' Entertainment ',' Network ',' Kenceng ', "]</v>
      </c>
      <c r="D4592" s="3">
        <v>1.0</v>
      </c>
    </row>
    <row r="4593" ht="15.75" customHeight="1">
      <c r="A4593" s="1">
        <v>4936.0</v>
      </c>
      <c r="B4593" s="3" t="s">
        <v>4471</v>
      </c>
      <c r="C4593" s="3" t="str">
        <f>IFERROR(__xludf.DUMMYFUNCTION("GOOGLETRANSLATE(B4593,""id"",""en"")"),"['easy', 'buy', 'package', 'data', 'pulse', 'prize']")</f>
        <v>['easy', 'buy', 'package', 'data', 'pulse', 'prize']</v>
      </c>
      <c r="D4593" s="3">
        <v>4.0</v>
      </c>
    </row>
    <row r="4594" ht="15.75" customHeight="1">
      <c r="A4594" s="1">
        <v>4937.0</v>
      </c>
      <c r="B4594" s="3" t="s">
        <v>4472</v>
      </c>
      <c r="C4594" s="3" t="str">
        <f>IFERROR(__xludf.DUMMYFUNCTION("GOOGLETRANSLATE(B4594,""id"",""en"")"),"['Follow', 'Lordzz', 'Follback', 'Yoo']")</f>
        <v>['Follow', 'Lordzz', 'Follback', 'Yoo']</v>
      </c>
      <c r="D4594" s="3">
        <v>5.0</v>
      </c>
    </row>
    <row r="4595" ht="15.75" customHeight="1">
      <c r="A4595" s="1">
        <v>4938.0</v>
      </c>
      <c r="B4595" s="3" t="s">
        <v>4473</v>
      </c>
      <c r="C4595" s="3" t="str">
        <f>IFERROR(__xludf.DUMMYFUNCTION("GOOGLETRANSLATE(B4595,""id"",""en"")"),"['APK', 'makes it easy', 'customer', 'loyal', 'Telkomsel']")</f>
        <v>['APK', 'makes it easy', 'customer', 'loyal', 'Telkomsel']</v>
      </c>
      <c r="D4595" s="3">
        <v>5.0</v>
      </c>
    </row>
    <row r="4596" ht="15.75" customHeight="1">
      <c r="A4596" s="1">
        <v>4939.0</v>
      </c>
      <c r="B4596" s="3" t="s">
        <v>4474</v>
      </c>
      <c r="C4596" s="3" t="str">
        <f>IFERROR(__xludf.DUMMYFUNCTION("GOOGLETRANSLATE(B4596,""id"",""en"")"),"['signal', 'msh', 'good']")</f>
        <v>['signal', 'msh', 'good']</v>
      </c>
      <c r="D4596" s="3">
        <v>5.0</v>
      </c>
    </row>
    <row r="4597" ht="15.75" customHeight="1">
      <c r="A4597" s="1">
        <v>4940.0</v>
      </c>
      <c r="B4597" s="3" t="s">
        <v>1352</v>
      </c>
      <c r="C4597" s="3" t="str">
        <f>IFERROR(__xludf.DUMMYFUNCTION("GOOGLETRANSLATE(B4597,""id"",""en"")"),"['']")</f>
        <v>['']</v>
      </c>
      <c r="D4597" s="3">
        <v>5.0</v>
      </c>
    </row>
    <row r="4598" ht="15.75" customHeight="1">
      <c r="A4598" s="1">
        <v>4941.0</v>
      </c>
      <c r="B4598" s="3" t="s">
        <v>4475</v>
      </c>
      <c r="C4598" s="3" t="str">
        <f>IFERROR(__xludf.DUMMYFUNCTION("GOOGLETRANSLATE(B4598,""id"",""en"")"),"['BGS', 'application', 'make it easy', 'buy', 'package', 'data', 'etc.', 'bln', 'buy', 'package', 'data', 'already', ' Posts', 'Check', 'Connection', 'Repeat', 'Transaction', 'MNT', 'Sampe', 'Many', 'Reinant', 'Buy', 'KNPA', 'Package', 'Unlimitedmax' , 's"&amp;"krng', 'situ']")</f>
        <v>['BGS', 'application', 'make it easy', 'buy', 'package', 'data', 'etc.', 'bln', 'buy', 'package', 'data', 'already', ' Posts', 'Check', 'Connection', 'Repeat', 'Transaction', 'MNT', 'Sampe', 'Many', 'Reinant', 'Buy', 'KNPA', 'Package', 'Unlimitedmax' , 'skrng', 'situ']</v>
      </c>
      <c r="D4598" s="3">
        <v>4.0</v>
      </c>
    </row>
    <row r="4599" ht="15.75" customHeight="1">
      <c r="A4599" s="1">
        <v>4942.0</v>
      </c>
      <c r="B4599" s="3" t="s">
        <v>4476</v>
      </c>
      <c r="C4599" s="3" t="str">
        <f>IFERROR(__xludf.DUMMYFUNCTION("GOOGLETRANSLATE(B4599,""id"",""en"")"),"['game', 'thisIII', 'KEK', 'KON', '']")</f>
        <v>['game', 'thisIII', 'KEK', 'KON', '']</v>
      </c>
      <c r="D4599" s="3">
        <v>1.0</v>
      </c>
    </row>
    <row r="4600" ht="15.75" customHeight="1">
      <c r="A4600" s="1">
        <v>4943.0</v>
      </c>
      <c r="B4600" s="3" t="s">
        <v>4477</v>
      </c>
      <c r="C4600" s="3" t="str">
        <f>IFERROR(__xludf.DUMMYFUNCTION("GOOGLETRANSLATE(B4600,""id"",""en"")"),"['Your signal', 'Ngenahno', 'Sek', 'Signal', 'Elek', 'Rego', 'Excellent', 'Signal', 'Easy', 'Lost', 'Sak', 'Karepmu', ' Dewe ',' price ',' according to ',' quality ',' consumer ',' number ',' your wallet ']")</f>
        <v>['Your signal', 'Ngenahno', 'Sek', 'Signal', 'Elek', 'Rego', 'Excellent', 'Signal', 'Easy', 'Lost', 'Sak', 'Karepmu', ' Dewe ',' price ',' according to ',' quality ',' consumer ',' number ',' your wallet ']</v>
      </c>
      <c r="D4600" s="3">
        <v>1.0</v>
      </c>
    </row>
    <row r="4601" ht="15.75" customHeight="1">
      <c r="A4601" s="1">
        <v>4944.0</v>
      </c>
      <c r="B4601" s="3" t="s">
        <v>4478</v>
      </c>
      <c r="C4601" s="3" t="str">
        <f>IFERROR(__xludf.DUMMYFUNCTION("GOOGLETRANSLATE(B4601,""id"",""en"")"),"['thank', 'love', 'application', 'kerena', 'makes it easy', 'prodok', 'Telkomsel', 'buy', 'package', 'cheap', '']")</f>
        <v>['thank', 'love', 'application', 'kerena', 'makes it easy', 'prodok', 'Telkomsel', 'buy', 'package', 'cheap', '']</v>
      </c>
      <c r="D4601" s="3">
        <v>5.0</v>
      </c>
    </row>
    <row r="4602" ht="15.75" customHeight="1">
      <c r="A4602" s="1">
        <v>4945.0</v>
      </c>
      <c r="B4602" s="3" t="s">
        <v>4479</v>
      </c>
      <c r="C4602" s="3" t="str">
        <f>IFERROR(__xludf.DUMMYFUNCTION("GOOGLETRANSLATE(B4602,""id"",""en"")"),"['Good', 'easy', 'typing', 'ribet']")</f>
        <v>['Good', 'easy', 'typing', 'ribet']</v>
      </c>
      <c r="D4602" s="3">
        <v>5.0</v>
      </c>
    </row>
    <row r="4603" ht="15.75" customHeight="1">
      <c r="A4603" s="1">
        <v>4948.0</v>
      </c>
      <c r="B4603" s="3" t="s">
        <v>4480</v>
      </c>
      <c r="C4603" s="3" t="str">
        <f>IFERROR(__xludf.DUMMYFUNCTION("GOOGLETRANSLATE(B4603,""id"",""en"")"),"['Rates',' expensive ',' quality ',' cheap ',' network ',' internet ',' missing ',' mending ',' moved ',' operator ',' next door ',' phone ',' Response ',' minimal ']")</f>
        <v>['Rates',' expensive ',' quality ',' cheap ',' network ',' internet ',' missing ',' mending ',' moved ',' operator ',' next door ',' phone ',' Response ',' minimal ']</v>
      </c>
      <c r="D4603" s="3">
        <v>1.0</v>
      </c>
    </row>
    <row r="4604" ht="15.75" customHeight="1">
      <c r="A4604" s="1">
        <v>4949.0</v>
      </c>
      <c r="B4604" s="3" t="s">
        <v>4481</v>
      </c>
      <c r="C4604" s="3" t="str">
        <f>IFERROR(__xludf.DUMMYFUNCTION("GOOGLETRANSLATE(B4604,""id"",""en"")"),"['Package', 'Multimedia', 'Difficult', 'Dipake', 'Quota', 'Gede', 'Already', 'Speed', 'Rich', 'Package', 'Internet', 'Sometimes',' Used ',' Network ',' Like ',' Loading ',' ']")</f>
        <v>['Package', 'Multimedia', 'Difficult', 'Dipake', 'Quota', 'Gede', 'Already', 'Speed', 'Rich', 'Package', 'Internet', 'Sometimes',' Used ',' Network ',' Like ',' Loading ',' ']</v>
      </c>
      <c r="D4604" s="3">
        <v>1.0</v>
      </c>
    </row>
    <row r="4605" ht="15.75" customHeight="1">
      <c r="A4605" s="1">
        <v>4950.0</v>
      </c>
      <c r="B4605" s="3" t="s">
        <v>4482</v>
      </c>
      <c r="C4605" s="3" t="str">
        <f>IFERROR(__xludf.DUMMYFUNCTION("GOOGLETRANSLATE(B4605,""id"",""en"")"),"['Network', 'ugly', 'package', 'unlimited']")</f>
        <v>['Network', 'ugly', 'package', 'unlimited']</v>
      </c>
      <c r="D4605" s="3">
        <v>2.0</v>
      </c>
    </row>
    <row r="4606" ht="15.75" customHeight="1">
      <c r="A4606" s="1">
        <v>4951.0</v>
      </c>
      <c r="B4606" s="3" t="s">
        <v>4483</v>
      </c>
      <c r="C4606" s="3" t="str">
        <f>IFERROR(__xludf.DUMMYFUNCTION("GOOGLETRANSLATE(B4606,""id"",""en"")"),"['application', 'monkey', 'bsa', 'network', 'telkomsel', 'wifi', 'cave', 'kenceng', 'bsa', 'like', 'devil', 'emang', ' quota ',' cave ',' abis', 'gmna', 'packagein', 'cave', 'turn on', 'data', 'nnti', 'sumps',' pulses', 'njenk']")</f>
        <v>['application', 'monkey', 'bsa', 'network', 'telkomsel', 'wifi', 'cave', 'kenceng', 'bsa', 'like', 'devil', 'emang', ' quota ',' cave ',' abis', 'gmna', 'packagein', 'cave', 'turn on', 'data', 'nnti', 'sumps',' pulses', 'njenk']</v>
      </c>
      <c r="D4606" s="3">
        <v>1.0</v>
      </c>
    </row>
    <row r="4607" ht="15.75" customHeight="1">
      <c r="A4607" s="1">
        <v>4952.0</v>
      </c>
      <c r="B4607" s="3" t="s">
        <v>4484</v>
      </c>
      <c r="C4607" s="3" t="str">
        <f>IFERROR(__xludf.DUMMYFUNCTION("GOOGLETRANSLATE(B4607,""id"",""en"")"),"['Sometimes', 'network', 'slow']")</f>
        <v>['Sometimes', 'network', 'slow']</v>
      </c>
      <c r="D4607" s="3">
        <v>5.0</v>
      </c>
    </row>
    <row r="4608" ht="15.75" customHeight="1">
      <c r="A4608" s="1">
        <v>4953.0</v>
      </c>
      <c r="B4608" s="3" t="s">
        <v>4485</v>
      </c>
      <c r="C4608" s="3" t="str">
        <f>IFERROR(__xludf.DUMMYFUNCTION("GOOGLETRANSLATE(B4608,""id"",""en"")"),"['Login', 'difficult', 'really', 'chaotic', 'really', 'Ahk', 'APL', '']")</f>
        <v>['Login', 'difficult', 'really', 'chaotic', 'really', 'Ahk', 'APL', '']</v>
      </c>
      <c r="D4608" s="3">
        <v>1.0</v>
      </c>
    </row>
    <row r="4609" ht="15.75" customHeight="1">
      <c r="A4609" s="1">
        <v>4954.0</v>
      </c>
      <c r="B4609" s="3" t="s">
        <v>4486</v>
      </c>
      <c r="C4609" s="3" t="str">
        <f>IFERROR(__xludf.DUMMYFUNCTION("GOOGLETRANSLATE(B4609,""id"",""en"")"),"['signal', 'good', 'smooth', 'Jaya', 'suggestion', 'less',' price ',' quotes', 'expensive', 'compared', 'provider', 'please', ' The price is', 'customized', 'affordable', 'layer', 'community', 'medium', 'thank you']")</f>
        <v>['signal', 'good', 'smooth', 'Jaya', 'suggestion', 'less',' price ',' quotes', 'expensive', 'compared', 'provider', 'please', ' The price is', 'customized', 'affordable', 'layer', 'community', 'medium', 'thank you']</v>
      </c>
      <c r="D4609" s="3">
        <v>4.0</v>
      </c>
    </row>
    <row r="4610" ht="15.75" customHeight="1">
      <c r="A4610" s="1">
        <v>4955.0</v>
      </c>
      <c r="B4610" s="3" t="s">
        <v>4487</v>
      </c>
      <c r="C4610" s="3" t="str">
        <f>IFERROR(__xludf.DUMMYFUNCTION("GOOGLETRANSLATE(B4610,""id"",""en"")"),"['signal', 'Not bad', 'darling', 'buy', 'package', 'combo', 'Sakti', 'rb', 'kouta', 'GB', 'unlimited', 'main', ' Exhausted ',' a week ',' already ',' abis', 'zoom', 'strong', 'direct', 'forced', 'buy', 'kouta', 'right', 'left', 'zoom' , 'signal', 'interne"&amp;"t', 'difficult', '']")</f>
        <v>['signal', 'Not bad', 'darling', 'buy', 'package', 'combo', 'Sakti', 'rb', 'kouta', 'GB', 'unlimited', 'main', ' Exhausted ',' a week ',' already ',' abis', 'zoom', 'strong', 'direct', 'forced', 'buy', 'kouta', 'right', 'left', 'zoom' , 'signal', 'internet', 'difficult', '']</v>
      </c>
      <c r="D4610" s="3">
        <v>2.0</v>
      </c>
    </row>
    <row r="4611" ht="15.75" customHeight="1">
      <c r="A4611" s="1">
        <v>4956.0</v>
      </c>
      <c r="B4611" s="3" t="s">
        <v>4488</v>
      </c>
      <c r="C4611" s="3" t="str">
        <f>IFERROR(__xludf.DUMMYFUNCTION("GOOGLETRANSLATE(B4611,""id"",""en"")"),"['Help', 'Thank you', 'Telkomsel']")</f>
        <v>['Help', 'Thank you', 'Telkomsel']</v>
      </c>
      <c r="D4611" s="3">
        <v>5.0</v>
      </c>
    </row>
    <row r="4612" ht="15.75" customHeight="1">
      <c r="A4612" s="1">
        <v>4957.0</v>
      </c>
      <c r="B4612" s="3" t="s">
        <v>4489</v>
      </c>
      <c r="C4612" s="3" t="str">
        <f>IFERROR(__xludf.DUMMYFUNCTION("GOOGLETRANSLATE(B4612,""id"",""en"")"),"['base', 'fraudsters', 'sucked', 'pulses']")</f>
        <v>['base', 'fraudsters', 'sucked', 'pulses']</v>
      </c>
      <c r="D4612" s="3">
        <v>1.0</v>
      </c>
    </row>
    <row r="4613" ht="15.75" customHeight="1">
      <c r="A4613" s="1">
        <v>4958.0</v>
      </c>
      <c r="B4613" s="3" t="s">
        <v>4490</v>
      </c>
      <c r="C4613" s="3" t="str">
        <f>IFERROR(__xludf.DUMMYFUNCTION("GOOGLETRANSLATE(B4613,""id"",""en"")"),"['Please', 'Provide', 'Android', 'Version', 'Latest', 'Download']")</f>
        <v>['Please', 'Provide', 'Android', 'Version', 'Latest', 'Download']</v>
      </c>
      <c r="D4613" s="3">
        <v>3.0</v>
      </c>
    </row>
    <row r="4614" ht="15.75" customHeight="1">
      <c r="A4614" s="1">
        <v>4959.0</v>
      </c>
      <c r="B4614" s="3" t="s">
        <v>4491</v>
      </c>
      <c r="C4614" s="3" t="str">
        <f>IFERROR(__xludf.DUMMYFUNCTION("GOOGLETRANSLATE(B4614,""id"",""en"")"),"['Steady', 'satisfying']")</f>
        <v>['Steady', 'satisfying']</v>
      </c>
      <c r="D4614" s="3">
        <v>5.0</v>
      </c>
    </row>
    <row r="4615" ht="15.75" customHeight="1">
      <c r="A4615" s="1">
        <v>4960.0</v>
      </c>
      <c r="B4615" s="3" t="s">
        <v>4492</v>
      </c>
      <c r="C4615" s="3" t="str">
        <f>IFERROR(__xludf.DUMMYFUNCTION("GOOGLETRANSLATE(B4615,""id"",""en"")"),"['The network']")</f>
        <v>['The network']</v>
      </c>
      <c r="D4615" s="3">
        <v>5.0</v>
      </c>
    </row>
    <row r="4616" ht="15.75" customHeight="1">
      <c r="A4616" s="1">
        <v>4961.0</v>
      </c>
      <c r="B4616" s="3" t="s">
        <v>4493</v>
      </c>
      <c r="C4616" s="3" t="str">
        <f>IFERROR(__xludf.DUMMYFUNCTION("GOOGLETRANSLATE(B4616,""id"",""en"")"),"['understand']")</f>
        <v>['understand']</v>
      </c>
      <c r="D4616" s="3">
        <v>1.0</v>
      </c>
    </row>
    <row r="4617" ht="15.75" customHeight="1">
      <c r="A4617" s="1">
        <v>4962.0</v>
      </c>
      <c r="B4617" s="3" t="s">
        <v>4494</v>
      </c>
      <c r="C4617" s="3" t="str">
        <f>IFERROR(__xludf.DUMMYFUNCTION("GOOGLETRANSLATE(B4617,""id"",""en"")"),"['Info', 'Products',' Featured ',' Telkomsel ',' Good ',' Program ',' Promo ',' User ',' Card ',' Telkomsel ',' Unfortunate ',' Application ',' Slow ',' operated ',' ']")</f>
        <v>['Info', 'Products',' Featured ',' Telkomsel ',' Good ',' Program ',' Promo ',' User ',' Card ',' Telkomsel ',' Unfortunate ',' Application ',' Slow ',' operated ',' ']</v>
      </c>
      <c r="D4617" s="3">
        <v>1.0</v>
      </c>
    </row>
    <row r="4618" ht="15.75" customHeight="1">
      <c r="A4618" s="1">
        <v>4963.0</v>
      </c>
      <c r="B4618" s="3" t="s">
        <v>4495</v>
      </c>
      <c r="C4618" s="3" t="str">
        <f>IFERROR(__xludf.DUMMYFUNCTION("GOOGLETRANSLATE(B4618,""id"",""en"")"),"['Telkomsel', 'Cool', 'Times']")</f>
        <v>['Telkomsel', 'Cool', 'Times']</v>
      </c>
      <c r="D4618" s="3">
        <v>5.0</v>
      </c>
    </row>
    <row r="4619" ht="15.75" customHeight="1">
      <c r="A4619" s="1">
        <v>4964.0</v>
      </c>
      <c r="B4619" s="3" t="s">
        <v>4496</v>
      </c>
      <c r="C4619" s="3" t="str">
        <f>IFERROR(__xludf.DUMMYFUNCTION("GOOGLETRANSLATE(B4619,""id"",""en"")"),"['Mekin', 'ugly', 'signal', 'person', 'play', 'game', 'signal', 'ugly', 'crew', 'already', 'play', 'signal', ' green ',' yellow ',' setabilia ',' kesen ',' and ',' emotion ',' furious', 'nye']")</f>
        <v>['Mekin', 'ugly', 'signal', 'person', 'play', 'game', 'signal', 'ugly', 'crew', 'already', 'play', 'signal', ' green ',' yellow ',' setabilia ',' kesen ',' and ',' emotion ',' furious', 'nye']</v>
      </c>
      <c r="D4619" s="3">
        <v>1.0</v>
      </c>
    </row>
    <row r="4620" ht="15.75" customHeight="1">
      <c r="A4620" s="1">
        <v>4966.0</v>
      </c>
      <c r="B4620" s="3" t="s">
        <v>4497</v>
      </c>
      <c r="C4620" s="3" t="str">
        <f>IFERROR(__xludf.DUMMYFUNCTION("GOOGLETRANSLATE(B4620,""id"",""en"")"),"['Tsel', 'Notif', 'Internet', 'Out', 'Credit', 'Out', 'Eaten', 'Provider', 'Package', 'Internet', 'Out', 'Access',' Disconnect ',' eat ',' pulse ',' until ',' impressed ',' intentionally ',' deliberate ',' deliberate ',' admit ', ""]")</f>
        <v>['Tsel', 'Notif', 'Internet', 'Out', 'Credit', 'Out', 'Eaten', 'Provider', 'Package', 'Internet', 'Out', 'Access',' Disconnect ',' eat ',' pulse ',' until ',' impressed ',' intentionally ',' deliberate ',' deliberate ',' admit ', "]</v>
      </c>
      <c r="D4620" s="3">
        <v>1.0</v>
      </c>
    </row>
    <row r="4621" ht="15.75" customHeight="1">
      <c r="A4621" s="1">
        <v>4967.0</v>
      </c>
      <c r="B4621" s="3" t="s">
        <v>4498</v>
      </c>
      <c r="C4621" s="3" t="str">
        <f>IFERROR(__xludf.DUMMYFUNCTION("GOOGLETRANSLATE(B4621,""id"",""en"")"),"['package', 'expensive', 'network', 'rotten', 'play', 'game', 'online', 'smooth', 'Please', 'Dragus',' network ',' chase ',' Money ',' Please ',' Dragus', 'Quality', 'Network', 'Internet', 'Papua', '']")</f>
        <v>['package', 'expensive', 'network', 'rotten', 'play', 'game', 'online', 'smooth', 'Please', 'Dragus',' network ',' chase ',' Money ',' Please ',' Dragus', 'Quality', 'Network', 'Internet', 'Papua', '']</v>
      </c>
      <c r="D4621" s="3">
        <v>1.0</v>
      </c>
    </row>
    <row r="4622" ht="15.75" customHeight="1">
      <c r="A4622" s="1">
        <v>4969.0</v>
      </c>
      <c r="B4622" s="3" t="s">
        <v>4499</v>
      </c>
      <c r="C4622" s="3" t="str">
        <f>IFERROR(__xludf.DUMMYFUNCTION("GOOGLETRANSLATE(B4622,""id"",""en"")"),"['Please', 'Telkomsel', 'Agung', 'master', 'sky', 'earth', 'network', 'Papua', 'exact', 'region', 'district', 'Keerom', ' Please, 'Dragus', 'Network', 'Rotten', 'Package', 'Expensive', 'Quality', 'Internet', 'Rich', 'Trash', 'Play', 'Game', 'Online' , 'co"&amp;"mfortable', 'Dragus', 'please', 'package', 'expensive', '']")</f>
        <v>['Please', 'Telkomsel', 'Agung', 'master', 'sky', 'earth', 'network', 'Papua', 'exact', 'region', 'district', 'Keerom', ' Please, 'Dragus', 'Network', 'Rotten', 'Package', 'Expensive', 'Quality', 'Internet', 'Rich', 'Trash', 'Play', 'Game', 'Online' , 'comfortable', 'Dragus', 'please', 'package', 'expensive', '']</v>
      </c>
      <c r="D4622" s="3">
        <v>1.0</v>
      </c>
    </row>
    <row r="4623" ht="15.75" customHeight="1">
      <c r="A4623" s="1">
        <v>4971.0</v>
      </c>
      <c r="B4623" s="3" t="s">
        <v>4500</v>
      </c>
      <c r="C4623" s="3" t="str">
        <f>IFERROR(__xludf.DUMMYFUNCTION("GOOGLETRANSLATE(B4623,""id"",""en"")"),"['Like', 'Steal', 'Credit', 'Sya', 'Come', 'Sya', 'belli', 'pulse', 'bru', 'sebgia', 'sya', 'pke', ' Some of the ',' Take ',' then ',' Slalu ',' Written ',' Ktax ',' Bible ',' RB ',' PLSA ',' Blum ',' Pyar ',' Padahl ',' Kubah ' , 'Mlhan', 'BKN', 'TPI', '"&amp;"RbU', 'credit', 'take', 'bru', 'contents',' plsa ',' rb ',' lngsung ',' eat ',' rb ',' pulseku ',' crazy ',' Benner ',' emotion ',' list ',' quota ',' internet ',' expensive ',' lgi ']")</f>
        <v>['Like', 'Steal', 'Credit', 'Sya', 'Come', 'Sya', 'belli', 'pulse', 'bru', 'sebgia', 'sya', 'pke', ' Some of the ',' Take ',' then ',' Slalu ',' Written ',' Ktax ',' Bible ',' RB ',' PLSA ',' Blum ',' Pyar ',' Padahl ',' Kubah ' , 'Mlhan', 'BKN', 'TPI', 'RbU', 'credit', 'take', 'bru', 'contents',' plsa ',' rb ',' lngsung ',' eat ',' rb ',' pulseku ',' crazy ',' Benner ',' emotion ',' list ',' quota ',' internet ',' expensive ',' lgi ']</v>
      </c>
      <c r="D4623" s="3">
        <v>1.0</v>
      </c>
    </row>
    <row r="4624" ht="15.75" customHeight="1">
      <c r="A4624" s="1">
        <v>4972.0</v>
      </c>
      <c r="B4624" s="3" t="s">
        <v>1837</v>
      </c>
      <c r="C4624" s="3" t="str">
        <f>IFERROR(__xludf.DUMMYFUNCTION("GOOGLETRANSLATE(B4624,""id"",""en"")"),"['Application', 'help', ""]")</f>
        <v>['Application', 'help', "]</v>
      </c>
      <c r="D4624" s="3">
        <v>5.0</v>
      </c>
    </row>
    <row r="4625" ht="15.75" customHeight="1">
      <c r="A4625" s="1">
        <v>4973.0</v>
      </c>
      <c r="B4625" s="3" t="s">
        <v>1352</v>
      </c>
      <c r="C4625" s="3" t="str">
        <f>IFERROR(__xludf.DUMMYFUNCTION("GOOGLETRANSLATE(B4625,""id"",""en"")"),"['']")</f>
        <v>['']</v>
      </c>
      <c r="D4625" s="3">
        <v>4.0</v>
      </c>
    </row>
    <row r="4626" ht="15.75" customHeight="1">
      <c r="A4626" s="1">
        <v>4974.0</v>
      </c>
      <c r="B4626" s="3" t="s">
        <v>4501</v>
      </c>
      <c r="C4626" s="3" t="str">
        <f>IFERROR(__xludf.DUMMYFUNCTION("GOOGLETRANSLATE(B4626,""id"",""en"")"),"['Telkomsel', 'difficult', 'stop', 'subscription', 'package', 'deliberate', 'complicated', 'stop', 'subscription', 'package', 'violate', ' Invite ',' number ',' protection ',' consumer ']")</f>
        <v>['Telkomsel', 'difficult', 'stop', 'subscription', 'package', 'deliberate', 'complicated', 'stop', 'subscription', 'package', 'violate', ' Invite ',' number ',' protection ',' consumer ']</v>
      </c>
      <c r="D4626" s="3">
        <v>1.0</v>
      </c>
    </row>
    <row r="4627" ht="15.75" customHeight="1">
      <c r="A4627" s="1">
        <v>4975.0</v>
      </c>
      <c r="B4627" s="3" t="s">
        <v>4502</v>
      </c>
      <c r="C4627" s="3" t="str">
        <f>IFERROR(__xludf.DUMMYFUNCTION("GOOGLETRANSLATE(B4627,""id"",""en"")"),"['signal', 'ugly', 'price', 'expensive']")</f>
        <v>['signal', 'ugly', 'price', 'expensive']</v>
      </c>
      <c r="D4627" s="3">
        <v>1.0</v>
      </c>
    </row>
    <row r="4628" ht="15.75" customHeight="1">
      <c r="A4628" s="1">
        <v>4976.0</v>
      </c>
      <c r="B4628" s="3" t="s">
        <v>4503</v>
      </c>
      <c r="C4628" s="3" t="str">
        <f>IFERROR(__xludf.DUMMYFUNCTION("GOOGLETRANSLATE(B4628,""id"",""en"")"),"['Steady', 'serious', '']")</f>
        <v>['Steady', 'serious', '']</v>
      </c>
      <c r="D4628" s="3">
        <v>4.0</v>
      </c>
    </row>
    <row r="4629" ht="15.75" customHeight="1">
      <c r="A4629" s="1">
        <v>4977.0</v>
      </c>
      <c r="B4629" s="3" t="s">
        <v>4504</v>
      </c>
      <c r="C4629" s="3" t="str">
        <f>IFERROR(__xludf.DUMMYFUNCTION("GOOGLETRANSLATE(B4629,""id"",""en"")"),"['Package', 'special', 'GB', 'already', 'no', 'Macem', 'subscription', 'right', 'moment', 'quota', 'Abis',' forced ',' Buy ',' Thinking ',' then ',' Fill ',' Credit ',' Buy ',' Already ',' No "", 'Alias', 'Lost', 'Package', 'specific']")</f>
        <v>['Package', 'special', 'GB', 'already', 'no', 'Macem', 'subscription', 'right', 'moment', 'quota', 'Abis',' forced ',' Buy ',' Thinking ',' then ',' Fill ',' Credit ',' Buy ',' Already ',' No ", 'Alias', 'Lost', 'Package', 'specific']</v>
      </c>
      <c r="D4629" s="3">
        <v>4.0</v>
      </c>
    </row>
    <row r="4630" ht="15.75" customHeight="1">
      <c r="A4630" s="1">
        <v>4978.0</v>
      </c>
      <c r="B4630" s="3" t="s">
        <v>3583</v>
      </c>
      <c r="C4630" s="3" t="str">
        <f>IFERROR(__xludf.DUMMYFUNCTION("GOOGLETRANSLATE(B4630,""id"",""en"")"),"['star', '']")</f>
        <v>['star', '']</v>
      </c>
      <c r="D4630" s="3">
        <v>2.0</v>
      </c>
    </row>
    <row r="4631" ht="15.75" customHeight="1">
      <c r="A4631" s="1">
        <v>4979.0</v>
      </c>
      <c r="B4631" s="3" t="s">
        <v>4505</v>
      </c>
      <c r="C4631" s="3" t="str">
        <f>IFERROR(__xludf.DUMMYFUNCTION("GOOGLETRANSLATE(B4631,""id"",""en"")"),"['signal', 'Telkomsel', 'ugly']")</f>
        <v>['signal', 'Telkomsel', 'ugly']</v>
      </c>
      <c r="D4631" s="3">
        <v>1.0</v>
      </c>
    </row>
    <row r="4632" ht="15.75" customHeight="1">
      <c r="A4632" s="1">
        <v>4980.0</v>
      </c>
      <c r="B4632" s="3" t="s">
        <v>4506</v>
      </c>
      <c r="C4632" s="3" t="str">
        <f>IFERROR(__xludf.DUMMYFUNCTION("GOOGLETRANSLATE(B4632,""id"",""en"")"),"['Application', 'Help', 'Pokonya', 'Good', 'APK']")</f>
        <v>['Application', 'Help', 'Pokonya', 'Good', 'APK']</v>
      </c>
      <c r="D4632" s="3">
        <v>5.0</v>
      </c>
    </row>
    <row r="4633" ht="15.75" customHeight="1">
      <c r="A4633" s="1">
        <v>4981.0</v>
      </c>
      <c r="B4633" s="3" t="s">
        <v>4507</v>
      </c>
      <c r="C4633" s="3" t="str">
        <f>IFERROR(__xludf.DUMMYFUNCTION("GOOGLETRANSLATE(B4633,""id"",""en"")"),"['', 'really', 'Cool', 'gift']")</f>
        <v>['', 'really', 'Cool', 'gift']</v>
      </c>
      <c r="D4633" s="3">
        <v>5.0</v>
      </c>
    </row>
    <row r="4634" ht="15.75" customHeight="1">
      <c r="A4634" s="1">
        <v>4982.0</v>
      </c>
      <c r="B4634" s="3" t="s">
        <v>4508</v>
      </c>
      <c r="C4634" s="3" t="str">
        <f>IFERROR(__xludf.DUMMYFUNCTION("GOOGLETRANSLATE(B4634,""id"",""en"")"),"['', 'Geming', 'sister', '']")</f>
        <v>['', 'Geming', 'sister', '']</v>
      </c>
      <c r="D4634" s="3">
        <v>5.0</v>
      </c>
    </row>
    <row r="4635" ht="15.75" customHeight="1">
      <c r="A4635" s="1">
        <v>4983.0</v>
      </c>
      <c r="B4635" s="3" t="s">
        <v>4509</v>
      </c>
      <c r="C4635" s="3" t="str">
        <f>IFERROR(__xludf.DUMMYFUNCTION("GOOGLETRANSLATE(B4635,""id"",""en"")"),"['kagak', 'network', 'meleek', 'open', 'google', 'watch', 'youtube', 'smooth', 'cave', 'watch', 'youtube', 'cave', ' Open ',' Google ',' Read ',' comics', 'Google']")</f>
        <v>['kagak', 'network', 'meleek', 'open', 'google', 'watch', 'youtube', 'smooth', 'cave', 'watch', 'youtube', 'cave', ' Open ',' Google ',' Read ',' comics', 'Google']</v>
      </c>
      <c r="D4635" s="3">
        <v>1.0</v>
      </c>
    </row>
    <row r="4636" ht="15.75" customHeight="1">
      <c r="A4636" s="1">
        <v>4984.0</v>
      </c>
      <c r="B4636" s="3" t="s">
        <v>4510</v>
      </c>
      <c r="C4636" s="3" t="str">
        <f>IFERROR(__xludf.DUMMYFUNCTION("GOOGLETRANSLATE(B4636,""id"",""en"")"),"['Cheap', 'okay']")</f>
        <v>['Cheap', 'okay']</v>
      </c>
      <c r="D4636" s="3">
        <v>5.0</v>
      </c>
    </row>
    <row r="4637" ht="15.75" customHeight="1">
      <c r="A4637" s="1">
        <v>4985.0</v>
      </c>
      <c r="B4637" s="3" t="s">
        <v>4511</v>
      </c>
      <c r="C4637" s="3" t="str">
        <f>IFERROR(__xludf.DUMMYFUNCTION("GOOGLETRANSLATE(B4637,""id"",""en"")"),"['Application', 'Good', 'Open', 'Oppo', 'Reno', ""]")</f>
        <v>['Application', 'Good', 'Open', 'Oppo', 'Reno', "]</v>
      </c>
      <c r="D4637" s="3">
        <v>5.0</v>
      </c>
    </row>
    <row r="4638" ht="15.75" customHeight="1">
      <c r="A4638" s="1">
        <v>4986.0</v>
      </c>
      <c r="B4638" s="3" t="s">
        <v>4512</v>
      </c>
      <c r="C4638" s="3" t="str">
        <f>IFERROR(__xludf.DUMMYFUNCTION("GOOGLETRANSLATE(B4638,""id"",""en"")"),"['Price', 'Package', 'Internet', 'Most expensive']")</f>
        <v>['Price', 'Package', 'Internet', 'Most expensive']</v>
      </c>
      <c r="D4638" s="3">
        <v>5.0</v>
      </c>
    </row>
    <row r="4639" ht="15.75" customHeight="1">
      <c r="A4639" s="1">
        <v>4987.0</v>
      </c>
      <c r="B4639" s="3" t="s">
        <v>4513</v>
      </c>
      <c r="C4639" s="3" t="str">
        <f>IFERROR(__xludf.DUMMYFUNCTION("GOOGLETRANSLATE(B4639,""id"",""en"")"),"['Telkomsel', 'signal', 'the strongest', 'signal', 'internet', 'difficult', 'poll', 'plosok', 'difficult', 'signal', 'internet', 'hedewwwhh', ' The game ',' ']")</f>
        <v>['Telkomsel', 'signal', 'the strongest', 'signal', 'internet', 'difficult', 'poll', 'plosok', 'difficult', 'signal', 'internet', 'hedewwwhh', ' The game ',' ']</v>
      </c>
      <c r="D4639" s="3">
        <v>2.0</v>
      </c>
    </row>
    <row r="4640" ht="15.75" customHeight="1">
      <c r="A4640" s="1">
        <v>4988.0</v>
      </c>
      <c r="B4640" s="3" t="s">
        <v>4514</v>
      </c>
      <c r="C4640" s="3" t="str">
        <f>IFERROR(__xludf.DUMMYFUNCTION("GOOGLETRANSLATE(B4640,""id"",""en"")"),"['application', 'help', 'like', 'open', 'application', 'heavy', 'really', ""]")</f>
        <v>['application', 'help', 'like', 'open', 'application', 'heavy', 'really', "]</v>
      </c>
      <c r="D4640" s="3">
        <v>1.0</v>
      </c>
    </row>
    <row r="4641" ht="15.75" customHeight="1">
      <c r="A4641" s="1">
        <v>4989.0</v>
      </c>
      <c r="B4641" s="3" t="s">
        <v>4515</v>
      </c>
      <c r="C4641" s="3" t="str">
        <f>IFERROR(__xludf.DUMMYFUNCTION("GOOGLETRANSLATE(B4641,""id"",""en"")"),"['take', 'package', 'emergency']")</f>
        <v>['take', 'package', 'emergency']</v>
      </c>
      <c r="D4641" s="3">
        <v>1.0</v>
      </c>
    </row>
    <row r="4642" ht="15.75" customHeight="1">
      <c r="A4642" s="1">
        <v>4990.0</v>
      </c>
      <c r="B4642" s="3" t="s">
        <v>4516</v>
      </c>
      <c r="C4642" s="3" t="str">
        <f>IFERROR(__xludf.DUMMYFUNCTION("GOOGLETRANSLATE(B4642,""id"",""en"")"),"['already', 'decreases',' signal ',' Telkomsel ',' already ',' habit ',' package ',' Ditelkomsel ',' Worth ',' package ',' already ',' expensive ',' plus', 'signal', 'ilang', 'Nilagan']")</f>
        <v>['already', 'decreases',' signal ',' Telkomsel ',' already ',' habit ',' package ',' Ditelkomsel ',' Worth ',' package ',' already ',' expensive ',' plus', 'signal', 'ilang', 'Nilagan']</v>
      </c>
      <c r="D4642" s="3">
        <v>3.0</v>
      </c>
    </row>
    <row r="4643" ht="15.75" customHeight="1">
      <c r="A4643" s="1">
        <v>4991.0</v>
      </c>
      <c r="B4643" s="3" t="s">
        <v>4517</v>
      </c>
      <c r="C4643" s="3" t="str">
        <f>IFERROR(__xludf.DUMMYFUNCTION("GOOGLETRANSLATE(B4643,""id"",""en"")"),"['Love', 'Promo', 'Donk', 'Telkomsel', '']")</f>
        <v>['Love', 'Promo', 'Donk', 'Telkomsel', '']</v>
      </c>
      <c r="D4643" s="3">
        <v>5.0</v>
      </c>
    </row>
    <row r="4644" ht="15.75" customHeight="1">
      <c r="A4644" s="1">
        <v>4992.0</v>
      </c>
      <c r="B4644" s="3" t="s">
        <v>4518</v>
      </c>
      <c r="C4644" s="3" t="str">
        <f>IFERROR(__xludf.DUMMYFUNCTION("GOOGLETRANSLATE(B4644,""id"",""en"")"),"['Kasi', 'try']")</f>
        <v>['Kasi', 'try']</v>
      </c>
      <c r="D4644" s="3">
        <v>2.0</v>
      </c>
    </row>
    <row r="4645" ht="15.75" customHeight="1">
      <c r="A4645" s="1">
        <v>4993.0</v>
      </c>
      <c r="B4645" s="3" t="s">
        <v>4519</v>
      </c>
      <c r="C4645" s="3" t="str">
        <f>IFERROR(__xludf.DUMMYFUNCTION("GOOGLETRANSLATE(B4645,""id"",""en"")"),"['Bad', 'Telkomsel', 'The network', 'in the future', 'bad', 'Mending', 'Uninstallting']")</f>
        <v>['Bad', 'Telkomsel', 'The network', 'in the future', 'bad', 'Mending', 'Uninstallting']</v>
      </c>
      <c r="D4645" s="3">
        <v>1.0</v>
      </c>
    </row>
    <row r="4646" ht="15.75" customHeight="1">
      <c r="A4646" s="1">
        <v>4994.0</v>
      </c>
      <c r="B4646" s="3" t="s">
        <v>4520</v>
      </c>
      <c r="C4646" s="3" t="str">
        <f>IFERROR(__xludf.DUMMYFUNCTION("GOOGLETRANSLATE(B4646,""id"",""en"")"),"['Network', 'lag', 'ngak', 'make']")</f>
        <v>['Network', 'lag', 'ngak', 'make']</v>
      </c>
      <c r="D4646" s="3">
        <v>1.0</v>
      </c>
    </row>
    <row r="4647" ht="15.75" customHeight="1">
      <c r="A4647" s="1">
        <v>4995.0</v>
      </c>
      <c r="B4647" s="3" t="s">
        <v>4521</v>
      </c>
      <c r="C4647" s="3" t="str">
        <f>IFERROR(__xludf.DUMMYFUNCTION("GOOGLETRANSLATE(B4647,""id"",""en"")"),"['Good', 'Service']")</f>
        <v>['Good', 'Service']</v>
      </c>
      <c r="D4647" s="3">
        <v>4.0</v>
      </c>
    </row>
    <row r="4648" ht="15.75" customHeight="1">
      <c r="A4648" s="1">
        <v>4996.0</v>
      </c>
      <c r="B4648" s="3" t="s">
        <v>4522</v>
      </c>
      <c r="C4648" s="3" t="str">
        <f>IFERROR(__xludf.DUMMYFUNCTION("GOOGLETRANSLATE(B4648,""id"",""en"")"),"['Knp', 'bad', 'signal', 'sympathy', 'expensive', 'doank', 'quality', 'ngk', 'dilapidated', ""]")</f>
        <v>['Knp', 'bad', 'signal', 'sympathy', 'expensive', 'doank', 'quality', 'ngk', 'dilapidated', "]</v>
      </c>
      <c r="D4648" s="3">
        <v>1.0</v>
      </c>
    </row>
    <row r="4649" ht="15.75" customHeight="1">
      <c r="A4649" s="1">
        <v>4997.0</v>
      </c>
      <c r="B4649" s="3" t="s">
        <v>4523</v>
      </c>
      <c r="C4649" s="3" t="str">
        <f>IFERROR(__xludf.DUMMYFUNCTION("GOOGLETRANSLATE(B4649,""id"",""en"")"),"['Bonus', 'Lottery', '']")</f>
        <v>['Bonus', 'Lottery', '']</v>
      </c>
      <c r="D4649" s="3">
        <v>5.0</v>
      </c>
    </row>
    <row r="4650" ht="15.75" customHeight="1">
      <c r="A4650" s="1">
        <v>4998.0</v>
      </c>
      <c r="B4650" s="3" t="s">
        <v>4524</v>
      </c>
      <c r="C4650" s="3" t="str">
        <f>IFERROR(__xludf.DUMMYFUNCTION("GOOGLETRANSLATE(B4650,""id"",""en"")"),"['recommendation', 'application', 'BGS', 'clarity', 'Language', 'Information', 'Customer', 'Service', 'Not bad', 'Help', 'Network', 'Error', ' ']")</f>
        <v>['recommendation', 'application', 'BGS', 'clarity', 'Language', 'Information', 'Customer', 'Service', 'Not bad', 'Help', 'Network', 'Error', ' ']</v>
      </c>
      <c r="D4650" s="3">
        <v>5.0</v>
      </c>
    </row>
    <row r="4651" ht="15.75" customHeight="1">
      <c r="A4651" s="1">
        <v>4999.0</v>
      </c>
      <c r="B4651" s="3" t="s">
        <v>4525</v>
      </c>
      <c r="C4651" s="3" t="str">
        <f>IFERROR(__xludf.DUMMYFUNCTION("GOOGLETRANSLATE(B4651,""id"",""en"")"),"['Promotion', 'affordable']")</f>
        <v>['Promotion', 'affordable']</v>
      </c>
      <c r="D4651" s="3">
        <v>4.0</v>
      </c>
    </row>
    <row r="4652" ht="15.75" customHeight="1">
      <c r="A4652" s="1">
        <v>5000.0</v>
      </c>
      <c r="B4652" s="3" t="s">
        <v>4526</v>
      </c>
      <c r="C4652" s="3" t="str">
        <f>IFERROR(__xludf.DUMMYFUNCTION("GOOGLETRANSLATE(B4652,""id"",""en"")"),"['Good', 'easy', 'win', 'gift']")</f>
        <v>['Good', 'easy', 'win', 'gift']</v>
      </c>
      <c r="D4652" s="3">
        <v>5.0</v>
      </c>
    </row>
    <row r="4653" ht="15.75" customHeight="1">
      <c r="A4653" s="1">
        <v>5001.0</v>
      </c>
      <c r="B4653" s="3" t="s">
        <v>4527</v>
      </c>
      <c r="C4653" s="3" t="str">
        <f>IFERROR(__xludf.DUMMYFUNCTION("GOOGLETRANSLATE(B4653,""id"",""en"")"),"['Telkomsel', 'bnyak', 'call', 'bnyak', 'sms', 'annoying', 'comfort', 'block', 'enter']")</f>
        <v>['Telkomsel', 'bnyak', 'call', 'bnyak', 'sms', 'annoying', 'comfort', 'block', 'enter']</v>
      </c>
      <c r="D4653" s="3">
        <v>5.0</v>
      </c>
    </row>
    <row r="4654" ht="15.75" customHeight="1">
      <c r="A4654" s="1">
        <v>5002.0</v>
      </c>
      <c r="B4654" s="3" t="s">
        <v>4528</v>
      </c>
      <c r="C4654" s="3" t="str">
        <f>IFERROR(__xludf.DUMMYFUNCTION("GOOGLETRANSLATE(B4654,""id"",""en"")"),"['Lost', 'Network', 'Region', 'South Sulawesi', 'Narik', 'Data', 'Bru', 'Afternoon', ""]")</f>
        <v>['Lost', 'Network', 'Region', 'South Sulawesi', 'Narik', 'Data', 'Bru', 'Afternoon', "]</v>
      </c>
      <c r="D4654" s="3">
        <v>3.0</v>
      </c>
    </row>
    <row r="4655" ht="15.75" customHeight="1">
      <c r="A4655" s="1">
        <v>5003.0</v>
      </c>
      <c r="B4655" s="3" t="s">
        <v>4529</v>
      </c>
      <c r="C4655" s="3" t="str">
        <f>IFERROR(__xludf.DUMMYFUNCTION("GOOGLETRANSLATE(B4655,""id"",""en"")"),"['price']")</f>
        <v>['price']</v>
      </c>
      <c r="D4655" s="3">
        <v>3.0</v>
      </c>
    </row>
    <row r="4656" ht="15.75" customHeight="1">
      <c r="A4656" s="1">
        <v>5004.0</v>
      </c>
      <c r="B4656" s="3" t="s">
        <v>4530</v>
      </c>
      <c r="C4656" s="3" t="str">
        <f>IFERROR(__xludf.DUMMYFUNCTION("GOOGLETRANSLATE(B4656,""id"",""en"")"),"['users',' Telkomsel ',' already ',' Network ',' Telkomsel ',' disappointing ',' stay ',' Medan ',' network ',' really ',' embarrassing ',' hope ',' Improvements', 'Network', '']")</f>
        <v>['users',' Telkomsel ',' already ',' Network ',' Telkomsel ',' disappointing ',' stay ',' Medan ',' network ',' really ',' embarrassing ',' hope ',' Improvements', 'Network', '']</v>
      </c>
      <c r="D4656" s="3">
        <v>1.0</v>
      </c>
    </row>
    <row r="4657" ht="15.75" customHeight="1">
      <c r="A4657" s="1">
        <v>5005.0</v>
      </c>
      <c r="B4657" s="3" t="s">
        <v>4531</v>
      </c>
      <c r="C4657" s="3" t="str">
        <f>IFERROR(__xludf.DUMMYFUNCTION("GOOGLETRANSLATE(B4657,""id"",""en"")"),"['suggestion', 'Telkomsel', 'please', 'level', 'quality', 'network', 'worth', 'kouta', 'expensive', 'quality', 'network', 'slow']")</f>
        <v>['suggestion', 'Telkomsel', 'please', 'level', 'quality', 'network', 'worth', 'kouta', 'expensive', 'quality', 'network', 'slow']</v>
      </c>
      <c r="D4657" s="3">
        <v>2.0</v>
      </c>
    </row>
    <row r="4658" ht="15.75" customHeight="1">
      <c r="A4658" s="1">
        <v>5006.0</v>
      </c>
      <c r="B4658" s="3" t="s">
        <v>4532</v>
      </c>
      <c r="C4658" s="3" t="str">
        <f>IFERROR(__xludf.DUMMYFUNCTION("GOOGLETRANSLATE(B4658,""id"",""en"")"),"['Telkomsel', 'Network', 'Main', 'Game', 'Ping', 'Red', 'Strong', 'Main', 'Game', 'The Network']")</f>
        <v>['Telkomsel', 'Network', 'Main', 'Game', 'Ping', 'Red', 'Strong', 'Main', 'Game', 'The Network']</v>
      </c>
      <c r="D4658" s="3">
        <v>1.0</v>
      </c>
    </row>
    <row r="4659" ht="15.75" customHeight="1">
      <c r="A4659" s="1">
        <v>5007.0</v>
      </c>
      <c r="B4659" s="3" t="s">
        <v>4533</v>
      </c>
      <c r="C4659" s="3" t="str">
        <f>IFERROR(__xludf.DUMMYFUNCTION("GOOGLETRANSLATE(B4659,""id"",""en"")"),"['Internet', 'smooth', '']")</f>
        <v>['Internet', 'smooth', '']</v>
      </c>
      <c r="D4659" s="3">
        <v>4.0</v>
      </c>
    </row>
    <row r="4660" ht="15.75" customHeight="1">
      <c r="A4660" s="1">
        <v>5008.0</v>
      </c>
      <c r="B4660" s="3" t="s">
        <v>4534</v>
      </c>
      <c r="C4660" s="3" t="str">
        <f>IFERROR(__xludf.DUMMYFUNCTION("GOOGLETRANSLATE(B4660,""id"",""en"")"),"['smga', 'gift']")</f>
        <v>['smga', 'gift']</v>
      </c>
      <c r="D4660" s="3">
        <v>5.0</v>
      </c>
    </row>
    <row r="4661" ht="15.75" customHeight="1">
      <c r="A4661" s="1">
        <v>5010.0</v>
      </c>
      <c r="B4661" s="3" t="s">
        <v>4535</v>
      </c>
      <c r="C4661" s="3" t="str">
        <f>IFERROR(__xludf.DUMMYFUNCTION("GOOGLETRANSLATE(B4661,""id"",""en"")"),"['improve', 'network']")</f>
        <v>['improve', 'network']</v>
      </c>
      <c r="D4661" s="3">
        <v>5.0</v>
      </c>
    </row>
    <row r="4662" ht="15.75" customHeight="1">
      <c r="A4662" s="1">
        <v>5011.0</v>
      </c>
      <c r="B4662" s="3" t="s">
        <v>4536</v>
      </c>
      <c r="C4662" s="3" t="str">
        <f>IFERROR(__xludf.DUMMYFUNCTION("GOOGLETRANSLATE(B4662,""id"",""en"")"),"['network', 'internet', 'Telkomsel', 'slow', 'please', 'fix', 'good', 'signal', 'strong', 'slow', 'thank', 'love', ' His attention ']")</f>
        <v>['network', 'internet', 'Telkomsel', 'slow', 'please', 'fix', 'good', 'signal', 'strong', 'slow', 'thank', 'love', ' His attention ']</v>
      </c>
      <c r="D4662" s="3">
        <v>2.0</v>
      </c>
    </row>
    <row r="4663" ht="15.75" customHeight="1">
      <c r="A4663" s="1">
        <v>5012.0</v>
      </c>
      <c r="B4663" s="3" t="s">
        <v>4537</v>
      </c>
      <c r="C4663" s="3" t="str">
        <f>IFERROR(__xludf.DUMMYFUNCTION("GOOGLETRANSLATE(B4663,""id"",""en"")"),"['It's easy', 'a little']")</f>
        <v>['It's easy', 'a little']</v>
      </c>
      <c r="D4663" s="3">
        <v>2.0</v>
      </c>
    </row>
    <row r="4664" ht="15.75" customHeight="1">
      <c r="A4664" s="1">
        <v>5013.0</v>
      </c>
      <c r="B4664" s="3" t="s">
        <v>4538</v>
      </c>
      <c r="C4664" s="3" t="str">
        <f>IFERROR(__xludf.DUMMYFUNCTION("GOOGLETRANSLATE(B4664,""id"",""en"")"),"['Sumbin', 'ugly', 'network']")</f>
        <v>['Sumbin', 'ugly', 'network']</v>
      </c>
      <c r="D4664" s="3">
        <v>5.0</v>
      </c>
    </row>
    <row r="4665" ht="15.75" customHeight="1">
      <c r="A4665" s="1">
        <v>5014.0</v>
      </c>
      <c r="B4665" s="3" t="s">
        <v>4539</v>
      </c>
      <c r="C4665" s="3" t="str">
        <f>IFERROR(__xludf.DUMMYFUNCTION("GOOGLETRANSLATE(B4665,""id"",""en"")"),"['Application', 'Manta', 'Easily', 'Customer', 'User', 'Telkomsel']")</f>
        <v>['Application', 'Manta', 'Easily', 'Customer', 'User', 'Telkomsel']</v>
      </c>
      <c r="D4665" s="3">
        <v>5.0</v>
      </c>
    </row>
    <row r="4666" ht="15.75" customHeight="1">
      <c r="A4666" s="1">
        <v>5015.0</v>
      </c>
      <c r="B4666" s="3" t="s">
        <v>4540</v>
      </c>
      <c r="C4666" s="3" t="str">
        <f>IFERROR(__xludf.DUMMYFUNCTION("GOOGLETRANSLATE(B4666,""id"",""en"")"),"['Network', 'slow', 'price', 'quota', 'expensive', 'loss', 'pakek', 'tsel']")</f>
        <v>['Network', 'slow', 'price', 'quota', 'expensive', 'loss', 'pakek', 'tsel']</v>
      </c>
      <c r="D4666" s="3">
        <v>1.0</v>
      </c>
    </row>
    <row r="4667" ht="15.75" customHeight="1">
      <c r="A4667" s="1">
        <v>5016.0</v>
      </c>
      <c r="B4667" s="3" t="s">
        <v>4541</v>
      </c>
      <c r="C4667" s="3" t="str">
        <f>IFERROR(__xludf.DUMMYFUNCTION("GOOGLETRANSLATE(B4667,""id"",""en"")"),"['Network', 'Normal']")</f>
        <v>['Network', 'Normal']</v>
      </c>
      <c r="D4667" s="3">
        <v>1.0</v>
      </c>
    </row>
    <row r="4668" ht="15.75" customHeight="1">
      <c r="A4668" s="1">
        <v>5017.0</v>
      </c>
      <c r="B4668" s="3" t="s">
        <v>4542</v>
      </c>
      <c r="C4668" s="3" t="str">
        <f>IFERROR(__xludf.DUMMYFUNCTION("GOOGLETRANSLATE(B4668,""id"",""en"")"),"['hope', 'gift', 'value']")</f>
        <v>['hope', 'gift', 'value']</v>
      </c>
      <c r="D4668" s="3">
        <v>5.0</v>
      </c>
    </row>
    <row r="4669" ht="15.75" customHeight="1">
      <c r="A4669" s="1">
        <v>5019.0</v>
      </c>
      <c r="B4669" s="3" t="s">
        <v>4543</v>
      </c>
      <c r="C4669" s="3" t="str">
        <f>IFERROR(__xludf.DUMMYFUNCTION("GOOGLETRANSLATE(B4669,""id"",""en"")"),"['Telkomsel', 'connection', 'kek', 'pulp', '']")</f>
        <v>['Telkomsel', 'connection', 'kek', 'pulp', '']</v>
      </c>
      <c r="D4669" s="3">
        <v>1.0</v>
      </c>
    </row>
    <row r="4670" ht="15.75" customHeight="1">
      <c r="A4670" s="1">
        <v>5020.0</v>
      </c>
      <c r="B4670" s="3" t="s">
        <v>4544</v>
      </c>
      <c r="C4670" s="3" t="str">
        <f>IFERROR(__xludf.DUMMYFUNCTION("GOOGLETRANSLATE(B4670,""id"",""en"")"),"['buy', 'package', 'connection', 'sya', 'good', 'pulse', 'Rp', 'TBA', 'leftover', 'package', 'jdi', 'kantel', ' Credit ',' Way ',' Cut ',' Application ',' Waras', '']")</f>
        <v>['buy', 'package', 'connection', 'sya', 'good', 'pulse', 'Rp', 'TBA', 'leftover', 'package', 'jdi', 'kantel', ' Credit ',' Way ',' Cut ',' Application ',' Waras', '']</v>
      </c>
      <c r="D4670" s="3">
        <v>1.0</v>
      </c>
    </row>
    <row r="4671" ht="15.75" customHeight="1">
      <c r="A4671" s="1">
        <v>5021.0</v>
      </c>
      <c r="B4671" s="3" t="s">
        <v>4545</v>
      </c>
      <c r="C4671" s="3" t="str">
        <f>IFERROR(__xludf.DUMMYFUNCTION("GOOGLETRANSLATE(B4671,""id"",""en"")"),"['Application', 'Lemoooot']")</f>
        <v>['Application', 'Lemoooot']</v>
      </c>
      <c r="D4671" s="3">
        <v>1.0</v>
      </c>
    </row>
    <row r="4672" ht="15.75" customHeight="1">
      <c r="A4672" s="1">
        <v>5022.0</v>
      </c>
      <c r="B4672" s="3" t="s">
        <v>4546</v>
      </c>
      <c r="C4672" s="3" t="str">
        <f>IFERROR(__xludf.DUMMYFUNCTION("GOOGLETRANSLATE(B4672,""id"",""en"")"),"['Fix', 'service', 'special', 'network']")</f>
        <v>['Fix', 'service', 'special', 'network']</v>
      </c>
      <c r="D4672" s="3">
        <v>2.0</v>
      </c>
    </row>
    <row r="4673" ht="15.75" customHeight="1">
      <c r="A4673" s="1">
        <v>5024.0</v>
      </c>
      <c r="B4673" s="3" t="s">
        <v>4547</v>
      </c>
      <c r="C4673" s="3" t="str">
        <f>IFERROR(__xludf.DUMMYFUNCTION("GOOGLETRANSLATE(B4673,""id"",""en"")"),"['Application', 'Help']")</f>
        <v>['Application', 'Help']</v>
      </c>
      <c r="D4673" s="3">
        <v>5.0</v>
      </c>
    </row>
    <row r="4674" ht="15.75" customHeight="1">
      <c r="A4674" s="1">
        <v>5025.0</v>
      </c>
      <c r="B4674" s="3" t="s">
        <v>4548</v>
      </c>
      <c r="C4674" s="3" t="str">
        <f>IFERROR(__xludf.DUMMYFUNCTION("GOOGLETRANSLATE(B4674,""id"",""en"")"),"['Promo', 'Call', 'Lost']")</f>
        <v>['Promo', 'Call', 'Lost']</v>
      </c>
      <c r="D4674" s="3">
        <v>1.0</v>
      </c>
    </row>
    <row r="4675" ht="15.75" customHeight="1">
      <c r="A4675" s="1">
        <v>5026.0</v>
      </c>
      <c r="B4675" s="3" t="s">
        <v>4549</v>
      </c>
      <c r="C4675" s="3" t="str">
        <f>IFERROR(__xludf.DUMMYFUNCTION("GOOGLETRANSLATE(B4675,""id"",""en"")"),"['present', 'Telkomsel', 'promo', 'cheapest', 'gift', 'interesting']")</f>
        <v>['present', 'Telkomsel', 'promo', 'cheapest', 'gift', 'interesting']</v>
      </c>
      <c r="D4675" s="3">
        <v>5.0</v>
      </c>
    </row>
    <row r="4676" ht="15.75" customHeight="1">
      <c r="A4676" s="1">
        <v>5027.0</v>
      </c>
      <c r="B4676" s="3" t="s">
        <v>4550</v>
      </c>
      <c r="C4676" s="3" t="str">
        <f>IFERROR(__xludf.DUMMYFUNCTION("GOOGLETRANSLATE(B4676,""id"",""en"")"),"['Signal', 'Okay', 'Clock', 'Like', 'Down', 'Stable', 'Enhanced', 'Dehh', ""]")</f>
        <v>['Signal', 'Okay', 'Clock', 'Like', 'Down', 'Stable', 'Enhanced', 'Dehh', "]</v>
      </c>
      <c r="D4676" s="3">
        <v>5.0</v>
      </c>
    </row>
    <row r="4677" ht="15.75" customHeight="1">
      <c r="A4677" s="1">
        <v>5028.0</v>
      </c>
      <c r="B4677" s="3" t="s">
        <v>4551</v>
      </c>
      <c r="C4677" s="3" t="str">
        <f>IFERROR(__xludf.DUMMYFUNCTION("GOOGLETRANSLATE(B4677,""id"",""en"")"),"['package', 'like', 'axis', 'proded', 'please', 'imitate']")</f>
        <v>['package', 'like', 'axis', 'proded', 'please', 'imitate']</v>
      </c>
      <c r="D4677" s="3">
        <v>5.0</v>
      </c>
    </row>
    <row r="4678" ht="15.75" customHeight="1">
      <c r="A4678" s="1">
        <v>5029.0</v>
      </c>
      <c r="B4678" s="3" t="s">
        <v>4552</v>
      </c>
      <c r="C4678" s="3" t="str">
        <f>IFERROR(__xludf.DUMMYFUNCTION("GOOGLETRANSLATE(B4678,""id"",""en"")"),"['pleasant']")</f>
        <v>['pleasant']</v>
      </c>
      <c r="D4678" s="3">
        <v>5.0</v>
      </c>
    </row>
    <row r="4679" ht="15.75" customHeight="1">
      <c r="A4679" s="1">
        <v>5030.0</v>
      </c>
      <c r="B4679" s="3" t="s">
        <v>4553</v>
      </c>
      <c r="C4679" s="3" t="str">
        <f>IFERROR(__xludf.DUMMYFUNCTION("GOOGLETRANSLATE(B4679,""id"",""en"")"),"['The network', 'stable', 'room', 'room', 'Telkomsel', 'purchase', 'pulse', 'directly', 'point', 'points',' exchanged ',' gift ',' interesting', '']")</f>
        <v>['The network', 'stable', 'room', 'room', 'Telkomsel', 'purchase', 'pulse', 'directly', 'point', 'points',' exchanged ',' gift ',' interesting', '']</v>
      </c>
      <c r="D4679" s="3">
        <v>5.0</v>
      </c>
    </row>
    <row r="4680" ht="15.75" customHeight="1">
      <c r="A4680" s="1">
        <v>5031.0</v>
      </c>
      <c r="B4680" s="3" t="s">
        <v>4554</v>
      </c>
      <c r="C4680" s="3" t="str">
        <f>IFERROR(__xludf.DUMMYFUNCTION("GOOGLETRANSLATE(B4680,""id"",""en"")"),"['Telkomsel', 'bodies', 'signal', 'at home', 'UDH', 'package', 'expensive', 'difficult', 'accessed', 'home', 'urban']")</f>
        <v>['Telkomsel', 'bodies', 'signal', 'at home', 'UDH', 'package', 'expensive', 'difficult', 'accessed', 'home', 'urban']</v>
      </c>
      <c r="D4680" s="3">
        <v>1.0</v>
      </c>
    </row>
    <row r="4681" ht="15.75" customHeight="1">
      <c r="A4681" s="1">
        <v>5032.0</v>
      </c>
      <c r="B4681" s="3" t="s">
        <v>4555</v>
      </c>
      <c r="C4681" s="3" t="str">
        <f>IFERROR(__xludf.DUMMYFUNCTION("GOOGLETRANSLATE(B4681,""id"",""en"")"),"['Please', 'People', 'Telkomsel', 'Gunungkidul', 'Ngrasain', 'Signal', 'Delicious', '']")</f>
        <v>['Please', 'People', 'Telkomsel', 'Gunungkidul', 'Ngrasain', 'Signal', 'Delicious', '']</v>
      </c>
      <c r="D4681" s="3">
        <v>1.0</v>
      </c>
    </row>
    <row r="4682" ht="15.75" customHeight="1">
      <c r="A4682" s="1">
        <v>5033.0</v>
      </c>
      <c r="B4682" s="3" t="s">
        <v>4556</v>
      </c>
      <c r="C4682" s="3" t="str">
        <f>IFERROR(__xludf.DUMMYFUNCTION("GOOGLETRANSLATE(B4682,""id"",""en"")"),"['Min', 'Adin', 'Features', 'Set', 'Scurity', 'Level', 'Credit', 'Cutting']")</f>
        <v>['Min', 'Adin', 'Features', 'Set', 'Scurity', 'Level', 'Credit', 'Cutting']</v>
      </c>
      <c r="D4682" s="3">
        <v>5.0</v>
      </c>
    </row>
    <row r="4683" ht="15.75" customHeight="1">
      <c r="A4683" s="1">
        <v>5034.0</v>
      </c>
      <c r="B4683" s="3" t="s">
        <v>4557</v>
      </c>
      <c r="C4683" s="3" t="str">
        <f>IFERROR(__xludf.DUMMYFUNCTION("GOOGLETRANSLATE(B4683,""id"",""en"")"),"['Mantab', 'Semgogoga', 'promo', 'cheap', 'price', 'quota', '']")</f>
        <v>['Mantab', 'Semgogoga', 'promo', 'cheap', 'price', 'quota', '']</v>
      </c>
      <c r="D4683" s="3">
        <v>5.0</v>
      </c>
    </row>
    <row r="4684" ht="15.75" customHeight="1">
      <c r="A4684" s="1">
        <v>5035.0</v>
      </c>
      <c r="B4684" s="3" t="s">
        <v>4558</v>
      </c>
      <c r="C4684" s="3" t="str">
        <f>IFERROR(__xludf.DUMMYFUNCTION("GOOGLETRANSLATE(B4684,""id"",""en"")"),"['buy', 'quota', 'lap', 'reduced', 'quota', 'main', 'times',' many ',' times', 'compensation', 'mending', 'buy', ' quota ',' mainly ',' buy ',' quota ',' to get ',' used ',' quota ',' main ', ""]")</f>
        <v>['buy', 'quota', 'lap', 'reduced', 'quota', 'main', 'times',' many ',' times', 'compensation', 'mending', 'buy', ' quota ',' mainly ',' buy ',' quota ',' to get ',' used ',' quota ',' main ', "]</v>
      </c>
      <c r="D4684" s="3">
        <v>1.0</v>
      </c>
    </row>
    <row r="4685" ht="15.75" customHeight="1">
      <c r="A4685" s="1">
        <v>5037.0</v>
      </c>
      <c r="B4685" s="3" t="s">
        <v>4559</v>
      </c>
      <c r="C4685" s="3" t="str">
        <f>IFERROR(__xludf.DUMMYFUNCTION("GOOGLETRANSLATE(B4685,""id"",""en"")"),"['Package', 'Unli', 'missing']")</f>
        <v>['Package', 'Unli', 'missing']</v>
      </c>
      <c r="D4685" s="3">
        <v>5.0</v>
      </c>
    </row>
    <row r="4686" ht="15.75" customHeight="1">
      <c r="A4686" s="1">
        <v>5038.0</v>
      </c>
      <c r="B4686" s="3" t="s">
        <v>4560</v>
      </c>
      <c r="C4686" s="3" t="str">
        <f>IFERROR(__xludf.DUMMYFUNCTION("GOOGLETRANSLATE(B4686,""id"",""en"")"),"['Help']")</f>
        <v>['Help']</v>
      </c>
      <c r="D4686" s="3">
        <v>5.0</v>
      </c>
    </row>
    <row r="4687" ht="15.75" customHeight="1">
      <c r="A4687" s="1">
        <v>5039.0</v>
      </c>
      <c r="B4687" s="3" t="s">
        <v>4561</v>
      </c>
      <c r="C4687" s="3" t="str">
        <f>IFERROR(__xludf.DUMMYFUNCTION("GOOGLETRANSLATE(B4687,""id"",""en"")"),"['APK', 'Good', '']")</f>
        <v>['APK', 'Good', '']</v>
      </c>
      <c r="D4687" s="3">
        <v>5.0</v>
      </c>
    </row>
    <row r="4688" ht="15.75" customHeight="1">
      <c r="A4688" s="1">
        <v>5040.0</v>
      </c>
      <c r="B4688" s="3" t="s">
        <v>4562</v>
      </c>
      <c r="C4688" s="3" t="str">
        <f>IFERROR(__xludf.DUMMYFUNCTION("GOOGLETRANSLATE(B4688,""id"",""en"")"),"['Steady', 'Easy', 'Joss', 'Tenan', 'Anyway']")</f>
        <v>['Steady', 'Easy', 'Joss', 'Tenan', 'Anyway']</v>
      </c>
      <c r="D4688" s="3">
        <v>5.0</v>
      </c>
    </row>
    <row r="4689" ht="15.75" customHeight="1">
      <c r="A4689" s="1">
        <v>5041.0</v>
      </c>
      <c r="B4689" s="3" t="s">
        <v>4563</v>
      </c>
      <c r="C4689" s="3" t="str">
        <f>IFERROR(__xludf.DUMMYFUNCTION("GOOGLETRANSLATE(B4689,""id"",""en"")"),"['Severe', 'signal', 'good', 'destroyed', 'learning', 'online', 'improved', 'quality', 'price', 'package', 'plus',' Rp ',' Where ',' Yok ',' Belik ',' Credit ',' Forced ',' Fill ',' Credit ',' IDR ',' Bener ',' Bener ',' Disturbing ',' Quota ',' Internet "&amp;"' , 'Credit', 'cut', 'Rp', 'access', 'internet', 'non', 'package', '']")</f>
        <v>['Severe', 'signal', 'good', 'destroyed', 'learning', 'online', 'improved', 'quality', 'price', 'package', 'plus',' Rp ',' Where ',' Yok ',' Belik ',' Credit ',' Forced ',' Fill ',' Credit ',' IDR ',' Bener ',' Bener ',' Disturbing ',' Quota ',' Internet ' , 'Credit', 'cut', 'Rp', 'access', 'internet', 'non', 'package', '']</v>
      </c>
      <c r="D4689" s="3">
        <v>3.0</v>
      </c>
    </row>
    <row r="4690" ht="15.75" customHeight="1">
      <c r="A4690" s="1">
        <v>5042.0</v>
      </c>
      <c r="B4690" s="3" t="s">
        <v>4564</v>
      </c>
      <c r="C4690" s="3" t="str">
        <f>IFERROR(__xludf.DUMMYFUNCTION("GOOGLETRANSLATE(B4690,""id"",""en"")"),"['expensive', 'yaa', 'package']")</f>
        <v>['expensive', 'yaa', 'package']</v>
      </c>
      <c r="D4690" s="3">
        <v>5.0</v>
      </c>
    </row>
    <row r="4691" ht="15.75" customHeight="1">
      <c r="A4691" s="1">
        <v>5044.0</v>
      </c>
      <c r="B4691" s="3" t="s">
        <v>4565</v>
      </c>
      <c r="C4691" s="3" t="str">
        <f>IFERROR(__xludf.DUMMYFUNCTION("GOOGLETRANSLATE(B4691,""id"",""en"")"),"['Siyala', 'Used', 'Didning']")</f>
        <v>['Siyala', 'Used', 'Didning']</v>
      </c>
      <c r="D4691" s="3">
        <v>2.0</v>
      </c>
    </row>
    <row r="4692" ht="15.75" customHeight="1">
      <c r="A4692" s="1">
        <v>5045.0</v>
      </c>
      <c r="B4692" s="3" t="s">
        <v>4566</v>
      </c>
      <c r="C4692" s="3" t="str">
        <f>IFERROR(__xludf.DUMMYFUNCTION("GOOGLETRANSLATE(B4692,""id"",""en"")"),"['Flexible', 'makes it easy']")</f>
        <v>['Flexible', 'makes it easy']</v>
      </c>
      <c r="D4692" s="3">
        <v>5.0</v>
      </c>
    </row>
    <row r="4693" ht="15.75" customHeight="1">
      <c r="A4693" s="1">
        <v>5046.0</v>
      </c>
      <c r="B4693" s="3" t="s">
        <v>4567</v>
      </c>
      <c r="C4693" s="3" t="str">
        <f>IFERROR(__xludf.DUMMYFUNCTION("GOOGLETRANSLATE(B4693,""id"",""en"")"),"['like', 'promo', 'package']")</f>
        <v>['like', 'promo', 'package']</v>
      </c>
      <c r="D4693" s="3">
        <v>5.0</v>
      </c>
    </row>
    <row r="4694" ht="15.75" customHeight="1">
      <c r="A4694" s="1">
        <v>5047.0</v>
      </c>
      <c r="B4694" s="3" t="s">
        <v>4568</v>
      </c>
      <c r="C4694" s="3" t="str">
        <f>IFERROR(__xludf.DUMMYFUNCTION("GOOGLETRANSLATE(B4694,""id"",""en"")"),"['Enter', 'application', 'deleted', 'enter', '']")</f>
        <v>['Enter', 'application', 'deleted', 'enter', '']</v>
      </c>
      <c r="D4694" s="3">
        <v>2.0</v>
      </c>
    </row>
    <row r="4695" ht="15.75" customHeight="1">
      <c r="A4695" s="1">
        <v>5048.0</v>
      </c>
      <c r="B4695" s="3" t="s">
        <v>4569</v>
      </c>
      <c r="C4695" s="3" t="str">
        <f>IFERROR(__xludf.DUMMYFUNCTION("GOOGLETRANSLATE(B4695,""id"",""en"")"),"['Sometimes', 'Sometimes', 'Ribet', 'Application', 'Update', 'Update']")</f>
        <v>['Sometimes', 'Sometimes', 'Ribet', 'Application', 'Update', 'Update']</v>
      </c>
      <c r="D4695" s="3">
        <v>4.0</v>
      </c>
    </row>
    <row r="4696" ht="15.75" customHeight="1">
      <c r="A4696" s="1">
        <v>5049.0</v>
      </c>
      <c r="B4696" s="3" t="s">
        <v>4570</v>
      </c>
      <c r="C4696" s="3" t="str">
        <f>IFERROR(__xludf.DUMMYFUNCTION("GOOGLETRANSLATE(B4696,""id"",""en"")"),"['Application', 'Cool', '']")</f>
        <v>['Application', 'Cool', '']</v>
      </c>
      <c r="D4696" s="3">
        <v>5.0</v>
      </c>
    </row>
    <row r="4697" ht="15.75" customHeight="1">
      <c r="A4697" s="1">
        <v>5050.0</v>
      </c>
      <c r="B4697" s="3" t="s">
        <v>4571</v>
      </c>
      <c r="C4697" s="3" t="str">
        <f>IFERROR(__xludf.DUMMYFUNCTION("GOOGLETRANSLATE(B4697,""id"",""en"")"),"['Kouta', 'Stay', 'Video', 'Call', 'Description', 'Explanation']")</f>
        <v>['Kouta', 'Stay', 'Video', 'Call', 'Description', 'Explanation']</v>
      </c>
      <c r="D4697" s="3">
        <v>1.0</v>
      </c>
    </row>
    <row r="4698" ht="15.75" customHeight="1">
      <c r="A4698" s="1">
        <v>5051.0</v>
      </c>
      <c r="B4698" s="3" t="s">
        <v>4572</v>
      </c>
      <c r="C4698" s="3" t="str">
        <f>IFERROR(__xludf.DUMMYFUNCTION("GOOGLETRANSLATE(B4698,""id"",""en"")"),"['Try', 'choy']")</f>
        <v>['Try', 'choy']</v>
      </c>
      <c r="D4698" s="3">
        <v>3.0</v>
      </c>
    </row>
    <row r="4699" ht="15.75" customHeight="1">
      <c r="A4699" s="1">
        <v>5052.0</v>
      </c>
      <c r="B4699" s="3" t="s">
        <v>4573</v>
      </c>
      <c r="C4699" s="3" t="str">
        <f>IFERROR(__xludf.DUMMYFUNCTION("GOOGLETRANSLATE(B4699,""id"",""en"")"),"['Good', 'Eyyy', 'Help']")</f>
        <v>['Good', 'Eyyy', 'Help']</v>
      </c>
      <c r="D4699" s="3">
        <v>5.0</v>
      </c>
    </row>
    <row r="4700" ht="15.75" customHeight="1">
      <c r="A4700" s="1">
        <v>5053.0</v>
      </c>
      <c r="B4700" s="3" t="s">
        <v>4574</v>
      </c>
      <c r="C4700" s="3" t="str">
        <f>IFERROR(__xludf.DUMMYFUNCTION("GOOGLETRANSLATE(B4700,""id"",""en"")"),"['Application', 'help', 'effort', 'service', 'Telkomsel']")</f>
        <v>['Application', 'help', 'effort', 'service', 'Telkomsel']</v>
      </c>
      <c r="D4700" s="3">
        <v>5.0</v>
      </c>
    </row>
    <row r="4701" ht="15.75" customHeight="1">
      <c r="A4701" s="1">
        <v>5054.0</v>
      </c>
      <c r="B4701" s="3" t="s">
        <v>4575</v>
      </c>
      <c r="C4701" s="3" t="str">
        <f>IFERROR(__xludf.DUMMYFUNCTION("GOOGLETRANSLATE(B4701,""id"",""en"")"),"['Not bad', 'good', 'claim', 'gift', 'login', 'daily', 'buy', 'pketan', 'use', 'wallet', 'perhow', 'balance', ' pulse ',' please ',' fix ',' get ',' user ',' wallet ']")</f>
        <v>['Not bad', 'good', 'claim', 'gift', 'login', 'daily', 'buy', 'pketan', 'use', 'wallet', 'perhow', 'balance', ' pulse ',' please ',' fix ',' get ',' user ',' wallet ']</v>
      </c>
      <c r="D4701" s="3">
        <v>3.0</v>
      </c>
    </row>
    <row r="4702" ht="15.75" customHeight="1">
      <c r="A4702" s="1">
        <v>5056.0</v>
      </c>
      <c r="B4702" s="3" t="s">
        <v>4576</v>
      </c>
      <c r="C4702" s="3" t="str">
        <f>IFERROR(__xludf.DUMMYFUNCTION("GOOGLETRANSLATE(B4702,""id"",""en"")"),"['card', 'ugly', 'Telkomsel', 'Telkomsel', 'tasty', 'expensive', 'expensive', 'TPI', 'threat', ""]")</f>
        <v>['card', 'ugly', 'Telkomsel', 'Telkomsel', 'tasty', 'expensive', 'expensive', 'TPI', 'threat', "]</v>
      </c>
      <c r="D4702" s="3">
        <v>1.0</v>
      </c>
    </row>
    <row r="4703" ht="15.75" customHeight="1">
      <c r="A4703" s="1">
        <v>5057.0</v>
      </c>
      <c r="B4703" s="3" t="s">
        <v>4577</v>
      </c>
      <c r="C4703" s="3" t="str">
        <f>IFERROR(__xludf.DUMMYFUNCTION("GOOGLETRANSLATE(B4703,""id"",""en"")"),"['Liat', 'promo']")</f>
        <v>['Liat', 'promo']</v>
      </c>
      <c r="D4703" s="3">
        <v>5.0</v>
      </c>
    </row>
    <row r="4704" ht="15.75" customHeight="1">
      <c r="A4704" s="1">
        <v>5058.0</v>
      </c>
      <c r="B4704" s="3" t="s">
        <v>4578</v>
      </c>
      <c r="C4704" s="3" t="str">
        <f>IFERROR(__xludf.DUMMYFUNCTION("GOOGLETRANSLATE(B4704,""id"",""en"")"),"['The network', 'the widest', 'mantapp', 'for', 'UANGHAIT', 'DIES', 'Network', 'Tadak', 'stable', 'distance', 'MTER', 'NOH', ' Fixed ',' Acquired ',' Continue ',' Kal ',' Bar ',' Kec ',' Snapper ',' Village ',' River ',' Rengas']")</f>
        <v>['The network', 'the widest', 'mantapp', 'for', 'UANGHAIT', 'DIES', 'Network', 'Tadak', 'stable', 'distance', 'MTER', 'NOH', ' Fixed ',' Acquired ',' Continue ',' Kal ',' Bar ',' Kec ',' Snapper ',' Village ',' River ',' Rengas']</v>
      </c>
      <c r="D4704" s="3">
        <v>2.0</v>
      </c>
    </row>
    <row r="4705" ht="15.75" customHeight="1">
      <c r="A4705" s="1">
        <v>5059.0</v>
      </c>
      <c r="B4705" s="3" t="s">
        <v>4579</v>
      </c>
      <c r="C4705" s="3" t="str">
        <f>IFERROR(__xludf.DUMMYFUNCTION("GOOGLETRANSLATE(B4705,""id"",""en"")"),"['Anyway', 'quota', 'smooth', 'fast', 'really', 'yesterday', 'mistak', 'Telkomsel', 'fast', 'no', 'like', 'Indosat', ' Quota ',' Kek ',' Gini ',' Kalok ',' Memek ',' Love ',' Free ',' Kayak ',' Bonus', 'GB', 'My Suggestion']")</f>
        <v>['Anyway', 'quota', 'smooth', 'fast', 'really', 'yesterday', 'mistak', 'Telkomsel', 'fast', 'no', 'like', 'Indosat', ' Quota ',' Kek ',' Gini ',' Kalok ',' Memek ',' Love ',' Free ',' Kayak ',' Bonus', 'GB', 'My Suggestion']</v>
      </c>
      <c r="D4705" s="3">
        <v>5.0</v>
      </c>
    </row>
    <row r="4706" ht="15.75" customHeight="1">
      <c r="A4706" s="1">
        <v>5060.0</v>
      </c>
      <c r="B4706" s="3" t="s">
        <v>4580</v>
      </c>
      <c r="C4706" s="3" t="str">
        <f>IFERROR(__xludf.DUMMYFUNCTION("GOOGLETRANSLATE(B4706,""id"",""en"")"),"['here', 'Paketan', 'MyTelkomsel', 'expensive', 'increase', 'price', 'buy', 'package', 'buy', 'price', 'Different', 'Rb', ' Please ',' explanation ',' Min ',' related ',' increase ',' price ',' expensive ',' increase ',' price ', ""]")</f>
        <v>['here', 'Paketan', 'MyTelkomsel', 'expensive', 'increase', 'price', 'buy', 'package', 'buy', 'price', 'Different', 'Rb', ' Please ',' explanation ',' Min ',' related ',' increase ',' price ',' expensive ',' increase ',' price ', "]</v>
      </c>
      <c r="D4706" s="3">
        <v>3.0</v>
      </c>
    </row>
    <row r="4707" ht="15.75" customHeight="1">
      <c r="A4707" s="1">
        <v>5061.0</v>
      </c>
      <c r="B4707" s="3" t="s">
        <v>4581</v>
      </c>
      <c r="C4707" s="3" t="str">
        <f>IFERROR(__xludf.DUMMYFUNCTION("GOOGLETRANSLATE(B4707,""id"",""en"")"),"['Telkomsel', 'quota', 'internet', 'GB', 'pulses',' truncated ',' rupiah ',' reasons', 'pulses',' used ',' use ',' internet ',' The point is', 'quota', 'left', 'vain', 'donk', 'keep', 'pulse', 'gini']")</f>
        <v>['Telkomsel', 'quota', 'internet', 'GB', 'pulses',' truncated ',' rupiah ',' reasons', 'pulses',' used ',' use ',' internet ',' The point is', 'quota', 'left', 'vain', 'donk', 'keep', 'pulse', 'gini']</v>
      </c>
      <c r="D4707" s="3">
        <v>1.0</v>
      </c>
    </row>
    <row r="4708" ht="15.75" customHeight="1">
      <c r="A4708" s="1">
        <v>5062.0</v>
      </c>
      <c r="B4708" s="3" t="s">
        <v>4582</v>
      </c>
      <c r="C4708" s="3" t="str">
        <f>IFERROR(__xludf.DUMMYFUNCTION("GOOGLETRANSLATE(B4708,""id"",""en"")"),"['', 'network', 'Telkomsel', 'difficult', 'ssah', 'forgiveness',' network ',' many years', 'tlg', 'fix', 'kmi', 'loss',' then then ',' BLI ',' Koata ',' SDAH ',' Try ',' Report ',' Email ',' Telkomsel ',' Mending ',' Change ',' Card ']")</f>
        <v>['', 'network', 'Telkomsel', 'difficult', 'ssah', 'forgiveness',' network ',' many years', 'tlg', 'fix', 'kmi', 'loss',' then then ',' BLI ',' Koata ',' SDAH ',' Try ',' Report ',' Email ',' Telkomsel ',' Mending ',' Change ',' Card ']</v>
      </c>
      <c r="D4708" s="3">
        <v>1.0</v>
      </c>
    </row>
    <row r="4709" ht="15.75" customHeight="1">
      <c r="A4709" s="1">
        <v>5063.0</v>
      </c>
      <c r="B4709" s="3" t="s">
        <v>4583</v>
      </c>
      <c r="C4709" s="3" t="str">
        <f>IFERROR(__xludf.DUMMYFUNCTION("GOOGLETRANSLATE(B4709,""id"",""en"")"),"['check', 'program', 'disorder', 'signal', 'price', 'card', 'increase', 'quality']")</f>
        <v>['check', 'program', 'disorder', 'signal', 'price', 'card', 'increase', 'quality']</v>
      </c>
      <c r="D4709" s="3">
        <v>3.0</v>
      </c>
    </row>
    <row r="4710" ht="15.75" customHeight="1">
      <c r="A4710" s="1">
        <v>5064.0</v>
      </c>
      <c r="B4710" s="3" t="s">
        <v>4584</v>
      </c>
      <c r="C4710" s="3" t="str">
        <f>IFERROR(__xludf.DUMMYFUNCTION("GOOGLETRANSLATE(B4710,""id"",""en"")"),"['buy', 'package', 'cheerful', 'rb', 'cut', 'internet', 'package', 'internet', 'until', 'rb', 'pulse', 'udh', ' Cut ',' Buy ',' Package ',' Cheerful ',' Severe ',' Telkomsel ']")</f>
        <v>['buy', 'package', 'cheerful', 'rb', 'cut', 'internet', 'package', 'internet', 'until', 'rb', 'pulse', 'udh', ' Cut ',' Buy ',' Package ',' Cheerful ',' Severe ',' Telkomsel ']</v>
      </c>
      <c r="D4710" s="3">
        <v>3.0</v>
      </c>
    </row>
    <row r="4711" ht="15.75" customHeight="1">
      <c r="A4711" s="1">
        <v>5065.0</v>
      </c>
      <c r="B4711" s="3" t="s">
        <v>4585</v>
      </c>
      <c r="C4711" s="3" t="str">
        <f>IFERROR(__xludf.DUMMYFUNCTION("GOOGLETRANSLATE(B4711,""id"",""en"")"),"['MantaaApp', 'easy', 'buy', 'package', 'data']")</f>
        <v>['MantaaApp', 'easy', 'buy', 'package', 'data']</v>
      </c>
      <c r="D4711" s="3">
        <v>5.0</v>
      </c>
    </row>
    <row r="4712" ht="15.75" customHeight="1">
      <c r="A4712" s="1">
        <v>5066.0</v>
      </c>
      <c r="B4712" s="3" t="s">
        <v>4586</v>
      </c>
      <c r="C4712" s="3" t="str">
        <f>IFERROR(__xludf.DUMMYFUNCTION("GOOGLETRANSLATE(B4712,""id"",""en"")"),"['ilang', 'Mulu', 'just', 'buy', 'card', 'corruption', 'Mulu']")</f>
        <v>['ilang', 'Mulu', 'just', 'buy', 'card', 'corruption', 'Mulu']</v>
      </c>
      <c r="D4712" s="3">
        <v>1.0</v>
      </c>
    </row>
    <row r="4713" ht="15.75" customHeight="1">
      <c r="A4713" s="1">
        <v>5067.0</v>
      </c>
      <c r="B4713" s="3" t="s">
        <v>4587</v>
      </c>
      <c r="C4713" s="3" t="str">
        <f>IFERROR(__xludf.DUMMYFUNCTION("GOOGLETRANSLATE(B4713,""id"",""en"")"),"['Telkomsel', 'Kaga', 'Different', 'card', 'neighbor', 'signal', 'Katroo', 'shy', 'Telkomsel', 'signal', 'Lek', 'Diligently', ' Update ',' Ush ',' Bls', 'Send', 'mail', 'BWT', 'Known', 'Krna', 'Need', 'Explanation', 'Need', 'Proof', 'Signal' , 'Telkomsel'"&amp;", 'good', 'rich', 'yrs',' talk ',' krna ',' customer ',' customer ',' yesterday ',' afternoon ',' proof ',' rich ',' Signal ',' Telkomsel ',' ']")</f>
        <v>['Telkomsel', 'Kaga', 'Different', 'card', 'neighbor', 'signal', 'Katroo', 'shy', 'Telkomsel', 'signal', 'Lek', 'Diligently', ' Update ',' Ush ',' Bls', 'Send', 'mail', 'BWT', 'Known', 'Krna', 'Need', 'Explanation', 'Need', 'Proof', 'Signal' , 'Telkomsel', 'good', 'rich', 'yrs',' talk ',' krna ',' customer ',' customer ',' yesterday ',' afternoon ',' proof ',' rich ',' Signal ',' Telkomsel ',' ']</v>
      </c>
      <c r="D4713" s="3">
        <v>1.0</v>
      </c>
    </row>
    <row r="4714" ht="15.75" customHeight="1">
      <c r="A4714" s="1">
        <v>5068.0</v>
      </c>
      <c r="B4714" s="3" t="s">
        <v>4588</v>
      </c>
      <c r="C4714" s="3" t="str">
        <f>IFERROR(__xludf.DUMMYFUNCTION("GOOGLETRANSLATE(B4714,""id"",""en"")"),"['Price', 'Mahel', 'Network', 'Bangsat', '']")</f>
        <v>['Price', 'Mahel', 'Network', 'Bangsat', '']</v>
      </c>
      <c r="D4714" s="3">
        <v>1.0</v>
      </c>
    </row>
    <row r="4715" ht="15.75" customHeight="1">
      <c r="A4715" s="1">
        <v>5069.0</v>
      </c>
      <c r="B4715" s="3" t="s">
        <v>4589</v>
      </c>
      <c r="C4715" s="3" t="str">
        <f>IFERROR(__xludf.DUMMYFUNCTION("GOOGLETRANSLATE(B4715,""id"",""en"")"),"['Package', 'BLM', 'Out', 'Daily', 'Unlimited', 'Provis', 'There', 'Confused', 'Dehh', 'Nikmatin']")</f>
        <v>['Package', 'BLM', 'Out', 'Daily', 'Unlimited', 'Provis', 'There', 'Confused', 'Dehh', 'Nikmatin']</v>
      </c>
      <c r="D4715" s="3">
        <v>4.0</v>
      </c>
    </row>
    <row r="4716" ht="15.75" customHeight="1">
      <c r="A4716" s="1">
        <v>5070.0</v>
      </c>
      <c r="B4716" s="3" t="s">
        <v>2969</v>
      </c>
      <c r="C4716" s="3" t="str">
        <f>IFERROR(__xludf.DUMMYFUNCTION("GOOGLETRANSLATE(B4716,""id"",""en"")"),"['Help', 'Telkomsel']")</f>
        <v>['Help', 'Telkomsel']</v>
      </c>
      <c r="D4716" s="3">
        <v>5.0</v>
      </c>
    </row>
    <row r="4717" ht="15.75" customHeight="1">
      <c r="A4717" s="1">
        <v>5072.0</v>
      </c>
      <c r="B4717" s="3" t="s">
        <v>4590</v>
      </c>
      <c r="C4717" s="3" t="str">
        <f>IFERROR(__xludf.DUMMYFUNCTION("GOOGLETRANSLATE(B4717,""id"",""en"")"),"['package', 'expensive', 'signal', 'good', 'sampek', 'signal', 'good', 'complaints',' customer ',' number ',' cook ',' open ',' Google ',' BET ',' Game ',' ugly ',' Bet ',' Your Signal ',' Benerin ',' Makek ',' Telkomsel ',' Kek ',' Taikk ',' Star ',' Sig"&amp;"nal ' , 'Bagusin']")</f>
        <v>['package', 'expensive', 'signal', 'good', 'sampek', 'signal', 'good', 'complaints',' customer ',' number ',' cook ',' open ',' Google ',' BET ',' Game ',' ugly ',' Bet ',' Your Signal ',' Benerin ',' Makek ',' Telkomsel ',' Kek ',' Taikk ',' Star ',' Signal ' , 'Bagusin']</v>
      </c>
      <c r="D4717" s="3">
        <v>1.0</v>
      </c>
    </row>
    <row r="4718" ht="15.75" customHeight="1">
      <c r="A4718" s="1">
        <v>5074.0</v>
      </c>
      <c r="B4718" s="3" t="s">
        <v>4591</v>
      </c>
      <c r="C4718" s="3" t="str">
        <f>IFERROR(__xludf.DUMMYFUNCTION("GOOGLETRANSLATE(B4718,""id"",""en"")"),"['Steady', 'Help', 'Price']")</f>
        <v>['Steady', 'Help', 'Price']</v>
      </c>
      <c r="D4718" s="3">
        <v>5.0</v>
      </c>
    </row>
    <row r="4719" ht="15.75" customHeight="1">
      <c r="A4719" s="1">
        <v>5075.0</v>
      </c>
      <c r="B4719" s="3" t="s">
        <v>4592</v>
      </c>
      <c r="C4719" s="3" t="str">
        <f>IFERROR(__xludf.DUMMYFUNCTION("GOOGLETRANSLATE(B4719,""id"",""en"")"),"['Ahhh', 'Basic', 'Satan', 'Telkomsel', 'Miss',' Service ',' Sister ',' Customer ',' Donlot ',' Easy ',' Enter ',' Difficult ',' Kamreet ',' all ']")</f>
        <v>['Ahhh', 'Basic', 'Satan', 'Telkomsel', 'Miss',' Service ',' Sister ',' Customer ',' Donlot ',' Easy ',' Enter ',' Difficult ',' Kamreet ',' all ']</v>
      </c>
      <c r="D4719" s="3">
        <v>1.0</v>
      </c>
    </row>
    <row r="4720" ht="15.75" customHeight="1">
      <c r="A4720" s="1">
        <v>5076.0</v>
      </c>
      <c r="B4720" s="3" t="s">
        <v>3295</v>
      </c>
      <c r="C4720" s="3" t="str">
        <f>IFERROR(__xludf.DUMMYFUNCTION("GOOGLETRANSLATE(B4720,""id"",""en"")"),"['Steady', 'cheap']")</f>
        <v>['Steady', 'cheap']</v>
      </c>
      <c r="D4720" s="3">
        <v>4.0</v>
      </c>
    </row>
    <row r="4721" ht="15.75" customHeight="1">
      <c r="A4721" s="1">
        <v>5077.0</v>
      </c>
      <c r="B4721" s="3" t="s">
        <v>181</v>
      </c>
      <c r="C4721" s="3" t="str">
        <f>IFERROR(__xludf.DUMMYFUNCTION("GOOGLETRANSLATE(B4721,""id"",""en"")"),"['help']")</f>
        <v>['help']</v>
      </c>
      <c r="D4721" s="3">
        <v>5.0</v>
      </c>
    </row>
    <row r="4722" ht="15.75" customHeight="1">
      <c r="A4722" s="1">
        <v>5078.0</v>
      </c>
      <c r="B4722" s="3" t="s">
        <v>4593</v>
      </c>
      <c r="C4722" s="3" t="str">
        <f>IFERROR(__xludf.DUMMYFUNCTION("GOOGLETRANSLATE(B4722,""id"",""en"")"),"['It's easy', 'choose', 'transact', 'package', 'data']")</f>
        <v>['It's easy', 'choose', 'transact', 'package', 'data']</v>
      </c>
      <c r="D4722" s="3">
        <v>5.0</v>
      </c>
    </row>
    <row r="4723" ht="15.75" customHeight="1">
      <c r="A4723" s="1">
        <v>5079.0</v>
      </c>
      <c r="B4723" s="3" t="s">
        <v>4594</v>
      </c>
      <c r="C4723" s="3" t="str">
        <f>IFERROR(__xludf.DUMMYFUNCTION("GOOGLETRANSLATE(B4723,""id"",""en"")"),"['', 'Helping', 'makes it easy', 'purchase', 'checks', 'package', 'data']")</f>
        <v>['', 'Helping', 'makes it easy', 'purchase', 'checks', 'package', 'data']</v>
      </c>
      <c r="D4723" s="3">
        <v>5.0</v>
      </c>
    </row>
    <row r="4724" ht="15.75" customHeight="1">
      <c r="A4724" s="1">
        <v>5080.0</v>
      </c>
      <c r="B4724" s="3" t="s">
        <v>4595</v>
      </c>
      <c r="C4724" s="3" t="str">
        <f>IFERROR(__xludf.DUMMYFUNCTION("GOOGLETRANSLATE(B4724,""id"",""en"")"),"['Increase', 'signal']")</f>
        <v>['Increase', 'signal']</v>
      </c>
      <c r="D4724" s="3">
        <v>5.0</v>
      </c>
    </row>
    <row r="4725" ht="15.75" customHeight="1">
      <c r="A4725" s="1">
        <v>5081.0</v>
      </c>
      <c r="B4725" s="3" t="s">
        <v>4596</v>
      </c>
      <c r="C4725" s="3" t="str">
        <f>IFERROR(__xludf.DUMMYFUNCTION("GOOGLETRANSLATE(B4725,""id"",""en"")"),"['service', 'worst', 'history', 'tekomsel', 'sinya', 'missing', 'mission', 'waste', 'sea', 'disappointed', 'hard', 'download', ' Application ',' Telkomsel ']")</f>
        <v>['service', 'worst', 'history', 'tekomsel', 'sinya', 'missing', 'mission', 'waste', 'sea', 'disappointed', 'hard', 'download', ' Application ',' Telkomsel ']</v>
      </c>
      <c r="D4725" s="3">
        <v>1.0</v>
      </c>
    </row>
    <row r="4726" ht="15.75" customHeight="1">
      <c r="A4726" s="1">
        <v>5082.0</v>
      </c>
      <c r="B4726" s="3" t="s">
        <v>4597</v>
      </c>
      <c r="C4726" s="3" t="str">
        <f>IFERROR(__xludf.DUMMYFUNCTION("GOOGLETRANSLATE(B4726,""id"",""en"")"),"['', 'love', 'star', 'yaa']")</f>
        <v>['', 'love', 'star', 'yaa']</v>
      </c>
      <c r="D4726" s="3">
        <v>4.0</v>
      </c>
    </row>
    <row r="4727" ht="15.75" customHeight="1">
      <c r="A4727" s="1">
        <v>5083.0</v>
      </c>
      <c r="B4727" s="3" t="s">
        <v>4598</v>
      </c>
      <c r="C4727" s="3" t="str">
        <f>IFERROR(__xludf.DUMMYFUNCTION("GOOGLETRANSLATE(B4727,""id"",""en"")"),"['cave', 'suggestion', 'telkomsel', 'network', 'severe', 'provider', 'other', 'good']")</f>
        <v>['cave', 'suggestion', 'telkomsel', 'network', 'severe', 'provider', 'other', 'good']</v>
      </c>
      <c r="D4727" s="3">
        <v>1.0</v>
      </c>
    </row>
    <row r="4728" ht="15.75" customHeight="1">
      <c r="A4728" s="1">
        <v>5084.0</v>
      </c>
      <c r="B4728" s="3" t="s">
        <v>4212</v>
      </c>
      <c r="C4728" s="3" t="str">
        <f>IFERROR(__xludf.DUMMYFUNCTION("GOOGLETRANSLATE(B4728,""id"",""en"")"),"['easy', 'good']")</f>
        <v>['easy', 'good']</v>
      </c>
      <c r="D4728" s="3">
        <v>4.0</v>
      </c>
    </row>
    <row r="4729" ht="15.75" customHeight="1">
      <c r="A4729" s="1">
        <v>5085.0</v>
      </c>
      <c r="B4729" s="3" t="s">
        <v>4599</v>
      </c>
      <c r="C4729" s="3" t="str">
        <f>IFERROR(__xludf.DUMMYFUNCTION("GOOGLETRANSLATE(B4729,""id"",""en"")"),"['Promo', 'use']")</f>
        <v>['Promo', 'use']</v>
      </c>
      <c r="D4729" s="3">
        <v>1.0</v>
      </c>
    </row>
    <row r="4730" ht="15.75" customHeight="1">
      <c r="A4730" s="1">
        <v>5086.0</v>
      </c>
      <c r="B4730" s="3" t="s">
        <v>4600</v>
      </c>
      <c r="C4730" s="3" t="str">
        <f>IFERROR(__xludf.DUMMYFUNCTION("GOOGLETRANSLATE(B4730,""id"",""en"")"),"['Patent', 'Hopefully', 'Telkomsel', 'Service', 'Good', 'Consumer', 'Pande', 'Telkomsel']")</f>
        <v>['Patent', 'Hopefully', 'Telkomsel', 'Service', 'Good', 'Consumer', 'Pande', 'Telkomsel']</v>
      </c>
      <c r="D4730" s="3">
        <v>5.0</v>
      </c>
    </row>
    <row r="4731" ht="15.75" customHeight="1">
      <c r="A4731" s="1">
        <v>5087.0</v>
      </c>
      <c r="B4731" s="3" t="s">
        <v>4601</v>
      </c>
      <c r="C4731" s="3" t="str">
        <f>IFERROR(__xludf.DUMMYFUNCTION("GOOGLETRANSLATE(B4731,""id"",""en"")"),"['hope', 'bgs', 'nextx']")</f>
        <v>['hope', 'bgs', 'nextx']</v>
      </c>
      <c r="D4731" s="3">
        <v>5.0</v>
      </c>
    </row>
    <row r="4732" ht="15.75" customHeight="1">
      <c r="A4732" s="1">
        <v>5089.0</v>
      </c>
      <c r="B4732" s="3" t="s">
        <v>4602</v>
      </c>
      <c r="C4732" s="3" t="str">
        <f>IFERROR(__xludf.DUMMYFUNCTION("GOOGLETRANSLATE(B4732,""id"",""en"")"),"['Taekkk', 'Telkomsell', 'Kayak', 'package', 'expensive', 'expensive', 'buy', 'above', 'turn', 'play', 'game', 'signal', ' Lost ',' lost ',' Th ',' use ',' Telkomsel ',' Mending ',' Moving ',' Provaider ']")</f>
        <v>['Taekkk', 'Telkomsell', 'Kayak', 'package', 'expensive', 'expensive', 'buy', 'above', 'turn', 'play', 'game', 'signal', ' Lost ',' lost ',' Th ',' use ',' Telkomsel ',' Mending ',' Moving ',' Provaider ']</v>
      </c>
      <c r="D4732" s="3">
        <v>1.0</v>
      </c>
    </row>
    <row r="4733" ht="15.75" customHeight="1">
      <c r="A4733" s="1">
        <v>5090.0</v>
      </c>
      <c r="B4733" s="3" t="s">
        <v>4603</v>
      </c>
      <c r="C4733" s="3" t="str">
        <f>IFERROR(__xludf.DUMMYFUNCTION("GOOGLETRANSLATE(B4733,""id"",""en"")"),"['Okay', 'fast', 'response']")</f>
        <v>['Okay', 'fast', 'response']</v>
      </c>
      <c r="D4733" s="3">
        <v>5.0</v>
      </c>
    </row>
    <row r="4734" ht="15.75" customHeight="1">
      <c r="A4734" s="1">
        <v>5091.0</v>
      </c>
      <c r="B4734" s="3" t="s">
        <v>4604</v>
      </c>
      <c r="C4734" s="3" t="str">
        <f>IFERROR(__xludf.DUMMYFUNCTION("GOOGLETRANSLATE(B4734,""id"",""en"")"),"['hope', 'Amnah', ""]")</f>
        <v>['hope', 'Amnah', "]</v>
      </c>
      <c r="D4734" s="3">
        <v>5.0</v>
      </c>
    </row>
    <row r="4735" ht="15.75" customHeight="1">
      <c r="A4735" s="1">
        <v>5092.0</v>
      </c>
      <c r="B4735" s="3" t="s">
        <v>4605</v>
      </c>
      <c r="C4735" s="3" t="str">
        <f>IFERROR(__xludf.DUMMYFUNCTION("GOOGLETRANSLATE(B4735,""id"",""en"")"),"['ugly', 'bonus']")</f>
        <v>['ugly', 'bonus']</v>
      </c>
      <c r="D4735" s="3">
        <v>1.0</v>
      </c>
    </row>
    <row r="4736" ht="15.75" customHeight="1">
      <c r="A4736" s="1">
        <v>5093.0</v>
      </c>
      <c r="B4736" s="3" t="s">
        <v>4606</v>
      </c>
      <c r="C4736" s="3" t="str">
        <f>IFERROR(__xludf.DUMMYFUNCTION("GOOGLETRANSLATE(B4736,""id"",""en"")"),"['Lally', 'promo']")</f>
        <v>['Lally', 'promo']</v>
      </c>
      <c r="D4736" s="3">
        <v>5.0</v>
      </c>
    </row>
    <row r="4737" ht="15.75" customHeight="1">
      <c r="A4737" s="1">
        <v>5094.0</v>
      </c>
      <c r="B4737" s="3" t="s">
        <v>4607</v>
      </c>
      <c r="C4737" s="3" t="str">
        <f>IFERROR(__xludf.DUMMYFUNCTION("GOOGLETRANSLATE(B4737,""id"",""en"")"),"['Application', 'Help', 'Good']")</f>
        <v>['Application', 'Help', 'Good']</v>
      </c>
      <c r="D4737" s="3">
        <v>5.0</v>
      </c>
    </row>
    <row r="4738" ht="15.75" customHeight="1">
      <c r="A4738" s="1">
        <v>5095.0</v>
      </c>
      <c r="B4738" s="3" t="s">
        <v>4608</v>
      </c>
      <c r="C4738" s="3" t="str">
        <f>IFERROR(__xludf.DUMMYFUNCTION("GOOGLETRANSLATE(B4738,""id"",""en"")"),"['Telkomsel', 'Network', 'stable', 'environment', 'unfortunately', 'price', 'quota', 'expensive', 'kebangeretan', 'student', 'heavy', 'really', ' Check ',' Nambah ',' combo ',' saktinya ',' please ',' Telkomsel ',' love ',' price ',' normal ',' plus', 'bu"&amp;"rdensome', 'student', 'income' , '']")</f>
        <v>['Telkomsel', 'Network', 'stable', 'environment', 'unfortunately', 'price', 'quota', 'expensive', 'kebangeretan', 'student', 'heavy', 'really', ' Check ',' Nambah ',' combo ',' saktinya ',' please ',' Telkomsel ',' love ',' price ',' normal ',' plus', 'burdensome', 'student', 'income' , '']</v>
      </c>
      <c r="D4738" s="3">
        <v>2.0</v>
      </c>
    </row>
    <row r="4739" ht="15.75" customHeight="1">
      <c r="A4739" s="1">
        <v>5096.0</v>
      </c>
      <c r="B4739" s="3" t="s">
        <v>4609</v>
      </c>
      <c r="C4739" s="3" t="str">
        <f>IFERROR(__xludf.DUMMYFUNCTION("GOOGLETRANSLATE(B4739,""id"",""en"")"),"['Use', 'Telkomsel', 'delicious']")</f>
        <v>['Use', 'Telkomsel', 'delicious']</v>
      </c>
      <c r="D4739" s="3">
        <v>1.0</v>
      </c>
    </row>
    <row r="4740" ht="15.75" customHeight="1">
      <c r="A4740" s="1">
        <v>5097.0</v>
      </c>
      <c r="B4740" s="3" t="s">
        <v>4610</v>
      </c>
      <c r="C4740" s="3" t="str">
        <f>IFERROR(__xludf.DUMMYFUNCTION("GOOGLETRANSLATE(B4740,""id"",""en"")"),"['slow', 'LTE', 'internet', 'slow', 'love', 'star', 'hope', 'fast', 'fix', 'thankful', 'a week', 'internet', ' WiFi ',' brother ']")</f>
        <v>['slow', 'LTE', 'internet', 'slow', 'love', 'star', 'hope', 'fast', 'fix', 'thankful', 'a week', 'internet', ' WiFi ',' brother ']</v>
      </c>
      <c r="D4740" s="3">
        <v>5.0</v>
      </c>
    </row>
    <row r="4741" ht="15.75" customHeight="1">
      <c r="A4741" s="1">
        <v>5098.0</v>
      </c>
      <c r="B4741" s="3" t="s">
        <v>4611</v>
      </c>
      <c r="C4741" s="3" t="str">
        <f>IFERROR(__xludf.DUMMYFUNCTION("GOOGLETRANSLATE(B4741,""id"",""en"")"),"['Package', 'expensive']")</f>
        <v>['Package', 'expensive']</v>
      </c>
      <c r="D4741" s="3">
        <v>1.0</v>
      </c>
    </row>
    <row r="4742" ht="15.75" customHeight="1">
      <c r="A4742" s="1">
        <v>5099.0</v>
      </c>
      <c r="B4742" s="3" t="s">
        <v>4612</v>
      </c>
      <c r="C4742" s="3" t="str">
        <f>IFERROR(__xludf.DUMMYFUNCTION("GOOGLETRANSLATE(B4742,""id"",""en"")"),"['Information', 'access', 'internet']")</f>
        <v>['Information', 'access', 'internet']</v>
      </c>
      <c r="D4742" s="3">
        <v>4.0</v>
      </c>
    </row>
    <row r="4743" ht="15.75" customHeight="1">
      <c r="A4743" s="1">
        <v>5100.0</v>
      </c>
      <c r="B4743" s="3" t="s">
        <v>4613</v>
      </c>
      <c r="C4743" s="3" t="str">
        <f>IFERROR(__xludf.DUMMYFUNCTION("GOOGLETRANSLATE(B4743,""id"",""en"")"),"['Love', 'Bintang', 'Dulily', 'See', 'Results', 'Good', 'Addin']")</f>
        <v>['Love', 'Bintang', 'Dulily', 'See', 'Results', 'Good', 'Addin']</v>
      </c>
      <c r="D4743" s="3">
        <v>2.0</v>
      </c>
    </row>
    <row r="4744" ht="15.75" customHeight="1">
      <c r="A4744" s="1">
        <v>5101.0</v>
      </c>
      <c r="B4744" s="3" t="s">
        <v>4614</v>
      </c>
      <c r="C4744" s="3" t="str">
        <f>IFERROR(__xludf.DUMMYFUNCTION("GOOGLETRANSLATE(B4744,""id"",""en"")"),"['Easy', 'mirah']")</f>
        <v>['Easy', 'mirah']</v>
      </c>
      <c r="D4744" s="3">
        <v>4.0</v>
      </c>
    </row>
    <row r="4745" ht="15.75" customHeight="1">
      <c r="A4745" s="1">
        <v>5102.0</v>
      </c>
      <c r="B4745" s="3" t="s">
        <v>4615</v>
      </c>
      <c r="C4745" s="3" t="str">
        <f>IFERROR(__xludf.DUMMYFUNCTION("GOOGLETRANSLATE(B4745,""id"",""en"")"),"['The application', 'good', 'really']")</f>
        <v>['The application', 'good', 'really']</v>
      </c>
      <c r="D4745" s="3">
        <v>5.0</v>
      </c>
    </row>
    <row r="4746" ht="15.75" customHeight="1">
      <c r="A4746" s="1">
        <v>5103.0</v>
      </c>
      <c r="B4746" s="3" t="s">
        <v>4616</v>
      </c>
      <c r="C4746" s="3" t="str">
        <f>IFERROR(__xludf.DUMMYFUNCTION("GOOGLETRANSLATE(B4746,""id"",""en"")"),"['Application', 'good', 'like', 'please', 'multiply', 'promo']")</f>
        <v>['Application', 'good', 'like', 'please', 'multiply', 'promo']</v>
      </c>
      <c r="D4746" s="3">
        <v>5.0</v>
      </c>
    </row>
    <row r="4747" ht="15.75" customHeight="1">
      <c r="A4747" s="1">
        <v>5104.0</v>
      </c>
      <c r="B4747" s="3" t="s">
        <v>4617</v>
      </c>
      <c r="C4747" s="3" t="str">
        <f>IFERROR(__xludf.DUMMYFUNCTION("GOOGLETRANSLATE(B4747,""id"",""en"")"),"['Good', 'simple']")</f>
        <v>['Good', 'simple']</v>
      </c>
      <c r="D4747" s="3">
        <v>5.0</v>
      </c>
    </row>
    <row r="4748" ht="15.75" customHeight="1">
      <c r="A4748" s="1">
        <v>5105.0</v>
      </c>
      <c r="B4748" s="3" t="s">
        <v>4618</v>
      </c>
      <c r="C4748" s="3" t="str">
        <f>IFERROR(__xludf.DUMMYFUNCTION("GOOGLETRANSLATE(B4748,""id"",""en"")"),"['really good', '']")</f>
        <v>['really good', '']</v>
      </c>
      <c r="D4748" s="3">
        <v>5.0</v>
      </c>
    </row>
    <row r="4749" ht="15.75" customHeight="1">
      <c r="A4749" s="1">
        <v>5106.0</v>
      </c>
      <c r="B4749" s="3" t="s">
        <v>4619</v>
      </c>
      <c r="C4749" s="3" t="str">
        <f>IFERROR(__xludf.DUMMYFUNCTION("GOOGLETRANSLATE(B4749,""id"",""en"")"),"['', 'Telkomsel', 'Check', 'City']")</f>
        <v>['', 'Telkomsel', 'Check', 'City']</v>
      </c>
      <c r="D4749" s="3">
        <v>4.0</v>
      </c>
    </row>
    <row r="4750" ht="15.75" customHeight="1">
      <c r="A4750" s="1">
        <v>5107.0</v>
      </c>
      <c r="B4750" s="3" t="s">
        <v>4620</v>
      </c>
      <c r="C4750" s="3" t="str">
        <f>IFERROR(__xludf.DUMMYFUNCTION("GOOGLETRANSLATE(B4750,""id"",""en"")"),"['Package', 'Data', 'Expensive', 'Center', 'Help', 'Serve', 'Robot', 'Learning', 'Indosat', 'Service', 'Costumer', 'The', ' Best ']")</f>
        <v>['Package', 'Data', 'Expensive', 'Center', 'Help', 'Serve', 'Robot', 'Learning', 'Indosat', 'Service', 'Costumer', 'The', ' Best ']</v>
      </c>
      <c r="D4750" s="3">
        <v>1.0</v>
      </c>
    </row>
    <row r="4751" ht="15.75" customHeight="1">
      <c r="A4751" s="1">
        <v>5108.0</v>
      </c>
      <c r="B4751" s="3" t="s">
        <v>4621</v>
      </c>
      <c r="C4751" s="3" t="str">
        <f>IFERROR(__xludf.DUMMYFUNCTION("GOOGLETRANSLATE(B4751,""id"",""en"")"),"['pls',' Telkomsel ',' Try ',' deh ',' mode ',' lock ',' pulse ',' suck ',' contents', 'pulse', 'then', 'package', ' run out ',' forgetful ',' life ',' data ',' pulseku ',' missing ',' the rest ',' good ',' mode ',' lock ',' pulse ',' ksih ',' star ' , ''"&amp;"]")</f>
        <v>['pls',' Telkomsel ',' Try ',' deh ',' mode ',' lock ',' pulse ',' suck ',' contents', 'pulse', 'then', 'package', ' run out ',' forgetful ',' life ',' data ',' pulseku ',' missing ',' the rest ',' good ',' mode ',' lock ',' pulse ',' ksih ',' star ' , '']</v>
      </c>
      <c r="D4751" s="3">
        <v>2.0</v>
      </c>
    </row>
    <row r="4752" ht="15.75" customHeight="1">
      <c r="A4752" s="1">
        <v>5109.0</v>
      </c>
      <c r="B4752" s="3" t="s">
        <v>4622</v>
      </c>
      <c r="C4752" s="3" t="str">
        <f>IFERROR(__xludf.DUMMYFUNCTION("GOOGLETRANSLATE(B4752,""id"",""en"")"),"['Telkomsel', 'easy']")</f>
        <v>['Telkomsel', 'easy']</v>
      </c>
      <c r="D4752" s="3">
        <v>5.0</v>
      </c>
    </row>
    <row r="4753" ht="15.75" customHeight="1">
      <c r="A4753" s="1">
        <v>5110.0</v>
      </c>
      <c r="B4753" s="3" t="s">
        <v>4623</v>
      </c>
      <c r="C4753" s="3" t="str">
        <f>IFERROR(__xludf.DUMMYFUNCTION("GOOGLETRANSLATE(B4753,""id"",""en"")"),"['application', 'contents', 'kede', 'dtk', 'contents', 'ngk', 'contents', 'automatically', 'that way']")</f>
        <v>['application', 'contents', 'kede', 'dtk', 'contents', 'ngk', 'contents', 'automatically', 'that way']</v>
      </c>
      <c r="D4753" s="3">
        <v>1.0</v>
      </c>
    </row>
    <row r="4754" ht="15.75" customHeight="1">
      <c r="A4754" s="1">
        <v>5111.0</v>
      </c>
      <c r="B4754" s="3" t="s">
        <v>1175</v>
      </c>
      <c r="C4754" s="3" t="str">
        <f>IFERROR(__xludf.DUMMYFUNCTION("GOOGLETRANSLATE(B4754,""id"",""en"")"),"['Sngat', 'satisfying']")</f>
        <v>['Sngat', 'satisfying']</v>
      </c>
      <c r="D4754" s="3">
        <v>5.0</v>
      </c>
    </row>
    <row r="4755" ht="15.75" customHeight="1">
      <c r="A4755" s="1">
        <v>5113.0</v>
      </c>
      <c r="B4755" s="3" t="s">
        <v>4624</v>
      </c>
      <c r="C4755" s="3" t="str">
        <f>IFERROR(__xludf.DUMMYFUNCTION("GOOGLETRANSLATE(B4755,""id"",""en"")"),"['serious', 'help', 'really', 'buy', 'package', 'data', 'because' cheap ',' contents ',' reset ',' pulse ',' gamuk ',' The contents', 'via', 'Shopeepay', 'Saldoku', 'already', 'Cut', 'Pulses',' Gamasuk ',' I waited ',' already ',' entered ', ""]")</f>
        <v>['serious', 'help', 'really', 'buy', 'package', 'data', 'because' cheap ',' contents ',' reset ',' pulse ',' gamuk ',' The contents', 'via', 'Shopeepay', 'Saldoku', 'already', 'Cut', 'Pulses',' Gamasuk ',' I waited ',' already ',' entered ', "]</v>
      </c>
      <c r="D4755" s="3">
        <v>3.0</v>
      </c>
    </row>
    <row r="4756" ht="15.75" customHeight="1">
      <c r="A4756" s="1">
        <v>5114.0</v>
      </c>
      <c r="B4756" s="3" t="s">
        <v>4625</v>
      </c>
      <c r="C4756" s="3" t="str">
        <f>IFERROR(__xludf.DUMMYFUNCTION("GOOGLETRANSLATE(B4756,""id"",""en"")"),"['Please', 'Telkomsel', 'package', 'omg', 'omg', 'suck', 'package', 'locally', 'kah', 'omg', 'open', 'youtube', ' Please, 'Fix', '']")</f>
        <v>['Please', 'Telkomsel', 'package', 'omg', 'omg', 'suck', 'package', 'locally', 'kah', 'omg', 'open', 'youtube', ' Please, 'Fix', '']</v>
      </c>
      <c r="D4756" s="3">
        <v>2.0</v>
      </c>
    </row>
    <row r="4757" ht="15.75" customHeight="1">
      <c r="A4757" s="1">
        <v>5115.0</v>
      </c>
      <c r="B4757" s="3" t="s">
        <v>4626</v>
      </c>
      <c r="C4757" s="3" t="str">
        <f>IFERROR(__xludf.DUMMYFUNCTION("GOOGLETRANSLATE(B4757,""id"",""en"")"),"['Purchase', 'Package', 'Buy', 'Quota', 'Intertet', 'Credit', 'Out', 'Inedible', 'APK', 'PDHL', 'Package', 'Enter']")</f>
        <v>['Purchase', 'Package', 'Buy', 'Quota', 'Intertet', 'Credit', 'Out', 'Inedible', 'APK', 'PDHL', 'Package', 'Enter']</v>
      </c>
      <c r="D4757" s="3">
        <v>1.0</v>
      </c>
    </row>
    <row r="4758" ht="15.75" customHeight="1">
      <c r="A4758" s="1">
        <v>5116.0</v>
      </c>
      <c r="B4758" s="3" t="s">
        <v>4627</v>
      </c>
      <c r="C4758" s="3" t="str">
        <f>IFERROR(__xludf.DUMMYFUNCTION("GOOGLETRANSLATE(B4758,""id"",""en"")"),"['lgi', 'covid', 'quota', 'ride', 'bljr', 'gmn', 'klw', 'quota', 'expensive', '']")</f>
        <v>['lgi', 'covid', 'quota', 'ride', 'bljr', 'gmn', 'klw', 'quota', 'expensive', '']</v>
      </c>
      <c r="D4758" s="3">
        <v>1.0</v>
      </c>
    </row>
    <row r="4759" ht="15.75" customHeight="1">
      <c r="A4759" s="1">
        <v>5117.0</v>
      </c>
      <c r="B4759" s="3" t="s">
        <v>4628</v>
      </c>
      <c r="C4759" s="3" t="str">
        <f>IFERROR(__xludf.DUMMYFUNCTION("GOOGLETRANSLATE(B4759,""id"",""en"")"),"['Help', 'pulse', 'quota']")</f>
        <v>['Help', 'pulse', 'quota']</v>
      </c>
      <c r="D4759" s="3">
        <v>5.0</v>
      </c>
    </row>
    <row r="4760" ht="15.75" customHeight="1">
      <c r="A4760" s="1">
        <v>5118.0</v>
      </c>
      <c r="B4760" s="3" t="s">
        <v>4629</v>
      </c>
      <c r="C4760" s="3" t="str">
        <f>IFERROR(__xludf.DUMMYFUNCTION("GOOGLETRANSLATE(B4760,""id"",""en"")"),"['The', 'Best', 'Public', 'mah', 'Telkomsel', ""]")</f>
        <v>['The', 'Best', 'Public', 'mah', 'Telkomsel', "]</v>
      </c>
      <c r="D4760" s="3">
        <v>5.0</v>
      </c>
    </row>
    <row r="4761" ht="15.75" customHeight="1">
      <c r="A4761" s="1">
        <v>5119.0</v>
      </c>
      <c r="B4761" s="3" t="s">
        <v>4630</v>
      </c>
      <c r="C4761" s="3" t="str">
        <f>IFERROR(__xludf.DUMMYFUNCTION("GOOGLETRANSLATE(B4761,""id"",""en"")"),"['Please', 'repaired', 'Quality', 'Network', 'Region', 'City', 'Ternate', 'Maluku', 'North', ""]")</f>
        <v>['Please', 'repaired', 'Quality', 'Network', 'Region', 'City', 'Ternate', 'Maluku', 'North', "]</v>
      </c>
      <c r="D4761" s="3">
        <v>5.0</v>
      </c>
    </row>
    <row r="4762" ht="15.75" customHeight="1">
      <c r="A4762" s="1">
        <v>5121.0</v>
      </c>
      <c r="B4762" s="3" t="s">
        <v>4631</v>
      </c>
      <c r="C4762" s="3" t="str">
        <f>IFERROR(__xludf.DUMMYFUNCTION("GOOGLETRANSLATE(B4762,""id"",""en"")"),"['Firework', 'World', 'Maya', 'internet', 'good', 'fast', 'appeal', 'neighbor', 'next door', 'wisdom', 'services',' rates', ' cheap ',' in ',' price ',' cost ',' use ',' internet ',' dlm ',' usage ',' youtube ',' wasteful ',' quota ',' faucet ',' water ' "&amp;", 'open', 'run out', 'help', 'economical', 'user', 'service', 'service', 'telkomselmu', 'hehehe', 'mksh', 'bnyk', ""]")</f>
        <v>['Firework', 'World', 'Maya', 'internet', 'good', 'fast', 'appeal', 'neighbor', 'next door', 'wisdom', 'services',' rates', ' cheap ',' in ',' price ',' cost ',' use ',' internet ',' dlm ',' usage ',' youtube ',' wasteful ',' quota ',' faucet ',' water ' , 'open', 'run out', 'help', 'economical', 'user', 'service', 'service', 'telkomselmu', 'hehehe', 'mksh', 'bnyk', "]</v>
      </c>
      <c r="D4762" s="3">
        <v>4.0</v>
      </c>
    </row>
    <row r="4763" ht="15.75" customHeight="1">
      <c r="A4763" s="1">
        <v>5122.0</v>
      </c>
      <c r="B4763" s="3" t="s">
        <v>4632</v>
      </c>
      <c r="C4763" s="3" t="str">
        <f>IFERROR(__xludf.DUMMYFUNCTION("GOOGLETRANSLATE(B4763,""id"",""en"")"),"['The name', 'ugly']")</f>
        <v>['The name', 'ugly']</v>
      </c>
      <c r="D4763" s="3">
        <v>5.0</v>
      </c>
    </row>
    <row r="4764" ht="15.75" customHeight="1">
      <c r="A4764" s="1">
        <v>5123.0</v>
      </c>
      <c r="B4764" s="3" t="s">
        <v>4633</v>
      </c>
      <c r="C4764" s="3" t="str">
        <f>IFERROR(__xludf.DUMMYFUNCTION("GOOGLETRANSLATE(B4764,""id"",""en"")"),"['thank', 'love', 'mytelkomsel']")</f>
        <v>['thank', 'love', 'mytelkomsel']</v>
      </c>
      <c r="D4764" s="3">
        <v>5.0</v>
      </c>
    </row>
    <row r="4765" ht="15.75" customHeight="1">
      <c r="A4765" s="1">
        <v>5124.0</v>
      </c>
      <c r="B4765" s="3" t="s">
        <v>4634</v>
      </c>
      <c r="C4765" s="3" t="str">
        <f>IFERROR(__xludf.DUMMYFUNCTION("GOOGLETRANSLATE(B4765,""id"",""en"")"),"['pulse', 'leftover', 'truncated', 'internet', 'daily', 'package', 'data', 'active', 'a month', 'times',' leftover ',' pulses', ' Habiiiiss', 'sucked', 'strange', 'donk', 'buy', 'package', 'internet', 'nelp', 'sms',' ']")</f>
        <v>['pulse', 'leftover', 'truncated', 'internet', 'daily', 'package', 'data', 'active', 'a month', 'times',' leftover ',' pulses', ' Habiiiiss', 'sucked', 'strange', 'donk', 'buy', 'package', 'internet', 'nelp', 'sms',' ']</v>
      </c>
      <c r="D4765" s="3">
        <v>1.0</v>
      </c>
    </row>
    <row r="4766" ht="15.75" customHeight="1">
      <c r="A4766" s="1">
        <v>5125.0</v>
      </c>
      <c r="B4766" s="3" t="s">
        <v>4635</v>
      </c>
      <c r="C4766" s="3" t="str">
        <f>IFERROR(__xludf.DUMMYFUNCTION("GOOGLETRANSLATE(B4766,""id"",""en"")"),"['Sometimes', 'difficult', 'accessed']")</f>
        <v>['Sometimes', 'difficult', 'accessed']</v>
      </c>
      <c r="D4766" s="3">
        <v>3.0</v>
      </c>
    </row>
    <row r="4767" ht="15.75" customHeight="1">
      <c r="A4767" s="1">
        <v>5126.0</v>
      </c>
      <c r="B4767" s="3" t="s">
        <v>4636</v>
      </c>
      <c r="C4767" s="3" t="str">
        <f>IFERROR(__xludf.DUMMYFUNCTION("GOOGLETRANSLATE(B4767,""id"",""en"")"),"['sebolm', 'prepaid', 'safe', 'safe', 'postpaid', 'harmed', 'canal', 'migration', 'card', 'hello', 'telkomsel', 'maunyesel']")</f>
        <v>['sebolm', 'prepaid', 'safe', 'safe', 'postpaid', 'harmed', 'canal', 'migration', 'card', 'hello', 'telkomsel', 'maunyesel']</v>
      </c>
      <c r="D4767" s="3">
        <v>1.0</v>
      </c>
    </row>
    <row r="4768" ht="15.75" customHeight="1">
      <c r="A4768" s="1">
        <v>5127.0</v>
      </c>
      <c r="B4768" s="3" t="s">
        <v>4637</v>
      </c>
      <c r="C4768" s="3" t="str">
        <f>IFERROR(__xludf.DUMMYFUNCTION("GOOGLETRANSLATE(B4768,""id"",""en"")"),"['Gara', 'Gara', 'Good']")</f>
        <v>['Gara', 'Gara', 'Good']</v>
      </c>
      <c r="D4768" s="3">
        <v>5.0</v>
      </c>
    </row>
    <row r="4769" ht="15.75" customHeight="1">
      <c r="A4769" s="1">
        <v>5129.0</v>
      </c>
      <c r="B4769" s="3" t="s">
        <v>1572</v>
      </c>
      <c r="C4769" s="3" t="str">
        <f>IFERROR(__xludf.DUMMYFUNCTION("GOOGLETRANSLATE(B4769,""id"",""en"")"),"['Love', 'Star']")</f>
        <v>['Love', 'Star']</v>
      </c>
      <c r="D4769" s="3">
        <v>4.0</v>
      </c>
    </row>
    <row r="4770" ht="15.75" customHeight="1">
      <c r="A4770" s="1">
        <v>5130.0</v>
      </c>
      <c r="B4770" s="3" t="s">
        <v>4638</v>
      </c>
      <c r="C4770" s="3" t="str">
        <f>IFERROR(__xludf.DUMMYFUNCTION("GOOGLETRANSLATE(B4770,""id"",""en"")"),"['use', 'Telkomsel', 'quota', 'economical', 'really']")</f>
        <v>['use', 'Telkomsel', 'quota', 'economical', 'really']</v>
      </c>
      <c r="D4770" s="3">
        <v>4.0</v>
      </c>
    </row>
    <row r="4771" ht="15.75" customHeight="1">
      <c r="A4771" s="1">
        <v>5131.0</v>
      </c>
      <c r="B4771" s="3" t="s">
        <v>4639</v>
      </c>
      <c r="C4771" s="3" t="str">
        <f>IFERROR(__xludf.DUMMYFUNCTION("GOOGLETRANSLATE(B4771,""id"",""en"")"),"['application', 'Bgus', 'bnget']")</f>
        <v>['application', 'Bgus', 'bnget']</v>
      </c>
      <c r="D4771" s="3">
        <v>5.0</v>
      </c>
    </row>
    <row r="4772" ht="15.75" customHeight="1">
      <c r="A4772" s="1">
        <v>5132.0</v>
      </c>
      <c r="B4772" s="3" t="s">
        <v>4640</v>
      </c>
      <c r="C4772" s="3" t="str">
        <f>IFERROR(__xludf.DUMMYFUNCTION("GOOGLETRANSLATE(B4772,""id"",""en"")"),"['Qualiti', 'Control', 'Love', 'Customer', 'Class',' Telkomsel ',' Application ',' Kayak ',' Zonk ',' Loading ',' Very ',' Enter ',' Application ',' Network ',' Full ',' Jakarta ',' Try ',' Klw ',' Region ',' User ',' Direct ',' santing ', ""]")</f>
        <v>['Qualiti', 'Control', 'Love', 'Customer', 'Class',' Telkomsel ',' Application ',' Kayak ',' Zonk ',' Loading ',' Very ',' Enter ',' Application ',' Network ',' Full ',' Jakarta ',' Try ',' Klw ',' Region ',' User ',' Direct ',' santing ', "]</v>
      </c>
      <c r="D4772" s="3">
        <v>3.0</v>
      </c>
    </row>
    <row r="4773" ht="15.75" customHeight="1">
      <c r="A4773" s="1">
        <v>5133.0</v>
      </c>
      <c r="B4773" s="3" t="s">
        <v>4641</v>
      </c>
      <c r="C4773" s="3" t="str">
        <f>IFERROR(__xludf.DUMMYFUNCTION("GOOGLETRANSLATE(B4773,""id"",""en"")"),"['Search', 'Media', 'quota', 'unlimited', 'function', 'smooth', 'hit', 'week', 'quota', 'main', 'truncated', 'unlimited', ' YouTube ',' Twitter ',' Function ',' Try ',' Report ',' Admin ',' Blame ',' Customer ',' Take ',' System ',' Disappointed ', ""]")</f>
        <v>['Search', 'Media', 'quota', 'unlimited', 'function', 'smooth', 'hit', 'week', 'quota', 'main', 'truncated', 'unlimited', ' YouTube ',' Twitter ',' Function ',' Try ',' Report ',' Admin ',' Blame ',' Customer ',' Take ',' System ',' Disappointed ', "]</v>
      </c>
      <c r="D4773" s="3">
        <v>1.0</v>
      </c>
    </row>
    <row r="4774" ht="15.75" customHeight="1">
      <c r="A4774" s="1">
        <v>5134.0</v>
      </c>
      <c r="B4774" s="3" t="s">
        <v>4642</v>
      </c>
      <c r="C4774" s="3" t="str">
        <f>IFERROR(__xludf.DUMMYFUNCTION("GOOGLETRANSLATE(B4774,""id"",""en"")"),"['thank you', 'service', 'best']")</f>
        <v>['thank you', 'service', 'best']</v>
      </c>
      <c r="D4774" s="3">
        <v>5.0</v>
      </c>
    </row>
    <row r="4775" ht="15.75" customHeight="1">
      <c r="A4775" s="1">
        <v>5135.0</v>
      </c>
      <c r="B4775" s="3" t="s">
        <v>4643</v>
      </c>
      <c r="C4775" s="3" t="str">
        <f>IFERROR(__xludf.DUMMYFUNCTION("GOOGLETRANSLATE(B4775,""id"",""en"")"),"['', 'Region', 'Kec', 'Cimaung', 'Village', 'Pasirhuni', 'Signal', 'Telkomsel', 'Lost', 'Yach', 'Reach']")</f>
        <v>['', 'Region', 'Kec', 'Cimaung', 'Village', 'Pasirhuni', 'Signal', 'Telkomsel', 'Lost', 'Yach', 'Reach']</v>
      </c>
      <c r="D4775" s="3">
        <v>5.0</v>
      </c>
    </row>
    <row r="4776" ht="15.75" customHeight="1">
      <c r="A4776" s="1">
        <v>5136.0</v>
      </c>
      <c r="B4776" s="3" t="s">
        <v>4644</v>
      </c>
      <c r="C4776" s="3" t="str">
        <f>IFERROR(__xludf.DUMMYFUNCTION("GOOGLETRANSLATE(B4776,""id"",""en"")"),"['buy', 'expensive', 'ngelag']")</f>
        <v>['buy', 'expensive', 'ngelag']</v>
      </c>
      <c r="D4776" s="3">
        <v>1.0</v>
      </c>
    </row>
    <row r="4777" ht="15.75" customHeight="1">
      <c r="A4777" s="1">
        <v>5137.0</v>
      </c>
      <c r="B4777" s="3" t="s">
        <v>4645</v>
      </c>
      <c r="C4777" s="3" t="str">
        <f>IFERROR(__xludf.DUMMYFUNCTION("GOOGLETRANSLATE(B4777,""id"",""en"")"),"['Play', 'watch', 'fast', 'Telkomsel', 'Certain']")</f>
        <v>['Play', 'watch', 'fast', 'Telkomsel', 'Certain']</v>
      </c>
      <c r="D4777" s="3">
        <v>5.0</v>
      </c>
    </row>
    <row r="4778" ht="15.75" customHeight="1">
      <c r="A4778" s="1">
        <v>5138.0</v>
      </c>
      <c r="B4778" s="3" t="s">
        <v>4646</v>
      </c>
      <c r="C4778" s="3" t="str">
        <f>IFERROR(__xludf.DUMMYFUNCTION("GOOGLETRANSLATE(B4778,""id"",""en"")"),"['already', 'monthly', 'card', 'get', 'promo', 'cheap', 'mlh', 'thousand', 'buy', 'pulse', 'keuang', 'thousand', ' The data ',' Dunyalakan ',' Please ',' Price ',' Dormarated ',' thousand ',' TTEP ',' thousand ', ""]")</f>
        <v>['already', 'monthly', 'card', 'get', 'promo', 'cheap', 'mlh', 'thousand', 'buy', 'pulse', 'keuang', 'thousand', ' The data ',' Dunyalakan ',' Please ',' Price ',' Dormarated ',' thousand ',' TTEP ',' thousand ', "]</v>
      </c>
      <c r="D4778" s="3">
        <v>3.0</v>
      </c>
    </row>
    <row r="4779" ht="15.75" customHeight="1">
      <c r="A4779" s="1">
        <v>5139.0</v>
      </c>
      <c r="B4779" s="3" t="s">
        <v>4647</v>
      </c>
      <c r="C4779" s="3" t="str">
        <f>IFERROR(__xludf.DUMMYFUNCTION("GOOGLETRANSLATE(B4779,""id"",""en"")"),"['APL', 'Cash', 'good', 'easy', 'run', 'help', ""]")</f>
        <v>['APL', 'Cash', 'good', 'easy', 'run', 'help', "]</v>
      </c>
      <c r="D4779" s="3">
        <v>5.0</v>
      </c>
    </row>
    <row r="4780" ht="15.75" customHeight="1">
      <c r="A4780" s="1">
        <v>5140.0</v>
      </c>
      <c r="B4780" s="3" t="s">
        <v>4648</v>
      </c>
      <c r="C4780" s="3" t="str">
        <f>IFERROR(__xludf.DUMMYFUNCTION("GOOGLETRANSLATE(B4780,""id"",""en"")"),"['price', 'package', 'internet', 'Different', 'Different', 'number', 'expensive', 'no', 'cheap', ""]")</f>
        <v>['price', 'package', 'internet', 'Different', 'Different', 'number', 'expensive', 'no', 'cheap', "]</v>
      </c>
      <c r="D4780" s="3">
        <v>1.0</v>
      </c>
    </row>
    <row r="4781" ht="15.75" customHeight="1">
      <c r="A4781" s="1">
        <v>5141.0</v>
      </c>
      <c r="B4781" s="3" t="s">
        <v>4649</v>
      </c>
      <c r="C4781" s="3" t="str">
        <f>IFERROR(__xludf.DUMMYFUNCTION("GOOGLETRANSLATE(B4781,""id"",""en"")"),"['bill', 'a month', 'card', 'block', 'bill', 'degok', 'udh', 'block', 'permanent', 'card', 'gave', 'bill', ' ']")</f>
        <v>['bill', 'a month', 'card', 'block', 'bill', 'degok', 'udh', 'block', 'permanent', 'card', 'gave', 'bill', ' ']</v>
      </c>
      <c r="D4781" s="3">
        <v>1.0</v>
      </c>
    </row>
    <row r="4782" ht="15.75" customHeight="1">
      <c r="A4782" s="1">
        <v>5142.0</v>
      </c>
      <c r="B4782" s="3" t="s">
        <v>4650</v>
      </c>
      <c r="C4782" s="3" t="str">
        <f>IFERROR(__xludf.DUMMYFUNCTION("GOOGLETRANSLATE(B4782,""id"",""en"")"),"['buy', 'unlimited', 'youtub', 'youtub', 'reduced', 'Package', 'Regular', '']")</f>
        <v>['buy', 'unlimited', 'youtub', 'youtub', 'reduced', 'Package', 'Regular', '']</v>
      </c>
      <c r="D4782" s="3">
        <v>1.0</v>
      </c>
    </row>
    <row r="4783" ht="15.75" customHeight="1">
      <c r="A4783" s="1">
        <v>5143.0</v>
      </c>
      <c r="B4783" s="3" t="s">
        <v>4651</v>
      </c>
      <c r="C4783" s="3" t="str">
        <f>IFERROR(__xludf.DUMMYFUNCTION("GOOGLETRANSLATE(B4783,""id"",""en"")"),"['error', 'quota', 'take-taken', 'quota', 'main', '']")</f>
        <v>['error', 'quota', 'take-taken', 'quota', 'main', '']</v>
      </c>
      <c r="D4783" s="3">
        <v>1.0</v>
      </c>
    </row>
    <row r="4784" ht="15.75" customHeight="1">
      <c r="A4784" s="1">
        <v>5144.0</v>
      </c>
      <c r="B4784" s="3" t="s">
        <v>4652</v>
      </c>
      <c r="C4784" s="3" t="str">
        <f>IFERROR(__xludf.DUMMYFUNCTION("GOOGLETRANSLATE(B4784,""id"",""en"")"),"['Good', 'Helpful']")</f>
        <v>['Good', 'Helpful']</v>
      </c>
      <c r="D4784" s="3">
        <v>5.0</v>
      </c>
    </row>
    <row r="4785" ht="15.75" customHeight="1">
      <c r="A4785" s="1">
        <v>5145.0</v>
      </c>
      <c r="B4785" s="3" t="s">
        <v>4653</v>
      </c>
      <c r="C4785" s="3" t="str">
        <f>IFERROR(__xludf.DUMMYFUNCTION("GOOGLETRANSLATE(B4785,""id"",""en"")"),"['Recommended']")</f>
        <v>['Recommended']</v>
      </c>
      <c r="D4785" s="3">
        <v>5.0</v>
      </c>
    </row>
    <row r="4786" ht="15.75" customHeight="1">
      <c r="A4786" s="1">
        <v>5146.0</v>
      </c>
      <c r="B4786" s="3" t="s">
        <v>4654</v>
      </c>
      <c r="C4786" s="3" t="str">
        <f>IFERROR(__xludf.DUMMYFUNCTION("GOOGLETRANSLATE(B4786,""id"",""en"")"),"['Try', 'Rupablg', 'GMN', 'quota', 'Multimedia', 'used', 'quota', 'main', 'abis']")</f>
        <v>['Try', 'Rupablg', 'GMN', 'quota', 'Multimedia', 'used', 'quota', 'main', 'abis']</v>
      </c>
      <c r="D4786" s="3">
        <v>5.0</v>
      </c>
    </row>
    <row r="4787" ht="15.75" customHeight="1">
      <c r="A4787" s="1">
        <v>5147.0</v>
      </c>
      <c r="B4787" s="3" t="s">
        <v>4655</v>
      </c>
      <c r="C4787" s="3" t="str">
        <f>IFERROR(__xludf.DUMMYFUNCTION("GOOGLETRANSLATE(B4787,""id"",""en"")"),"['Package', 'CUY', 'SKRNG', 'Litu', 'Hopefully', 'People', 'Give', '']")</f>
        <v>['Package', 'CUY', 'SKRNG', 'Litu', 'Hopefully', 'People', 'Give', '']</v>
      </c>
      <c r="D4787" s="3">
        <v>1.0</v>
      </c>
    </row>
    <row r="4788" ht="15.75" customHeight="1">
      <c r="A4788" s="1">
        <v>5148.0</v>
      </c>
      <c r="B4788" s="3" t="s">
        <v>4656</v>
      </c>
      <c r="C4788" s="3" t="str">
        <f>IFERROR(__xludf.DUMMYFUNCTION("GOOGLETRANSLATE(B4788,""id"",""en"")"),"['Bad', 'right', 'boundary', 'date', 'quota', 'terah', 'clock', 'night', 'direct', 'suck', 'pulse', 'warning', ' Anjim ',' Credit ',' Direct ',' Sucked ',' thousand ',' Severe ',' Severe ',' wasteful ',' expensive ',' quota ',' bangse ']")</f>
        <v>['Bad', 'right', 'boundary', 'date', 'quota', 'terah', 'clock', 'night', 'direct', 'suck', 'pulse', 'warning', ' Anjim ',' Credit ',' Direct ',' Sucked ',' thousand ',' Severe ',' Severe ',' wasteful ',' expensive ',' quota ',' bangse ']</v>
      </c>
      <c r="D4788" s="3">
        <v>1.0</v>
      </c>
    </row>
    <row r="4789" ht="15.75" customHeight="1">
      <c r="A4789" s="1">
        <v>5149.0</v>
      </c>
      <c r="B4789" s="3" t="s">
        <v>4657</v>
      </c>
      <c r="C4789" s="3" t="str">
        <f>IFERROR(__xludf.DUMMYFUNCTION("GOOGLETRANSLATE(B4789,""id"",""en"")"),"['Leet', 'Severe', 'Sousal', '']")</f>
        <v>['Leet', 'Severe', 'Sousal', '']</v>
      </c>
      <c r="D4789" s="3">
        <v>1.0</v>
      </c>
    </row>
    <row r="4790" ht="15.75" customHeight="1">
      <c r="A4790" s="1">
        <v>5150.0</v>
      </c>
      <c r="B4790" s="3" t="s">
        <v>4658</v>
      </c>
      <c r="C4790" s="3" t="str">
        <f>IFERROR(__xludf.DUMMYFUNCTION("GOOGLETRANSLATE(B4790,""id"",""en"")"),"['Knp', 'Quota', 'Learning', 'Should', 'Fitting', 'Open', 'Gmeet', 'Zoom', 'Clasroom', 'Knp', 'Keke', 'Quoto', ' ']")</f>
        <v>['Knp', 'Quota', 'Learning', 'Should', 'Fitting', 'Open', 'Gmeet', 'Zoom', 'Clasroom', 'Knp', 'Keke', 'Quoto', ' ']</v>
      </c>
      <c r="D4790" s="3">
        <v>1.0</v>
      </c>
    </row>
    <row r="4791" ht="15.75" customHeight="1">
      <c r="A4791" s="1">
        <v>5151.0</v>
      </c>
      <c r="B4791" s="3" t="s">
        <v>4659</v>
      </c>
      <c r="C4791" s="3" t="str">
        <f>IFERROR(__xludf.DUMMYFUNCTION("GOOGLETRANSLATE(B4791,""id"",""en"")"),"['Enlightenment', 'Hello', 'Hello', 'Telkomsel', 'Since', 'Sea', 'Full', 'Buln', 'PKai', 'Hello', 'Telkomel', 'Bill', ' The estate ',' PKai ',' data ',' bills ',' PKai ',' data ',' because 'signal', 'sea', 'free', 'Try', 'opinion', 'Trima' , 'love', '']")</f>
        <v>['Enlightenment', 'Hello', 'Hello', 'Telkomsel', 'Since', 'Sea', 'Full', 'Buln', 'PKai', 'Hello', 'Telkomel', 'Bill', ' The estate ',' PKai ',' data ',' bills ',' PKai ',' data ',' because 'signal', 'sea', 'free', 'Try', 'opinion', 'Trima' , 'love', '']</v>
      </c>
      <c r="D4791" s="3">
        <v>4.0</v>
      </c>
    </row>
    <row r="4792" ht="15.75" customHeight="1">
      <c r="A4792" s="1">
        <v>5152.0</v>
      </c>
      <c r="B4792" s="3" t="s">
        <v>4660</v>
      </c>
      <c r="C4792" s="3" t="str">
        <f>IFERROR(__xludf.DUMMYFUNCTION("GOOGLETRANSLATE(B4792,""id"",""en"")"),"['Selalalu', 'fast']")</f>
        <v>['Selalalu', 'fast']</v>
      </c>
      <c r="D4792" s="3">
        <v>5.0</v>
      </c>
    </row>
    <row r="4793" ht="15.75" customHeight="1">
      <c r="A4793" s="1">
        <v>5153.0</v>
      </c>
      <c r="B4793" s="3" t="s">
        <v>4661</v>
      </c>
      <c r="C4793" s="3" t="str">
        <f>IFERROR(__xludf.DUMMYFUNCTION("GOOGLETRANSLATE(B4793,""id"",""en"")"),"['like', 'really', 'fast']")</f>
        <v>['like', 'really', 'fast']</v>
      </c>
      <c r="D4793" s="3">
        <v>5.0</v>
      </c>
    </row>
    <row r="4794" ht="15.75" customHeight="1">
      <c r="A4794" s="1">
        <v>5154.0</v>
      </c>
      <c r="B4794" s="3" t="s">
        <v>4662</v>
      </c>
      <c r="C4794" s="3" t="str">
        <f>IFERROR(__xludf.DUMMYFUNCTION("GOOGLETRANSLATE(B4794,""id"",""en"")"),"['Its', 'Okay', 'Ribet']")</f>
        <v>['Its', 'Okay', 'Ribet']</v>
      </c>
      <c r="D4794" s="3">
        <v>4.0</v>
      </c>
    </row>
    <row r="4795" ht="15.75" customHeight="1">
      <c r="A4795" s="1">
        <v>5155.0</v>
      </c>
      <c r="B4795" s="3" t="s">
        <v>4663</v>
      </c>
      <c r="C4795" s="3" t="str">
        <f>IFERROR(__xludf.DUMMYFUNCTION("GOOGLETRANSLATE(B4795,""id"",""en"")"),"['easy', 'use', 'promo']")</f>
        <v>['easy', 'use', 'promo']</v>
      </c>
      <c r="D4795" s="3">
        <v>5.0</v>
      </c>
    </row>
    <row r="4796" ht="15.75" customHeight="1">
      <c r="A4796" s="1">
        <v>5156.0</v>
      </c>
      <c r="B4796" s="3" t="s">
        <v>4664</v>
      </c>
      <c r="C4796" s="3" t="str">
        <f>IFERROR(__xludf.DUMMYFUNCTION("GOOGLETRANSLATE(B4796,""id"",""en"")"),"['Heart', 'use', 'Package', 'Telkomsel', 'Open', 'Facebook', 'Said', 'Kouta', 'Out', 'Bnyak', 'Surjuh', 'Buy', ' package ',' emergency ',' RbU ',' klu ',' wrong ',' push ',' kantel ',' stay ',' cut ',' pulse ',' contents', 'pulses']")</f>
        <v>['Heart', 'use', 'Package', 'Telkomsel', 'Open', 'Facebook', 'Said', 'Kouta', 'Out', 'Bnyak', 'Surjuh', 'Buy', ' package ',' emergency ',' RbU ',' klu ',' wrong ',' push ',' kantel ',' stay ',' cut ',' pulse ',' contents', 'pulses']</v>
      </c>
      <c r="D4796" s="3">
        <v>1.0</v>
      </c>
    </row>
    <row r="4797" ht="15.75" customHeight="1">
      <c r="A4797" s="1">
        <v>5157.0</v>
      </c>
      <c r="B4797" s="3" t="s">
        <v>4665</v>
      </c>
      <c r="C4797" s="3" t="str">
        <f>IFERROR(__xludf.DUMMYFUNCTION("GOOGLETRANSLATE(B4797,""id"",""en"")"),"['Help', 'Increase', 'Quality', 'Telkomsel']")</f>
        <v>['Help', 'Increase', 'Quality', 'Telkomsel']</v>
      </c>
      <c r="D4797" s="3">
        <v>5.0</v>
      </c>
    </row>
    <row r="4798" ht="15.75" customHeight="1">
      <c r="A4798" s="1">
        <v>5158.0</v>
      </c>
      <c r="B4798" s="3" t="s">
        <v>4666</v>
      </c>
      <c r="C4798" s="3" t="str">
        <f>IFERROR(__xludf.DUMMYFUNCTION("GOOGLETRANSLATE(B4798,""id"",""en"")"),"['Upgrade', 'card', 'Hello', 'have', 'signal', 'priority', 'reality', 'slow', ""]")</f>
        <v>['Upgrade', 'card', 'Hello', 'have', 'signal', 'priority', 'reality', 'slow', "]</v>
      </c>
      <c r="D4798" s="3">
        <v>1.0</v>
      </c>
    </row>
    <row r="4799" ht="15.75" customHeight="1">
      <c r="A4799" s="1">
        <v>5159.0</v>
      </c>
      <c r="B4799" s="3" t="s">
        <v>4667</v>
      </c>
      <c r="C4799" s="3" t="str">
        <f>IFERROR(__xludf.DUMMYFUNCTION("GOOGLETRANSLATE(B4799,""id"",""en"")"),"['post', 'Where', '']")</f>
        <v>['post', 'Where', '']</v>
      </c>
      <c r="D4799" s="3">
        <v>1.0</v>
      </c>
    </row>
    <row r="4800" ht="15.75" customHeight="1">
      <c r="A4800" s="1">
        <v>5160.0</v>
      </c>
      <c r="B4800" s="3" t="s">
        <v>4668</v>
      </c>
      <c r="C4800" s="3" t="str">
        <f>IFERROR(__xludf.DUMMYFUNCTION("GOOGLETRANSLATE(B4800,""id"",""en"")"),"['MyTelkomsel', 'loss', 'main', 'downlod', 'application', 'easy', 'fast', 'buy', 'check', 'pulse', 'data', ""]")</f>
        <v>['MyTelkomsel', 'loss', 'main', 'downlod', 'application', 'easy', 'fast', 'buy', 'check', 'pulse', 'data', "]</v>
      </c>
      <c r="D4800" s="3">
        <v>5.0</v>
      </c>
    </row>
    <row r="4801" ht="15.75" customHeight="1">
      <c r="A4801" s="1">
        <v>5161.0</v>
      </c>
      <c r="B4801" s="3" t="s">
        <v>4669</v>
      </c>
      <c r="C4801" s="3" t="str">
        <f>IFERROR(__xludf.DUMMYFUNCTION("GOOGLETRANSLATE(B4801,""id"",""en"")"),"['', 'buy', 'hotstar']")</f>
        <v>['', 'buy', 'hotstar']</v>
      </c>
      <c r="D4801" s="3">
        <v>5.0</v>
      </c>
    </row>
    <row r="4802" ht="15.75" customHeight="1">
      <c r="A4802" s="1">
        <v>5162.0</v>
      </c>
      <c r="B4802" s="3" t="s">
        <v>4670</v>
      </c>
      <c r="C4802" s="3" t="str">
        <f>IFERROR(__xludf.DUMMYFUNCTION("GOOGLETRANSLATE(B4802,""id"",""en"")"),"['Cheap', '']")</f>
        <v>['Cheap', '']</v>
      </c>
      <c r="D4802" s="3">
        <v>4.0</v>
      </c>
    </row>
    <row r="4803" ht="15.75" customHeight="1">
      <c r="A4803" s="1">
        <v>5164.0</v>
      </c>
      <c r="B4803" s="3" t="s">
        <v>4671</v>
      </c>
      <c r="C4803" s="3" t="str">
        <f>IFERROR(__xludf.DUMMYFUNCTION("GOOGLETRANSLATE(B4803,""id"",""en"")"),"['application', 'difficult', 'opened', 'pulse', 'sudden', 'sumps', ""]")</f>
        <v>['application', 'difficult', 'opened', 'pulse', 'sudden', 'sumps', "]</v>
      </c>
      <c r="D4803" s="3">
        <v>1.0</v>
      </c>
    </row>
    <row r="4804" ht="15.75" customHeight="1">
      <c r="A4804" s="1">
        <v>5165.0</v>
      </c>
      <c r="B4804" s="3" t="s">
        <v>4672</v>
      </c>
      <c r="C4804" s="3" t="str">
        <f>IFERROR(__xludf.DUMMYFUNCTION("GOOGLETRANSLATE(B4804,""id"",""en"")"),"['It's easy', 'related', 'Telkomsel']")</f>
        <v>['It's easy', 'related', 'Telkomsel']</v>
      </c>
      <c r="D4804" s="3">
        <v>5.0</v>
      </c>
    </row>
    <row r="4805" ht="15.75" customHeight="1">
      <c r="A4805" s="1">
        <v>5166.0</v>
      </c>
      <c r="B4805" s="3" t="s">
        <v>4673</v>
      </c>
      <c r="C4805" s="3" t="str">
        <f>IFERROR(__xludf.DUMMYFUNCTION("GOOGLETRANSLATE(B4805,""id"",""en"")"),"['Sorry', 'Sis', 'quota', 'Internet', 'On', 'Worn', 'Customs', ""]")</f>
        <v>['Sorry', 'Sis', 'quota', 'Internet', 'On', 'Worn', 'Customs', "]</v>
      </c>
      <c r="D4805" s="3">
        <v>1.0</v>
      </c>
    </row>
    <row r="4806" ht="15.75" customHeight="1">
      <c r="A4806" s="1">
        <v>5167.0</v>
      </c>
      <c r="B4806" s="3" t="s">
        <v>4674</v>
      </c>
      <c r="C4806" s="3" t="str">
        <f>IFERROR(__xludf.DUMMYFUNCTION("GOOGLETRANSLATE(B4806,""id"",""en"")"),"['Loading', 'entry', 'enter']")</f>
        <v>['Loading', 'entry', 'enter']</v>
      </c>
      <c r="D4806" s="3">
        <v>1.0</v>
      </c>
    </row>
    <row r="4807" ht="15.75" customHeight="1">
      <c r="A4807" s="1">
        <v>5168.0</v>
      </c>
      <c r="B4807" s="3" t="s">
        <v>4675</v>
      </c>
      <c r="C4807" s="3" t="str">
        <f>IFERROR(__xludf.DUMMYFUNCTION("GOOGLETRANSLATE(B4807,""id"",""en"")"),"['Claim', 'Kouta', 'Daily', 'Check', 'Friday', 'Morning', 'Nov', 'Monday', 'Nov', 'Accept', 'Credit', 'Points',' Cutting ',' Report ',' Call ',' Center ',' Times', 'Absent', 'Lost', 'Closed', 'Application', 'Open', 'Kouta', 'Voucher', 'Disc' , 'Lost', 'Tu"&amp;"yul', 'Application', 'Disappointed', 'Telkomsel', ""]")</f>
        <v>['Claim', 'Kouta', 'Daily', 'Check', 'Friday', 'Morning', 'Nov', 'Monday', 'Nov', 'Accept', 'Credit', 'Points',' Cutting ',' Report ',' Call ',' Center ',' Times', 'Absent', 'Lost', 'Closed', 'Application', 'Open', 'Kouta', 'Voucher', 'Disc' , 'Lost', 'Tuyul', 'Application', 'Disappointed', 'Telkomsel', "]</v>
      </c>
      <c r="D4807" s="3">
        <v>1.0</v>
      </c>
    </row>
    <row r="4808" ht="15.75" customHeight="1">
      <c r="A4808" s="1">
        <v>5169.0</v>
      </c>
      <c r="B4808" s="3" t="s">
        <v>4676</v>
      </c>
      <c r="C4808" s="3" t="str">
        <f>IFERROR(__xludf.DUMMYFUNCTION("GOOGLETRANSLATE(B4808,""id"",""en"")"),"['connection', 'data', 'slow', 'sometimes', 'annoyed', 'shake', 'slow', ""]")</f>
        <v>['connection', 'data', 'slow', 'sometimes', 'annoyed', 'shake', 'slow', "]</v>
      </c>
      <c r="D4808" s="3">
        <v>3.0</v>
      </c>
    </row>
    <row r="4809" ht="15.75" customHeight="1">
      <c r="A4809" s="1">
        <v>5170.0</v>
      </c>
      <c r="B4809" s="3" t="s">
        <v>4677</v>
      </c>
      <c r="C4809" s="3" t="str">
        <f>IFERROR(__xludf.DUMMYFUNCTION("GOOGLETRANSLATE(B4809,""id"",""en"")"),"['Please', 'Application', 'Lighty', 'Application', 'Lola', 'Open']")</f>
        <v>['Please', 'Application', 'Lighty', 'Application', 'Lola', 'Open']</v>
      </c>
      <c r="D4809" s="3">
        <v>4.0</v>
      </c>
    </row>
    <row r="4810" ht="15.75" customHeight="1">
      <c r="A4810" s="1">
        <v>5171.0</v>
      </c>
      <c r="B4810" s="3" t="s">
        <v>4678</v>
      </c>
      <c r="C4810" s="3" t="str">
        <f>IFERROR(__xludf.DUMMYFUNCTION("GOOGLETRANSLATE(B4810,""id"",""en"")"),"['Telkomsel', 'already', 'kayak', 'card', 'buy', 'active', 'suggestion', 'extend', 'active', 'cost', 'results',' use ',' Credit ',' because ',' make it ',' Different ',' card ',' card ',' ']")</f>
        <v>['Telkomsel', 'already', 'kayak', 'card', 'buy', 'active', 'suggestion', 'extend', 'active', 'cost', 'results',' use ',' Credit ',' because ',' make it ',' Different ',' card ',' card ',' ']</v>
      </c>
      <c r="D4810" s="3">
        <v>4.0</v>
      </c>
    </row>
    <row r="4811" ht="15.75" customHeight="1">
      <c r="A4811" s="1">
        <v>5173.0</v>
      </c>
      <c r="B4811" s="3" t="s">
        <v>4679</v>
      </c>
      <c r="C4811" s="3" t="str">
        <f>IFERROR(__xludf.DUMMYFUNCTION("GOOGLETRANSLATE(B4811,""id"",""en"")"),"['Good', 'pasta', 'application', 'check', 'can', 'bonus']")</f>
        <v>['Good', 'pasta', 'application', 'check', 'can', 'bonus']</v>
      </c>
      <c r="D4811" s="3">
        <v>5.0</v>
      </c>
    </row>
    <row r="4812" ht="15.75" customHeight="1">
      <c r="A4812" s="1">
        <v>5174.0</v>
      </c>
      <c r="B4812" s="3" t="s">
        <v>4680</v>
      </c>
      <c r="C4812" s="3" t="str">
        <f>IFERROR(__xludf.DUMMYFUNCTION("GOOGLETRANSLATE(B4812,""id"",""en"")"),"['Paaraa', 'Bener', 'pulse', 'thousand', 'used', 'Bentar', 'buy', 'package', 'shopee', 'direct', 'Ludes',' severe ',' Bener ',' pulses', 'Ludes',' first ',' package ',' Sempet ',' keeleli ',' right ',' bought ',' finished ',' pulses', ""]")</f>
        <v>['Paaraa', 'Bener', 'pulse', 'thousand', 'used', 'Bentar', 'buy', 'package', 'shopee', 'direct', 'Ludes',' severe ',' Bener ',' pulses', 'Ludes',' first ',' package ',' Sempet ',' keeleli ',' right ',' bought ',' finished ',' pulses', "]</v>
      </c>
      <c r="D4812" s="3">
        <v>1.0</v>
      </c>
    </row>
    <row r="4813" ht="15.75" customHeight="1">
      <c r="A4813" s="1">
        <v>5175.0</v>
      </c>
      <c r="B4813" s="3" t="s">
        <v>4681</v>
      </c>
      <c r="C4813" s="3" t="str">
        <f>IFERROR(__xludf.DUMMYFUNCTION("GOOGLETRANSLATE(B4813,""id"",""en"")"),"['Cheap', 'skli', '']")</f>
        <v>['Cheap', 'skli', '']</v>
      </c>
      <c r="D4813" s="3">
        <v>3.0</v>
      </c>
    </row>
    <row r="4814" ht="15.75" customHeight="1">
      <c r="A4814" s="1">
        <v>5176.0</v>
      </c>
      <c r="B4814" s="3" t="s">
        <v>4682</v>
      </c>
      <c r="C4814" s="3" t="str">
        <f>IFERROR(__xludf.DUMMYFUNCTION("GOOGLETRANSLATE(B4814,""id"",""en"")"),"['Increase', 'Service', 'Internet', 'Jooss']")</f>
        <v>['Increase', 'Service', 'Internet', 'Jooss']</v>
      </c>
      <c r="D4814" s="3">
        <v>5.0</v>
      </c>
    </row>
    <row r="4815" ht="15.75" customHeight="1">
      <c r="A4815" s="1">
        <v>5177.0</v>
      </c>
      <c r="B4815" s="3" t="s">
        <v>4683</v>
      </c>
      <c r="C4815" s="3" t="str">
        <f>IFERROR(__xludf.DUMMYFUNCTION("GOOGLETRANSLATE(B4815,""id"",""en"")"),"['expensive', 'network', 'sometimes', 'rotten', 'profit', 'card', 'many years', 'replace', 'jdi', 'lazy', 'bututtt']")</f>
        <v>['expensive', 'network', 'sometimes', 'rotten', 'profit', 'card', 'many years', 'replace', 'jdi', 'lazy', 'bututtt']</v>
      </c>
      <c r="D4815" s="3">
        <v>1.0</v>
      </c>
    </row>
    <row r="4816" ht="15.75" customHeight="1">
      <c r="A4816" s="1">
        <v>5178.0</v>
      </c>
      <c r="B4816" s="3" t="s">
        <v>4684</v>
      </c>
      <c r="C4816" s="3" t="str">
        <f>IFERROR(__xludf.DUMMYFUNCTION("GOOGLETRANSLATE(B4816,""id"",""en"")"),"['hopefully', 'Lottery', 'Telkomsel', 'Love', 'Bintang', '']")</f>
        <v>['hopefully', 'Lottery', 'Telkomsel', 'Love', 'Bintang', '']</v>
      </c>
      <c r="D4816" s="3">
        <v>3.0</v>
      </c>
    </row>
    <row r="4817" ht="15.75" customHeight="1">
      <c r="A4817" s="1">
        <v>5179.0</v>
      </c>
      <c r="B4817" s="3" t="s">
        <v>4685</v>
      </c>
      <c r="C4817" s="3" t="str">
        <f>IFERROR(__xludf.DUMMYFUNCTION("GOOGLETRANSLATE(B4817,""id"",""en"")"),"['hope', 'Lottery', 'Telkomsel', 'Di Consed']")</f>
        <v>['hope', 'Lottery', 'Telkomsel', 'Di Consed']</v>
      </c>
      <c r="D4817" s="3">
        <v>5.0</v>
      </c>
    </row>
    <row r="4818" ht="15.75" customHeight="1">
      <c r="A4818" s="1">
        <v>5180.0</v>
      </c>
      <c r="B4818" s="3" t="s">
        <v>4686</v>
      </c>
      <c r="C4818" s="3" t="str">
        <f>IFERROR(__xludf.DUMMYFUNCTION("GOOGLETRANSLATE(B4818,""id"",""en"")"),"['', 'BNR', 'buy', 'quota', 'lapse', 'youtube', 'hr', 'used', '']")</f>
        <v>['', 'BNR', 'buy', 'quota', 'lapse', 'youtube', 'hr', 'used', '']</v>
      </c>
      <c r="D4818" s="3">
        <v>1.0</v>
      </c>
    </row>
    <row r="4819" ht="15.75" customHeight="1">
      <c r="A4819" s="1">
        <v>5182.0</v>
      </c>
      <c r="B4819" s="3" t="s">
        <v>4687</v>
      </c>
      <c r="C4819" s="3" t="str">
        <f>IFERROR(__xludf.DUMMYFUNCTION("GOOGLETRANSLATE(B4819,""id"",""en"")"),"['Package', 'Data', 'Ministry of Education and Culture', 'Application', 'Sosmed', 'Etc.', ""]")</f>
        <v>['Package', 'Data', 'Ministry of Education and Culture', 'Application', 'Sosmed', 'Etc.', "]</v>
      </c>
      <c r="D4819" s="3">
        <v>5.0</v>
      </c>
    </row>
    <row r="4820" ht="15.75" customHeight="1">
      <c r="A4820" s="1">
        <v>5183.0</v>
      </c>
      <c r="B4820" s="3" t="s">
        <v>4688</v>
      </c>
      <c r="C4820" s="3" t="str">
        <f>IFERROR(__xludf.DUMMYFUNCTION("GOOGLETRANSLATE(B4820,""id"",""en"")"),"['Good', 'guaranteed', '']")</f>
        <v>['Good', 'guaranteed', '']</v>
      </c>
      <c r="D4820" s="3">
        <v>5.0</v>
      </c>
    </row>
    <row r="4821" ht="15.75" customHeight="1">
      <c r="A4821" s="1">
        <v>5184.0</v>
      </c>
      <c r="B4821" s="3" t="s">
        <v>4689</v>
      </c>
      <c r="C4821" s="3" t="str">
        <f>IFERROR(__xludf.DUMMYFUNCTION("GOOGLETRANSLATE(B4821,""id"",""en"")"),"['Stable', 'Down', 'Cape', 'Nahan', 'Emotion', 'Signal', 'Lost', 'Weak', 'APUN', 'Sometimes',' shame ',' transaction ',' Fast ',' play ',' game ',' win ',' jammed ',' Severe ',' Anyway ',' Damn ',' Sacking ',' Insurations', 'Already', 'Pecat', 'Salary' , "&amp;"'work', 'Becus', 'Helpful', 'Pematang', 'Bandar', 'County', 'Simalungun', 'Sumatra', 'North', ""]")</f>
        <v>['Stable', 'Down', 'Cape', 'Nahan', 'Emotion', 'Signal', 'Lost', 'Weak', 'APUN', 'Sometimes',' shame ',' transaction ',' Fast ',' play ',' game ',' win ',' jammed ',' Severe ',' Anyway ',' Damn ',' Sacking ',' Insurations', 'Already', 'Pecat', 'Salary' , 'work', 'Becus', 'Helpful', 'Pematang', 'Bandar', 'County', 'Simalungun', 'Sumatra', 'North', "]</v>
      </c>
      <c r="D4821" s="3">
        <v>1.0</v>
      </c>
    </row>
    <row r="4822" ht="15.75" customHeight="1">
      <c r="A4822" s="1">
        <v>5185.0</v>
      </c>
      <c r="B4822" s="3" t="s">
        <v>4690</v>
      </c>
      <c r="C4822" s="3" t="str">
        <f>IFERROR(__xludf.DUMMYFUNCTION("GOOGLETRANSLATE(B4822,""id"",""en"")"),"['Assalamualaikum', 'Telkomse', 'change', 'Exchange', 'Points', 'Credit', 'Exchange', 'code', 'multiplied', 'choice', 'so', 'thank you']")</f>
        <v>['Assalamualaikum', 'Telkomse', 'change', 'Exchange', 'Points', 'Credit', 'Exchange', 'code', 'multiplied', 'choice', 'so', 'thank you']</v>
      </c>
      <c r="D4822" s="3">
        <v>1.0</v>
      </c>
    </row>
    <row r="4823" ht="15.75" customHeight="1">
      <c r="A4823" s="1">
        <v>5187.0</v>
      </c>
      <c r="B4823" s="3" t="s">
        <v>4691</v>
      </c>
      <c r="C4823" s="3" t="str">
        <f>IFERROR(__xludf.DUMMYFUNCTION("GOOGLETRANSLATE(B4823,""id"",""en"")"),"['Increase', 'Quality', 'Internet', 'NYS']")</f>
        <v>['Increase', 'Quality', 'Internet', 'NYS']</v>
      </c>
      <c r="D4823" s="3">
        <v>4.0</v>
      </c>
    </row>
    <row r="4824" ht="15.75" customHeight="1">
      <c r="A4824" s="1">
        <v>5188.0</v>
      </c>
      <c r="B4824" s="3" t="s">
        <v>4692</v>
      </c>
      <c r="C4824" s="3" t="str">
        <f>IFERROR(__xludf.DUMMYFUNCTION("GOOGLETRANSLATE(B4824,""id"",""en"")"),"['knpa', 'apk', 'slow', 'heavy', 'need', 'open', ""]")</f>
        <v>['knpa', 'apk', 'slow', 'heavy', 'need', 'open', "]</v>
      </c>
      <c r="D4824" s="3">
        <v>3.0</v>
      </c>
    </row>
    <row r="4825" ht="15.75" customHeight="1">
      <c r="A4825" s="1">
        <v>5189.0</v>
      </c>
      <c r="B4825" s="3" t="s">
        <v>4693</v>
      </c>
      <c r="C4825" s="3" t="str">
        <f>IFERROR(__xludf.DUMMYFUNCTION("GOOGLETRANSLATE(B4825,""id"",""en"")"),"['lues', 'expensive', 'yaa', '']")</f>
        <v>['lues', 'expensive', 'yaa', '']</v>
      </c>
      <c r="D4825" s="3">
        <v>5.0</v>
      </c>
    </row>
    <row r="4826" ht="15.75" customHeight="1">
      <c r="A4826" s="1">
        <v>5190.0</v>
      </c>
      <c r="B4826" s="3" t="s">
        <v>4694</v>
      </c>
      <c r="C4826" s="3" t="str">
        <f>IFERROR(__xludf.DUMMYFUNCTION("GOOGLETRANSLATE(B4826,""id"",""en"")"),"['makes it easier', 'function']")</f>
        <v>['makes it easier', 'function']</v>
      </c>
      <c r="D4826" s="3">
        <v>5.0</v>
      </c>
    </row>
    <row r="4827" ht="15.75" customHeight="1">
      <c r="A4827" s="1">
        <v>5191.0</v>
      </c>
      <c r="B4827" s="3" t="s">
        <v>4695</v>
      </c>
      <c r="C4827" s="3" t="str">
        <f>IFERROR(__xludf.DUMMYFUNCTION("GOOGLETRANSLATE(B4827,""id"",""en"")"),"['expensive', 'signal', 'bad']")</f>
        <v>['expensive', 'signal', 'bad']</v>
      </c>
      <c r="D4827" s="3">
        <v>1.0</v>
      </c>
    </row>
    <row r="4828" ht="15.75" customHeight="1">
      <c r="A4828" s="1">
        <v>5192.0</v>
      </c>
      <c r="B4828" s="3" t="s">
        <v>4696</v>
      </c>
      <c r="C4828" s="3" t="str">
        <f>IFERROR(__xludf.DUMMYFUNCTION("GOOGLETRANSLATE(B4828,""id"",""en"")"),"['Buy', 'Package', 'FAILURE', 'BONUS', 'PROMO', 'HUB', 'CALL', 'CENTER', 'TETEP', 'Results', 'Please', ""]")</f>
        <v>['Buy', 'Package', 'FAILURE', 'BONUS', 'PROMO', 'HUB', 'CALL', 'CENTER', 'TETEP', 'Results', 'Please', "]</v>
      </c>
      <c r="D4828" s="3">
        <v>1.0</v>
      </c>
    </row>
    <row r="4829" ht="15.75" customHeight="1">
      <c r="A4829" s="1">
        <v>5194.0</v>
      </c>
      <c r="B4829" s="3" t="s">
        <v>4697</v>
      </c>
      <c r="C4829" s="3" t="str">
        <f>IFERROR(__xludf.DUMMYFUNCTION("GOOGLETRANSLATE(B4829,""id"",""en"")"),"['Enter', 'Ribet', 'Kyk', 'Bima', 'Code', 'OTP']")</f>
        <v>['Enter', 'Ribet', 'Kyk', 'Bima', 'Code', 'OTP']</v>
      </c>
      <c r="D4829" s="3">
        <v>3.0</v>
      </c>
    </row>
    <row r="4830" ht="15.75" customHeight="1">
      <c r="A4830" s="1">
        <v>5195.0</v>
      </c>
      <c r="B4830" s="3" t="s">
        <v>4698</v>
      </c>
      <c r="C4830" s="3" t="str">
        <f>IFERROR(__xludf.DUMMYFUNCTION("GOOGLETRANSLATE(B4830,""id"",""en"")"),"['Thanks', 'Telkomsel', 'Kouta', 'Free']")</f>
        <v>['Thanks', 'Telkomsel', 'Kouta', 'Free']</v>
      </c>
      <c r="D4830" s="3">
        <v>5.0</v>
      </c>
    </row>
    <row r="4831" ht="15.75" customHeight="1">
      <c r="A4831" s="1">
        <v>5196.0</v>
      </c>
      <c r="B4831" s="3" t="s">
        <v>4699</v>
      </c>
      <c r="C4831" s="3" t="str">
        <f>IFERROR(__xludf.DUMMYFUNCTION("GOOGLETRANSLATE(B4831,""id"",""en"")"),"['Steady', 'Thank you', 'Telkomsel']")</f>
        <v>['Steady', 'Thank you', 'Telkomsel']</v>
      </c>
      <c r="D4831" s="3">
        <v>5.0</v>
      </c>
    </row>
    <row r="4832" ht="15.75" customHeight="1">
      <c r="A4832" s="1">
        <v>5197.0</v>
      </c>
      <c r="B4832" s="3" t="s">
        <v>4700</v>
      </c>
      <c r="C4832" s="3" t="str">
        <f>IFERROR(__xludf.DUMMYFUNCTION("GOOGLETRANSLATE(B4832,""id"",""en"")"),"['Safety', 'Iwa']")</f>
        <v>['Safety', 'Iwa']</v>
      </c>
      <c r="D4832" s="3">
        <v>5.0</v>
      </c>
    </row>
    <row r="4833" ht="15.75" customHeight="1">
      <c r="A4833" s="1">
        <v>5198.0</v>
      </c>
      <c r="B4833" s="3" t="s">
        <v>4701</v>
      </c>
      <c r="C4833" s="3" t="str">
        <f>IFERROR(__xludf.DUMMYFUNCTION("GOOGLETRANSLATE(B4833,""id"",""en"")"),"['application', 'good', 'sngt', 'mmbantu']")</f>
        <v>['application', 'good', 'sngt', 'mmbantu']</v>
      </c>
      <c r="D4833" s="3">
        <v>5.0</v>
      </c>
    </row>
    <row r="4834" ht="15.75" customHeight="1">
      <c r="A4834" s="1">
        <v>5199.0</v>
      </c>
      <c r="B4834" s="3" t="s">
        <v>4702</v>
      </c>
      <c r="C4834" s="3" t="str">
        <f>IFERROR(__xludf.DUMMYFUNCTION("GOOGLETRANSLATE(B4834,""id"",""en"")"),"['NGDAIN', 'Points',' Exchange ',' Points', 'Telkomsel', 'I', 'Numpuk', 'Quota', 'Combo', 'Sakti', 'Max', 'Ktanya', ' Access', 'Youtub', 'Tiktok', 'Open', 'Youtup', 'Mna', 'Quota', 'Internet', 'Abis',' First ',' Danukan ',' Quota ',' Multi ' , 'Media', 'U"&amp;"ttuh', 'Emotion', ""]")</f>
        <v>['NGDAIN', 'Points',' Exchange ',' Points', 'Telkomsel', 'I', 'Numpuk', 'Quota', 'Combo', 'Sakti', 'Max', 'Ktanya', ' Access', 'Youtub', 'Tiktok', 'Open', 'Youtup', 'Mna', 'Quota', 'Internet', 'Abis',' First ',' Danukan ',' Quota ',' Multi ' , 'Media', 'Uttuh', 'Emotion', "]</v>
      </c>
      <c r="D4834" s="3">
        <v>1.0</v>
      </c>
    </row>
    <row r="4835" ht="15.75" customHeight="1">
      <c r="A4835" s="1">
        <v>5200.0</v>
      </c>
      <c r="B4835" s="3" t="s">
        <v>4703</v>
      </c>
      <c r="C4835" s="3" t="str">
        <f>IFERROR(__xludf.DUMMYFUNCTION("GOOGLETRANSLATE(B4835,""id"",""en"")"),"['great', 'signal', 'internet', 'strong']")</f>
        <v>['great', 'signal', 'internet', 'strong']</v>
      </c>
      <c r="D4835" s="3">
        <v>5.0</v>
      </c>
    </row>
    <row r="4836" ht="15.75" customHeight="1">
      <c r="A4836" s="1">
        <v>5201.0</v>
      </c>
      <c r="B4836" s="3" t="s">
        <v>779</v>
      </c>
      <c r="C4836" s="3" t="str">
        <f>IFERROR(__xludf.DUMMYFUNCTION("GOOGLETRANSLATE(B4836,""id"",""en"")"),"['Good', 'easy']")</f>
        <v>['Good', 'easy']</v>
      </c>
      <c r="D4836" s="3">
        <v>5.0</v>
      </c>
    </row>
    <row r="4837" ht="15.75" customHeight="1">
      <c r="A4837" s="1">
        <v>5202.0</v>
      </c>
      <c r="B4837" s="3" t="s">
        <v>4704</v>
      </c>
      <c r="C4837" s="3" t="str">
        <f>IFERROR(__xludf.DUMMYFUNCTION("GOOGLETRANSLATE(B4837,""id"",""en"")"),"['Good', 'signal', '']")</f>
        <v>['Good', 'signal', '']</v>
      </c>
      <c r="D4837" s="3">
        <v>5.0</v>
      </c>
    </row>
    <row r="4838" ht="15.75" customHeight="1">
      <c r="A4838" s="1">
        <v>5203.0</v>
      </c>
      <c r="B4838" s="3" t="s">
        <v>4705</v>
      </c>
      <c r="C4838" s="3" t="str">
        <f>IFERROR(__xludf.DUMMYFUNCTION("GOOGLETRANSLATE(B4838,""id"",""en"")"),"['pity', 'promo', 'expensive', 'tsel']")</f>
        <v>['pity', 'promo', 'expensive', 'tsel']</v>
      </c>
      <c r="D4838" s="3">
        <v>4.0</v>
      </c>
    </row>
    <row r="4839" ht="15.75" customHeight="1">
      <c r="A4839" s="1">
        <v>5204.0</v>
      </c>
      <c r="B4839" s="3" t="s">
        <v>1801</v>
      </c>
      <c r="C4839" s="3" t="str">
        <f>IFERROR(__xludf.DUMMYFUNCTION("GOOGLETRANSLATE(B4839,""id"",""en"")"),"['steady', 'application']")</f>
        <v>['steady', 'application']</v>
      </c>
      <c r="D4839" s="3">
        <v>5.0</v>
      </c>
    </row>
    <row r="4840" ht="15.75" customHeight="1">
      <c r="A4840" s="1">
        <v>5205.0</v>
      </c>
      <c r="B4840" s="3" t="s">
        <v>4706</v>
      </c>
      <c r="C4840" s="3" t="str">
        <f>IFERROR(__xludf.DUMMYFUNCTION("GOOGLETRANSLATE(B4840,""id"",""en"")"),"['Application', 'Good', 'Come', 'Download', 'Friend', 'Direct', 'Love', 'Star', 'Lho', 'Million', 'People', 'Wear', ' Application ',' MyTelkomsel ']")</f>
        <v>['Application', 'Good', 'Come', 'Download', 'Friend', 'Direct', 'Love', 'Star', 'Lho', 'Million', 'People', 'Wear', ' Application ',' MyTelkomsel ']</v>
      </c>
      <c r="D4840" s="3">
        <v>5.0</v>
      </c>
    </row>
    <row r="4841" ht="15.75" customHeight="1">
      <c r="A4841" s="1">
        <v>5206.0</v>
      </c>
      <c r="B4841" s="3" t="s">
        <v>4707</v>
      </c>
      <c r="C4841" s="3" t="str">
        <f>IFERROR(__xludf.DUMMYFUNCTION("GOOGLETRANSLATE(B4841,""id"",""en"")"),"['Help', 'Simple']")</f>
        <v>['Help', 'Simple']</v>
      </c>
      <c r="D4841" s="3">
        <v>5.0</v>
      </c>
    </row>
    <row r="4842" ht="15.75" customHeight="1">
      <c r="A4842" s="1">
        <v>5207.0</v>
      </c>
      <c r="B4842" s="3" t="s">
        <v>286</v>
      </c>
      <c r="C4842" s="3" t="str">
        <f>IFERROR(__xludf.DUMMYFUNCTION("GOOGLETRANSLATE(B4842,""id"",""en"")"),"['good']")</f>
        <v>['good']</v>
      </c>
      <c r="D4842" s="3">
        <v>5.0</v>
      </c>
    </row>
    <row r="4843" ht="15.75" customHeight="1">
      <c r="A4843" s="1">
        <v>5208.0</v>
      </c>
      <c r="B4843" s="3" t="s">
        <v>4708</v>
      </c>
      <c r="C4843" s="3" t="str">
        <f>IFERROR(__xludf.DUMMYFUNCTION("GOOGLETRANSLATE(B4843,""id"",""en"")"),"['Easy', 'reached', 'in view', 'remote', 'country', '']")</f>
        <v>['Easy', 'reached', 'in view', 'remote', 'country', '']</v>
      </c>
      <c r="D4843" s="3">
        <v>5.0</v>
      </c>
    </row>
    <row r="4844" ht="15.75" customHeight="1">
      <c r="A4844" s="1">
        <v>5209.0</v>
      </c>
      <c r="B4844" s="3" t="s">
        <v>4709</v>
      </c>
      <c r="C4844" s="3" t="str">
        <f>IFERROR(__xludf.DUMMYFUNCTION("GOOGLETRANSLATE(B4844,""id"",""en"")"),"['Likes', 'Application', 'Arno', 'Sulawesi']")</f>
        <v>['Likes', 'Application', 'Arno', 'Sulawesi']</v>
      </c>
      <c r="D4844" s="3">
        <v>5.0</v>
      </c>
    </row>
    <row r="4845" ht="15.75" customHeight="1">
      <c r="A4845" s="1">
        <v>5210.0</v>
      </c>
      <c r="B4845" s="3" t="s">
        <v>4710</v>
      </c>
      <c r="C4845" s="3" t="str">
        <f>IFERROR(__xludf.DUMMYFUNCTION("GOOGLETRANSLATE(B4845,""id"",""en"")"),"['', 'Increase', 'like', 'Telkomsel']")</f>
        <v>['', 'Increase', 'like', 'Telkomsel']</v>
      </c>
      <c r="D4845" s="3">
        <v>5.0</v>
      </c>
    </row>
    <row r="4846" ht="15.75" customHeight="1">
      <c r="A4846" s="1">
        <v>5211.0</v>
      </c>
      <c r="B4846" s="3" t="s">
        <v>4711</v>
      </c>
      <c r="C4846" s="3" t="str">
        <f>IFERROR(__xludf.DUMMYFUNCTION("GOOGLETRANSLATE(B4846,""id"",""en"")"),"['APK', 'Good', 'Useful', 'User', 'Telkomsel']")</f>
        <v>['APK', 'Good', 'Useful', 'User', 'Telkomsel']</v>
      </c>
      <c r="D4846" s="3">
        <v>5.0</v>
      </c>
    </row>
    <row r="4847" ht="15.75" customHeight="1">
      <c r="A4847" s="1">
        <v>5212.0</v>
      </c>
      <c r="B4847" s="3" t="s">
        <v>4712</v>
      </c>
      <c r="C4847" s="3" t="str">
        <f>IFERROR(__xludf.DUMMYFUNCTION("GOOGLETRANSLATE(B4847,""id"",""en"")"),"['quota', 'GB', 'simcard', 'article', 'feronica', 'veins',' suggestion ',' please ',' call ',' column ',' quota ',' beg ',' Answers', 'Faham']")</f>
        <v>['quota', 'GB', 'simcard', 'article', 'feronica', 'veins',' suggestion ',' please ',' call ',' column ',' quota ',' beg ',' Answers', 'Faham']</v>
      </c>
      <c r="D4847" s="3">
        <v>1.0</v>
      </c>
    </row>
    <row r="4848" ht="15.75" customHeight="1">
      <c r="A4848" s="1">
        <v>5213.0</v>
      </c>
      <c r="B4848" s="3" t="s">
        <v>4713</v>
      </c>
      <c r="C4848" s="3" t="str">
        <f>IFERROR(__xludf.DUMMYFUNCTION("GOOGLETRANSLATE(B4848,""id"",""en"")"),"['application', 'account', 'number', 'installed', 'device', 'different', 'have', 'application', 'account', 'number', 'confusing', 'find', ' fast ',' wrong ',' account ',' number ',' installed ',' device ',' purpose ',' caused ',' account ',' number ',' di"&amp;"splayed ',' number ',' difficult ' , 'memorized', 'option', 'name', 'replacement', 'option', 'extra', 'description', 'board', 'menu', ""]")</f>
        <v>['application', 'account', 'number', 'installed', 'device', 'different', 'have', 'application', 'account', 'number', 'confusing', 'find', ' fast ',' wrong ',' account ',' number ',' installed ',' device ',' purpose ',' caused ',' account ',' number ',' displayed ',' number ',' difficult ' , 'memorized', 'option', 'name', 'replacement', 'option', 'extra', 'description', 'board', 'menu', "]</v>
      </c>
      <c r="D4848" s="3">
        <v>3.0</v>
      </c>
    </row>
    <row r="4849" ht="15.75" customHeight="1">
      <c r="A4849" s="1">
        <v>5214.0</v>
      </c>
      <c r="B4849" s="3" t="s">
        <v>4714</v>
      </c>
      <c r="C4849" s="3" t="str">
        <f>IFERROR(__xludf.DUMMYFUNCTION("GOOGLETRANSLATE(B4849,""id"",""en"")"),"['customer', 'loyal', 'Telkomsel', 'I hope', 'Telkomsel', 'supply', 'remote', 'village']")</f>
        <v>['customer', 'loyal', 'Telkomsel', 'I hope', 'Telkomsel', 'supply', 'remote', 'village']</v>
      </c>
      <c r="D4849" s="3">
        <v>5.0</v>
      </c>
    </row>
    <row r="4850" ht="15.75" customHeight="1">
      <c r="A4850" s="1">
        <v>5215.0</v>
      </c>
      <c r="B4850" s="3" t="s">
        <v>3328</v>
      </c>
      <c r="C4850" s="3" t="str">
        <f>IFERROR(__xludf.DUMMYFUNCTION("GOOGLETRANSLATE(B4850,""id"",""en"")"),"['price']")</f>
        <v>['price']</v>
      </c>
      <c r="D4850" s="3">
        <v>1.0</v>
      </c>
    </row>
    <row r="4851" ht="15.75" customHeight="1">
      <c r="A4851" s="1">
        <v>5216.0</v>
      </c>
      <c r="B4851" s="3" t="s">
        <v>4715</v>
      </c>
      <c r="C4851" s="3" t="str">
        <f>IFERROR(__xludf.DUMMYFUNCTION("GOOGLETRANSLATE(B4851,""id"",""en"")"),"['Bener', 'Need', 'Buy', 'Quota', 'Open', 'Trash', '']")</f>
        <v>['Bener', 'Need', 'Buy', 'Quota', 'Open', 'Trash', '']</v>
      </c>
      <c r="D4851" s="3">
        <v>1.0</v>
      </c>
    </row>
    <row r="4852" ht="15.75" customHeight="1">
      <c r="A4852" s="1">
        <v>5217.0</v>
      </c>
      <c r="B4852" s="3" t="s">
        <v>4716</v>
      </c>
      <c r="C4852" s="3" t="str">
        <f>IFERROR(__xludf.DUMMYFUNCTION("GOOGLETRANSLATE(B4852,""id"",""en"")"),"['Taon', 'Make', 'Telkomsel', 'card', 'already', 'Taon', 'PKE', 'Registered', 'account', 'Taon', 'Network', 'Telekomsel', ' rich ',' taikk ',' buy ',' package ',' expensive ',' ehh ',' dapet ',' quality ',' network ',' lbh ',' ugly ',' pnya ',' smartfren "&amp;"' , 'TGL', 'TNGAH', 'City', 'BRSA', 'RICH', 'DLEM', 'Goa', 'Peak', 'Hanging', 'Doraemon', 'Complaint', 'Prnh', ' response ',' oprator ',' help ',' complaint ',' blng ',' sayan ',' fish ',' affairs', 'field', '']")</f>
        <v>['Taon', 'Make', 'Telkomsel', 'card', 'already', 'Taon', 'PKE', 'Registered', 'account', 'Taon', 'Network', 'Telekomsel', ' rich ',' taikk ',' buy ',' package ',' expensive ',' ehh ',' dapet ',' quality ',' network ',' lbh ',' ugly ',' pnya ',' smartfren ' , 'TGL', 'TNGAH', 'City', 'BRSA', 'RICH', 'DLEM', 'Goa', 'Peak', 'Hanging', 'Doraemon', 'Complaint', 'Prnh', ' response ',' oprator ',' help ',' complaint ',' blng ',' sayan ',' fish ',' affairs', 'field', '']</v>
      </c>
      <c r="D4852" s="3">
        <v>1.0</v>
      </c>
    </row>
    <row r="4853" ht="15.75" customHeight="1">
      <c r="A4853" s="1">
        <v>5218.0</v>
      </c>
      <c r="B4853" s="3" t="s">
        <v>4717</v>
      </c>
      <c r="C4853" s="3" t="str">
        <f>IFERROR(__xludf.DUMMYFUNCTION("GOOGLETRANSLATE(B4853,""id"",""en"")"),"['network', 'Telkomsel', 'oath', 'ugly', 'really', 'until', 'until', 'buy', 'card', 'backup', 'internet', 'price', ' quota ',' expensive ',' TPI ',' according to ',' quality ',' customer ',' xxxxxx ']")</f>
        <v>['network', 'Telkomsel', 'oath', 'ugly', 'really', 'until', 'until', 'buy', 'card', 'backup', 'internet', 'price', ' quota ',' expensive ',' TPI ',' according to ',' quality ',' customer ',' xxxxxx ']</v>
      </c>
      <c r="D4853" s="3">
        <v>1.0</v>
      </c>
    </row>
    <row r="4854" ht="15.75" customHeight="1">
      <c r="A4854" s="1">
        <v>5219.0</v>
      </c>
      <c r="B4854" s="3" t="s">
        <v>4718</v>
      </c>
      <c r="C4854" s="3" t="str">
        <f>IFERROR(__xludf.DUMMYFUNCTION("GOOGLETRANSLATE(B4854,""id"",""en"")"),"['Package', 'thousand']")</f>
        <v>['Package', 'thousand']</v>
      </c>
      <c r="D4854" s="3">
        <v>3.0</v>
      </c>
    </row>
    <row r="4855" ht="15.75" customHeight="1">
      <c r="A4855" s="1">
        <v>5220.0</v>
      </c>
      <c r="B4855" s="3" t="s">
        <v>4719</v>
      </c>
      <c r="C4855" s="3" t="str">
        <f>IFERROR(__xludf.DUMMYFUNCTION("GOOGLETRANSLATE(B4855,""id"",""en"")"),"['Enter', 'difficult', 'difficult', 'easy']")</f>
        <v>['Enter', 'difficult', 'difficult', 'easy']</v>
      </c>
      <c r="D4855" s="3">
        <v>5.0</v>
      </c>
    </row>
    <row r="4856" ht="15.75" customHeight="1">
      <c r="A4856" s="1">
        <v>5221.0</v>
      </c>
      <c r="B4856" s="3" t="s">
        <v>4720</v>
      </c>
      <c r="C4856" s="3" t="str">
        <f>IFERROR(__xludf.DUMMYFUNCTION("GOOGLETRANSLATE(B4856,""id"",""en"")"),"['Signal', 'Kek', 'Anjj', 'Telkom']")</f>
        <v>['Signal', 'Kek', 'Anjj', 'Telkom']</v>
      </c>
      <c r="D4856" s="3">
        <v>1.0</v>
      </c>
    </row>
    <row r="4857" ht="15.75" customHeight="1">
      <c r="A4857" s="1">
        <v>5222.0</v>
      </c>
      <c r="B4857" s="3" t="s">
        <v>4721</v>
      </c>
      <c r="C4857" s="3" t="str">
        <f>IFERROR(__xludf.DUMMYFUNCTION("GOOGLETRANSLATE(B4857,""id"",""en"")"),"['Alhamdulillah', 'price', 'package', 'quota', 'internet', 'affordable', 'people', 'thank you', 'Telkomsel', ""]")</f>
        <v>['Alhamdulillah', 'price', 'package', 'quota', 'internet', 'affordable', 'people', 'thank you', 'Telkomsel', "]</v>
      </c>
      <c r="D4857" s="3">
        <v>5.0</v>
      </c>
    </row>
    <row r="4858" ht="15.75" customHeight="1">
      <c r="A4858" s="1">
        <v>5223.0</v>
      </c>
      <c r="B4858" s="3" t="s">
        <v>4722</v>
      </c>
      <c r="C4858" s="3" t="str">
        <f>IFERROR(__xludf.DUMMYFUNCTION("GOOGLETRANSLATE(B4858,""id"",""en"")"),"['Telkomsel', 'good', 'BNR', 'signal', 'please', 'reinforced']")</f>
        <v>['Telkomsel', 'good', 'BNR', 'signal', 'please', 'reinforced']</v>
      </c>
      <c r="D4858" s="3">
        <v>5.0</v>
      </c>
    </row>
    <row r="4859" ht="15.75" customHeight="1">
      <c r="A4859" s="1">
        <v>5224.0</v>
      </c>
      <c r="B4859" s="3" t="s">
        <v>4723</v>
      </c>
      <c r="C4859" s="3" t="str">
        <f>IFERROR(__xludf.DUMMYFUNCTION("GOOGLETRANSLATE(B4859,""id"",""en"")"),"['Hopefully', 'in the future', 'package', 'combo', 'saktinya', 'cheap', 'lgi', 'price', 'tetep', 'stable']")</f>
        <v>['Hopefully', 'in the future', 'package', 'combo', 'saktinya', 'cheap', 'lgi', 'price', 'tetep', 'stable']</v>
      </c>
      <c r="D4859" s="3">
        <v>4.0</v>
      </c>
    </row>
    <row r="4860" ht="15.75" customHeight="1">
      <c r="A4860" s="1">
        <v>5225.0</v>
      </c>
      <c r="B4860" s="3" t="s">
        <v>4724</v>
      </c>
      <c r="C4860" s="3" t="str">
        <f>IFERROR(__xludf.DUMMYFUNCTION("GOOGLETRANSLATE(B4860,""id"",""en"")"),"['Cool', 'Network', 'Nyah', 'Main', 'Game']")</f>
        <v>['Cool', 'Network', 'Nyah', 'Main', 'Game']</v>
      </c>
      <c r="D4860" s="3">
        <v>5.0</v>
      </c>
    </row>
    <row r="4861" ht="15.75" customHeight="1">
      <c r="A4861" s="1">
        <v>5226.0</v>
      </c>
      <c r="B4861" s="3" t="s">
        <v>4725</v>
      </c>
      <c r="C4861" s="3" t="str">
        <f>IFERROR(__xludf.DUMMYFUNCTION("GOOGLETRANSLATE(B4861,""id"",""en"")"),"['and', 'good']")</f>
        <v>['and', 'good']</v>
      </c>
      <c r="D4861" s="3">
        <v>5.0</v>
      </c>
    </row>
    <row r="4862" ht="15.75" customHeight="1">
      <c r="A4862" s="1">
        <v>5227.0</v>
      </c>
      <c r="B4862" s="3" t="s">
        <v>4726</v>
      </c>
      <c r="C4862" s="3" t="str">
        <f>IFERROR(__xludf.DUMMYFUNCTION("GOOGLETRANSLATE(B4862,""id"",""en"")"),"['point', 'Telkomsel', 'hundreds', 'exchange', 'package', 'data', 'menu', 'exchange', 'package', '']")</f>
        <v>['point', 'Telkomsel', 'hundreds', 'exchange', 'package', 'data', 'menu', 'exchange', 'package', '']</v>
      </c>
      <c r="D4862" s="3">
        <v>1.0</v>
      </c>
    </row>
    <row r="4863" ht="15.75" customHeight="1">
      <c r="A4863" s="1">
        <v>5228.0</v>
      </c>
      <c r="B4863" s="3" t="s">
        <v>4727</v>
      </c>
      <c r="C4863" s="3" t="str">
        <f>IFERROR(__xludf.DUMMYFUNCTION("GOOGLETRANSLATE(B4863,""id"",""en"")"),"['min', 'skarang', 'lgi', 'package', 'cheap', 'like', 'package', 'internet', 'cheerful', 'then', 'package', 'monthlyx', ' Please, 'Located', 'Lotsin', 'Bonus', 'InternetX', 'SELUANX', 'Leave', 'Bintang', 'Talk', 'Telkomsel', 'Nice', ""]")</f>
        <v>['min', 'skarang', 'lgi', 'package', 'cheap', 'like', 'package', 'internet', 'cheerful', 'then', 'package', 'monthlyx', ' Please, 'Located', 'Lotsin', 'Bonus', 'InternetX', 'SELUANX', 'Leave', 'Bintang', 'Talk', 'Telkomsel', 'Nice', "]</v>
      </c>
      <c r="D4863" s="3">
        <v>5.0</v>
      </c>
    </row>
    <row r="4864" ht="15.75" customHeight="1">
      <c r="A4864" s="1">
        <v>5229.0</v>
      </c>
      <c r="B4864" s="3" t="s">
        <v>4728</v>
      </c>
      <c r="C4864" s="3" t="str">
        <f>IFERROR(__xludf.DUMMYFUNCTION("GOOGLETRANSLATE(B4864,""id"",""en"")"),"['Good', 'special']")</f>
        <v>['Good', 'special']</v>
      </c>
      <c r="D4864" s="3">
        <v>5.0</v>
      </c>
    </row>
    <row r="4865" ht="15.75" customHeight="1">
      <c r="A4865" s="1">
        <v>5230.0</v>
      </c>
      <c r="B4865" s="3" t="s">
        <v>4729</v>
      </c>
      <c r="C4865" s="3" t="str">
        <f>IFERROR(__xludf.DUMMYFUNCTION("GOOGLETRANSLATE(B4865,""id"",""en"")"),"['', 'company', 'Kasi', 'cheap', 'little', 'napa']")</f>
        <v>['', 'company', 'Kasi', 'cheap', 'little', 'napa']</v>
      </c>
      <c r="D4865" s="3">
        <v>1.0</v>
      </c>
    </row>
    <row r="4866" ht="15.75" customHeight="1">
      <c r="A4866" s="1">
        <v>5231.0</v>
      </c>
      <c r="B4866" s="3" t="s">
        <v>4730</v>
      </c>
      <c r="C4866" s="3" t="str">
        <f>IFERROR(__xludf.DUMMYFUNCTION("GOOGLETRANSLATE(B4866,""id"",""en"")"),"['Satisfied', 'pke', 'tsel', 'signal', 'strong', 'dmn']")</f>
        <v>['Satisfied', 'pke', 'tsel', 'signal', 'strong', 'dmn']</v>
      </c>
      <c r="D4866" s="3">
        <v>5.0</v>
      </c>
    </row>
    <row r="4867" ht="15.75" customHeight="1">
      <c r="A4867" s="1">
        <v>5232.0</v>
      </c>
      <c r="B4867" s="3" t="s">
        <v>4731</v>
      </c>
      <c r="C4867" s="3" t="str">
        <f>IFERROR(__xludf.DUMMYFUNCTION("GOOGLETRANSLATE(B4867,""id"",""en"")"),"['Lally', 'promo', 'festive']")</f>
        <v>['Lally', 'promo', 'festive']</v>
      </c>
      <c r="D4867" s="3">
        <v>5.0</v>
      </c>
    </row>
    <row r="4868" ht="15.75" customHeight="1">
      <c r="A4868" s="1">
        <v>5233.0</v>
      </c>
      <c r="B4868" s="3" t="s">
        <v>4732</v>
      </c>
      <c r="C4868" s="3" t="str">
        <f>IFERROR(__xludf.DUMMYFUNCTION("GOOGLETRANSLATE(B4868,""id"",""en"")"),"['Hopefully', 'MyTelkomsel', 'promo', 'interesting']")</f>
        <v>['Hopefully', 'MyTelkomsel', 'promo', 'interesting']</v>
      </c>
      <c r="D4868" s="3">
        <v>5.0</v>
      </c>
    </row>
    <row r="4869" ht="15.75" customHeight="1">
      <c r="A4869" s="1">
        <v>5234.0</v>
      </c>
      <c r="B4869" s="3" t="s">
        <v>4733</v>
      </c>
      <c r="C4869" s="3" t="str">
        <f>IFERROR(__xludf.DUMMYFUNCTION("GOOGLETRANSLATE(B4869,""id"",""en"")"),"['Love', 'Bintang', 'Paketan', 'Take', 'Subscribe', 'Paketan', 'RB', 'Extra', 'Unlimited', 'Then', 'Planning', 'Paketan', ' expensive ',' expensive ',' buy ',' package ',' as soon as', 'calihian', 'remove', 'package']")</f>
        <v>['Love', 'Bintang', 'Paketan', 'Take', 'Subscribe', 'Paketan', 'RB', 'Extra', 'Unlimited', 'Then', 'Planning', 'Paketan', ' expensive ',' expensive ',' buy ',' package ',' as soon as', 'calihian', 'remove', 'package']</v>
      </c>
      <c r="D4869" s="3">
        <v>1.0</v>
      </c>
    </row>
    <row r="4870" ht="15.75" customHeight="1">
      <c r="A4870" s="1">
        <v>5236.0</v>
      </c>
      <c r="B4870" s="3" t="s">
        <v>4734</v>
      </c>
      <c r="C4870" s="3" t="str">
        <f>IFERROR(__xludf.DUMMYFUNCTION("GOOGLETRANSLATE(B4870,""id"",""en"")"),"['SMS', 'Notification', 'Access',' Internet ',' Rates', 'Non', 'Package', 'Different', 'Package', 'Internet', 'Open', 'Application', ' nyedot ',' pulse ',' right ',' check ',' package ',' internet ',' pulse ',' lost ',' luded ',' where ']")</f>
        <v>['SMS', 'Notification', 'Access',' Internet ',' Rates', 'Non', 'Package', 'Different', 'Package', 'Internet', 'Open', 'Application', ' nyedot ',' pulse ',' right ',' check ',' package ',' internet ',' pulse ',' lost ',' luded ',' where ']</v>
      </c>
      <c r="D4870" s="3">
        <v>1.0</v>
      </c>
    </row>
    <row r="4871" ht="15.75" customHeight="1">
      <c r="A4871" s="1">
        <v>5237.0</v>
      </c>
      <c r="B4871" s="3" t="s">
        <v>4735</v>
      </c>
      <c r="C4871" s="3" t="str">
        <f>IFERROR(__xludf.DUMMYFUNCTION("GOOGLETRANSLATE(B4871,""id"",""en"")"),"['Knpa', 'pket', 'unlimited', 'nggk', 'lgi', ""]")</f>
        <v>['Knpa', 'pket', 'unlimited', 'nggk', 'lgi', "]</v>
      </c>
      <c r="D4871" s="3">
        <v>3.0</v>
      </c>
    </row>
    <row r="4872" ht="15.75" customHeight="1">
      <c r="A4872" s="1">
        <v>5238.0</v>
      </c>
      <c r="B4872" s="3" t="s">
        <v>4736</v>
      </c>
      <c r="C4872" s="3" t="str">
        <f>IFERROR(__xludf.DUMMYFUNCTION("GOOGLETRANSLATE(B4872,""id"",""en"")"),"['Help', 'good', 'star', 'Telkomsel']")</f>
        <v>['Help', 'good', 'star', 'Telkomsel']</v>
      </c>
      <c r="D4872" s="3">
        <v>5.0</v>
      </c>
    </row>
    <row r="4873" ht="15.75" customHeight="1">
      <c r="A4873" s="1">
        <v>5239.0</v>
      </c>
      <c r="B4873" s="3" t="s">
        <v>4737</v>
      </c>
      <c r="C4873" s="3" t="str">
        <f>IFERROR(__xludf.DUMMYFUNCTION("GOOGLETRANSLATE(B4873,""id"",""en"")"),"['Hopefully', 'Appsi', 'Help']")</f>
        <v>['Hopefully', 'Appsi', 'Help']</v>
      </c>
      <c r="D4873" s="3">
        <v>5.0</v>
      </c>
    </row>
    <row r="4874" ht="15.75" customHeight="1">
      <c r="A4874" s="1">
        <v>5240.0</v>
      </c>
      <c r="B4874" s="3" t="s">
        <v>4738</v>
      </c>
      <c r="C4874" s="3" t="str">
        <f>IFERROR(__xludf.DUMMYFUNCTION("GOOGLETRANSLATE(B4874,""id"",""en"")"),"['Love', 'Star', 'UDH', 'Good', 'Normal', 'Network', 'Data', 'internet', 'love', 'star', ""]")</f>
        <v>['Love', 'Star', 'UDH', 'Good', 'Normal', 'Network', 'Data', 'internet', 'love', 'star', "]</v>
      </c>
      <c r="D4874" s="3">
        <v>2.0</v>
      </c>
    </row>
    <row r="4875" ht="15.75" customHeight="1">
      <c r="A4875" s="1">
        <v>5241.0</v>
      </c>
      <c r="B4875" s="3" t="s">
        <v>4739</v>
      </c>
      <c r="C4875" s="3" t="str">
        <f>IFERROR(__xludf.DUMMYFUNCTION("GOOGLETRANSLATE(B4875,""id"",""en"")"),"['Application', 'Help', 'users',' Telkomsel ',' Features', 'Program', 'Good', 'User', 'Telkomsel', 'Thank you', 'Telkomsel', 'strange', ' week ',' status', 'data', 'GB', 'bonus',' check ',' pulse ',' chips', 'as',' usage ',' data ',' daily ',' check ' , '"&amp;"Hank', 'application']")</f>
        <v>['Application', 'Help', 'users',' Telkomsel ',' Features', 'Program', 'Good', 'User', 'Telkomsel', 'Thank you', 'Telkomsel', 'strange', ' week ',' status', 'data', 'GB', 'bonus',' check ',' pulse ',' chips', 'as',' usage ',' data ',' daily ',' check ' , 'Hank', 'application']</v>
      </c>
      <c r="D4875" s="3">
        <v>2.0</v>
      </c>
    </row>
    <row r="4876" ht="15.75" customHeight="1">
      <c r="A4876" s="1">
        <v>5242.0</v>
      </c>
      <c r="B4876" s="3" t="s">
        <v>4740</v>
      </c>
      <c r="C4876" s="3" t="str">
        <f>IFERROR(__xludf.DUMMYFUNCTION("GOOGLETRANSLATE(B4876,""id"",""en"")"),"['Good']")</f>
        <v>['Good']</v>
      </c>
      <c r="D4876" s="3">
        <v>5.0</v>
      </c>
    </row>
    <row r="4877" ht="15.75" customHeight="1">
      <c r="A4877" s="1">
        <v>5243.0</v>
      </c>
      <c r="B4877" s="3" t="s">
        <v>4741</v>
      </c>
      <c r="C4877" s="3" t="str">
        <f>IFERROR(__xludf.DUMMYFUNCTION("GOOGLETRANSLATE(B4877,""id"",""en"")"),"['kacauuuu', 'pulse', 'solution', 'trssss']")</f>
        <v>['kacauuuu', 'pulse', 'solution', 'trssss']</v>
      </c>
      <c r="D4877" s="3">
        <v>1.0</v>
      </c>
    </row>
    <row r="4878" ht="15.75" customHeight="1">
      <c r="A4878" s="1">
        <v>5244.0</v>
      </c>
      <c r="B4878" s="3" t="s">
        <v>2914</v>
      </c>
      <c r="C4878" s="3" t="str">
        <f>IFERROR(__xludf.DUMMYFUNCTION("GOOGLETRANSLATE(B4878,""id"",""en"")"),"['Good', 'help']")</f>
        <v>['Good', 'help']</v>
      </c>
      <c r="D4878" s="3">
        <v>5.0</v>
      </c>
    </row>
    <row r="4879" ht="15.75" customHeight="1">
      <c r="A4879" s="1">
        <v>5245.0</v>
      </c>
      <c r="B4879" s="3" t="s">
        <v>4742</v>
      </c>
      <c r="C4879" s="3" t="str">
        <f>IFERROR(__xludf.DUMMYFUNCTION("GOOGLETRANSLATE(B4879,""id"",""en"")"),"['Beginner', 'Please', 'Maklumi', ""]")</f>
        <v>['Beginner', 'Please', 'Maklumi', "]</v>
      </c>
      <c r="D4879" s="3">
        <v>1.0</v>
      </c>
    </row>
    <row r="4880" ht="15.75" customHeight="1">
      <c r="A4880" s="1">
        <v>5246.0</v>
      </c>
      <c r="B4880" s="3" t="s">
        <v>4743</v>
      </c>
      <c r="C4880" s="3" t="str">
        <f>IFERROR(__xludf.DUMMYFUNCTION("GOOGLETRANSLATE(B4880,""id"",""en"")"),"['Network', 'Disruption', 'Application', 'Telkomsel', 'Latest']")</f>
        <v>['Network', 'Disruption', 'Application', 'Telkomsel', 'Latest']</v>
      </c>
      <c r="D4880" s="3">
        <v>1.0</v>
      </c>
    </row>
    <row r="4881" ht="15.75" customHeight="1">
      <c r="A4881" s="1">
        <v>5247.0</v>
      </c>
      <c r="B4881" s="3" t="s">
        <v>4744</v>
      </c>
      <c r="C4881" s="3" t="str">
        <f>IFERROR(__xludf.DUMMYFUNCTION("GOOGLETRANSLATE(B4881,""id"",""en"")"),"['Success', 'cell', 'package', 'cheap']")</f>
        <v>['Success', 'cell', 'package', 'cheap']</v>
      </c>
      <c r="D4881" s="3">
        <v>5.0</v>
      </c>
    </row>
    <row r="4882" ht="15.75" customHeight="1">
      <c r="A4882" s="1">
        <v>5248.0</v>
      </c>
      <c r="B4882" s="3" t="s">
        <v>2273</v>
      </c>
      <c r="C4882" s="3" t="str">
        <f>IFERROR(__xludf.DUMMYFUNCTION("GOOGLETRANSLATE(B4882,""id"",""en"")"),"['Service', 'Good']")</f>
        <v>['Service', 'Good']</v>
      </c>
      <c r="D4882" s="3">
        <v>5.0</v>
      </c>
    </row>
    <row r="4883" ht="15.75" customHeight="1">
      <c r="A4883" s="1">
        <v>5250.0</v>
      </c>
      <c r="B4883" s="3" t="s">
        <v>4745</v>
      </c>
      <c r="C4883" s="3" t="str">
        <f>IFERROR(__xludf.DUMMYFUNCTION("GOOGLETRANSLATE(B4883,""id"",""en"")"),"['Congratulations', 'Telkomsel', 'package', 'expensive', 'network', 'melted', 'update', 'change', ""]")</f>
        <v>['Congratulations', 'Telkomsel', 'package', 'expensive', 'network', 'melted', 'update', 'change', "]</v>
      </c>
      <c r="D4883" s="3">
        <v>1.0</v>
      </c>
    </row>
    <row r="4884" ht="15.75" customHeight="1">
      <c r="A4884" s="1">
        <v>5251.0</v>
      </c>
      <c r="B4884" s="3" t="s">
        <v>4746</v>
      </c>
      <c r="C4884" s="3" t="str">
        <f>IFERROR(__xludf.DUMMYFUNCTION("GOOGLETRANSLATE(B4884,""id"",""en"")"),"['useful', 'check', 'pulse', 'package', 'purchase', 'package']")</f>
        <v>['useful', 'check', 'pulse', 'package', 'purchase', 'package']</v>
      </c>
      <c r="D4884" s="3">
        <v>5.0</v>
      </c>
    </row>
    <row r="4885" ht="15.75" customHeight="1">
      <c r="A4885" s="1">
        <v>5252.0</v>
      </c>
      <c r="B4885" s="3" t="s">
        <v>4747</v>
      </c>
      <c r="C4885" s="3" t="str">
        <f>IFERROR(__xludf.DUMMYFUNCTION("GOOGLETRANSLATE(B4885,""id"",""en"")"),"['package', 'quata', 'doang', 'expensive', 'signal', 'mah', 'super', 'bad']")</f>
        <v>['package', 'quata', 'doang', 'expensive', 'signal', 'mah', 'super', 'bad']</v>
      </c>
      <c r="D4885" s="3">
        <v>1.0</v>
      </c>
    </row>
    <row r="4886" ht="15.75" customHeight="1">
      <c r="A4886" s="1">
        <v>5253.0</v>
      </c>
      <c r="B4886" s="3" t="s">
        <v>4748</v>
      </c>
      <c r="C4886" s="3" t="str">
        <f>IFERROR(__xludf.DUMMYFUNCTION("GOOGLETRANSLATE(B4886,""id"",""en"")"),"['Hallo', 'Telkomsel', 'KNPA', 'Signal', 'Network', 'ilang', 'Nilagan', 'Stay', 'Bekasi', 'Signal', 'Good', 'Kouta', ' Choice ',' user ',' card ',' Telkomsel ',' tantalizing ',' user ',' choice ',' little ',' expensive ',' for example ',' friend ',' card "&amp;"',' Telkomsel ' , 'Use', 'Pay', 'Credit', 'RB', 'GB', 'Customer', 'Faithful', 'Telkomsel', 'Use', 'Pay', 'Rb', 'Get', ' GB ',' ']")</f>
        <v>['Hallo', 'Telkomsel', 'KNPA', 'Signal', 'Network', 'ilang', 'Nilagan', 'Stay', 'Bekasi', 'Signal', 'Good', 'Kouta', ' Choice ',' user ',' card ',' Telkomsel ',' tantalizing ',' user ',' choice ',' little ',' expensive ',' for example ',' friend ',' card ',' Telkomsel ' , 'Use', 'Pay', 'Credit', 'RB', 'GB', 'Customer', 'Faithful', 'Telkomsel', 'Use', 'Pay', 'Rb', 'Get', ' GB ',' ']</v>
      </c>
      <c r="D4886" s="3">
        <v>1.0</v>
      </c>
    </row>
    <row r="4887" ht="15.75" customHeight="1">
      <c r="A4887" s="1">
        <v>5254.0</v>
      </c>
      <c r="B4887" s="3" t="s">
        <v>4749</v>
      </c>
      <c r="C4887" s="3" t="str">
        <f>IFERROR(__xludf.DUMMYFUNCTION("GOOGLETRANSLATE(B4887,""id"",""en"")"),"['In the future', 'strong', 'signal', '']")</f>
        <v>['In the future', 'strong', 'signal', '']</v>
      </c>
      <c r="D4887" s="3">
        <v>4.0</v>
      </c>
    </row>
    <row r="4888" ht="15.75" customHeight="1">
      <c r="A4888" s="1">
        <v>5255.0</v>
      </c>
      <c r="B4888" s="3" t="s">
        <v>4750</v>
      </c>
      <c r="C4888" s="3" t="str">
        <f>IFERROR(__xludf.DUMMYFUNCTION("GOOGLETRANSLATE(B4888,""id"",""en"")"),"['suitable', 'easy', 'hopefully', 'cheap', 'price', 'package', 'city', 'hope', 'success', 'in the future', '']")</f>
        <v>['suitable', 'easy', 'hopefully', 'cheap', 'price', 'package', 'city', 'hope', 'success', 'in the future', '']</v>
      </c>
      <c r="D4888" s="3">
        <v>5.0</v>
      </c>
    </row>
    <row r="4889" ht="15.75" customHeight="1">
      <c r="A4889" s="1">
        <v>5256.0</v>
      </c>
      <c r="B4889" s="3" t="s">
        <v>912</v>
      </c>
      <c r="C4889" s="3" t="str">
        <f>IFERROR(__xludf.DUMMYFUNCTION("GOOGLETRANSLATE(B4889,""id"",""en"")"),"['network', '']")</f>
        <v>['network', '']</v>
      </c>
      <c r="D4889" s="3">
        <v>1.0</v>
      </c>
    </row>
    <row r="4890" ht="15.75" customHeight="1">
      <c r="A4890" s="1">
        <v>5257.0</v>
      </c>
      <c r="B4890" s="3" t="s">
        <v>4751</v>
      </c>
      <c r="C4890" s="3" t="str">
        <f>IFERROR(__xludf.DUMMYFUNCTION("GOOGLETRANSLATE(B4890,""id"",""en"")"),"['Network', 'bad', 'kayak', 'play', 'pub', 'connection', 'missing', 'play', 'red', 'pay', 'expensive', 'different', ' inexpensive']")</f>
        <v>['Network', 'bad', 'kayak', 'play', 'pub', 'connection', 'missing', 'play', 'red', 'pay', 'expensive', 'different', ' inexpensive']</v>
      </c>
      <c r="D4890" s="3">
        <v>2.0</v>
      </c>
    </row>
    <row r="4891" ht="15.75" customHeight="1">
      <c r="A4891" s="1">
        <v>5258.0</v>
      </c>
      <c r="B4891" s="3" t="s">
        <v>4752</v>
      </c>
      <c r="C4891" s="3" t="str">
        <f>IFERROR(__xludf.DUMMYFUNCTION("GOOGLETRANSLATE(B4891,""id"",""en"")"),"['service', 'detrimental', 'customers',' package ',' data ',' expensive ',' network ',' HDSPA ',' contact ',' Telkomsel ',' gubris', 'reason', ' The reason ',' disappointed ']")</f>
        <v>['service', 'detrimental', 'customers',' package ',' data ',' expensive ',' network ',' HDSPA ',' contact ',' Telkomsel ',' gubris', 'reason', ' The reason ',' disappointed ']</v>
      </c>
      <c r="D4891" s="3">
        <v>1.0</v>
      </c>
    </row>
    <row r="4892" ht="15.75" customHeight="1">
      <c r="A4892" s="1">
        <v>5259.0</v>
      </c>
      <c r="B4892" s="3" t="s">
        <v>4753</v>
      </c>
      <c r="C4892" s="3" t="str">
        <f>IFERROR(__xludf.DUMMYFUNCTION("GOOGLETRANSLATE(B4892,""id"",""en"")"),"['The network', 'kaga', 'road']")</f>
        <v>['The network', 'kaga', 'road']</v>
      </c>
      <c r="D4892" s="3">
        <v>1.0</v>
      </c>
    </row>
    <row r="4893" ht="15.75" customHeight="1">
      <c r="A4893" s="1">
        <v>5260.0</v>
      </c>
      <c r="B4893" s="3" t="s">
        <v>4754</v>
      </c>
      <c r="C4893" s="3" t="str">
        <f>IFERROR(__xludf.DUMMYFUNCTION("GOOGLETRANSLATE(B4893,""id"",""en"")"),"['Knp', 'App', 'opened', 'Open', 'HRS', 'Delete', 'Data', 'Login']")</f>
        <v>['Knp', 'App', 'opened', 'Open', 'HRS', 'Delete', 'Data', 'Login']</v>
      </c>
      <c r="D4893" s="3">
        <v>1.0</v>
      </c>
    </row>
    <row r="4894" ht="15.75" customHeight="1">
      <c r="A4894" s="1">
        <v>5261.0</v>
      </c>
      <c r="B4894" s="3" t="s">
        <v>4755</v>
      </c>
      <c r="C4894" s="3" t="str">
        <f>IFERROR(__xludf.DUMMYFUNCTION("GOOGLETRANSLATE(B4894,""id"",""en"")"),"['expensive', 'price', 'quota', '']")</f>
        <v>['expensive', 'price', 'quota', '']</v>
      </c>
      <c r="D4894" s="3">
        <v>3.0</v>
      </c>
    </row>
    <row r="4895" ht="15.75" customHeight="1">
      <c r="A4895" s="1">
        <v>5262.0</v>
      </c>
      <c r="B4895" s="3" t="s">
        <v>4756</v>
      </c>
      <c r="C4895" s="3" t="str">
        <f>IFERROR(__xludf.DUMMYFUNCTION("GOOGLETRANSLATE(B4895,""id"",""en"")"),"['Application', 'Lemot', '']")</f>
        <v>['Application', 'Lemot', '']</v>
      </c>
      <c r="D4895" s="3">
        <v>4.0</v>
      </c>
    </row>
    <row r="4896" ht="15.75" customHeight="1">
      <c r="A4896" s="1">
        <v>5263.0</v>
      </c>
      <c r="B4896" s="3" t="s">
        <v>4757</v>
      </c>
      <c r="C4896" s="3" t="str">
        <f>IFERROR(__xludf.DUMMYFUNCTION("GOOGLETRANSLATE(B4896,""id"",""en"")"),"['crazy', 'pulse', 'ilang', 'mulu', 'ntah', 'knapa']")</f>
        <v>['crazy', 'pulse', 'ilang', 'mulu', 'ntah', 'knapa']</v>
      </c>
      <c r="D4896" s="3">
        <v>1.0</v>
      </c>
    </row>
    <row r="4897" ht="15.75" customHeight="1">
      <c r="A4897" s="1">
        <v>5264.0</v>
      </c>
      <c r="B4897" s="3" t="s">
        <v>4758</v>
      </c>
      <c r="C4897" s="3" t="str">
        <f>IFERROR(__xludf.DUMMYFUNCTION("GOOGLETRANSLATE(B4897,""id"",""en"")"),"['network', 'smooth', 'network', 'ugly', 'slow', 'price', 'doang', 'expensive', 'effectiveness',' internet ',' rotten ',' slow ',' snail ',' good ',' search ',' worker ',' kek ',' good ',' signal ',' price ',' doang ',' expensive ', ""]")</f>
        <v>['network', 'smooth', 'network', 'ugly', 'slow', 'price', 'doang', 'expensive', 'effectiveness',' internet ',' rotten ',' slow ',' snail ',' good ',' search ',' worker ',' kek ',' good ',' signal ',' price ',' doang ',' expensive ', "]</v>
      </c>
      <c r="D4897" s="3">
        <v>1.0</v>
      </c>
    </row>
    <row r="4898" ht="15.75" customHeight="1">
      <c r="A4898" s="1">
        <v>5265.0</v>
      </c>
      <c r="B4898" s="3" t="s">
        <v>636</v>
      </c>
      <c r="C4898" s="3" t="str">
        <f>IFERROR(__xludf.DUMMYFUNCTION("GOOGLETRANSLATE(B4898,""id"",""en"")"),"['The application', 'Good', '']")</f>
        <v>['The application', 'Good', '']</v>
      </c>
      <c r="D4898" s="3">
        <v>5.0</v>
      </c>
    </row>
    <row r="4899" ht="15.75" customHeight="1">
      <c r="A4899" s="1">
        <v>5266.0</v>
      </c>
      <c r="B4899" s="3" t="s">
        <v>4759</v>
      </c>
      <c r="C4899" s="3" t="str">
        <f>IFERROR(__xludf.DUMMYFUNCTION("GOOGLETRANSLATE(B4899,""id"",""en"")"),"['Ngellag', 'Network', 'MAYAL', 'Doang', 'worth', 'quality', 'network', 'please', 'at the level', 'talk', 'mere', 'please', ' Costumer ',' Nge ',' bot ', ""]")</f>
        <v>['Ngellag', 'Network', 'MAYAL', 'Doang', 'worth', 'quality', 'network', 'please', 'at the level', 'talk', 'mere', 'please', ' Costumer ',' Nge ',' bot ', "]</v>
      </c>
      <c r="D4899" s="3">
        <v>1.0</v>
      </c>
    </row>
    <row r="4900" ht="15.75" customHeight="1">
      <c r="A4900" s="1">
        <v>5267.0</v>
      </c>
      <c r="B4900" s="3" t="s">
        <v>4760</v>
      </c>
      <c r="C4900" s="3" t="str">
        <f>IFERROR(__xludf.DUMMYFUNCTION("GOOGLETRANSLATE(B4900,""id"",""en"")"),"['signal', 'good', 'slow', '']")</f>
        <v>['signal', 'good', 'slow', '']</v>
      </c>
      <c r="D4900" s="3">
        <v>5.0</v>
      </c>
    </row>
    <row r="4901" ht="15.75" customHeight="1">
      <c r="A4901" s="1">
        <v>5268.0</v>
      </c>
      <c r="B4901" s="3" t="s">
        <v>4761</v>
      </c>
      <c r="C4901" s="3" t="str">
        <f>IFERROR(__xludf.DUMMYFUNCTION("GOOGLETRANSLATE(B4901,""id"",""en"")"),"['Ayahlah', 'Telkomsel', 'Actually', 'The card', 'good', 'slow']")</f>
        <v>['Ayahlah', 'Telkomsel', 'Actually', 'The card', 'good', 'slow']</v>
      </c>
      <c r="D4901" s="3">
        <v>5.0</v>
      </c>
    </row>
    <row r="4902" ht="15.75" customHeight="1">
      <c r="A4902" s="1">
        <v>5270.0</v>
      </c>
      <c r="B4902" s="3" t="s">
        <v>4762</v>
      </c>
      <c r="C4902" s="3" t="str">
        <f>IFERROR(__xludf.DUMMYFUNCTION("GOOGLETRANSLATE(B4902,""id"",""en"")"),"['Loopers',' thank ',' love ',' fill ',' reset ',' activate ',' package ',' your special ',' price ',' rb ',' tried ',' no ',' Use ',' SMS ',' Sudden ',' compatible ',' really ',' run out ',' What's "", 'Disabizes', 'repeat', 'reset']")</f>
        <v>['Loopers',' thank ',' love ',' fill ',' reset ',' activate ',' package ',' your special ',' price ',' rb ',' tried ',' no ',' Use ',' SMS ',' Sudden ',' compatible ',' really ',' run out ',' What's ", 'Disabizes', 'repeat', 'reset']</v>
      </c>
      <c r="D4902" s="3">
        <v>2.0</v>
      </c>
    </row>
    <row r="4903" ht="15.75" customHeight="1">
      <c r="A4903" s="1">
        <v>5271.0</v>
      </c>
      <c r="B4903" s="3" t="s">
        <v>4763</v>
      </c>
      <c r="C4903" s="3" t="str">
        <f>IFERROR(__xludf.DUMMYFUNCTION("GOOGLETRANSLATE(B4903,""id"",""en"")"),"['Telkomsel', 'Top', 'really']")</f>
        <v>['Telkomsel', 'Top', 'really']</v>
      </c>
      <c r="D4903" s="3">
        <v>5.0</v>
      </c>
    </row>
    <row r="4904" ht="15.75" customHeight="1">
      <c r="A4904" s="1">
        <v>5272.0</v>
      </c>
      <c r="B4904" s="3" t="s">
        <v>4764</v>
      </c>
      <c r="C4904" s="3" t="str">
        <f>IFERROR(__xludf.DUMMYFUNCTION("GOOGLETRANSLATE(B4904,""id"",""en"")"),"['', 'Bangat']")</f>
        <v>['', 'Bangat']</v>
      </c>
      <c r="D4904" s="3">
        <v>5.0</v>
      </c>
    </row>
    <row r="4905" ht="15.75" customHeight="1">
      <c r="A4905" s="1">
        <v>5273.0</v>
      </c>
      <c r="B4905" s="3" t="s">
        <v>4765</v>
      </c>
      <c r="C4905" s="3" t="str">
        <f>IFERROR(__xludf.DUMMYFUNCTION("GOOGLETRANSLATE(B4905,""id"",""en"")"),"['Steady', 'love', 'star']")</f>
        <v>['Steady', 'love', 'star']</v>
      </c>
      <c r="D4905" s="3">
        <v>5.0</v>
      </c>
    </row>
    <row r="4906" ht="15.75" customHeight="1">
      <c r="A4906" s="1">
        <v>5274.0</v>
      </c>
      <c r="B4906" s="3" t="s">
        <v>4766</v>
      </c>
      <c r="C4906" s="3" t="str">
        <f>IFERROR(__xludf.DUMMYFUNCTION("GOOGLETRANSLATE(B4906,""id"",""en"")"),"['Good', 'expensive', '']")</f>
        <v>['Good', 'expensive', '']</v>
      </c>
      <c r="D4906" s="3">
        <v>5.0</v>
      </c>
    </row>
    <row r="4907" ht="15.75" customHeight="1">
      <c r="A4907" s="1">
        <v>5275.0</v>
      </c>
      <c r="B4907" s="3" t="s">
        <v>4767</v>
      </c>
      <c r="C4907" s="3" t="str">
        <f>IFERROR(__xludf.DUMMYFUNCTION("GOOGLETRANSLATE(B4907,""id"",""en"")"),"['Good', 'buy', 'quota', 'cheap']")</f>
        <v>['Good', 'buy', 'quota', 'cheap']</v>
      </c>
      <c r="D4907" s="3">
        <v>5.0</v>
      </c>
    </row>
    <row r="4908" ht="15.75" customHeight="1">
      <c r="A4908" s="1">
        <v>5276.0</v>
      </c>
      <c r="B4908" s="3" t="s">
        <v>4768</v>
      </c>
      <c r="C4908" s="3" t="str">
        <f>IFERROR(__xludf.DUMMYFUNCTION("GOOGLETRANSLATE(B4908,""id"",""en"")"),"['Seneng', 'really', 'Telkomsel', 'help', 'cheap', 'price', 'data', 'please', 'card', 'network', 'thank', ' Telkomsel ']")</f>
        <v>['Seneng', 'really', 'Telkomsel', 'help', 'cheap', 'price', 'data', 'please', 'card', 'network', 'thank', ' Telkomsel ']</v>
      </c>
      <c r="D4908" s="3">
        <v>5.0</v>
      </c>
    </row>
    <row r="4909" ht="15.75" customHeight="1">
      <c r="A4909" s="1">
        <v>5277.0</v>
      </c>
      <c r="B4909" s="3" t="s">
        <v>4769</v>
      </c>
      <c r="C4909" s="3" t="str">
        <f>IFERROR(__xludf.DUMMYFUNCTION("GOOGLETRANSLATE(B4909,""id"",""en"")"),"['Kcewa', 'network', 'The widest', 'Open', 'Intrnet', 'slow', 'Tlong', 'DPRBaikin', 'Dplok', 'Telkomsel', 'internet', 'slow']")</f>
        <v>['Kcewa', 'network', 'The widest', 'Open', 'Intrnet', 'slow', 'Tlong', 'DPRBaikin', 'Dplok', 'Telkomsel', 'internet', 'slow']</v>
      </c>
      <c r="D4909" s="3">
        <v>1.0</v>
      </c>
    </row>
    <row r="4910" ht="15.75" customHeight="1">
      <c r="A4910" s="1">
        <v>5278.0</v>
      </c>
      <c r="B4910" s="3" t="s">
        <v>4770</v>
      </c>
      <c r="C4910" s="3" t="str">
        <f>IFERROR(__xludf.DUMMYFUNCTION("GOOGLETRANSLATE(B4910,""id"",""en"")"),"['Okay', 'like', 'APL', '']")</f>
        <v>['Okay', 'like', 'APL', '']</v>
      </c>
      <c r="D4910" s="3">
        <v>5.0</v>
      </c>
    </row>
    <row r="4911" ht="15.75" customHeight="1">
      <c r="A4911" s="1">
        <v>5279.0</v>
      </c>
      <c r="B4911" s="3" t="s">
        <v>4771</v>
      </c>
      <c r="C4911" s="3" t="str">
        <f>IFERROR(__xludf.DUMMYFUNCTION("GOOGLETRANSLATE(B4911,""id"",""en"")"),"['please', 'fix', 'lack', 'salvaced', 'purchase', 'package', '']")</f>
        <v>['please', 'fix', 'lack', 'salvaced', 'purchase', 'package', '']</v>
      </c>
      <c r="D4911" s="3">
        <v>3.0</v>
      </c>
    </row>
    <row r="4912" ht="15.75" customHeight="1">
      <c r="A4912" s="1">
        <v>5280.0</v>
      </c>
      <c r="B4912" s="3" t="s">
        <v>4772</v>
      </c>
      <c r="C4912" s="3" t="str">
        <f>IFERROR(__xludf.DUMMYFUNCTION("GOOGLETRANSLATE(B4912,""id"",""en"")"),"['Hargay', 'expensive', 'signal', 'kayak', 'mode', 'free', 'Nge', 'game', 'see', ""]")</f>
        <v>['Hargay', 'expensive', 'signal', 'kayak', 'mode', 'free', 'Nge', 'game', 'see', "]</v>
      </c>
      <c r="D4912" s="3">
        <v>1.0</v>
      </c>
    </row>
    <row r="4913" ht="15.75" customHeight="1">
      <c r="A4913" s="1">
        <v>5281.0</v>
      </c>
      <c r="B4913" s="3" t="s">
        <v>4773</v>
      </c>
      <c r="C4913" s="3" t="str">
        <f>IFERROR(__xludf.DUMMYFUNCTION("GOOGLETRANSLATE(B4913,""id"",""en"")"),"['Price', 'expensive', 'signal', 'poor', ""]")</f>
        <v>['Price', 'expensive', 'signal', 'poor', "]</v>
      </c>
      <c r="D4913" s="3">
        <v>1.0</v>
      </c>
    </row>
    <row r="4914" ht="15.75" customHeight="1">
      <c r="A4914" s="1">
        <v>5282.0</v>
      </c>
      <c r="B4914" s="3" t="s">
        <v>4774</v>
      </c>
      <c r="C4914" s="3" t="str">
        <f>IFERROR(__xludf.DUMMYFUNCTION("GOOGLETRANSLATE(B4914,""id"",""en"")"),"['here', 'slow', 'disappointed', 'UDH', 'really', 'card', 'orng', 'play', 'game', 'difficult', 'here', 'threat', ' Telkomsel ',' buy ',' package ',' expensive ',' bsa ',' because ',' network ',' ilang ',' then ']")</f>
        <v>['here', 'slow', 'disappointed', 'UDH', 'really', 'card', 'orng', 'play', 'game', 'difficult', 'here', 'threat', ' Telkomsel ',' buy ',' package ',' expensive ',' bsa ',' because ',' network ',' ilang ',' then ']</v>
      </c>
      <c r="D4914" s="3">
        <v>1.0</v>
      </c>
    </row>
    <row r="4915" ht="15.75" customHeight="1">
      <c r="A4915" s="1">
        <v>5283.0</v>
      </c>
      <c r="B4915" s="3" t="s">
        <v>4775</v>
      </c>
      <c r="C4915" s="3" t="str">
        <f>IFERROR(__xludf.DUMMYFUNCTION("GOOGLETRANSLATE(B4915,""id"",""en"")"),"['Signal', 'Bener', 'Telkom', 'Network', 'The Widest', 'Change', 'Card']")</f>
        <v>['Signal', 'Bener', 'Telkom', 'Network', 'The Widest', 'Change', 'Card']</v>
      </c>
      <c r="D4915" s="3">
        <v>1.0</v>
      </c>
    </row>
    <row r="4916" ht="15.75" customHeight="1">
      <c r="A4916" s="1">
        <v>5284.0</v>
      </c>
      <c r="B4916" s="3" t="s">
        <v>4776</v>
      </c>
      <c r="C4916" s="3" t="str">
        <f>IFERROR(__xludf.DUMMYFUNCTION("GOOGLETRANSLATE(B4916,""id"",""en"")"),"['please', 'Telkomsel', 'network', 'the fastest', 'widest', 'village', 'signal', 'ugly', 'at the time', 'busy', 'signal', 'ugly', ' Knp ',' pakek ',' signal ',' good ',' please ',' Telkomsel ',' network ',' diesa ',' Dragus', 'speed', 'diesa', 'busy', 'pe"&amp;"ople' , 'City', 'Busyness', '']")</f>
        <v>['please', 'Telkomsel', 'network', 'the fastest', 'widest', 'village', 'signal', 'ugly', 'at the time', 'busy', 'signal', 'ugly', ' Knp ',' pakek ',' signal ',' good ',' please ',' Telkomsel ',' network ',' diesa ',' Dragus', 'speed', 'diesa', 'busy', 'people' , 'City', 'Busyness', '']</v>
      </c>
      <c r="D4916" s="3">
        <v>5.0</v>
      </c>
    </row>
    <row r="4917" ht="15.75" customHeight="1">
      <c r="A4917" s="1">
        <v>5285.0</v>
      </c>
      <c r="B4917" s="3" t="s">
        <v>4777</v>
      </c>
      <c r="C4917" s="3" t="str">
        <f>IFERROR(__xludf.DUMMYFUNCTION("GOOGLETRANSLATE(B4917,""id"",""en"")"),"['Gausah', 'sell', 'quota', 'internet', 'min', 'mending', 'TLP', 'sms', 'smooth']")</f>
        <v>['Gausah', 'sell', 'quota', 'internet', 'min', 'mending', 'TLP', 'sms', 'smooth']</v>
      </c>
      <c r="D4917" s="3">
        <v>1.0</v>
      </c>
    </row>
    <row r="4918" ht="15.75" customHeight="1">
      <c r="A4918" s="1">
        <v>5286.0</v>
      </c>
      <c r="B4918" s="3" t="s">
        <v>4778</v>
      </c>
      <c r="C4918" s="3" t="str">
        <f>IFERROR(__xludf.DUMMYFUNCTION("GOOGLETRANSLATE(B4918,""id"",""en"")"),"['easy', 'safe']")</f>
        <v>['easy', 'safe']</v>
      </c>
      <c r="D4918" s="3">
        <v>5.0</v>
      </c>
    </row>
    <row r="4919" ht="15.75" customHeight="1">
      <c r="A4919" s="1">
        <v>5287.0</v>
      </c>
      <c r="B4919" s="3" t="s">
        <v>4779</v>
      </c>
      <c r="C4919" s="3" t="str">
        <f>IFERROR(__xludf.DUMMYFUNCTION("GOOGLETRANSLATE(B4919,""id"",""en"")"),"['Application', 'Good', 'ALIIII']")</f>
        <v>['Application', 'Good', 'ALIIII']</v>
      </c>
      <c r="D4919" s="3">
        <v>5.0</v>
      </c>
    </row>
    <row r="4920" ht="15.75" customHeight="1">
      <c r="A4920" s="1">
        <v>5288.0</v>
      </c>
      <c r="B4920" s="3" t="s">
        <v>4780</v>
      </c>
      <c r="C4920" s="3" t="str">
        <f>IFERROR(__xludf.DUMMYFUNCTION("GOOGLETRANSLATE(B4920,""id"",""en"")"),"['package', 'quota', 'expensive', 'TPI', 'network', 'rotten', 'according to', 'price', ""]")</f>
        <v>['package', 'quota', 'expensive', 'TPI', 'network', 'rotten', 'according to', 'price', "]</v>
      </c>
      <c r="D4920" s="3">
        <v>1.0</v>
      </c>
    </row>
    <row r="4921" ht="15.75" customHeight="1">
      <c r="A4921" s="1">
        <v>5289.0</v>
      </c>
      <c r="B4921" s="3" t="s">
        <v>4781</v>
      </c>
      <c r="C4921" s="3" t="str">
        <f>IFERROR(__xludf.DUMMYFUNCTION("GOOGLETRANSLATE(B4921,""id"",""en"")"),"['Paelayanan']")</f>
        <v>['Paelayanan']</v>
      </c>
      <c r="D4921" s="3">
        <v>5.0</v>
      </c>
    </row>
    <row r="4922" ht="15.75" customHeight="1">
      <c r="A4922" s="1">
        <v>5291.0</v>
      </c>
      <c r="B4922" s="3" t="s">
        <v>4782</v>
      </c>
      <c r="C4922" s="3" t="str">
        <f>IFERROR(__xludf.DUMMYFUNCTION("GOOGLETRANSLATE(B4922,""id"",""en"")"),"['network', 'network', 'clock', 'noon', 'until', 'night', 'gabisa', 'access',' internet ',' because of ',' network ',' Telkomsel ',' Lost ',' Region ',' River ',' Putting ',' Kalimantan ',' South ',' haduhhh ']")</f>
        <v>['network', 'network', 'clock', 'noon', 'until', 'night', 'gabisa', 'access',' internet ',' because of ',' network ',' Telkomsel ',' Lost ',' Region ',' River ',' Putting ',' Kalimantan ',' South ',' haduhhh ']</v>
      </c>
      <c r="D4922" s="3">
        <v>1.0</v>
      </c>
    </row>
    <row r="4923" ht="15.75" customHeight="1">
      <c r="A4923" s="1">
        <v>5292.0</v>
      </c>
      <c r="B4923" s="3" t="s">
        <v>4783</v>
      </c>
      <c r="C4923" s="3" t="str">
        <f>IFERROR(__xludf.DUMMYFUNCTION("GOOGLETRANSLATE(B4923,""id"",""en"")"),"['concerned', 'Telkom', 'ugly', 'already', 'week', 'because' tower ',' sisini ',' dead ',' toral ',' please ',' fix ',' Location ',' Bengkulu ',' Curup ',' Village ',' Blitar ',' face ', ""]")</f>
        <v>['concerned', 'Telkom', 'ugly', 'already', 'week', 'because' tower ',' sisini ',' dead ',' toral ',' please ',' fix ',' Location ',' Bengkulu ',' Curup ',' Village ',' Blitar ',' face ', "]</v>
      </c>
      <c r="D4923" s="3">
        <v>1.0</v>
      </c>
    </row>
    <row r="4924" ht="15.75" customHeight="1">
      <c r="A4924" s="1">
        <v>5293.0</v>
      </c>
      <c r="B4924" s="3" t="s">
        <v>4784</v>
      </c>
      <c r="C4924" s="3" t="str">
        <f>IFERROR(__xludf.DUMMYFUNCTION("GOOGLETRANSLATE(B4924,""id"",""en"")"),"['application', 'makes it easy', 'users', 'Telkomsel', 'steady', 'soul', '']")</f>
        <v>['application', 'makes it easy', 'users', 'Telkomsel', 'steady', 'soul', '']</v>
      </c>
      <c r="D4924" s="3">
        <v>5.0</v>
      </c>
    </row>
    <row r="4925" ht="15.75" customHeight="1">
      <c r="A4925" s="1">
        <v>5294.0</v>
      </c>
      <c r="B4925" s="3" t="s">
        <v>4785</v>
      </c>
      <c r="C4925" s="3" t="str">
        <f>IFERROR(__xludf.DUMMYFUNCTION("GOOGLETRANSLATE(B4925,""id"",""en"")"),"['Telkomsel', 'Sanagat', 'Good']")</f>
        <v>['Telkomsel', 'Sanagat', 'Good']</v>
      </c>
      <c r="D4925" s="3">
        <v>5.0</v>
      </c>
    </row>
    <row r="4926" ht="15.75" customHeight="1">
      <c r="A4926" s="1">
        <v>5296.0</v>
      </c>
      <c r="B4926" s="3" t="s">
        <v>4786</v>
      </c>
      <c r="C4926" s="3" t="str">
        <f>IFERROR(__xludf.DUMMYFUNCTION("GOOGLETRANSLATE(B4926,""id"",""en"")"),"['Please', 'TSL', 'Message', 'Nganggin', 'Credit', 'Please', 'Note', 'Event', 'Whatever', 'Chat', 'Ball', 'Enter', ' pulse ',' potng ',' how ']")</f>
        <v>['Please', 'TSL', 'Message', 'Nganggin', 'Credit', 'Please', 'Note', 'Event', 'Whatever', 'Chat', 'Ball', 'Enter', ' pulse ',' potng ',' how ']</v>
      </c>
      <c r="D4926" s="3">
        <v>1.0</v>
      </c>
    </row>
    <row r="4927" ht="15.75" customHeight="1">
      <c r="A4927" s="1">
        <v>5297.0</v>
      </c>
      <c r="B4927" s="3" t="s">
        <v>4787</v>
      </c>
      <c r="C4927" s="3" t="str">
        <f>IFERROR(__xludf.DUMMYFUNCTION("GOOGLETRANSLATE(B4927,""id"",""en"")"),"['Download', 'love', 'segini']")</f>
        <v>['Download', 'love', 'segini']</v>
      </c>
      <c r="D4927" s="3">
        <v>4.0</v>
      </c>
    </row>
    <row r="4928" ht="15.75" customHeight="1">
      <c r="A4928" s="1">
        <v>5298.0</v>
      </c>
      <c r="B4928" s="3" t="s">
        <v>4788</v>
      </c>
      <c r="C4928" s="3" t="str">
        <f>IFERROR(__xludf.DUMMYFUNCTION("GOOGLETRANSLATE(B4928,""id"",""en"")"),"['Package', 'Internet', 'OMG', 'Disappear', 'Package', 'Internet', ""]")</f>
        <v>['Package', 'Internet', 'OMG', 'Disappear', 'Package', 'Internet', "]</v>
      </c>
      <c r="D4928" s="3">
        <v>2.0</v>
      </c>
    </row>
    <row r="4929" ht="15.75" customHeight="1">
      <c r="A4929" s="1">
        <v>5299.0</v>
      </c>
      <c r="B4929" s="3" t="s">
        <v>4789</v>
      </c>
      <c r="C4929" s="3" t="str">
        <f>IFERROR(__xludf.DUMMYFUNCTION("GOOGLETRANSLATE(B4929,""id"",""en"")"),"['Honest', 'times',' disappointed ',' service ',' tsel ',' naroh ',' floor ',' network ',' like ',' lost ',' sound ',' emang ',' trivial ',' Ngilak ',' little ',' that's', 'doang', 'serious',' really ',' bapan ',' operator ',' move ',' operator ',' operat"&amp;"or ',' network ' , 'Best', 'name', 'stay', 'remote', 'area', 'remote', 'isolated']")</f>
        <v>['Honest', 'times',' disappointed ',' service ',' tsel ',' naroh ',' floor ',' network ',' like ',' lost ',' sound ',' emang ',' trivial ',' Ngilak ',' little ',' that's', 'doang', 'serious',' really ',' bapan ',' operator ',' move ',' operator ',' operator ',' network ' , 'Best', 'name', 'stay', 'remote', 'area', 'remote', 'isolated']</v>
      </c>
      <c r="D4929" s="3">
        <v>1.0</v>
      </c>
    </row>
    <row r="4930" ht="15.75" customHeight="1">
      <c r="A4930" s="1">
        <v>5300.0</v>
      </c>
      <c r="B4930" s="3" t="s">
        <v>4790</v>
      </c>
      <c r="C4930" s="3" t="str">
        <f>IFERROR(__xludf.DUMMYFUNCTION("GOOGLETRANSLATE(B4930,""id"",""en"")"),"['Emotion', 'Doang', 'Blood', 'Bener', 'Buy', 'Package', 'Combo', 'Sakti', 'Unlimited', 'Quota', 'Main', 'Abis',' quota ',' multimedia ',' dipake ',' browser ',' slow ',' forgiveness', 'sometimes',' quota ',' multimedia ',' browsing ',' please ',' policy "&amp;"',' bner ' , 'pampering', 'users', 'loyal', 'Telkomsel', 'usually', 'gave', 'fares', 'expensive', '']")</f>
        <v>['Emotion', 'Doang', 'Blood', 'Bener', 'Buy', 'Package', 'Combo', 'Sakti', 'Unlimited', 'Quota', 'Main', 'Abis',' quota ',' multimedia ',' dipake ',' browser ',' slow ',' forgiveness', 'sometimes',' quota ',' multimedia ',' browsing ',' please ',' policy ',' bner ' , 'pampering', 'users', 'loyal', 'Telkomsel', 'usually', 'gave', 'fares', 'expensive', '']</v>
      </c>
      <c r="D4930" s="3">
        <v>1.0</v>
      </c>
    </row>
    <row r="4931" ht="15.75" customHeight="1">
      <c r="A4931" s="1">
        <v>5301.0</v>
      </c>
      <c r="B4931" s="3" t="s">
        <v>4791</v>
      </c>
      <c r="C4931" s="3" t="str">
        <f>IFERROR(__xludf.DUMMYFUNCTION("GOOGLETRANSLATE(B4931,""id"",""en"")"),"['Different', 'card', 'friend', 'Package', 'Sakti']")</f>
        <v>['Different', 'card', 'friend', 'Package', 'Sakti']</v>
      </c>
      <c r="D4931" s="3">
        <v>3.0</v>
      </c>
    </row>
    <row r="4932" ht="15.75" customHeight="1">
      <c r="A4932" s="1">
        <v>5302.0</v>
      </c>
      <c r="B4932" s="3" t="s">
        <v>4792</v>
      </c>
      <c r="C4932" s="3" t="str">
        <f>IFERROR(__xludf.DUMMYFUNCTION("GOOGLETRANSLATE(B4932,""id"",""en"")"),"['hope', 'in the future', 'success', 'price', 'package', 'cheap', '']")</f>
        <v>['hope', 'in the future', 'success', 'price', 'package', 'cheap', '']</v>
      </c>
      <c r="D4932" s="3">
        <v>5.0</v>
      </c>
    </row>
    <row r="4933" ht="15.75" customHeight="1">
      <c r="A4933" s="1">
        <v>5303.0</v>
      </c>
      <c r="B4933" s="3" t="s">
        <v>4793</v>
      </c>
      <c r="C4933" s="3" t="str">
        <f>IFERROR(__xludf.DUMMYFUNCTION("GOOGLETRANSLATE(B4933,""id"",""en"")"),"['Bad', 'his web', 'at my place', 'payaaaaaaaahhhhhhhhh']")</f>
        <v>['Bad', 'his web', 'at my place', 'payaaaaaaaahhhhhhhhh']</v>
      </c>
      <c r="D4933" s="3">
        <v>1.0</v>
      </c>
    </row>
    <row r="4934" ht="15.75" customHeight="1">
      <c r="A4934" s="1">
        <v>5304.0</v>
      </c>
      <c r="B4934" s="3" t="s">
        <v>2150</v>
      </c>
      <c r="C4934" s="3" t="str">
        <f>IFERROR(__xludf.DUMMYFUNCTION("GOOGLETRANSLATE(B4934,""id"",""en"")"),"['Steady', 'Satisfied']")</f>
        <v>['Steady', 'Satisfied']</v>
      </c>
      <c r="D4934" s="3">
        <v>5.0</v>
      </c>
    </row>
    <row r="4935" ht="15.75" customHeight="1">
      <c r="A4935" s="1">
        <v>5305.0</v>
      </c>
      <c r="B4935" s="3" t="s">
        <v>4794</v>
      </c>
      <c r="C4935" s="3" t="str">
        <f>IFERROR(__xludf.DUMMYFUNCTION("GOOGLETRANSLATE(B4935,""id"",""en"")"),"['quota', 'run out', 'watch', 'youtube', 'slow', '']")</f>
        <v>['quota', 'run out', 'watch', 'youtube', 'slow', '']</v>
      </c>
      <c r="D4935" s="3">
        <v>3.0</v>
      </c>
    </row>
    <row r="4936" ht="15.75" customHeight="1">
      <c r="A4936" s="1">
        <v>5307.0</v>
      </c>
      <c r="B4936" s="3" t="s">
        <v>4795</v>
      </c>
      <c r="C4936" s="3" t="str">
        <f>IFERROR(__xludf.DUMMYFUNCTION("GOOGLETRANSLATE(B4936,""id"",""en"")"),"['The application', 'good', 'DSN', 'help', ""]")</f>
        <v>['The application', 'good', 'DSN', 'help', "]</v>
      </c>
      <c r="D4936" s="3">
        <v>5.0</v>
      </c>
    </row>
    <row r="4937" ht="15.75" customHeight="1">
      <c r="A4937" s="1">
        <v>5308.0</v>
      </c>
      <c r="B4937" s="3" t="s">
        <v>4796</v>
      </c>
      <c r="C4937" s="3" t="str">
        <f>IFERROR(__xludf.DUMMYFUNCTION("GOOGLETRANSLATE(B4937,""id"",""en"")"),"['App', 'good', 'signal', 'ugly', 'really', 'please', 'optimize', 'signalny', 'Thanks', ""]")</f>
        <v>['App', 'good', 'signal', 'ugly', 'really', 'please', 'optimize', 'signalny', 'Thanks', "]</v>
      </c>
      <c r="D4937" s="3">
        <v>3.0</v>
      </c>
    </row>
    <row r="4938" ht="15.75" customHeight="1">
      <c r="A4938" s="1">
        <v>5309.0</v>
      </c>
      <c r="B4938" s="3" t="s">
        <v>1837</v>
      </c>
      <c r="C4938" s="3" t="str">
        <f>IFERROR(__xludf.DUMMYFUNCTION("GOOGLETRANSLATE(B4938,""id"",""en"")"),"['Application', 'help', ""]")</f>
        <v>['Application', 'help', "]</v>
      </c>
      <c r="D4938" s="3">
        <v>5.0</v>
      </c>
    </row>
    <row r="4939" ht="15.75" customHeight="1">
      <c r="A4939" s="1">
        <v>5310.0</v>
      </c>
      <c r="B4939" s="3" t="s">
        <v>4797</v>
      </c>
      <c r="C4939" s="3" t="str">
        <f>IFERROR(__xludf.DUMMYFUNCTION("GOOGLETRANSLATE(B4939,""id"",""en"")"),"['I hope this helps']")</f>
        <v>['I hope this helps']</v>
      </c>
      <c r="D4939" s="3">
        <v>5.0</v>
      </c>
    </row>
    <row r="4940" ht="15.75" customHeight="1">
      <c r="A4940" s="1">
        <v>5311.0</v>
      </c>
      <c r="B4940" s="3" t="s">
        <v>4798</v>
      </c>
      <c r="C4940" s="3" t="str">
        <f>IFERROR(__xludf.DUMMYFUNCTION("GOOGLETRANSLATE(B4940,""id"",""en"")"),"['signal', 'like', 'ilang', 'internet', 'broken', 'sya', 'replace', 'lebel', 'trust', 'sya', 'jdi', 'ilang', ' high school ',' sympathy ',' suololution ',' fix ',' signal ',' internet ']")</f>
        <v>['signal', 'like', 'ilang', 'internet', 'broken', 'sya', 'replace', 'lebel', 'trust', 'sya', 'jdi', 'ilang', ' high school ',' sympathy ',' suololution ',' fix ',' signal ',' internet ']</v>
      </c>
      <c r="D4940" s="3">
        <v>1.0</v>
      </c>
    </row>
    <row r="4941" ht="15.75" customHeight="1">
      <c r="A4941" s="1">
        <v>5312.0</v>
      </c>
      <c r="B4941" s="3" t="s">
        <v>4799</v>
      </c>
      <c r="C4941" s="3" t="str">
        <f>IFERROR(__xludf.DUMMYFUNCTION("GOOGLETRANSLATE(B4941,""id"",""en"")"),"['Bln', 'Activate', 'Kouta', 'application', 'Language', 'check', 'connection', 'pdhl', 'connection', 'good', 'mistake', 'Dmna', ' ']")</f>
        <v>['Bln', 'Activate', 'Kouta', 'application', 'Language', 'check', 'connection', 'pdhl', 'connection', 'good', 'mistake', 'Dmna', ' ']</v>
      </c>
      <c r="D4941" s="3">
        <v>5.0</v>
      </c>
    </row>
    <row r="4942" ht="15.75" customHeight="1">
      <c r="A4942" s="1">
        <v>5313.0</v>
      </c>
      <c r="B4942" s="3" t="s">
        <v>4800</v>
      </c>
      <c r="C4942" s="3" t="str">
        <f>IFERROR(__xludf.DUMMYFUNCTION("GOOGLETRANSLATE(B4942,""id"",""en"")"),"['province', 'nusa', 'southeast', 'east', 'district', 'manggarai', 'west', 'village', 'bangka', 'telkomsel', 'respectful', 'experiencing', ' disruption ',' connection ',' internet ',' huge ',' connection ',' internet ',' connection ',' internet ',' diffic"&amp;"ult ',' access', 'internet', 'complain', 'finish' , 'task', 'task', 'in touch', 'internet', 'please', 'pay attention to', 'hope', 'sir', 'master', 'telkomsel', 'restore', 'condition', ' ']")</f>
        <v>['province', 'nusa', 'southeast', 'east', 'district', 'manggarai', 'west', 'village', 'bangka', 'telkomsel', 'respectful', 'experiencing', ' disruption ',' connection ',' internet ',' huge ',' connection ',' internet ',' connection ',' internet ',' difficult ',' access', 'internet', 'complain', 'finish' , 'task', 'task', 'in touch', 'internet', 'please', 'pay attention to', 'hope', 'sir', 'master', 'telkomsel', 'restore', 'condition', ' ']</v>
      </c>
      <c r="D4942" s="3">
        <v>1.0</v>
      </c>
    </row>
    <row r="4943" ht="15.75" customHeight="1">
      <c r="A4943" s="1">
        <v>5314.0</v>
      </c>
      <c r="B4943" s="3" t="s">
        <v>4801</v>
      </c>
      <c r="C4943" s="3" t="str">
        <f>IFERROR(__xludf.DUMMYFUNCTION("GOOGLETRANSLATE(B4943,""id"",""en"")"),"['Steady', 'Telkomsel', 'Different', 'quota', 'cheap', 'tissue', 'wide', 'internet', 'smooth', 'Jaya']")</f>
        <v>['Steady', 'Telkomsel', 'Different', 'quota', 'cheap', 'tissue', 'wide', 'internet', 'smooth', 'Jaya']</v>
      </c>
      <c r="D4943" s="3">
        <v>5.0</v>
      </c>
    </row>
    <row r="4944" ht="15.75" customHeight="1">
      <c r="A4944" s="1">
        <v>5315.0</v>
      </c>
      <c r="B4944" s="3" t="s">
        <v>4802</v>
      </c>
      <c r="C4944" s="3" t="str">
        <f>IFERROR(__xludf.DUMMYFUNCTION("GOOGLETRANSLATE(B4944,""id"",""en"")"),"['Thank you', 'fix', 'quality', 'application', 'satisfied', 'results', 'thank', 'application', 'Telkomsel', '']")</f>
        <v>['Thank you', 'fix', 'quality', 'application', 'satisfied', 'results', 'thank', 'application', 'Telkomsel', '']</v>
      </c>
      <c r="D4944" s="3">
        <v>5.0</v>
      </c>
    </row>
    <row r="4945" ht="15.75" customHeight="1">
      <c r="A4945" s="1">
        <v>5316.0</v>
      </c>
      <c r="B4945" s="3" t="s">
        <v>4803</v>
      </c>
      <c r="C4945" s="3" t="str">
        <f>IFERROR(__xludf.DUMMYFUNCTION("GOOGLETRANSLATE(B4945,""id"",""en"")"),"['Osah', 'expensive', 'package', 'Mbak', 'Sis',' artisan ',' card ',' signal ',' Masi ',' ugly ',' oath ',' service ',' disappointing ',' repay ',' signal ',' Wilaya ',' Sumatran ',' south ',' edge ',' Musi ',' Rawas']")</f>
        <v>['Osah', 'expensive', 'package', 'Mbak', 'Sis',' artisan ',' card ',' signal ',' Masi ',' ugly ',' oath ',' service ',' disappointing ',' repay ',' signal ',' Wilaya ',' Sumatran ',' south ',' edge ',' Musi ',' Rawas']</v>
      </c>
      <c r="D4945" s="3">
        <v>1.0</v>
      </c>
    </row>
    <row r="4946" ht="15.75" customHeight="1">
      <c r="A4946" s="1">
        <v>5317.0</v>
      </c>
      <c r="B4946" s="3" t="s">
        <v>4804</v>
      </c>
      <c r="C4946" s="3" t="str">
        <f>IFERROR(__xludf.DUMMYFUNCTION("GOOGLETRANSLATE(B4946,""id"",""en"")"),"['', 'Telkomsel', 'ngentod', 'network', 'please', 'speed', 'package', 'expensive', 'network', 'kek', 'pig']")</f>
        <v>['', 'Telkomsel', 'ngentod', 'network', 'please', 'speed', 'package', 'expensive', 'network', 'kek', 'pig']</v>
      </c>
      <c r="D4946" s="3">
        <v>1.0</v>
      </c>
    </row>
    <row r="4947" ht="15.75" customHeight="1">
      <c r="A4947" s="1">
        <v>5318.0</v>
      </c>
      <c r="B4947" s="3" t="s">
        <v>4805</v>
      </c>
      <c r="C4947" s="3" t="str">
        <f>IFERROR(__xludf.DUMMYFUNCTION("GOOGLETRANSLATE(B4947,""id"",""en"")"),"['Price', 'package', 'expensive']")</f>
        <v>['Price', 'package', 'expensive']</v>
      </c>
      <c r="D4947" s="3">
        <v>1.0</v>
      </c>
    </row>
    <row r="4948" ht="15.75" customHeight="1">
      <c r="A4948" s="1">
        <v>5319.0</v>
      </c>
      <c r="B4948" s="3" t="s">
        <v>4806</v>
      </c>
      <c r="C4948" s="3" t="str">
        <f>IFERROR(__xludf.DUMMYFUNCTION("GOOGLETRANSLATE(B4948,""id"",""en"")"),"['Help', 'user', 'card', 'Telkomsel']")</f>
        <v>['Help', 'user', 'card', 'Telkomsel']</v>
      </c>
      <c r="D4948" s="3">
        <v>4.0</v>
      </c>
    </row>
    <row r="4949" ht="15.75" customHeight="1">
      <c r="A4949" s="1">
        <v>5320.0</v>
      </c>
      <c r="B4949" s="3" t="s">
        <v>4807</v>
      </c>
      <c r="C4949" s="3" t="str">
        <f>IFERROR(__xludf.DUMMYFUNCTION("GOOGLETRANSLATE(B4949,""id"",""en"")"),"['', 'application', 'use', 'online', 'quota', 'run out', 'use', 'buy', 'quota', 'pulse', 'remaining', 'application', 'pulsa ',' RB ',' buy ',' quota ',' price ',' rb ',' yes', 'no', 'leftover', 'pulse', 'sufficient', 'it', 'weird', 'Kayak', 'Meras', 'puls"&amp;"es', 'people']")</f>
        <v>['', 'application', 'use', 'online', 'quota', 'run out', 'use', 'buy', 'quota', 'pulse', 'remaining', 'application', 'pulsa ',' RB ',' buy ',' quota ',' price ',' rb ',' yes', 'no', 'leftover', 'pulse', 'sufficient', 'it', 'weird', 'Kayak', 'Meras', 'pulses', 'people']</v>
      </c>
      <c r="D4949" s="3">
        <v>1.0</v>
      </c>
    </row>
    <row r="4950" ht="15.75" customHeight="1">
      <c r="A4950" s="1">
        <v>5321.0</v>
      </c>
      <c r="B4950" s="3" t="s">
        <v>4808</v>
      </c>
      <c r="C4950" s="3" t="str">
        <f>IFERROR(__xludf.DUMMYFUNCTION("GOOGLETRANSLATE(B4950,""id"",""en"")"),"['number', 'package', 'unlimited', 'cheap', 'that's',' husband ',' choice ',' rb ',' rb ',' rb ',' hundreds', 'thousand', ' Want ',' buy ',' rb ',' buy ',' rb ',' quota ',' bnyk ',' redundant ',' trpakai ',' different ',' kituh ',' choice ',' package ' , "&amp;"'Why', 'Why', '']")</f>
        <v>['number', 'package', 'unlimited', 'cheap', 'that's',' husband ',' choice ',' rb ',' rb ',' rb ',' hundreds', 'thousand', ' Want ',' buy ',' rb ',' buy ',' rb ',' quota ',' bnyk ',' redundant ',' trpakai ',' different ',' kituh ',' choice ',' package ' , 'Why', 'Why', '']</v>
      </c>
      <c r="D4950" s="3">
        <v>2.0</v>
      </c>
    </row>
    <row r="4951" ht="15.75" customHeight="1">
      <c r="A4951" s="1">
        <v>5322.0</v>
      </c>
      <c r="B4951" s="3" t="s">
        <v>4809</v>
      </c>
      <c r="C4951" s="3" t="str">
        <f>IFERROR(__xludf.DUMMYFUNCTION("GOOGLETRANSLATE(B4951,""id"",""en"")"),"['package', 'expensive', 'nyeselsaya', 'bean']")</f>
        <v>['package', 'expensive', 'nyeselsaya', 'bean']</v>
      </c>
      <c r="D4951" s="3">
        <v>1.0</v>
      </c>
    </row>
    <row r="4952" ht="15.75" customHeight="1">
      <c r="A4952" s="1">
        <v>5323.0</v>
      </c>
      <c r="B4952" s="3" t="s">
        <v>4810</v>
      </c>
      <c r="C4952" s="3" t="str">
        <f>IFERROR(__xludf.DUMMYFUNCTION("GOOGLETRANSLATE(B4952,""id"",""en"")"),"['Buy', 'Package', 'Games', 'Signal', 'Loss']")</f>
        <v>['Buy', 'Package', 'Games', 'Signal', 'Loss']</v>
      </c>
      <c r="D4952" s="3">
        <v>1.0</v>
      </c>
    </row>
    <row r="4953" ht="15.75" customHeight="1">
      <c r="A4953" s="1">
        <v>5324.0</v>
      </c>
      <c r="B4953" s="3" t="s">
        <v>4811</v>
      </c>
      <c r="C4953" s="3" t="str">
        <f>IFERROR(__xludf.DUMMYFUNCTION("GOOGLETRANSLATE(B4953,""id"",""en"")"),"['Please', 'Telkomsel', 'Network', 'Region', 'Baturaden', 'Lined', 'Overcast', 'Signal', 'ilang', 'Network']")</f>
        <v>['Please', 'Telkomsel', 'Network', 'Region', 'Baturaden', 'Lined', 'Overcast', 'Signal', 'ilang', 'Network']</v>
      </c>
      <c r="D4953" s="3">
        <v>1.0</v>
      </c>
    </row>
    <row r="4954" ht="15.75" customHeight="1">
      <c r="A4954" s="1">
        <v>5325.0</v>
      </c>
      <c r="B4954" s="3" t="s">
        <v>295</v>
      </c>
      <c r="C4954" s="3" t="str">
        <f>IFERROR(__xludf.DUMMYFUNCTION("GOOGLETRANSLATE(B4954,""id"",""en"")"),"['Promo', 'steady']")</f>
        <v>['Promo', 'steady']</v>
      </c>
      <c r="D4954" s="3">
        <v>5.0</v>
      </c>
    </row>
    <row r="4955" ht="15.75" customHeight="1">
      <c r="A4955" s="1">
        <v>5326.0</v>
      </c>
      <c r="B4955" s="3" t="s">
        <v>4812</v>
      </c>
      <c r="C4955" s="3" t="str">
        <f>IFERROR(__xludf.DUMMYFUNCTION("GOOGLETRANSLATE(B4955,""id"",""en"")"),"['Credit', 'Sumpot', 'Activein', 'Package', 'Emergency', 'Send', 'Complaints', 'Email', 'Resolved', 'Severe', 'Telkomsel']")</f>
        <v>['Credit', 'Sumpot', 'Activein', 'Package', 'Emergency', 'Send', 'Complaints', 'Email', 'Resolved', 'Severe', 'Telkomsel']</v>
      </c>
      <c r="D4955" s="3">
        <v>1.0</v>
      </c>
    </row>
    <row r="4956" ht="15.75" customHeight="1">
      <c r="A4956" s="1">
        <v>5327.0</v>
      </c>
      <c r="B4956" s="3" t="s">
        <v>4813</v>
      </c>
      <c r="C4956" s="3" t="str">
        <f>IFERROR(__xludf.DUMMYFUNCTION("GOOGLETRANSLATE(B4956,""id"",""en"")"),"['making it easier', 'Search', 'package']")</f>
        <v>['making it easier', 'Search', 'package']</v>
      </c>
      <c r="D4956" s="3">
        <v>3.0</v>
      </c>
    </row>
    <row r="4957" ht="15.75" customHeight="1">
      <c r="A4957" s="1">
        <v>5328.0</v>
      </c>
      <c r="B4957" s="3" t="s">
        <v>4814</v>
      </c>
      <c r="C4957" s="3" t="str">
        <f>IFERROR(__xludf.DUMMYFUNCTION("GOOGLETRANSLATE(B4957,""id"",""en"")"),"['Sorry', 'nich', 'he assesses', 'fox', 'here', 'network', 'slow']")</f>
        <v>['Sorry', 'nich', 'he assesses', 'fox', 'here', 'network', 'slow']</v>
      </c>
      <c r="D4957" s="3">
        <v>1.0</v>
      </c>
    </row>
    <row r="4958" ht="15.75" customHeight="1">
      <c r="A4958" s="1">
        <v>5329.0</v>
      </c>
      <c r="B4958" s="3" t="s">
        <v>4815</v>
      </c>
      <c r="C4958" s="3" t="str">
        <f>IFERROR(__xludf.DUMMYFUNCTION("GOOGLETRANSLATE(B4958,""id"",""en"")"),"['user', 'card', 'Telkomsel', 'data', 'internet', 'run out', 'forget', 'meng close', 'data', 'internet', 'pulse', 'jngan', ' Cut ',' sendri ',' times', 'run out', 'credit', 'forget', 'deadly', 'data', 'internet', '']")</f>
        <v>['user', 'card', 'Telkomsel', 'data', 'internet', 'run out', 'forget', 'meng close', 'data', 'internet', 'pulse', 'jngan', ' Cut ',' sendri ',' times', 'run out', 'credit', 'forget', 'deadly', 'data', 'internet', '']</v>
      </c>
      <c r="D4958" s="3">
        <v>1.0</v>
      </c>
    </row>
    <row r="4959" ht="15.75" customHeight="1">
      <c r="A4959" s="1">
        <v>5330.0</v>
      </c>
      <c r="B4959" s="3" t="s">
        <v>4816</v>
      </c>
      <c r="C4959" s="3" t="str">
        <f>IFERROR(__xludf.DUMMYFUNCTION("GOOGLETRANSLATE(B4959,""id"",""en"")"),"['Kenpa', 'Bener', 'Lost', 'Credit', 'BLM', 'Digunain', '']")</f>
        <v>['Kenpa', 'Bener', 'Lost', 'Credit', 'BLM', 'Digunain', '']</v>
      </c>
      <c r="D4959" s="3">
        <v>3.0</v>
      </c>
    </row>
    <row r="4960" ht="15.75" customHeight="1">
      <c r="A4960" s="1">
        <v>5331.0</v>
      </c>
      <c r="B4960" s="3" t="s">
        <v>4817</v>
      </c>
      <c r="C4960" s="3" t="str">
        <f>IFERROR(__xludf.DUMMYFUNCTION("GOOGLETRANSLATE(B4960,""id"",""en"")"),"['makes it easier', 'process', 'purchase', 'choice', 'internet']")</f>
        <v>['makes it easier', 'process', 'purchase', 'choice', 'internet']</v>
      </c>
      <c r="D4960" s="3">
        <v>5.0</v>
      </c>
    </row>
    <row r="4961" ht="15.75" customHeight="1">
      <c r="A4961" s="1">
        <v>5332.0</v>
      </c>
      <c r="B4961" s="3" t="s">
        <v>4818</v>
      </c>
      <c r="C4961" s="3" t="str">
        <f>IFERROR(__xludf.DUMMYFUNCTION("GOOGLETRANSLATE(B4961,""id"",""en"")"),"['application', 'steady', 'really']")</f>
        <v>['application', 'steady', 'really']</v>
      </c>
      <c r="D4961" s="3">
        <v>5.0</v>
      </c>
    </row>
    <row r="4962" ht="15.75" customHeight="1">
      <c r="A4962" s="1">
        <v>5333.0</v>
      </c>
      <c r="B4962" s="3" t="s">
        <v>4819</v>
      </c>
      <c r="C4962" s="3" t="str">
        <f>IFERROR(__xludf.DUMMYFUNCTION("GOOGLETRANSLATE(B4962,""id"",""en"")"),"['Thank you', 'Telkomsel', 'Hope', 'Success', 'Jaya']")</f>
        <v>['Thank you', 'Telkomsel', 'Hope', 'Success', 'Jaya']</v>
      </c>
      <c r="D4962" s="3">
        <v>5.0</v>
      </c>
    </row>
    <row r="4963" ht="15.75" customHeight="1">
      <c r="A4963" s="1">
        <v>5334.0</v>
      </c>
      <c r="B4963" s="3" t="s">
        <v>1837</v>
      </c>
      <c r="C4963" s="3" t="str">
        <f>IFERROR(__xludf.DUMMYFUNCTION("GOOGLETRANSLATE(B4963,""id"",""en"")"),"['Application', 'help', ""]")</f>
        <v>['Application', 'help', "]</v>
      </c>
      <c r="D4963" s="3">
        <v>5.0</v>
      </c>
    </row>
    <row r="4964" ht="15.75" customHeight="1">
      <c r="A4964" s="1">
        <v>5335.0</v>
      </c>
      <c r="B4964" s="3" t="s">
        <v>4820</v>
      </c>
      <c r="C4964" s="3" t="str">
        <f>IFERROR(__xludf.DUMMYFUNCTION("GOOGLETRANSLATE(B4964,""id"",""en"")"),"['Leet', 'Network', 'Tsel', 'blind', 'Game', 'Severe']")</f>
        <v>['Leet', 'Network', 'Tsel', 'blind', 'Game', 'Severe']</v>
      </c>
      <c r="D4964" s="3">
        <v>1.0</v>
      </c>
    </row>
    <row r="4965" ht="15.75" customHeight="1">
      <c r="A4965" s="1">
        <v>5336.0</v>
      </c>
      <c r="B4965" s="3" t="s">
        <v>4821</v>
      </c>
      <c r="C4965" s="3" t="str">
        <f>IFERROR(__xludf.DUMMYFUNCTION("GOOGLETRANSLATE(B4965,""id"",""en"")"),"['Alhamdulillah', 'launch']")</f>
        <v>['Alhamdulillah', 'launch']</v>
      </c>
      <c r="D4965" s="3">
        <v>5.0</v>
      </c>
    </row>
    <row r="4966" ht="15.75" customHeight="1">
      <c r="A4966" s="1">
        <v>5337.0</v>
      </c>
      <c r="B4966" s="3" t="s">
        <v>4822</v>
      </c>
      <c r="C4966" s="3" t="str">
        <f>IFERROR(__xludf.DUMMYFUNCTION("GOOGLETRANSLATE(B4966,""id"",""en"")"),"['Sometimes', 'ngebug', 'buy', 'quota', 'enter', 'quota']")</f>
        <v>['Sometimes', 'ngebug', 'buy', 'quota', 'enter', 'quota']</v>
      </c>
      <c r="D4966" s="3">
        <v>3.0</v>
      </c>
    </row>
    <row r="4967" ht="15.75" customHeight="1">
      <c r="A4967" s="1">
        <v>5338.0</v>
      </c>
      <c r="B4967" s="3" t="s">
        <v>4823</v>
      </c>
      <c r="C4967" s="3" t="str">
        <f>IFERROR(__xludf.DUMMYFUNCTION("GOOGLETRANSLATE(B4967,""id"",""en"")"),"['Mantab', 'Mugo', 'Car', 'Motor', '']")</f>
        <v>['Mantab', 'Mugo', 'Car', 'Motor', '']</v>
      </c>
      <c r="D4967" s="3">
        <v>5.0</v>
      </c>
    </row>
    <row r="4968" ht="15.75" customHeight="1">
      <c r="A4968" s="1">
        <v>5339.0</v>
      </c>
      <c r="B4968" s="3" t="s">
        <v>4824</v>
      </c>
      <c r="C4968" s="3" t="str">
        <f>IFERROR(__xludf.DUMMYFUNCTION("GOOGLETRANSLATE(B4968,""id"",""en"")"),"['likes', 'Telkomsel', 'help', 'makes it easier', 'shopping', 'buy', 'package', '']")</f>
        <v>['likes', 'Telkomsel', 'help', 'makes it easier', 'shopping', 'buy', 'package', '']</v>
      </c>
      <c r="D4968" s="3">
        <v>5.0</v>
      </c>
    </row>
    <row r="4969" ht="15.75" customHeight="1">
      <c r="A4969" s="1">
        <v>5340.0</v>
      </c>
      <c r="B4969" s="3" t="s">
        <v>4825</v>
      </c>
      <c r="C4969" s="3" t="str">
        <f>IFERROR(__xludf.DUMMYFUNCTION("GOOGLETRANSLATE(B4969,""id"",""en"")"),"['Season', 'boss',' active ',' run out ',' until ',' called ',' Operator ',' Kayak ',' Pinjol ',' Telkomsel ',' already ',' Telkomsel ',' ']")</f>
        <v>['Season', 'boss',' active ',' run out ',' until ',' called ',' Operator ',' Kayak ',' Pinjol ',' Telkomsel ',' already ',' Telkomsel ',' ']</v>
      </c>
      <c r="D4969" s="3">
        <v>1.0</v>
      </c>
    </row>
    <row r="4970" ht="15.75" customHeight="1">
      <c r="A4970" s="1">
        <v>5341.0</v>
      </c>
      <c r="B4970" s="3" t="s">
        <v>4826</v>
      </c>
      <c r="C4970" s="3" t="str">
        <f>IFERROR(__xludf.DUMMYFUNCTION("GOOGLETRANSLATE(B4970,""id"",""en"")"),"['application', 'good', 'bangetttt', 'contents',' pulse ',' tmn ',' buy ',' quota ',' already ',' really ',' buy ',' quota ',' APK ',' good ',' buy ',' kuotany ',' counter ',' point ',' event ',' gift ',' mnarikkm ',' thank you ',' mytelkomsel ', ""]")</f>
        <v>['application', 'good', 'bangetttt', 'contents',' pulse ',' tmn ',' buy ',' quota ',' already ',' really ',' buy ',' quota ',' APK ',' good ',' buy ',' kuotany ',' counter ',' point ',' event ',' gift ',' mnarikkm ',' thank you ',' mytelkomsel ', "]</v>
      </c>
      <c r="D4970" s="3">
        <v>5.0</v>
      </c>
    </row>
    <row r="4971" ht="15.75" customHeight="1">
      <c r="A4971" s="1">
        <v>5342.0</v>
      </c>
      <c r="B4971" s="3" t="s">
        <v>4827</v>
      </c>
      <c r="C4971" s="3" t="str">
        <f>IFERROR(__xludf.DUMMYFUNCTION("GOOGLETRANSLATE(B4971,""id"",""en"")"),"['buy', 'expensive', 'expensive', 'then', 'play', 'game', 'difficult', 'play', 'woy', 'jarintan', 'please', 'lined', ' just ',' play ',' game ',' like ',' download ',' gile ',' slow ',' really ']")</f>
        <v>['buy', 'expensive', 'expensive', 'then', 'play', 'game', 'difficult', 'play', 'woy', 'jarintan', 'please', 'lined', ' just ',' play ',' game ',' like ',' download ',' gile ',' slow ',' really ']</v>
      </c>
      <c r="D4971" s="3">
        <v>1.0</v>
      </c>
    </row>
    <row r="4972" ht="15.75" customHeight="1">
      <c r="A4972" s="1">
        <v>5343.0</v>
      </c>
      <c r="B4972" s="3" t="s">
        <v>4828</v>
      </c>
      <c r="C4972" s="3" t="str">
        <f>IFERROR(__xludf.DUMMYFUNCTION("GOOGLETRANSLATE(B4972,""id"",""en"")"),"['application', 'bgus']")</f>
        <v>['application', 'bgus']</v>
      </c>
      <c r="D4972" s="3">
        <v>5.0</v>
      </c>
    </row>
    <row r="4973" ht="15.75" customHeight="1">
      <c r="A4973" s="1">
        <v>5344.0</v>
      </c>
      <c r="B4973" s="3" t="s">
        <v>4829</v>
      </c>
      <c r="C4973" s="3" t="str">
        <f>IFERROR(__xludf.DUMMYFUNCTION("GOOGLETRANSLATE(B4973,""id"",""en"")"),"['Look', 'complaints',' Ngeluh ',' Signal ',' Telkomsel ',' deteriorates', 'Customer', 'Hoping', 'Customer', 'Telkomsel', 'Condition', 'Network', ' Give up ',' loyal ', ""]")</f>
        <v>['Look', 'complaints',' Ngeluh ',' Signal ',' Telkomsel ',' deteriorates', 'Customer', 'Hoping', 'Customer', 'Telkomsel', 'Condition', 'Network', ' Give up ',' loyal ', "]</v>
      </c>
      <c r="D4973" s="3">
        <v>3.0</v>
      </c>
    </row>
    <row r="4974" ht="15.75" customHeight="1">
      <c r="A4974" s="1">
        <v>5345.0</v>
      </c>
      <c r="B4974" s="3" t="s">
        <v>4830</v>
      </c>
      <c r="C4974" s="3" t="str">
        <f>IFERROR(__xludf.DUMMYFUNCTION("GOOGLETRANSLATE(B4974,""id"",""en"")"),"['beneficial', '']")</f>
        <v>['beneficial', '']</v>
      </c>
      <c r="D4974" s="3">
        <v>5.0</v>
      </c>
    </row>
    <row r="4975" ht="15.75" customHeight="1">
      <c r="A4975" s="1">
        <v>5346.0</v>
      </c>
      <c r="B4975" s="3" t="s">
        <v>4831</v>
      </c>
      <c r="C4975" s="3" t="str">
        <f>IFERROR(__xludf.DUMMYFUNCTION("GOOGLETRANSLATE(B4975,""id"",""en"")"),"['Sangan', 'promo', 'Telkomsel']")</f>
        <v>['Sangan', 'promo', 'Telkomsel']</v>
      </c>
      <c r="D4975" s="3">
        <v>5.0</v>
      </c>
    </row>
    <row r="4976" ht="15.75" customHeight="1">
      <c r="A4976" s="1">
        <v>5347.0</v>
      </c>
      <c r="B4976" s="3" t="s">
        <v>4832</v>
      </c>
      <c r="C4976" s="3" t="str">
        <f>IFERROR(__xludf.DUMMYFUNCTION("GOOGLETRANSLATE(B4976,""id"",""en"")"),"['facilitates', 'purchase', 'package', 'internet']")</f>
        <v>['facilitates', 'purchase', 'package', 'internet']</v>
      </c>
      <c r="D4976" s="3">
        <v>5.0</v>
      </c>
    </row>
    <row r="4977" ht="15.75" customHeight="1">
      <c r="A4977" s="1">
        <v>5348.0</v>
      </c>
      <c r="B4977" s="3" t="s">
        <v>4833</v>
      </c>
      <c r="C4977" s="3" t="str">
        <f>IFERROR(__xludf.DUMMYFUNCTION("GOOGLETRANSLATE(B4977,""id"",""en"")"),"['annoying', 'peggudaan', 'data', 'package', 'run out', 'tight', 'package', 'please', 'fix', 'because', 'harm', 'people', ' Deliberately ',' buy ',' package ',' package ',' multimedia ',' sometimes', 'use']")</f>
        <v>['annoying', 'peggudaan', 'data', 'package', 'run out', 'tight', 'package', 'please', 'fix', 'because', 'harm', 'people', ' Deliberately ',' buy ',' package ',' package ',' multimedia ',' sometimes', 'use']</v>
      </c>
      <c r="D4977" s="3">
        <v>3.0</v>
      </c>
    </row>
    <row r="4978" ht="15.75" customHeight="1">
      <c r="A4978" s="1">
        <v>5349.0</v>
      </c>
      <c r="B4978" s="3" t="s">
        <v>4834</v>
      </c>
      <c r="C4978" s="3" t="str">
        <f>IFERROR(__xludf.DUMMYFUNCTION("GOOGLETRANSLATE(B4978,""id"",""en"")"),"['network', 'internet', 'region', 'ugly', 'really', 'moved', 'operator', 'number', 'already', 'card', 'Hello', 'regret', ' very', '']")</f>
        <v>['network', 'internet', 'region', 'ugly', 'really', 'moved', 'operator', 'number', 'already', 'card', 'Hello', 'regret', ' very', '']</v>
      </c>
      <c r="D4978" s="3">
        <v>1.0</v>
      </c>
    </row>
    <row r="4979" ht="15.75" customHeight="1">
      <c r="A4979" s="1">
        <v>5350.0</v>
      </c>
      <c r="B4979" s="3" t="s">
        <v>4835</v>
      </c>
      <c r="C4979" s="3" t="str">
        <f>IFERROR(__xludf.DUMMYFUNCTION("GOOGLETRANSLATE(B4979,""id"",""en"")"),"['Like', 'Purchase', 'Package', 'Thank you']")</f>
        <v>['Like', 'Purchase', 'Package', 'Thank you']</v>
      </c>
      <c r="D4979" s="3">
        <v>5.0</v>
      </c>
    </row>
    <row r="4980" ht="15.75" customHeight="1">
      <c r="A4980" s="1">
        <v>5351.0</v>
      </c>
      <c r="B4980" s="3" t="s">
        <v>4836</v>
      </c>
      <c r="C4980" s="3" t="str">
        <f>IFERROR(__xludf.DUMMYFUNCTION("GOOGLETRANSLATE(B4980,""id"",""en"")"),"['really', 'satisfied', 'make', 'card', 'May', 'Telkomsel', 'until', 'skrang', 'expensive', 'satisfied']")</f>
        <v>['really', 'satisfied', 'make', 'card', 'May', 'Telkomsel', 'until', 'skrang', 'expensive', 'satisfied']</v>
      </c>
      <c r="D4980" s="3">
        <v>5.0</v>
      </c>
    </row>
    <row r="4981" ht="15.75" customHeight="1">
      <c r="A4981" s="1">
        <v>5352.0</v>
      </c>
      <c r="B4981" s="3" t="s">
        <v>4837</v>
      </c>
      <c r="C4981" s="3" t="str">
        <f>IFERROR(__xludf.DUMMYFUNCTION("GOOGLETRANSLATE(B4981,""id"",""en"")"),"['oath', 'application', 'gajelas',' package ',' cheap ',' eye ',' right ',' contents', 'pulse', 'ilang', 'package', 'crazy', ' cheating ',' bngt ']")</f>
        <v>['oath', 'application', 'gajelas',' package ',' cheap ',' eye ',' right ',' contents', 'pulse', 'ilang', 'package', 'crazy', ' cheating ',' bngt ']</v>
      </c>
      <c r="D4981" s="3">
        <v>1.0</v>
      </c>
    </row>
    <row r="4982" ht="15.75" customHeight="1">
      <c r="A4982" s="1">
        <v>5353.0</v>
      </c>
      <c r="B4982" s="3" t="s">
        <v>4838</v>
      </c>
      <c r="C4982" s="3" t="str">
        <f>IFERROR(__xludf.DUMMYFUNCTION("GOOGLETRANSLATE(B4982,""id"",""en"")"),"['network', 'Telkomsel', 'alarming', 'network', 'stable', 'untk', 'watch', 'yotube', 'jammed', 'please', 'note', 'location', ' Jln ',' Cross', 'Timur', 'Muaro', 'Jambi', 'Kec', 'Sekernan', 'Jambi', ""]")</f>
        <v>['network', 'Telkomsel', 'alarming', 'network', 'stable', 'untk', 'watch', 'yotube', 'jammed', 'please', 'note', 'location', ' Jln ',' Cross', 'Timur', 'Muaro', 'Jambi', 'Kec', 'Sekernan', 'Jambi', "]</v>
      </c>
      <c r="D4982" s="3">
        <v>1.0</v>
      </c>
    </row>
    <row r="4983" ht="15.75" customHeight="1">
      <c r="A4983" s="1">
        <v>5354.0</v>
      </c>
      <c r="B4983" s="3" t="s">
        <v>4839</v>
      </c>
      <c r="C4983" s="3" t="str">
        <f>IFERROR(__xludf.DUMMYFUNCTION("GOOGLETRANSLATE(B4983,""id"",""en"")"),"['Troubled', 'detection', 'location', 'Sometimes', 'package', 'provided', 'Telkomsel', 'missing', 'location', 'detected', 'Indonesia', ""]")</f>
        <v>['Troubled', 'detection', 'location', 'Sometimes', 'package', 'provided', 'Telkomsel', 'missing', 'location', 'detected', 'Indonesia', "]</v>
      </c>
      <c r="D4983" s="3">
        <v>4.0</v>
      </c>
    </row>
    <row r="4984" ht="15.75" customHeight="1">
      <c r="A4984" s="1">
        <v>5355.0</v>
      </c>
      <c r="B4984" s="3" t="s">
        <v>4840</v>
      </c>
      <c r="C4984" s="3" t="str">
        <f>IFERROR(__xludf.DUMMYFUNCTION("GOOGLETRANSLATE(B4984,""id"",""en"")"),"['Buy', 'Package', 'Combo', 'Sakti', 'Credit', 'Cut', 'Package', 'Data', 'Nda', 'Enter', 'What']")</f>
        <v>['Buy', 'Package', 'Combo', 'Sakti', 'Credit', 'Cut', 'Package', 'Data', 'Nda', 'Enter', 'What']</v>
      </c>
      <c r="D4984" s="3">
        <v>1.0</v>
      </c>
    </row>
    <row r="4985" ht="15.75" customHeight="1">
      <c r="A4985" s="1">
        <v>5356.0</v>
      </c>
      <c r="B4985" s="3" t="s">
        <v>4841</v>
      </c>
      <c r="C4985" s="3" t="str">
        <f>IFERROR(__xludf.DUMMYFUNCTION("GOOGLETRANSLATE(B4985,""id"",""en"")"),"['a month', 'week', 'buy', 'package', 'Telkomsel', 'transaction', 'finished', 'run out', 'pulse', 'got', 'piece', 'thousands',' Dozens, 'times', 'transactions', 'reduced', 'pulses', 'mala', 'please', 'fix']")</f>
        <v>['a month', 'week', 'buy', 'package', 'Telkomsel', 'transaction', 'finished', 'run out', 'pulse', 'got', 'piece', 'thousands',' Dozens, 'times', 'transactions', 'reduced', 'pulses', 'mala', 'please', 'fix']</v>
      </c>
      <c r="D4985" s="3">
        <v>1.0</v>
      </c>
    </row>
    <row r="4986" ht="15.75" customHeight="1">
      <c r="A4986" s="1">
        <v>5357.0</v>
      </c>
      <c r="B4986" s="3" t="s">
        <v>4842</v>
      </c>
      <c r="C4986" s="3" t="str">
        <f>IFERROR(__xludf.DUMMYFUNCTION("GOOGLETRANSLATE(B4986,""id"",""en"")"),"['signal', 'Taik', 'JNG', 'buy', 'Telkomsel']")</f>
        <v>['signal', 'Taik', 'JNG', 'buy', 'Telkomsel']</v>
      </c>
      <c r="D4986" s="3">
        <v>1.0</v>
      </c>
    </row>
    <row r="4987" ht="15.75" customHeight="1">
      <c r="A4987" s="1">
        <v>5358.0</v>
      </c>
      <c r="B4987" s="3" t="s">
        <v>4843</v>
      </c>
      <c r="C4987" s="3" t="str">
        <f>IFERROR(__xludf.DUMMYFUNCTION("GOOGLETRANSLATE(B4987,""id"",""en"")"),"['Telkomsel', 'bankrupt', 'how', 'network', 'ugly', 'play', 'shipments',' video ',' mb ',' slow ',' rich ',' conch ',' open ',' closed ',' mode ',' aircraft ',' hadee ',' kalao ',' number ',' effort ',' already ',' waste ',' leisure ',' card ']")</f>
        <v>['Telkomsel', 'bankrupt', 'how', 'network', 'ugly', 'play', 'shipments',' video ',' mb ',' slow ',' rich ',' conch ',' open ',' closed ',' mode ',' aircraft ',' hadee ',' kalao ',' number ',' effort ',' already ',' waste ',' leisure ',' card ']</v>
      </c>
      <c r="D4987" s="3">
        <v>1.0</v>
      </c>
    </row>
    <row r="4988" ht="15.75" customHeight="1">
      <c r="A4988" s="1">
        <v>5359.0</v>
      </c>
      <c r="B4988" s="3" t="s">
        <v>4844</v>
      </c>
      <c r="C4988" s="3" t="str">
        <f>IFERROR(__xludf.DUMMYFUNCTION("GOOGLETRANSLATE(B4988,""id"",""en"")"),"['kaka', 'please', 'noticed', 'home', 'sleman', 'sub-district', 'gamping', 'area', 'signal', 'stable', 'really', '']")</f>
        <v>['kaka', 'please', 'noticed', 'home', 'sleman', 'sub-district', 'gamping', 'area', 'signal', 'stable', 'really', '']</v>
      </c>
      <c r="D4988" s="3">
        <v>1.0</v>
      </c>
    </row>
    <row r="4989" ht="15.75" customHeight="1">
      <c r="A4989" s="1">
        <v>5360.0</v>
      </c>
      <c r="B4989" s="3" t="s">
        <v>4845</v>
      </c>
      <c r="C4989" s="3" t="str">
        <f>IFERROR(__xludf.DUMMYFUNCTION("GOOGLETRANSLATE(B4989,""id"",""en"")"),"['Network', 'full', 'signal', 'ugly', 'ngelek', 'loading', 'mulu', 'severe', 'Telkomsel', 'moved', 'provider', 'ajja', ' It's better ',' recommendation ',' deh ',' ']")</f>
        <v>['Network', 'full', 'signal', 'ugly', 'ngelek', 'loading', 'mulu', 'severe', 'Telkomsel', 'moved', 'provider', 'ajja', ' It's better ',' recommendation ',' deh ',' ']</v>
      </c>
      <c r="D4989" s="3">
        <v>1.0</v>
      </c>
    </row>
    <row r="4990" ht="15.75" customHeight="1">
      <c r="A4990" s="1">
        <v>5361.0</v>
      </c>
      <c r="B4990" s="3" t="s">
        <v>4846</v>
      </c>
      <c r="C4990" s="3" t="str">
        <f>IFERROR(__xludf.DUMMYFUNCTION("GOOGLETRANSLATE(B4990,""id"",""en"")"),"['Buy', 'Package', 'YouTube', 'Unlimited', 'Quota', 'Main', 'Reduced', 'Watch', 'YouTube', 'Ribet', 'Twitter', 'essence', ' buy ',' quota ',' unlimited ',' youtube ',' used ',' quota ',' main ',' drained ',' disappointed ',' make ',' Telkomsel ',' gaperna"&amp;"h ',' right ' ]")</f>
        <v>['Buy', 'Package', 'YouTube', 'Unlimited', 'Quota', 'Main', 'Reduced', 'Watch', 'YouTube', 'Ribet', 'Twitter', 'essence', ' buy ',' quota ',' unlimited ',' youtube ',' used ',' quota ',' main ',' drained ',' disappointed ',' make ',' Telkomsel ',' gapernah ',' right ' ]</v>
      </c>
      <c r="D4990" s="3">
        <v>1.0</v>
      </c>
    </row>
    <row r="4991" ht="15.75" customHeight="1">
      <c r="A4991" s="1">
        <v>5362.0</v>
      </c>
      <c r="B4991" s="3" t="s">
        <v>4847</v>
      </c>
      <c r="C4991" s="3" t="str">
        <f>IFERROR(__xludf.DUMMYFUNCTION("GOOGLETRANSLATE(B4991,""id"",""en"")"),"['hope', 'best']")</f>
        <v>['hope', 'best']</v>
      </c>
      <c r="D4991" s="3">
        <v>5.0</v>
      </c>
    </row>
    <row r="4992" ht="15.75" customHeight="1">
      <c r="A4992" s="1">
        <v>5363.0</v>
      </c>
      <c r="B4992" s="3" t="s">
        <v>4848</v>
      </c>
      <c r="C4992" s="3" t="str">
        <f>IFERROR(__xludf.DUMMYFUNCTION("GOOGLETRANSLATE(B4992,""id"",""en"")"),"['Difficult', 'Contact', 'Customer', 'servicenya']")</f>
        <v>['Difficult', 'Contact', 'Customer', 'servicenya']</v>
      </c>
      <c r="D4992" s="3">
        <v>2.0</v>
      </c>
    </row>
    <row r="4993" ht="15.75" customHeight="1">
      <c r="A4993" s="1">
        <v>5364.0</v>
      </c>
      <c r="B4993" s="3" t="s">
        <v>35</v>
      </c>
      <c r="C4993" s="3" t="str">
        <f>IFERROR(__xludf.DUMMYFUNCTION("GOOGLETRANSLATE(B4993,""id"",""en"")"),"['Increase', 'Network']")</f>
        <v>['Increase', 'Network']</v>
      </c>
      <c r="D4993" s="3">
        <v>5.0</v>
      </c>
    </row>
    <row r="4994" ht="15.75" customHeight="1">
      <c r="A4994" s="1">
        <v>5365.0</v>
      </c>
      <c r="B4994" s="3" t="s">
        <v>4849</v>
      </c>
      <c r="C4994" s="3" t="str">
        <f>IFERROR(__xludf.DUMMYFUNCTION("GOOGLETRANSLATE(B4994,""id"",""en"")"),"['Widih', 'APK', 'Good', 'really', '']")</f>
        <v>['Widih', 'APK', 'Good', 'really', '']</v>
      </c>
      <c r="D4994" s="3">
        <v>5.0</v>
      </c>
    </row>
    <row r="4995" ht="15.75" customHeight="1">
      <c r="A4995" s="1">
        <v>5366.0</v>
      </c>
      <c r="B4995" s="3" t="s">
        <v>4850</v>
      </c>
      <c r="C4995" s="3" t="str">
        <f>IFERROR(__xludf.DUMMYFUNCTION("GOOGLETRANSLATE(B4995,""id"",""en"")"),"['Good', 'multiply', 'discount']")</f>
        <v>['Good', 'multiply', 'discount']</v>
      </c>
      <c r="D4995" s="3">
        <v>5.0</v>
      </c>
    </row>
    <row r="4996" ht="15.75" customHeight="1">
      <c r="A4996" s="1">
        <v>5367.0</v>
      </c>
      <c r="B4996" s="3" t="s">
        <v>4851</v>
      </c>
      <c r="C4996" s="3" t="str">
        <f>IFERROR(__xludf.DUMMYFUNCTION("GOOGLETRANSLATE(B4996,""id"",""en"")"),"['apikkrikiki', 'heavy', 'eat', 'qwota', 'internet', 'gag', 'stable']")</f>
        <v>['apikkrikiki', 'heavy', 'eat', 'qwota', 'internet', 'gag', 'stable']</v>
      </c>
      <c r="D4996" s="3">
        <v>1.0</v>
      </c>
    </row>
    <row r="4997" ht="15.75" customHeight="1">
      <c r="A4997" s="1">
        <v>5368.0</v>
      </c>
      <c r="B4997" s="3" t="s">
        <v>4852</v>
      </c>
      <c r="C4997" s="3" t="str">
        <f>IFERROR(__xludf.DUMMYFUNCTION("GOOGLETRANSLATE(B4997,""id"",""en"")"),"['Good', 'fill in', 'quota', 'cheap']")</f>
        <v>['Good', 'fill in', 'quota', 'cheap']</v>
      </c>
      <c r="D4997" s="3">
        <v>5.0</v>
      </c>
    </row>
    <row r="4998" ht="15.75" customHeight="1">
      <c r="A4998" s="1">
        <v>5369.0</v>
      </c>
      <c r="B4998" s="3" t="s">
        <v>4853</v>
      </c>
      <c r="C4998" s="3" t="str">
        <f>IFERROR(__xludf.DUMMYFUNCTION("GOOGLETRANSLATE(B4998,""id"",""en"")"),"['Help', 'in', 'shopping', 'bother', 'lgi', 'accommodation']")</f>
        <v>['Help', 'in', 'shopping', 'bother', 'lgi', 'accommodation']</v>
      </c>
      <c r="D4998" s="3">
        <v>5.0</v>
      </c>
    </row>
    <row r="4999" ht="15.75" customHeight="1">
      <c r="A4999" s="1">
        <v>5371.0</v>
      </c>
      <c r="B4999" s="3" t="s">
        <v>4854</v>
      </c>
      <c r="C4999" s="3" t="str">
        <f>IFERROR(__xludf.DUMMYFUNCTION("GOOGLETRANSLATE(B4999,""id"",""en"")"),"['It's easy', 'activate', 'Package']")</f>
        <v>['It's easy', 'activate', 'Package']</v>
      </c>
      <c r="D4999" s="3">
        <v>5.0</v>
      </c>
    </row>
    <row r="5000" ht="15.75" customHeight="1">
      <c r="A5000" s="1">
        <v>5372.0</v>
      </c>
      <c r="B5000" s="3" t="s">
        <v>4855</v>
      </c>
      <c r="C5000" s="3" t="str">
        <f>IFERROR(__xludf.DUMMYFUNCTION("GOOGLETRANSLATE(B5000,""id"",""en"")"),"['Telkomsel', 'Install', 'Google', 'Pixel', '']")</f>
        <v>['Telkomsel', 'Install', 'Google', 'Pixel', '']</v>
      </c>
      <c r="D5000" s="3">
        <v>3.0</v>
      </c>
    </row>
    <row r="5001" ht="15.75" customHeight="1">
      <c r="A5001" s="1">
        <v>5373.0</v>
      </c>
      <c r="B5001" s="3" t="s">
        <v>4856</v>
      </c>
      <c r="C5001" s="3" t="str">
        <f>IFERROR(__xludf.DUMMYFUNCTION("GOOGLETRANSLATE(B5001,""id"",""en"")"),"['Disappointed', 'The application', 'pulses', 'ilang']")</f>
        <v>['Disappointed', 'The application', 'pulses', 'ilang']</v>
      </c>
      <c r="D5001" s="3">
        <v>5.0</v>
      </c>
    </row>
    <row r="5002" ht="15.75" customHeight="1">
      <c r="A5002" s="1">
        <v>5374.0</v>
      </c>
      <c r="B5002" s="3" t="s">
        <v>4857</v>
      </c>
      <c r="C5002" s="3" t="str">
        <f>IFERROR(__xludf.DUMMYFUNCTION("GOOGLETRANSLATE(B5002,""id"",""en"")"),"['admit', 'Telkomsel', 'provider', 'best', 'Indonesia', 'best', 'in the area', 'stay', 'his economy', 'below', 'price', 'package', ' Offered ',' Remieved ',' expensive ',' quota ',' price ',' package ',' cheap ',' in line ',' UUD ',' educational ',' life "&amp;"',' nation ',' thank you ' , '']")</f>
        <v>['admit', 'Telkomsel', 'provider', 'best', 'Indonesia', 'best', 'in the area', 'stay', 'his economy', 'below', 'price', 'package', ' Offered ',' Remieved ',' expensive ',' quota ',' price ',' package ',' cheap ',' in line ',' UUD ',' educational ',' life ',' nation ',' thank you ' , '']</v>
      </c>
      <c r="D5002" s="3">
        <v>1.0</v>
      </c>
    </row>
    <row r="5003" ht="15.75" customHeight="1">
      <c r="A5003" s="1">
        <v>5375.0</v>
      </c>
      <c r="B5003" s="3" t="s">
        <v>4858</v>
      </c>
      <c r="C5003" s="3" t="str">
        <f>IFERROR(__xludf.DUMMYFUNCTION("GOOGLETRANSLATE(B5003,""id"",""en"")"),"['UDH', 'expensive', 'contents', 'package', 'difficult', 'Telkomsel']")</f>
        <v>['UDH', 'expensive', 'contents', 'package', 'difficult', 'Telkomsel']</v>
      </c>
      <c r="D5003" s="3">
        <v>1.0</v>
      </c>
    </row>
    <row r="5004" ht="15.75" customHeight="1">
      <c r="A5004" s="1">
        <v>5376.0</v>
      </c>
      <c r="B5004" s="3" t="s">
        <v>4859</v>
      </c>
      <c r="C5004" s="3" t="str">
        <f>IFERROR(__xludf.DUMMYFUNCTION("GOOGLETRANSLATE(B5004,""id"",""en"")"),"['Meng', 'Ryesel', ""]")</f>
        <v>['Meng', 'Ryesel', "]</v>
      </c>
      <c r="D5004" s="3">
        <v>1.0</v>
      </c>
    </row>
    <row r="5005" ht="15.75" customHeight="1">
      <c r="A5005" s="1">
        <v>5377.0</v>
      </c>
      <c r="B5005" s="3" t="s">
        <v>4860</v>
      </c>
      <c r="C5005" s="3" t="str">
        <f>IFERROR(__xludf.DUMMYFUNCTION("GOOGLETRANSLATE(B5005,""id"",""en"")"),"['Dibldin', 'Pakek', 'Telkomsel', 'loss',' already ',' buy ',' quota ',' expensive ',' slow ',' bngeeeeettttttt ',' please ',' seam ',' the reor ',' fact ']")</f>
        <v>['Dibldin', 'Pakek', 'Telkomsel', 'loss',' already ',' buy ',' quota ',' expensive ',' slow ',' bngeeeeettttttt ',' please ',' seam ',' the reor ',' fact ']</v>
      </c>
      <c r="D5005" s="3">
        <v>1.0</v>
      </c>
    </row>
    <row r="5006" ht="15.75" customHeight="1">
      <c r="A5006" s="1">
        <v>5378.0</v>
      </c>
      <c r="B5006" s="3" t="s">
        <v>4861</v>
      </c>
      <c r="C5006" s="3" t="str">
        <f>IFERROR(__xludf.DUMMYFUNCTION("GOOGLETRANSLATE(B5006,""id"",""en"")"),"['network', 'Telkomsel', 'location', 'sometimes', 'sometimes', 'bad', '']")</f>
        <v>['network', 'Telkomsel', 'location', 'sometimes', 'sometimes', 'bad', '']</v>
      </c>
      <c r="D5006" s="3">
        <v>2.0</v>
      </c>
    </row>
    <row r="5007" ht="15.75" customHeight="1">
      <c r="A5007" s="1">
        <v>5379.0</v>
      </c>
      <c r="B5007" s="3" t="s">
        <v>4862</v>
      </c>
      <c r="C5007" s="3" t="str">
        <f>IFERROR(__xludf.DUMMYFUNCTION("GOOGLETRANSLATE(B5007,""id"",""en"")"),"['here', 'Telkomsel', 'package', 'data', 'expensive', 'signal', 'bad', 'area', 'Java', 'east', 'district', 'Blitar', ' Area ',' village ',' please ',' fix ',' user ',' happy ',' quality ',' signal ',' please ',' really ',' ']")</f>
        <v>['here', 'Telkomsel', 'package', 'data', 'expensive', 'signal', 'bad', 'area', 'Java', 'east', 'district', 'Blitar', ' Area ',' village ',' please ',' fix ',' user ',' happy ',' quality ',' signal ',' please ',' really ',' ']</v>
      </c>
      <c r="D5007" s="3">
        <v>1.0</v>
      </c>
    </row>
    <row r="5008" ht="15.75" customHeight="1">
      <c r="A5008" s="1">
        <v>5380.0</v>
      </c>
      <c r="B5008" s="3" t="s">
        <v>4863</v>
      </c>
      <c r="C5008" s="3" t="str">
        <f>IFERROR(__xludf.DUMMYFUNCTION("GOOGLETRANSLATE(B5008,""id"",""en"")"),"['Good', 'help', 'network', 'Telkomsel', 'really', 'threat', 'no', 'open', 'internet']")</f>
        <v>['Good', 'help', 'network', 'Telkomsel', 'really', 'threat', 'no', 'open', 'internet']</v>
      </c>
      <c r="D5008" s="3">
        <v>5.0</v>
      </c>
    </row>
    <row r="5009" ht="15.75" customHeight="1">
      <c r="A5009" s="1">
        <v>5382.0</v>
      </c>
      <c r="B5009" s="3" t="s">
        <v>4864</v>
      </c>
      <c r="C5009" s="3" t="str">
        <f>IFERROR(__xludf.DUMMYFUNCTION("GOOGLETRANSLATE(B5009,""id"",""en"")"),"['ugly', 'signal', 'full', 'network', 'ugly', 'gini', 'already', 'buy', 'package', 'expensive', 'village', 'signal', ' Good ',' City ',' Good ',' Disappointed ']")</f>
        <v>['ugly', 'signal', 'full', 'network', 'ugly', 'gini', 'already', 'buy', 'package', 'expensive', 'village', 'signal', ' Good ',' City ',' Good ',' Disappointed ']</v>
      </c>
      <c r="D5009" s="3">
        <v>1.0</v>
      </c>
    </row>
    <row r="5010" ht="15.75" customHeight="1">
      <c r="A5010" s="1">
        <v>5383.0</v>
      </c>
      <c r="B5010" s="3" t="s">
        <v>4865</v>
      </c>
      <c r="C5010" s="3" t="str">
        <f>IFERROR(__xludf.DUMMYFUNCTION("GOOGLETRANSLATE(B5010,""id"",""en"")"),"['Package', 'SOSMED', 'Wear', 'quota', 'main', 'loss', 'Please']")</f>
        <v>['Package', 'SOSMED', 'Wear', 'quota', 'main', 'loss', 'Please']</v>
      </c>
      <c r="D5010" s="3">
        <v>3.0</v>
      </c>
    </row>
    <row r="5011" ht="15.75" customHeight="1">
      <c r="A5011" s="1">
        <v>5384.0</v>
      </c>
      <c r="B5011" s="3" t="s">
        <v>4866</v>
      </c>
      <c r="C5011" s="3" t="str">
        <f>IFERROR(__xludf.DUMMYFUNCTION("GOOGLETRANSLATE(B5011,""id"",""en"")"),"['buy', 'quota', 'GB', 'GB', 'unlimited', 'GB', 'run out', 'network', 'slow', 'at home', 'signal', 'full', ' ']")</f>
        <v>['buy', 'quota', 'GB', 'GB', 'unlimited', 'GB', 'run out', 'network', 'slow', 'at home', 'signal', 'full', ' ']</v>
      </c>
      <c r="D5011" s="3">
        <v>1.0</v>
      </c>
    </row>
    <row r="5012" ht="15.75" customHeight="1">
      <c r="A5012" s="1">
        <v>5385.0</v>
      </c>
      <c r="B5012" s="3" t="s">
        <v>4867</v>
      </c>
      <c r="C5012" s="3" t="str">
        <f>IFERROR(__xludf.DUMMYFUNCTION("GOOGLETRANSLATE(B5012,""id"",""en"")"),"['Good', 'application', 'easy', 'check', 'contents', 'pulza']")</f>
        <v>['Good', 'application', 'easy', 'check', 'contents', 'pulza']</v>
      </c>
      <c r="D5012" s="3">
        <v>5.0</v>
      </c>
    </row>
    <row r="5013" ht="15.75" customHeight="1">
      <c r="A5013" s="1">
        <v>5387.0</v>
      </c>
      <c r="B5013" s="3" t="s">
        <v>4868</v>
      </c>
      <c r="C5013" s="3" t="str">
        <f>IFERROR(__xludf.DUMMYFUNCTION("GOOGLETRANSLATE(B5013,""id"",""en"")"),"['Helpful', 'Easy', 'Understanding', 'People', 'Lay', ""]")</f>
        <v>['Helpful', 'Easy', 'Understanding', 'People', 'Lay', "]</v>
      </c>
      <c r="D5013" s="3">
        <v>5.0</v>
      </c>
    </row>
    <row r="5014" ht="15.75" customHeight="1">
      <c r="A5014" s="1">
        <v>5388.0</v>
      </c>
      <c r="B5014" s="3" t="s">
        <v>4869</v>
      </c>
      <c r="C5014" s="3" t="str">
        <f>IFERROR(__xludf.DUMMYFUNCTION("GOOGLETRANSLATE(B5014,""id"",""en"")"),"['TH', 'Telkomsel', 'times', 'backward', 'Bener', 'Gedek', 'The network', ""]")</f>
        <v>['TH', 'Telkomsel', 'times', 'backward', 'Bener', 'Gedek', 'The network', "]</v>
      </c>
      <c r="D5014" s="3">
        <v>1.0</v>
      </c>
    </row>
    <row r="5015" ht="15.75" customHeight="1">
      <c r="A5015" s="1">
        <v>5389.0</v>
      </c>
      <c r="B5015" s="3" t="s">
        <v>4870</v>
      </c>
      <c r="C5015" s="3" t="str">
        <f>IFERROR(__xludf.DUMMYFUNCTION("GOOGLETRANSLATE(B5015,""id"",""en"")"),"['Sorry', 'love', 'star', 'as',' consumer ',' breed ',' bnding ',' provider ',' mnrt ',' price ',' package ',' above ',' Indo ',' Sayang ',' Speed ​​',' internet ',' Under ',' Indo ', ""]")</f>
        <v>['Sorry', 'love', 'star', 'as',' consumer ',' breed ',' bnding ',' provider ',' mnrt ',' price ',' package ',' above ',' Indo ',' Sayang ',' Speed ​​',' internet ',' Under ',' Indo ', "]</v>
      </c>
      <c r="D5015" s="3">
        <v>2.0</v>
      </c>
    </row>
    <row r="5016" ht="15.75" customHeight="1">
      <c r="A5016" s="1">
        <v>5390.0</v>
      </c>
      <c r="B5016" s="3" t="s">
        <v>4871</v>
      </c>
      <c r="C5016" s="3" t="str">
        <f>IFERROR(__xludf.DUMMYFUNCTION("GOOGLETRANSLATE(B5016,""id"",""en"")"),"['Application', 'Worst', 'History', 'Credit', 'Lost', ""]")</f>
        <v>['Application', 'Worst', 'History', 'Credit', 'Lost', "]</v>
      </c>
      <c r="D5016" s="3">
        <v>1.0</v>
      </c>
    </row>
    <row r="5017" ht="15.75" customHeight="1">
      <c r="A5017" s="1">
        <v>5391.0</v>
      </c>
      <c r="B5017" s="3" t="s">
        <v>843</v>
      </c>
      <c r="C5017" s="3" t="str">
        <f>IFERROR(__xludf.DUMMYFUNCTION("GOOGLETRANSLATE(B5017,""id"",""en"")"),"['Help', 'Good']")</f>
        <v>['Help', 'Good']</v>
      </c>
      <c r="D5017" s="3">
        <v>4.0</v>
      </c>
    </row>
    <row r="5018" ht="15.75" customHeight="1">
      <c r="A5018" s="1">
        <v>5392.0</v>
      </c>
      <c r="B5018" s="3" t="s">
        <v>4872</v>
      </c>
      <c r="C5018" s="3" t="str">
        <f>IFERROR(__xludf.DUMMYFUNCTION("GOOGLETRANSLATE(B5018,""id"",""en"")"),"['Please', 'Island', 'Java', 'Special', 'Island', 'Sumatra', 'Network', 'Telkomsel', 'Fix', 'take', 'Fortunately', 'Prove', ' Kalaw ',' Network ',' Telkomsel ',' Best ']")</f>
        <v>['Please', 'Island', 'Java', 'Special', 'Island', 'Sumatra', 'Network', 'Telkomsel', 'Fix', 'take', 'Fortunately', 'Prove', ' Kalaw ',' Network ',' Telkomsel ',' Best ']</v>
      </c>
      <c r="D5018" s="3">
        <v>1.0</v>
      </c>
    </row>
    <row r="5019" ht="15.75" customHeight="1">
      <c r="A5019" s="1">
        <v>5394.0</v>
      </c>
      <c r="B5019" s="3" t="s">
        <v>4873</v>
      </c>
      <c r="C5019" s="3" t="str">
        <f>IFERROR(__xludf.DUMMYFUNCTION("GOOGLETRANSLATE(B5019,""id"",""en"")"),"['', '']")</f>
        <v>['', '']</v>
      </c>
      <c r="D5019" s="3">
        <v>5.0</v>
      </c>
    </row>
    <row r="5020" ht="15.75" customHeight="1">
      <c r="A5020" s="1">
        <v>5395.0</v>
      </c>
      <c r="B5020" s="3" t="s">
        <v>4874</v>
      </c>
      <c r="C5020" s="3" t="str">
        <f>IFERROR(__xludf.DUMMYFUNCTION("GOOGLETRANSLATE(B5020,""id"",""en"")"),"['Package', 'Game', 'max', 'like', 'cheap']")</f>
        <v>['Package', 'Game', 'max', 'like', 'cheap']</v>
      </c>
      <c r="D5020" s="3">
        <v>5.0</v>
      </c>
    </row>
    <row r="5021" ht="15.75" customHeight="1">
      <c r="A5021" s="1">
        <v>5396.0</v>
      </c>
      <c r="B5021" s="3" t="s">
        <v>4875</v>
      </c>
      <c r="C5021" s="3" t="str">
        <f>IFERROR(__xludf.DUMMYFUNCTION("GOOGLETRANSLATE(B5021,""id"",""en"")"),"['package', 'doang', 'expensive', 'network', 'muter', 'mulu']")</f>
        <v>['package', 'doang', 'expensive', 'network', 'muter', 'mulu']</v>
      </c>
      <c r="D5021" s="3">
        <v>1.0</v>
      </c>
    </row>
    <row r="5022" ht="15.75" customHeight="1">
      <c r="A5022" s="1">
        <v>5397.0</v>
      </c>
      <c r="B5022" s="3" t="s">
        <v>4876</v>
      </c>
      <c r="C5022" s="3" t="str">
        <f>IFERROR(__xludf.DUMMYFUNCTION("GOOGLETRANSLATE(B5022,""id"",""en"")"),"['Network', 'Telkomsel', 'rotten', 'City', 'Gede']")</f>
        <v>['Network', 'Telkomsel', 'rotten', 'City', 'Gede']</v>
      </c>
      <c r="D5022" s="3">
        <v>1.0</v>
      </c>
    </row>
    <row r="5023" ht="15.75" customHeight="1">
      <c r="A5023" s="1">
        <v>5398.0</v>
      </c>
      <c r="B5023" s="3" t="s">
        <v>4877</v>
      </c>
      <c r="C5023" s="3" t="str">
        <f>IFERROR(__xludf.DUMMYFUNCTION("GOOGLETRANSLATE(B5023,""id"",""en"")"),"['Loading', 'like', 'difficult', 'NOT', 'Network', 'stable', 'Season', ""]")</f>
        <v>['Loading', 'like', 'difficult', 'NOT', 'Network', 'stable', 'Season', "]</v>
      </c>
      <c r="D5023" s="3">
        <v>4.0</v>
      </c>
    </row>
    <row r="5024" ht="15.75" customHeight="1">
      <c r="A5024" s="1">
        <v>5399.0</v>
      </c>
      <c r="B5024" s="3" t="s">
        <v>4878</v>
      </c>
      <c r="C5024" s="3" t="str">
        <f>IFERROR(__xludf.DUMMYFUNCTION("GOOGLETRANSLATE(B5024,""id"",""en"")"),"['Please', 'pulse', 'thin', 'love', 'promo', 'jagan', 'expensive', 'expensive']")</f>
        <v>['Please', 'pulse', 'thin', 'love', 'promo', 'jagan', 'expensive', 'expensive']</v>
      </c>
      <c r="D5024" s="3">
        <v>1.0</v>
      </c>
    </row>
    <row r="5025" ht="15.75" customHeight="1">
      <c r="A5025" s="1">
        <v>5400.0</v>
      </c>
      <c r="B5025" s="3" t="s">
        <v>4879</v>
      </c>
      <c r="C5025" s="3" t="str">
        <f>IFERROR(__xludf.DUMMYFUNCTION("GOOGLETRANSLATE(B5025,""id"",""en"")"),"['Quality', 'Signal', 'Hand', 'Forest']")</f>
        <v>['Quality', 'Signal', 'Hand', 'Forest']</v>
      </c>
      <c r="D5025" s="3">
        <v>5.0</v>
      </c>
    </row>
    <row r="5026" ht="15.75" customHeight="1">
      <c r="A5026" s="1">
        <v>5401.0</v>
      </c>
      <c r="B5026" s="3" t="s">
        <v>4880</v>
      </c>
      <c r="C5026" s="3" t="str">
        <f>IFERROR(__xludf.DUMMYFUNCTION("GOOGLETRANSLATE(B5026,""id"",""en"")"),"['Hallo', 'Telkomsel', 'story', 'borrow', 'package', 'emergency', 'price', 'then', 'yesterday', 'fill', 'pulse', 'pulses',' Increased ',' pay off ',' debt ',' purchase ',' pulse ',' pulse ',' take ',' pay off ',' debt ',' experience ',' loss', 'Please', '"&amp;"Return' , 'Min', '']")</f>
        <v>['Hallo', 'Telkomsel', 'story', 'borrow', 'package', 'emergency', 'price', 'then', 'yesterday', 'fill', 'pulse', 'pulses',' Increased ',' pay off ',' debt ',' purchase ',' pulse ',' pulse ',' take ',' pay off ',' debt ',' experience ',' loss', 'Please', 'Return' , 'Min', '']</v>
      </c>
      <c r="D5026" s="3">
        <v>1.0</v>
      </c>
    </row>
    <row r="5027" ht="15.75" customHeight="1">
      <c r="A5027" s="1">
        <v>5402.0</v>
      </c>
      <c r="B5027" s="3" t="s">
        <v>4881</v>
      </c>
      <c r="C5027" s="3" t="str">
        <f>IFERROR(__xludf.DUMMYFUNCTION("GOOGLETRANSLATE(B5027,""id"",""en"")"),"['How great', 'Your name', 'provider', 'famous',' Earth ',' Sang ',' Telkomsel ',' many years', 'my loyalty', 'You', 'quality', ' poured out ',' robot ',' veronica ',' loyal ',' listen ',' direction ',' in line ',' thankful ',' spoken ',' deepest ',' acco"&amp;"mpanied ',' package ',' data ' , 'Nothing', 'balance', 'bandrol', 'printed', 'quota', 'pride', 'my wallet', 'sadness',' indicator ',' smartphonke ',' greetings', 'bar', ' Indicator ',' Sometimes']")</f>
        <v>['How great', 'Your name', 'provider', 'famous',' Earth ',' Sang ',' Telkomsel ',' many years', 'my loyalty', 'You', 'quality', ' poured out ',' robot ',' veronica ',' loyal ',' listen ',' direction ',' in line ',' thankful ',' spoken ',' deepest ',' accompanied ',' package ',' data ' , 'Nothing', 'balance', 'bandrol', 'printed', 'quota', 'pride', 'my wallet', 'sadness',' indicator ',' smartphonke ',' greetings', 'bar', ' Indicator ',' Sometimes']</v>
      </c>
      <c r="D5027" s="3">
        <v>2.0</v>
      </c>
    </row>
    <row r="5028" ht="15.75" customHeight="1">
      <c r="A5028" s="1">
        <v>5403.0</v>
      </c>
      <c r="B5028" s="3" t="s">
        <v>4882</v>
      </c>
      <c r="C5028" s="3" t="str">
        <f>IFERROR(__xludf.DUMMYFUNCTION("GOOGLETRANSLATE(B5028,""id"",""en"")"),"['Lower', 'price', 'package']")</f>
        <v>['Lower', 'price', 'package']</v>
      </c>
      <c r="D5028" s="3">
        <v>5.0</v>
      </c>
    </row>
    <row r="5029" ht="15.75" customHeight="1">
      <c r="A5029" s="1">
        <v>5404.0</v>
      </c>
      <c r="B5029" s="3" t="s">
        <v>4883</v>
      </c>
      <c r="C5029" s="3" t="str">
        <f>IFERROR(__xludf.DUMMYFUNCTION("GOOGLETRANSLATE(B5029,""id"",""en"")"),"['Please', 'signal', 'fix']")</f>
        <v>['Please', 'signal', 'fix']</v>
      </c>
      <c r="D5029" s="3">
        <v>5.0</v>
      </c>
    </row>
    <row r="5030" ht="15.75" customHeight="1">
      <c r="A5030" s="1">
        <v>5405.0</v>
      </c>
      <c r="B5030" s="3" t="s">
        <v>4884</v>
      </c>
      <c r="C5030" s="3" t="str">
        <f>IFERROR(__xludf.DUMMYFUNCTION("GOOGLETRANSLATE(B5030,""id"",""en"")"),"['Paketan', 'expensive']")</f>
        <v>['Paketan', 'expensive']</v>
      </c>
      <c r="D5030" s="3">
        <v>3.0</v>
      </c>
    </row>
    <row r="5031" ht="15.75" customHeight="1">
      <c r="A5031" s="1">
        <v>5406.0</v>
      </c>
      <c r="B5031" s="3" t="s">
        <v>4885</v>
      </c>
      <c r="C5031" s="3" t="str">
        <f>IFERROR(__xludf.DUMMYFUNCTION("GOOGLETRANSLATE(B5031,""id"",""en"")"),"['Jangam', 'raise', 'price']")</f>
        <v>['Jangam', 'raise', 'price']</v>
      </c>
      <c r="D5031" s="3">
        <v>5.0</v>
      </c>
    </row>
    <row r="5032" ht="15.75" customHeight="1">
      <c r="A5032" s="1">
        <v>5407.0</v>
      </c>
      <c r="B5032" s="3" t="s">
        <v>4886</v>
      </c>
      <c r="C5032" s="3" t="str">
        <f>IFERROR(__xludf.DUMMYFUNCTION("GOOGLETRANSLATE(B5032,""id"",""en"")"),"['sekrang', 'signal', 'at home', 'mengelek', 'pdahal', 'mah', 'kaga', 'named', 'mengelek', 'please', 'donk', 'right', ' BTW ',' home ',' Tangerang ',' South ',' Buaran ',' beautiful ',' ']")</f>
        <v>['sekrang', 'signal', 'at home', 'mengelek', 'pdahal', 'mah', 'kaga', 'named', 'mengelek', 'please', 'donk', 'right', ' BTW ',' home ',' Tangerang ',' South ',' Buaran ',' beautiful ',' ']</v>
      </c>
      <c r="D5032" s="3">
        <v>1.0</v>
      </c>
    </row>
    <row r="5033" ht="15.75" customHeight="1">
      <c r="A5033" s="1">
        <v>5408.0</v>
      </c>
      <c r="B5033" s="3" t="s">
        <v>4887</v>
      </c>
      <c r="C5033" s="3" t="str">
        <f>IFERROR(__xludf.DUMMYFUNCTION("GOOGLETRANSLATE(B5033,""id"",""en"")"),"['Sushes', 'Bngett', 'Tlkom', ""]")</f>
        <v>['Sushes', 'Bngett', 'Tlkom', "]</v>
      </c>
      <c r="D5033" s="3">
        <v>5.0</v>
      </c>
    </row>
    <row r="5034" ht="15.75" customHeight="1">
      <c r="A5034" s="1">
        <v>5409.0</v>
      </c>
      <c r="B5034" s="3" t="s">
        <v>4888</v>
      </c>
      <c r="C5034" s="3" t="str">
        <f>IFERROR(__xludf.DUMMYFUNCTION("GOOGLETRANSLATE(B5034,""id"",""en"")"),"['Please', 'product', 'package', 'internet', 'perman']")</f>
        <v>['Please', 'product', 'package', 'internet', 'perman']</v>
      </c>
      <c r="D5034" s="3">
        <v>3.0</v>
      </c>
    </row>
    <row r="5035" ht="15.75" customHeight="1">
      <c r="A5035" s="1">
        <v>5410.0</v>
      </c>
      <c r="B5035" s="3" t="s">
        <v>4889</v>
      </c>
      <c r="C5035" s="3" t="str">
        <f>IFERROR(__xludf.DUMMYFUNCTION("GOOGLETRANSLATE(B5035,""id"",""en"")"),"['application', 'useful', 'really', 'deh', 'brp', 'contents', 'pulse', '']")</f>
        <v>['application', 'useful', 'really', 'deh', 'brp', 'contents', 'pulse', '']</v>
      </c>
      <c r="D5035" s="3">
        <v>5.0</v>
      </c>
    </row>
    <row r="5036" ht="15.75" customHeight="1">
      <c r="A5036" s="1">
        <v>5411.0</v>
      </c>
      <c r="B5036" s="3" t="s">
        <v>4063</v>
      </c>
      <c r="C5036" s="3" t="str">
        <f>IFERROR(__xludf.DUMMYFUNCTION("GOOGLETRANSLATE(B5036,""id"",""en"")"),"['expensive', 'signal', 'lost']")</f>
        <v>['expensive', 'signal', 'lost']</v>
      </c>
      <c r="D5036" s="3">
        <v>1.0</v>
      </c>
    </row>
    <row r="5037" ht="15.75" customHeight="1">
      <c r="A5037" s="1">
        <v>5412.0</v>
      </c>
      <c r="B5037" s="3" t="s">
        <v>4890</v>
      </c>
      <c r="C5037" s="3" t="str">
        <f>IFERROR(__xludf.DUMMYFUNCTION("GOOGLETRANSLATE(B5037,""id"",""en"")"),"['', 'Just', 'just', 'orientation', 'Sales', 'Marketing', 'Tsel', 'promo', 'price', 'open', 'price', 'it was', 'lies' ',' intentional ',' ']")</f>
        <v>['', 'Just', 'just', 'orientation', 'Sales', 'Marketing', 'Tsel', 'promo', 'price', 'open', 'price', 'it was', 'lies' ',' intentional ',' ']</v>
      </c>
      <c r="D5037" s="3">
        <v>4.0</v>
      </c>
    </row>
    <row r="5038" ht="15.75" customHeight="1">
      <c r="A5038" s="1">
        <v>5413.0</v>
      </c>
      <c r="B5038" s="3" t="s">
        <v>4891</v>
      </c>
      <c r="C5038" s="3" t="str">
        <f>IFERROR(__xludf.DUMMYFUNCTION("GOOGLETRANSLATE(B5038,""id"",""en"")"),"['application', 'the latest', 'heavy', 'slow', 'network', 'Telkomsel', 'Java', 'slow', ""]")</f>
        <v>['application', 'the latest', 'heavy', 'slow', 'network', 'Telkomsel', 'Java', 'slow', "]</v>
      </c>
      <c r="D5038" s="3">
        <v>2.0</v>
      </c>
    </row>
    <row r="5039" ht="15.75" customHeight="1">
      <c r="A5039" s="1">
        <v>5414.0</v>
      </c>
      <c r="B5039" s="3" t="s">
        <v>4892</v>
      </c>
      <c r="C5039" s="3" t="str">
        <f>IFERROR(__xludf.DUMMYFUNCTION("GOOGLETRANSLATE(B5039,""id"",""en"")"),"['price', 'quality', 'according to', 'here', 'severe']")</f>
        <v>['price', 'quality', 'according to', 'here', 'severe']</v>
      </c>
      <c r="D5039" s="3">
        <v>1.0</v>
      </c>
    </row>
    <row r="5040" ht="15.75" customHeight="1">
      <c r="A5040" s="1">
        <v>5415.0</v>
      </c>
      <c r="B5040" s="3" t="s">
        <v>4893</v>
      </c>
      <c r="C5040" s="3" t="str">
        <f>IFERROR(__xludf.DUMMYFUNCTION("GOOGLETRANSLATE(B5040,""id"",""en"")"),"['Provider', 'Indonesia', 'Telkomsel', 'Bedain', 'Package', 'Internet', 'Package', 'Multimedia', 'WKWKWKWKWK', 'Package', 'YouTube', 'Eat', ' Internet ',' Package ',' YouTubenya ',' cool ',' Ayem ',' wkwkwkwkwk ',' stupid ',' System ']")</f>
        <v>['Provider', 'Indonesia', 'Telkomsel', 'Bedain', 'Package', 'Internet', 'Package', 'Multimedia', 'WKWKWKWKWK', 'Package', 'YouTube', 'Eat', ' Internet ',' Package ',' YouTubenya ',' cool ',' Ayem ',' wkwkwkwkwk ',' stupid ',' System ']</v>
      </c>
      <c r="D5040" s="3">
        <v>1.0</v>
      </c>
    </row>
    <row r="5041" ht="15.75" customHeight="1">
      <c r="A5041" s="1">
        <v>5416.0</v>
      </c>
      <c r="B5041" s="3" t="s">
        <v>4894</v>
      </c>
      <c r="C5041" s="3" t="str">
        <f>IFERROR(__xludf.DUMMYFUNCTION("GOOGLETRANSLATE(B5041,""id"",""en"")"),"['Good', 'signal', 'bad']")</f>
        <v>['Good', 'signal', 'bad']</v>
      </c>
      <c r="D5041" s="3">
        <v>5.0</v>
      </c>
    </row>
    <row r="5042" ht="15.75" customHeight="1">
      <c r="A5042" s="1">
        <v>5417.0</v>
      </c>
      <c r="B5042" s="3" t="s">
        <v>4895</v>
      </c>
      <c r="C5042" s="3" t="str">
        <f>IFERROR(__xludf.DUMMYFUNCTION("GOOGLETRANSLATE(B5042,""id"",""en"")"),"['package', 'expensive', 'kulitas', 'internet', 'blinking', 'blinking', 'forced', 'use', 'Telkomsel', 'area', 'tower', ""]")</f>
        <v>['package', 'expensive', 'kulitas', 'internet', 'blinking', 'blinking', 'forced', 'use', 'Telkomsel', 'area', 'tower', "]</v>
      </c>
      <c r="D5042" s="3">
        <v>1.0</v>
      </c>
    </row>
    <row r="5043" ht="15.75" customHeight="1">
      <c r="A5043" s="1">
        <v>5418.0</v>
      </c>
      <c r="B5043" s="3" t="s">
        <v>4896</v>
      </c>
      <c r="C5043" s="3" t="str">
        <f>IFERROR(__xludf.DUMMYFUNCTION("GOOGLETRANSLATE(B5043,""id"",""en"")"),"['Good', 'amplication', 'Telkomsel']")</f>
        <v>['Good', 'amplication', 'Telkomsel']</v>
      </c>
      <c r="D5043" s="3">
        <v>4.0</v>
      </c>
    </row>
    <row r="5044" ht="15.75" customHeight="1">
      <c r="A5044" s="1">
        <v>5419.0</v>
      </c>
      <c r="B5044" s="3" t="s">
        <v>4897</v>
      </c>
      <c r="C5044" s="3" t="str">
        <f>IFERROR(__xludf.DUMMYFUNCTION("GOOGLETRANSLATE(B5044,""id"",""en"")"),"['Please', 'Checked', 'Application', 'Telkomsel', 'Switch', 'Points',' Rewards', 'Gift', 'Check', 'Package', 'Quota', 'Internet', ' The quota ',' in ',' confused ',' Please ',' Check ',' The application ',' Thank ',' Love ', ""]")</f>
        <v>['Please', 'Checked', 'Application', 'Telkomsel', 'Switch', 'Points',' Rewards', 'Gift', 'Check', 'Package', 'Quota', 'Internet', ' The quota ',' in ',' confused ',' Please ',' Check ',' The application ',' Thank ',' Love ', "]</v>
      </c>
      <c r="D5044" s="3">
        <v>5.0</v>
      </c>
    </row>
    <row r="5045" ht="15.75" customHeight="1">
      <c r="A5045" s="1">
        <v>5420.0</v>
      </c>
      <c r="B5045" s="3" t="s">
        <v>4898</v>
      </c>
      <c r="C5045" s="3" t="str">
        <f>IFERROR(__xludf.DUMMYFUNCTION("GOOGLETRANSLATE(B5045,""id"",""en"")"),"['Promo', 'diverse']")</f>
        <v>['Promo', 'diverse']</v>
      </c>
      <c r="D5045" s="3">
        <v>4.0</v>
      </c>
    </row>
    <row r="5046" ht="15.75" customHeight="1">
      <c r="A5046" s="1">
        <v>5421.0</v>
      </c>
      <c r="B5046" s="3" t="s">
        <v>4899</v>
      </c>
      <c r="C5046" s="3" t="str">
        <f>IFERROR(__xludf.DUMMYFUNCTION("GOOGLETRANSLATE(B5046,""id"",""en"")"),"['speed', 'data', 'unlimited', 'pay attention', 'fix', 'data', 'unlimited', 'use', 'browsing', 'comfortable', 'mutation', 'card', ' Hello']")</f>
        <v>['speed', 'data', 'unlimited', 'pay attention', 'fix', 'data', 'unlimited', 'use', 'browsing', 'comfortable', 'mutation', 'card', ' Hello']</v>
      </c>
      <c r="D5046" s="3">
        <v>5.0</v>
      </c>
    </row>
    <row r="5047" ht="15.75" customHeight="1">
      <c r="A5047" s="1">
        <v>5422.0</v>
      </c>
      <c r="B5047" s="3" t="s">
        <v>4900</v>
      </c>
      <c r="C5047" s="3" t="str">
        <f>IFERROR(__xludf.DUMMYFUNCTION("GOOGLETRANSLATE(B5047,""id"",""en"")"),"['cave', 'buy', 'unlimited', 'YouTube', 'TPI', 'quota', 'cave', 'sumps', 'gmana', 'Telkomsel', ""]")</f>
        <v>['cave', 'buy', 'unlimited', 'YouTube', 'TPI', 'quota', 'cave', 'sumps', 'gmana', 'Telkomsel', "]</v>
      </c>
      <c r="D5047" s="3">
        <v>2.0</v>
      </c>
    </row>
    <row r="5048" ht="15.75" customHeight="1">
      <c r="A5048" s="1">
        <v>5424.0</v>
      </c>
      <c r="B5048" s="3" t="s">
        <v>4901</v>
      </c>
      <c r="C5048" s="3" t="str">
        <f>IFERROR(__xludf.DUMMYFUNCTION("GOOGLETRANSLATE(B5048,""id"",""en"")"),"['already', 'buy', 'package', 'application', 'MyTelkomsel', 'times',' buy ',' sorry ',' disorder ',' system ',' check ',' connection ',' Repeat ',' transaction ',' Minute ',' Yakaliii ',' Udh ',' Have ',' Wait ',' Minutes', 'Muluuu', 'Saranin', 'Customer'"&amp;", 'Disappointed', 'Solution' , 'Change', 'operator', 'bnyak', 'package', 'cheap', 'Telkomsel', 'Telkomsel', 'thank you', ""]")</f>
        <v>['already', 'buy', 'package', 'application', 'MyTelkomsel', 'times',' buy ',' sorry ',' disorder ',' system ',' check ',' connection ',' Repeat ',' transaction ',' Minute ',' Yakaliii ',' Udh ',' Have ',' Wait ',' Minutes', 'Muluuu', 'Saranin', 'Customer', 'Disappointed', 'Solution' , 'Change', 'operator', 'bnyak', 'package', 'cheap', 'Telkomsel', 'Telkomsel', 'thank you', "]</v>
      </c>
      <c r="D5048" s="3">
        <v>1.0</v>
      </c>
    </row>
    <row r="5049" ht="15.75" customHeight="1">
      <c r="A5049" s="1">
        <v>5425.0</v>
      </c>
      <c r="B5049" s="3" t="s">
        <v>4902</v>
      </c>
      <c r="C5049" s="3" t="str">
        <f>IFERROR(__xludf.DUMMYFUNCTION("GOOGLETRANSLATE(B5049,""id"",""en"")"),"['Helping', 'Communicate', '']")</f>
        <v>['Helping', 'Communicate', '']</v>
      </c>
      <c r="D5049" s="3">
        <v>5.0</v>
      </c>
    </row>
    <row r="5050" ht="15.75" customHeight="1">
      <c r="A5050" s="1">
        <v>5426.0</v>
      </c>
      <c r="B5050" s="3" t="s">
        <v>4903</v>
      </c>
      <c r="C5050" s="3" t="str">
        <f>IFERROR(__xludf.DUMMYFUNCTION("GOOGLETRANSLATE(B5050,""id"",""en"")"),"['spirit', 'really', 'open', 'playsore', 'gave', 'star', 'application', 'slow', 'slow', 'shy', 'shy', 'provider', ' Best ',' Indonesia ',' suggestion ',' input ',' shame ', ""]")</f>
        <v>['spirit', 'really', 'open', 'playsore', 'gave', 'star', 'application', 'slow', 'slow', 'shy', 'shy', 'provider', ' Best ',' Indonesia ',' suggestion ',' input ',' shame ', "]</v>
      </c>
      <c r="D5050" s="3">
        <v>1.0</v>
      </c>
    </row>
    <row r="5051" ht="15.75" customHeight="1">
      <c r="A5051" s="1">
        <v>5427.0</v>
      </c>
      <c r="B5051" s="3" t="s">
        <v>4904</v>
      </c>
      <c r="C5051" s="3" t="str">
        <f>IFERROR(__xludf.DUMMYFUNCTION("GOOGLETRANSLATE(B5051,""id"",""en"")"),"['', 'likes', 'use', 'easy', 'easy', 'understands']")</f>
        <v>['', 'likes', 'use', 'easy', 'easy', 'understands']</v>
      </c>
      <c r="D5051" s="3">
        <v>5.0</v>
      </c>
    </row>
    <row r="5052" ht="15.75" customHeight="1">
      <c r="A5052" s="1">
        <v>5428.0</v>
      </c>
      <c r="B5052" s="3" t="s">
        <v>4905</v>
      </c>
      <c r="C5052" s="3" t="str">
        <f>IFERROR(__xludf.DUMMYFUNCTION("GOOGLETRANSLATE(B5052,""id"",""en"")"),"['promo', 'crazy', 'satisfied', 'sympathy']")</f>
        <v>['promo', 'crazy', 'satisfied', 'sympathy']</v>
      </c>
      <c r="D5052" s="3">
        <v>5.0</v>
      </c>
    </row>
    <row r="5053" ht="15.75" customHeight="1">
      <c r="A5053" s="1">
        <v>5429.0</v>
      </c>
      <c r="B5053" s="3" t="s">
        <v>4906</v>
      </c>
      <c r="C5053" s="3" t="str">
        <f>IFERROR(__xludf.DUMMYFUNCTION("GOOGLETRANSLATE(B5053,""id"",""en"")"),"['Signal', 'as good', 'dlu', 'contents',' pulse ',' run out ',' pdhl ',' bill ',' anything ',' otp ',' gmn ',' Telkomsel ',' Where ',' Credit ',' Customer ',' Service ',' Help ',' What ',' Can ',' Info ',' Counter ',' Credit ',' Home ',' Urus', 'Outlet' ,"&amp;" 'Have', 'Change', 'Postpaid', 'Males',' JD ',' Application ',' Update ',' Blum ',' A Week ',' Uda ',' Mnt ',' Update ',' Update ',' Persulit ',' ']")</f>
        <v>['Signal', 'as good', 'dlu', 'contents',' pulse ',' run out ',' pdhl ',' bill ',' anything ',' otp ',' gmn ',' Telkomsel ',' Where ',' Credit ',' Customer ',' Service ',' Help ',' What ',' Can ',' Info ',' Counter ',' Credit ',' Home ',' Urus', 'Outlet' , 'Have', 'Change', 'Postpaid', 'Males',' JD ',' Application ',' Update ',' Blum ',' A Week ',' Uda ',' Mnt ',' Update ',' Update ',' Persulit ',' ']</v>
      </c>
      <c r="D5053" s="3">
        <v>3.0</v>
      </c>
    </row>
    <row r="5054" ht="15.75" customHeight="1">
      <c r="A5054" s="1">
        <v>5430.0</v>
      </c>
      <c r="B5054" s="3" t="s">
        <v>4907</v>
      </c>
      <c r="C5054" s="3" t="str">
        <f>IFERROR(__xludf.DUMMYFUNCTION("GOOGLETRANSLATE(B5054,""id"",""en"")"),"['Original', 'Exchange', 'Points', 'Gift', 'Really', 'Really', 'Good', 'Very', 'Telkomsel']")</f>
        <v>['Original', 'Exchange', 'Points', 'Gift', 'Really', 'Really', 'Good', 'Very', 'Telkomsel']</v>
      </c>
      <c r="D5054" s="3">
        <v>5.0</v>
      </c>
    </row>
    <row r="5055" ht="15.75" customHeight="1">
      <c r="A5055" s="1">
        <v>5431.0</v>
      </c>
      <c r="B5055" s="3" t="s">
        <v>4908</v>
      </c>
      <c r="C5055" s="3" t="str">
        <f>IFERROR(__xludf.DUMMYFUNCTION("GOOGLETRANSLATE(B5055,""id"",""en"")"),"['contents',' package ',' quota ',' internet ',' GB ',' date ',' empty ',' pulse ',' zero ',' rupiah ',' quota ',' data ',' outside ',' home ',' at home ',' use ',' wifi ',' use ',' doang ',' how ',' Telkomsel ', ""]")</f>
        <v>['contents',' package ',' quota ',' internet ',' GB ',' date ',' empty ',' pulse ',' zero ',' rupiah ',' quota ',' data ',' outside ',' home ',' at home ',' use ',' wifi ',' use ',' doang ',' how ',' Telkomsel ', "]</v>
      </c>
      <c r="D5055" s="3">
        <v>1.0</v>
      </c>
    </row>
    <row r="5056" ht="15.75" customHeight="1">
      <c r="A5056" s="1">
        <v>5432.0</v>
      </c>
      <c r="B5056" s="3" t="s">
        <v>4909</v>
      </c>
      <c r="C5056" s="3" t="str">
        <f>IFERROR(__xludf.DUMMYFUNCTION("GOOGLETRANSLATE(B5056,""id"",""en"")"),"['Buy', 'Gift', 'Payment', 'Gopay', 'Balance', 'Cut', 'Quota', 'Enter', 'Buy', 'Payment', 'Fund', 'Balance', ' Cut ',' song ',' quota ',' enter ',' school ',' child ', ""]")</f>
        <v>['Buy', 'Gift', 'Payment', 'Gopay', 'Balance', 'Cut', 'Quota', 'Enter', 'Buy', 'Payment', 'Fund', 'Balance', ' Cut ',' song ',' quota ',' enter ',' school ',' child ', "]</v>
      </c>
      <c r="D5056" s="3">
        <v>3.0</v>
      </c>
    </row>
    <row r="5057" ht="15.75" customHeight="1">
      <c r="A5057" s="1">
        <v>5433.0</v>
      </c>
      <c r="B5057" s="3" t="s">
        <v>4910</v>
      </c>
      <c r="C5057" s="3" t="str">
        <f>IFERROR(__xludf.DUMMYFUNCTION("GOOGLETRANSLATE(B5057,""id"",""en"")"),"['smooth', 'depends', 'Weather', 'SDKT', 'LEG', 'BYK', '']")</f>
        <v>['smooth', 'depends', 'Weather', 'SDKT', 'LEG', 'BYK', '']</v>
      </c>
      <c r="D5057" s="3">
        <v>5.0</v>
      </c>
    </row>
    <row r="5058" ht="15.75" customHeight="1">
      <c r="A5058" s="1">
        <v>5434.0</v>
      </c>
      <c r="B5058" s="3" t="s">
        <v>4911</v>
      </c>
      <c r="C5058" s="3" t="str">
        <f>IFERROR(__xludf.DUMMYFUNCTION("GOOGLETRANSLATE(B5058,""id"",""en"")"),"['', 'area', 'signal', 'bad', 'bar', 'stuck', 'bar', 'mulu', 'surprised', 'package', 'cheap', 'get', 'thousand ',' Giga ',' signal ',' Kek ',' That's', 'Worth', '']")</f>
        <v>['', 'area', 'signal', 'bad', 'bar', 'stuck', 'bar', 'mulu', 'surprised', 'package', 'cheap', 'get', 'thousand ',' Giga ',' signal ',' Kek ',' That's', 'Worth', '']</v>
      </c>
      <c r="D5058" s="3">
        <v>3.0</v>
      </c>
    </row>
    <row r="5059" ht="15.75" customHeight="1">
      <c r="A5059" s="1">
        <v>5435.0</v>
      </c>
      <c r="B5059" s="3" t="s">
        <v>4912</v>
      </c>
      <c r="C5059" s="3" t="str">
        <f>IFERROR(__xludf.DUMMYFUNCTION("GOOGLETRANSLATE(B5059,""id"",""en"")"),"['Pakek', 'Sousal', 'Kayak', 'Taik']")</f>
        <v>['Pakek', 'Sousal', 'Kayak', 'Taik']</v>
      </c>
      <c r="D5059" s="3">
        <v>5.0</v>
      </c>
    </row>
    <row r="5060" ht="15.75" customHeight="1">
      <c r="A5060" s="1">
        <v>5436.0</v>
      </c>
      <c r="B5060" s="3" t="s">
        <v>4913</v>
      </c>
      <c r="C5060" s="3" t="str">
        <f>IFERROR(__xludf.DUMMYFUNCTION("GOOGLETRANSLATE(B5060,""id"",""en"")"),"['Package', 'self-help', 'telephone', 'all', 'operator', 'minute', 'use', 'telephone', 'try', 'fix']")</f>
        <v>['Package', 'self-help', 'telephone', 'all', 'operator', 'minute', 'use', 'telephone', 'try', 'fix']</v>
      </c>
      <c r="D5060" s="3">
        <v>1.0</v>
      </c>
    </row>
    <row r="5061" ht="15.75" customHeight="1">
      <c r="A5061" s="1">
        <v>5437.0</v>
      </c>
      <c r="B5061" s="3" t="s">
        <v>4914</v>
      </c>
      <c r="C5061" s="3" t="str">
        <f>IFERROR(__xludf.DUMMYFUNCTION("GOOGLETRANSLATE(B5061,""id"",""en"")"),"['msuk', 'APLKSI', 'Telkomsel', 'SLU', 'FAILUR', 'HRS', 'MLAI', 'reset', 'HPS', 'Data', 'Application', 'Eastern', ' Age ',' Telkomsel ',' application ',' ugly ',' signal ',' ugly ',' ']")</f>
        <v>['msuk', 'APLKSI', 'Telkomsel', 'SLU', 'FAILUR', 'HRS', 'MLAI', 'reset', 'HPS', 'Data', 'Application', 'Eastern', ' Age ',' Telkomsel ',' application ',' ugly ',' signal ',' ugly ',' ']</v>
      </c>
      <c r="D5061" s="3">
        <v>1.0</v>
      </c>
    </row>
    <row r="5062" ht="15.75" customHeight="1">
      <c r="A5062" s="1">
        <v>5438.0</v>
      </c>
      <c r="B5062" s="3" t="s">
        <v>4915</v>
      </c>
      <c r="C5062" s="3" t="str">
        <f>IFERROR(__xludf.DUMMYFUNCTION("GOOGLETRANSLATE(B5062,""id"",""en"")"),"['package', 'internet', 'expensive', 'synchy', 'ugly', 'season', 'rain', 'signal', 'missing', 'according to', 'costs',' Subscribe ',' Telkomsel ',' like ',' Telkomsel ']")</f>
        <v>['package', 'internet', 'expensive', 'synchy', 'ugly', 'season', 'rain', 'signal', 'missing', 'according to', 'costs',' Subscribe ',' Telkomsel ',' like ',' Telkomsel ']</v>
      </c>
      <c r="D5062" s="3">
        <v>1.0</v>
      </c>
    </row>
    <row r="5063" ht="15.75" customHeight="1">
      <c r="A5063" s="1">
        <v>5439.0</v>
      </c>
      <c r="B5063" s="3" t="s">
        <v>4916</v>
      </c>
      <c r="C5063" s="3" t="str">
        <f>IFERROR(__xludf.DUMMYFUNCTION("GOOGLETRANSLATE(B5063,""id"",""en"")"),"['expensive', 'pulses', 'BUMN']")</f>
        <v>['expensive', 'pulses', 'BUMN']</v>
      </c>
      <c r="D5063" s="3">
        <v>4.0</v>
      </c>
    </row>
    <row r="5064" ht="15.75" customHeight="1">
      <c r="A5064" s="1">
        <v>5440.0</v>
      </c>
      <c r="B5064" s="3" t="s">
        <v>4917</v>
      </c>
      <c r="C5064" s="3" t="str">
        <f>IFERROR(__xludf.DUMMYFUNCTION("GOOGLETRANSLATE(B5064,""id"",""en"")"),"['TelkomSeeelll', 'Please', 'Fix', 'Signal', 'hereiiii', 'Village', 'Simpang', 'Pematang', 'County', 'Mesuji', 'Signal', 'Lemooooottttt', ' ampuuuunn ',' package ',' level ',' price ',' quality ',' kualitaaasss', 'muter', 'kya', 'comedy', 'play', 'ampuuun"&amp;"nn', 'impress',' before ' , 'please', 'laaahhh', 'loss', 'loss', 'tau', ""]")</f>
        <v>['TelkomSeeelll', 'Please', 'Fix', 'Signal', 'hereiiii', 'Village', 'Simpang', 'Pematang', 'County', 'Mesuji', 'Signal', 'Lemooooottttt', ' ampuuuunn ',' package ',' level ',' price ',' quality ',' kualitaaasss', 'muter', 'kya', 'comedy', 'play', 'ampuuunnn', 'impress',' before ' , 'please', 'laaahhh', 'loss', 'loss', 'tau', "]</v>
      </c>
      <c r="D5064" s="3">
        <v>1.0</v>
      </c>
    </row>
    <row r="5065" ht="15.75" customHeight="1">
      <c r="A5065" s="1">
        <v>5441.0</v>
      </c>
      <c r="B5065" s="3" t="s">
        <v>4918</v>
      </c>
      <c r="C5065" s="3" t="str">
        <f>IFERROR(__xludf.DUMMYFUNCTION("GOOGLETRANSLATE(B5065,""id"",""en"")"),"['Telkomsel', 'package', 'data', 'expensive', 'network', 'kek', 'ajg', 'pig', 'asw', 'lahh', 'taik']")</f>
        <v>['Telkomsel', 'package', 'data', 'expensive', 'network', 'kek', 'ajg', 'pig', 'asw', 'lahh', 'taik']</v>
      </c>
      <c r="D5065" s="3">
        <v>1.0</v>
      </c>
    </row>
    <row r="5066" ht="15.75" customHeight="1">
      <c r="A5066" s="1">
        <v>5442.0</v>
      </c>
      <c r="B5066" s="3" t="s">
        <v>4919</v>
      </c>
      <c r="C5066" s="3" t="str">
        <f>IFERROR(__xludf.DUMMYFUNCTION("GOOGLETRANSLATE(B5066,""id"",""en"")"),"['Fill', 'Paketan', 'Sampe', 'Have', 'Wait', 'Until', 'GMN', 'People', 'Need', 'Paketan', 'Money', 'Buy', ' Paketan ',' Gara ',' HRS ',' Waiting ',' Please ',' People ',' Condition ',' Additional ',' Persulit ',' Disorders', 'Solution', 'People', 'HRS' , "&amp;"'Have', 'Wait', 'for days', 'service', 'Telkomsel', 'satisfying', 'disappointed', 'service', '']")</f>
        <v>['Fill', 'Paketan', 'Sampe', 'Have', 'Wait', 'Until', 'GMN', 'People', 'Need', 'Paketan', 'Money', 'Buy', ' Paketan ',' Gara ',' HRS ',' Waiting ',' Please ',' People ',' Condition ',' Additional ',' Persulit ',' Disorders', 'Solution', 'People', 'HRS' , 'Have', 'Wait', 'for days', 'service', 'Telkomsel', 'satisfying', 'disappointed', 'service', '']</v>
      </c>
      <c r="D5066" s="3">
        <v>1.0</v>
      </c>
    </row>
    <row r="5067" ht="15.75" customHeight="1">
      <c r="A5067" s="1">
        <v>5443.0</v>
      </c>
      <c r="B5067" s="3" t="s">
        <v>4920</v>
      </c>
      <c r="C5067" s="3" t="str">
        <f>IFERROR(__xludf.DUMMYFUNCTION("GOOGLETRANSLATE(B5067,""id"",""en"")"),"['System', 'Busy', 'Nukar', 'Points']")</f>
        <v>['System', 'Busy', 'Nukar', 'Points']</v>
      </c>
      <c r="D5067" s="3">
        <v>1.0</v>
      </c>
    </row>
    <row r="5068" ht="15.75" customHeight="1">
      <c r="A5068" s="1">
        <v>5444.0</v>
      </c>
      <c r="B5068" s="3" t="s">
        <v>4921</v>
      </c>
      <c r="C5068" s="3" t="str">
        <f>IFERROR(__xludf.DUMMYFUNCTION("GOOGLETRANSLATE(B5068,""id"",""en"")"),"['Thank you', 'Telkomsel', 'present', 'promo', 'discount', 'interesting']")</f>
        <v>['Thank you', 'Telkomsel', 'present', 'promo', 'discount', 'interesting']</v>
      </c>
      <c r="D5068" s="3">
        <v>4.0</v>
      </c>
    </row>
    <row r="5069" ht="15.75" customHeight="1">
      <c r="A5069" s="1">
        <v>5445.0</v>
      </c>
      <c r="B5069" s="3" t="s">
        <v>4922</v>
      </c>
      <c r="C5069" s="3" t="str">
        <f>IFERROR(__xludf.DUMMYFUNCTION("GOOGLETRANSLATE(B5069,""id"",""en"")"),"['Telkomsel', 'thieves',' contents', 'pulse', 'pairs',' package ',' data ',' take ',' pulse ',' rupiah ',' history ',' transaction ',' access', 'internet', 'rupiah', 'quota', 'data', 'operator', 'next door', 'sim', 'trick', 'telkom', 'right', 'buy', 'pack"&amp;"age' , 'data', 'pulse', 'sufficient', 'purchase', 'package', 'data', 'please', 'contents',' reset ',' cunning ',' Telkomsel ',' told ',' Fill ',' pulse ',' data ',' operator ',' next door ',' ']")</f>
        <v>['Telkomsel', 'thieves',' contents', 'pulse', 'pairs',' package ',' data ',' take ',' pulse ',' rupiah ',' history ',' transaction ',' access', 'internet', 'rupiah', 'quota', 'data', 'operator', 'next door', 'sim', 'trick', 'telkom', 'right', 'buy', 'package' , 'data', 'pulse', 'sufficient', 'purchase', 'package', 'data', 'please', 'contents',' reset ',' cunning ',' Telkomsel ',' told ',' Fill ',' pulse ',' data ',' operator ',' next door ',' ']</v>
      </c>
      <c r="D5069" s="3">
        <v>1.0</v>
      </c>
    </row>
    <row r="5070" ht="15.75" customHeight="1">
      <c r="A5070" s="1">
        <v>5446.0</v>
      </c>
      <c r="B5070" s="3" t="s">
        <v>4923</v>
      </c>
      <c r="C5070" s="3" t="str">
        <f>IFERROR(__xludf.DUMMYFUNCTION("GOOGLETRANSLATE(B5070,""id"",""en"")"),"['signal', 'ilang', 'Mulu', '']")</f>
        <v>['signal', 'ilang', 'Mulu', '']</v>
      </c>
      <c r="D5070" s="3">
        <v>5.0</v>
      </c>
    </row>
    <row r="5071" ht="15.75" customHeight="1">
      <c r="A5071" s="1">
        <v>5447.0</v>
      </c>
      <c r="B5071" s="3" t="s">
        <v>4924</v>
      </c>
      <c r="C5071" s="3" t="str">
        <f>IFERROR(__xludf.DUMMYFUNCTION("GOOGLETRANSLATE(B5071,""id"",""en"")"),"['APK', 'KNTL', 'Application', 'Daily', 'Check', 'Eat', 'Credit', 'Points',' Points', 'Gather', 'Points',' Sampa ',' Quota ',' GB ',' AJG ',' Skali ',' Capital ',' Telkomsel ',' Parahh ',' Original ',' Tricks', 'Marketing', 'Sweet', 'Cheating', 'Consumers"&amp;"' , 'taekk']")</f>
        <v>['APK', 'KNTL', 'Application', 'Daily', 'Check', 'Eat', 'Credit', 'Points',' Points', 'Gather', 'Points',' Sampa ',' Quota ',' GB ',' AJG ',' Skali ',' Capital ',' Telkomsel ',' Parahh ',' Original ',' Tricks', 'Marketing', 'Sweet', 'Cheating', 'Consumers' , 'taekk']</v>
      </c>
      <c r="D5071" s="3">
        <v>1.0</v>
      </c>
    </row>
    <row r="5072" ht="15.75" customHeight="1">
      <c r="A5072" s="1">
        <v>5448.0</v>
      </c>
      <c r="B5072" s="3" t="s">
        <v>4925</v>
      </c>
      <c r="C5072" s="3" t="str">
        <f>IFERROR(__xludf.DUMMYFUNCTION("GOOGLETRANSLATE(B5072,""id"",""en"")"),"['Telkomsel', 'taik', 'times', 'contents', 'pulse', 'suck', 'take', 'credit', 'emergency', '']")</f>
        <v>['Telkomsel', 'taik', 'times', 'contents', 'pulse', 'suck', 'take', 'credit', 'emergency', '']</v>
      </c>
      <c r="D5072" s="3">
        <v>1.0</v>
      </c>
    </row>
    <row r="5073" ht="15.75" customHeight="1">
      <c r="A5073" s="1">
        <v>5449.0</v>
      </c>
      <c r="B5073" s="3" t="s">
        <v>4926</v>
      </c>
      <c r="C5073" s="3" t="str">
        <f>IFERROR(__xludf.DUMMYFUNCTION("GOOGLETRANSLATE(B5073,""id"",""en"")"),"['Application', 'Bagu']")</f>
        <v>['Application', 'Bagu']</v>
      </c>
      <c r="D5073" s="3">
        <v>5.0</v>
      </c>
    </row>
    <row r="5074" ht="15.75" customHeight="1">
      <c r="A5074" s="1">
        <v>5450.0</v>
      </c>
      <c r="B5074" s="3" t="s">
        <v>4927</v>
      </c>
      <c r="C5074" s="3" t="str">
        <f>IFERROR(__xludf.DUMMYFUNCTION("GOOGLETRANSLATE(B5074,""id"",""en"")"),"['poor', 'network', 'package', 'rb', 'per month', 'ttp', 'taste', 'package', 'unlimited', 'rb', 'dead', 'lights',' network ',' dead ',' funny ',' pdhl ',' stay ',' bsd ',' serpong ']")</f>
        <v>['poor', 'network', 'package', 'rb', 'per month', 'ttp', 'taste', 'package', 'unlimited', 'rb', 'dead', 'lights',' network ',' dead ',' funny ',' pdhl ',' stay ',' bsd ',' serpong ']</v>
      </c>
      <c r="D5074" s="3">
        <v>3.0</v>
      </c>
    </row>
    <row r="5075" ht="15.75" customHeight="1">
      <c r="A5075" s="1">
        <v>5451.0</v>
      </c>
      <c r="B5075" s="3" t="s">
        <v>4928</v>
      </c>
      <c r="C5075" s="3" t="str">
        <f>IFERROR(__xludf.DUMMYFUNCTION("GOOGLETRANSLATE(B5075,""id"",""en"")"),"['menu', 'help', 'complaints',' problems', 'consumers',' help ',' responsive ',' fast ',' responsive ',' Naturally ',' his name ',' Talk ',' system ',' sometimes', 'dependent', 'signal', 'server', 'operator', 'serve', 'standbay', 'literacy', 'technology',"&amp;" 'Indonesia', 'literacy', ""]")</f>
        <v>['menu', 'help', 'complaints',' problems', 'consumers',' help ',' responsive ',' fast ',' responsive ',' Naturally ',' his name ',' Talk ',' system ',' sometimes', 'dependent', 'signal', 'server', 'operator', 'serve', 'standbay', 'literacy', 'technology', 'Indonesia', 'literacy', "]</v>
      </c>
      <c r="D5075" s="3">
        <v>5.0</v>
      </c>
    </row>
    <row r="5076" ht="15.75" customHeight="1">
      <c r="A5076" s="1">
        <v>5452.0</v>
      </c>
      <c r="B5076" s="3" t="s">
        <v>4929</v>
      </c>
      <c r="C5076" s="3" t="str">
        <f>IFERROR(__xludf.DUMMYFUNCTION("GOOGLETRANSLATE(B5076,""id"",""en"")"),"['Need', 'repairs', 'bug', 'top', 'writing', 'managed', 'appears', 'money', 'scorched', 'good']")</f>
        <v>['Need', 'repairs', 'bug', 'top', 'writing', 'managed', 'appears', 'money', 'scorched', 'good']</v>
      </c>
      <c r="D5076" s="3">
        <v>1.0</v>
      </c>
    </row>
    <row r="5077" ht="15.75" customHeight="1">
      <c r="A5077" s="1">
        <v>5453.0</v>
      </c>
      <c r="B5077" s="3" t="s">
        <v>4930</v>
      </c>
      <c r="C5077" s="3" t="str">
        <f>IFERROR(__xludf.DUMMYFUNCTION("GOOGLETRANSLATE(B5077,""id"",""en"")"),"['Complete', 'Information', 'Kartuku']")</f>
        <v>['Complete', 'Information', 'Kartuku']</v>
      </c>
      <c r="D5077" s="3">
        <v>5.0</v>
      </c>
    </row>
    <row r="5078" ht="15.75" customHeight="1">
      <c r="A5078" s="1">
        <v>5454.0</v>
      </c>
      <c r="B5078" s="3" t="s">
        <v>4931</v>
      </c>
      <c r="C5078" s="3" t="str">
        <f>IFERROR(__xludf.DUMMYFUNCTION("GOOGLETRANSLATE(B5078,""id"",""en"")"),"['Signal', 'Lemot', 'Internet', 'Life', 'Jakarta', 'Taste', 'Rich', 'Dipepay']")</f>
        <v>['Signal', 'Lemot', 'Internet', 'Life', 'Jakarta', 'Taste', 'Rich', 'Dipepay']</v>
      </c>
      <c r="D5078" s="3">
        <v>1.0</v>
      </c>
    </row>
    <row r="5079" ht="15.75" customHeight="1">
      <c r="A5079" s="1">
        <v>5455.0</v>
      </c>
      <c r="B5079" s="3" t="s">
        <v>4932</v>
      </c>
      <c r="C5079" s="3" t="str">
        <f>IFERROR(__xludf.DUMMYFUNCTION("GOOGLETRANSLATE(B5079,""id"",""en"")"),"['Nothing', 'intention', 'Adin', 'Package', 'Toet', 'Forced', 'Woii', 'Cook', 'Package', 'Data', 'Reduced', 'Already', ' Buy ',' Thinking ']")</f>
        <v>['Nothing', 'intention', 'Adin', 'Package', 'Toet', 'Forced', 'Woii', 'Cook', 'Package', 'Data', 'Reduced', 'Already', ' Buy ',' Thinking ']</v>
      </c>
      <c r="D5079" s="3">
        <v>1.0</v>
      </c>
    </row>
    <row r="5080" ht="15.75" customHeight="1">
      <c r="A5080" s="1">
        <v>5456.0</v>
      </c>
      <c r="B5080" s="3" t="s">
        <v>4933</v>
      </c>
      <c r="C5080" s="3" t="str">
        <f>IFERROR(__xludf.DUMMYFUNCTION("GOOGLETRANSLATE(B5080,""id"",""en"")"),"['quota', 'gamemax', 'network', 'bad', '']")</f>
        <v>['quota', 'gamemax', 'network', 'bad', '']</v>
      </c>
      <c r="D5080" s="3">
        <v>1.0</v>
      </c>
    </row>
    <row r="5081" ht="15.75" customHeight="1">
      <c r="A5081" s="1">
        <v>5457.0</v>
      </c>
      <c r="B5081" s="3" t="s">
        <v>4934</v>
      </c>
      <c r="C5081" s="3" t="str">
        <f>IFERROR(__xludf.DUMMYFUNCTION("GOOGLETRANSLATE(B5081,""id"",""en"")"),"['like', 'error', 'signal', 'ugly', 'really']")</f>
        <v>['like', 'error', 'signal', 'ugly', 'really']</v>
      </c>
      <c r="D5081" s="3">
        <v>1.0</v>
      </c>
    </row>
    <row r="5082" ht="15.75" customHeight="1">
      <c r="A5082" s="1">
        <v>5458.0</v>
      </c>
      <c r="B5082" s="3" t="s">
        <v>4935</v>
      </c>
      <c r="C5082" s="3" t="str">
        <f>IFERROR(__xludf.DUMMYFUNCTION("GOOGLETRANSLATE(B5082,""id"",""en"")"),"['Package', 'expensive', 'just', 'Krna', 'CMA', 'Telkomsel']")</f>
        <v>['Package', 'expensive', 'just', 'Krna', 'CMA', 'Telkomsel']</v>
      </c>
      <c r="D5082" s="3">
        <v>1.0</v>
      </c>
    </row>
    <row r="5083" ht="15.75" customHeight="1">
      <c r="A5083" s="1">
        <v>5459.0</v>
      </c>
      <c r="B5083" s="3" t="s">
        <v>4936</v>
      </c>
      <c r="C5083" s="3" t="str">
        <f>IFERROR(__xludf.DUMMYFUNCTION("GOOGLETRANSLATE(B5083,""id"",""en"")"),"['Sii', 'Telkomsel', 'already', 'a week', 'network', 'slow', 'broke', 'stable', 'strength', 'signal', 'weak', 'expensive', ' Come on ',' Telkomsel ',' Kayak ',' Gini ',' Pakek ',' Telkomsel ',' Karna ',' Believe ',' Comfortable ',' Kek ',' Gini ',' alread"&amp;"y ',' a week ' ]")</f>
        <v>['Sii', 'Telkomsel', 'already', 'a week', 'network', 'slow', 'broke', 'stable', 'strength', 'signal', 'weak', 'expensive', ' Come on ',' Telkomsel ',' Kayak ',' Gini ',' Pakek ',' Telkomsel ',' Karna ',' Believe ',' Comfortable ',' Kek ',' Gini ',' already ',' a week ' ]</v>
      </c>
      <c r="D5083" s="3">
        <v>1.0</v>
      </c>
    </row>
    <row r="5084" ht="15.75" customHeight="1">
      <c r="A5084" s="1">
        <v>5460.0</v>
      </c>
      <c r="B5084" s="3" t="s">
        <v>4937</v>
      </c>
      <c r="C5084" s="3" t="str">
        <f>IFERROR(__xludf.DUMMYFUNCTION("GOOGLETRANSLATE(B5084,""id"",""en"")"),"['package', 'expensive', 'signal', 'satisfying', 'lemoottt']")</f>
        <v>['package', 'expensive', 'signal', 'satisfying', 'lemoottt']</v>
      </c>
      <c r="D5084" s="3">
        <v>2.0</v>
      </c>
    </row>
    <row r="5085" ht="15.75" customHeight="1">
      <c r="A5085" s="1">
        <v>5461.0</v>
      </c>
      <c r="B5085" s="3" t="s">
        <v>4938</v>
      </c>
      <c r="C5085" s="3" t="str">
        <f>IFERROR(__xludf.DUMMYFUNCTION("GOOGLETRANSLATE(B5085,""id"",""en"")"),"['Cool', 'Application', 'Delivered', 'Memory', 'Display', 'Application', 'Lazy', 'Update', 'Service', 'Success', 'Telkomsel']")</f>
        <v>['Cool', 'Application', 'Delivered', 'Memory', 'Display', 'Application', 'Lazy', 'Update', 'Service', 'Success', 'Telkomsel']</v>
      </c>
      <c r="D5085" s="3">
        <v>4.0</v>
      </c>
    </row>
    <row r="5086" ht="15.75" customHeight="1">
      <c r="A5086" s="1">
        <v>5462.0</v>
      </c>
      <c r="B5086" s="3" t="s">
        <v>4939</v>
      </c>
      <c r="C5086" s="3" t="str">
        <f>IFERROR(__xludf.DUMMYFUNCTION("GOOGLETRANSLATE(B5086,""id"",""en"")"),"['KSNI', 'bad', 'signal', 'please', 'repay']")</f>
        <v>['KSNI', 'bad', 'signal', 'please', 'repay']</v>
      </c>
      <c r="D5086" s="3">
        <v>5.0</v>
      </c>
    </row>
    <row r="5087" ht="15.75" customHeight="1">
      <c r="A5087" s="1">
        <v>5464.0</v>
      </c>
      <c r="B5087" s="3" t="s">
        <v>4940</v>
      </c>
      <c r="C5087" s="3" t="str">
        <f>IFERROR(__xludf.DUMMYFUNCTION("GOOGLETRANSLATE(B5087,""id"",""en"")"),"['easy', 'help']")</f>
        <v>['easy', 'help']</v>
      </c>
      <c r="D5087" s="3">
        <v>5.0</v>
      </c>
    </row>
    <row r="5088" ht="15.75" customHeight="1">
      <c r="A5088" s="1">
        <v>5465.0</v>
      </c>
      <c r="B5088" s="3" t="s">
        <v>4941</v>
      </c>
      <c r="C5088" s="3" t="str">
        <f>IFERROR(__xludf.DUMMYFUNCTION("GOOGLETRANSLATE(B5088,""id"",""en"")"),"['Good', 'Package', 'BGI']")</f>
        <v>['Good', 'Package', 'BGI']</v>
      </c>
      <c r="D5088" s="3">
        <v>4.0</v>
      </c>
    </row>
    <row r="5089" ht="15.75" customHeight="1">
      <c r="A5089" s="1">
        <v>5466.0</v>
      </c>
      <c r="B5089" s="3" t="s">
        <v>4942</v>
      </c>
      <c r="C5089" s="3" t="str">
        <f>IFERROR(__xludf.DUMMYFUNCTION("GOOGLETRANSLATE(B5089,""id"",""en"")"),"['Comfortable', 'steady']")</f>
        <v>['Comfortable', 'steady']</v>
      </c>
      <c r="D5089" s="3">
        <v>5.0</v>
      </c>
    </row>
    <row r="5090" ht="15.75" customHeight="1">
      <c r="A5090" s="1">
        <v>5467.0</v>
      </c>
      <c r="B5090" s="3" t="s">
        <v>4943</v>
      </c>
      <c r="C5090" s="3" t="str">
        <f>IFERROR(__xludf.DUMMYFUNCTION("GOOGLETRANSLATE(B5090,""id"",""en"")"),"['Region', 'Nanggewer', 'Tarupolot', 'Bogor', 'Card', 'Sinyal', 'Melempem', 'Lost', 'Where', 'Please', 'Noted', ""]")</f>
        <v>['Region', 'Nanggewer', 'Tarupolot', 'Bogor', 'Card', 'Sinyal', 'Melempem', 'Lost', 'Where', 'Please', 'Noted', "]</v>
      </c>
      <c r="D5090" s="3">
        <v>1.0</v>
      </c>
    </row>
    <row r="5091" ht="15.75" customHeight="1">
      <c r="A5091" s="1">
        <v>5468.0</v>
      </c>
      <c r="B5091" s="3" t="s">
        <v>677</v>
      </c>
      <c r="C5091" s="3" t="str">
        <f>IFERROR(__xludf.DUMMYFUNCTION("GOOGLETRANSLATE(B5091,""id"",""en"")"),"['Telkomsel']")</f>
        <v>['Telkomsel']</v>
      </c>
      <c r="D5091" s="3">
        <v>5.0</v>
      </c>
    </row>
    <row r="5092" ht="15.75" customHeight="1">
      <c r="A5092" s="1">
        <v>5469.0</v>
      </c>
      <c r="B5092" s="3" t="s">
        <v>4944</v>
      </c>
      <c r="C5092" s="3" t="str">
        <f>IFERROR(__xludf.DUMMYFUNCTION("GOOGLETRANSLATE(B5092,""id"",""en"")"),"['knp', 'signal', 'internet', 'Telkomsel', 'ugly', 'my area', 'UDH', 'week', 'correction', 'package', 'whatshap', 'difficult', ' Loss', 'buy', 'package', 'please', 'bossq', 'fix', 'pelangan', 'satisfied', 'love', 'star', 'dech']")</f>
        <v>['knp', 'signal', 'internet', 'Telkomsel', 'ugly', 'my area', 'UDH', 'week', 'correction', 'package', 'whatshap', 'difficult', ' Loss', 'buy', 'package', 'please', 'bossq', 'fix', 'pelangan', 'satisfied', 'love', 'star', 'dech']</v>
      </c>
      <c r="D5092" s="3">
        <v>1.0</v>
      </c>
    </row>
    <row r="5093" ht="15.75" customHeight="1">
      <c r="A5093" s="1">
        <v>5470.0</v>
      </c>
      <c r="B5093" s="3" t="s">
        <v>4945</v>
      </c>
      <c r="C5093" s="3" t="str">
        <f>IFERROR(__xludf.DUMMYFUNCTION("GOOGLETRANSLATE(B5093,""id"",""en"")"),"['Package', 'combo', 'unlimited', 'expensive', 'gear', 'Tmn', 'sya', 'cheap', 'price', 'folding', 'different', '']")</f>
        <v>['Package', 'combo', 'unlimited', 'expensive', 'gear', 'Tmn', 'sya', 'cheap', 'price', 'folding', 'different', '']</v>
      </c>
      <c r="D5093" s="3">
        <v>1.0</v>
      </c>
    </row>
    <row r="5094" ht="15.75" customHeight="1">
      <c r="A5094" s="1">
        <v>5471.0</v>
      </c>
      <c r="B5094" s="3" t="s">
        <v>4946</v>
      </c>
      <c r="C5094" s="3" t="str">
        <f>IFERROR(__xludf.DUMMYFUNCTION("GOOGLETRANSLATE(B5094,""id"",""en"")"),"['Good', 'the application', 'SNGAT', 'MARKET']")</f>
        <v>['Good', 'the application', 'SNGAT', 'MARKET']</v>
      </c>
      <c r="D5094" s="3">
        <v>5.0</v>
      </c>
    </row>
    <row r="5095" ht="15.75" customHeight="1">
      <c r="A5095" s="1">
        <v>5472.0</v>
      </c>
      <c r="B5095" s="3" t="s">
        <v>4947</v>
      </c>
      <c r="C5095" s="3" t="str">
        <f>IFERROR(__xludf.DUMMYFUNCTION("GOOGLETRANSLATE(B5095,""id"",""en"")"),"['function', 'run']")</f>
        <v>['function', 'run']</v>
      </c>
      <c r="D5095" s="3">
        <v>4.0</v>
      </c>
    </row>
    <row r="5096" ht="15.75" customHeight="1">
      <c r="A5096" s="1">
        <v>5474.0</v>
      </c>
      <c r="B5096" s="3" t="s">
        <v>4948</v>
      </c>
      <c r="C5096" s="3" t="str">
        <f>IFERROR(__xludf.DUMMYFUNCTION("GOOGLETRANSLATE(B5096,""id"",""en"")"),"['Application', 'MyTelkomsel', 'Useful']")</f>
        <v>['Application', 'MyTelkomsel', 'Useful']</v>
      </c>
      <c r="D5096" s="3">
        <v>5.0</v>
      </c>
    </row>
    <row r="5097" ht="15.75" customHeight="1">
      <c r="A5097" s="1">
        <v>5475.0</v>
      </c>
      <c r="B5097" s="3" t="s">
        <v>4949</v>
      </c>
      <c r="C5097" s="3" t="str">
        <f>IFERROR(__xludf.DUMMYFUNCTION("GOOGLETRANSLATE(B5097,""id"",""en"")"),"['Network', 'in place', 'disruption', 'Please', 'repaired', 'slow', 'kayak', 'conch', 'defecate']")</f>
        <v>['Network', 'in place', 'disruption', 'Please', 'repaired', 'slow', 'kayak', 'conch', 'defecate']</v>
      </c>
      <c r="D5097" s="3">
        <v>1.0</v>
      </c>
    </row>
    <row r="5098" ht="15.75" customHeight="1">
      <c r="A5098" s="1">
        <v>5477.0</v>
      </c>
      <c r="B5098" s="3" t="s">
        <v>4950</v>
      </c>
      <c r="C5098" s="3" t="str">
        <f>IFERROR(__xludf.DUMMYFUNCTION("GOOGLETRANSLATE(B5098,""id"",""en"")"),"['Good', 'tanks']")</f>
        <v>['Good', 'tanks']</v>
      </c>
      <c r="D5098" s="3">
        <v>5.0</v>
      </c>
    </row>
    <row r="5099" ht="15.75" customHeight="1">
      <c r="A5099" s="1">
        <v>5478.0</v>
      </c>
      <c r="B5099" s="3" t="s">
        <v>4951</v>
      </c>
      <c r="C5099" s="3" t="str">
        <f>IFERROR(__xludf.DUMMYFUNCTION("GOOGLETRANSLATE(B5099,""id"",""en"")"),"['Buy', 'Package', 'Credit', 'Download', 'Telkomsel', '']")</f>
        <v>['Buy', 'Package', 'Credit', 'Download', 'Telkomsel', '']</v>
      </c>
      <c r="D5099" s="3">
        <v>5.0</v>
      </c>
    </row>
    <row r="5100" ht="15.75" customHeight="1">
      <c r="A5100" s="1">
        <v>5479.0</v>
      </c>
      <c r="B5100" s="3" t="s">
        <v>4952</v>
      </c>
      <c r="C5100" s="3" t="str">
        <f>IFERROR(__xludf.DUMMYFUNCTION("GOOGLETRANSLATE(B5100,""id"",""en"")"),"['signal', 'game', 'missing', 'missing']")</f>
        <v>['signal', 'game', 'missing', 'missing']</v>
      </c>
      <c r="D5100" s="3">
        <v>1.0</v>
      </c>
    </row>
    <row r="5101" ht="15.75" customHeight="1">
      <c r="A5101" s="1">
        <v>5480.0</v>
      </c>
      <c r="B5101" s="3" t="s">
        <v>4953</v>
      </c>
      <c r="C5101" s="3" t="str">
        <f>IFERROR(__xludf.DUMMYFUNCTION("GOOGLETRANSLATE(B5101,""id"",""en"")"),"['woi', 'network', 'problematic', 'repaired', 'fast', 'no', 'damaged', 'pleasure', 'org']")</f>
        <v>['woi', 'network', 'problematic', 'repaired', 'fast', 'no', 'damaged', 'pleasure', 'org']</v>
      </c>
      <c r="D5101" s="3">
        <v>1.0</v>
      </c>
    </row>
    <row r="5102" ht="15.75" customHeight="1">
      <c r="A5102" s="1">
        <v>5481.0</v>
      </c>
      <c r="B5102" s="3" t="s">
        <v>4954</v>
      </c>
      <c r="C5102" s="3" t="str">
        <f>IFERROR(__xludf.DUMMYFUNCTION("GOOGLETRANSLATE(B5102,""id"",""en"")"),"['network', 'okay', 'wherever', 'connection', 'internet', 'stable']")</f>
        <v>['network', 'okay', 'wherever', 'connection', 'internet', 'stable']</v>
      </c>
      <c r="D5102" s="3">
        <v>5.0</v>
      </c>
    </row>
    <row r="5103" ht="15.75" customHeight="1">
      <c r="A5103" s="1">
        <v>5483.0</v>
      </c>
      <c r="B5103" s="3" t="s">
        <v>4955</v>
      </c>
      <c r="C5103" s="3" t="str">
        <f>IFERROR(__xludf.DUMMYFUNCTION("GOOGLETRANSLATE(B5103,""id"",""en"")"),"['Please', 'Admin', 'Exchange', 'Points',' Voucher ',' Success', 'Package', 'Check', 'No', 'Internet', 'Nga', 'Please', ' Confirmation ',' ']")</f>
        <v>['Please', 'Admin', 'Exchange', 'Points',' Voucher ',' Success', 'Package', 'Check', 'No', 'Internet', 'Nga', 'Please', ' Confirmation ',' ']</v>
      </c>
      <c r="D5103" s="3">
        <v>1.0</v>
      </c>
    </row>
    <row r="5104" ht="15.75" customHeight="1">
      <c r="A5104" s="1">
        <v>5484.0</v>
      </c>
      <c r="B5104" s="3" t="s">
        <v>4956</v>
      </c>
      <c r="C5104" s="3" t="str">
        <f>IFERROR(__xludf.DUMMYFUNCTION("GOOGLETRANSLATE(B5104,""id"",""en"")"),"['Network', 'cateeeeet', '']")</f>
        <v>['Network', 'cateeeeet', '']</v>
      </c>
      <c r="D5104" s="3">
        <v>1.0</v>
      </c>
    </row>
    <row r="5105" ht="15.75" customHeight="1">
      <c r="A5105" s="1">
        <v>5486.0</v>
      </c>
      <c r="B5105" s="3" t="s">
        <v>4957</v>
      </c>
      <c r="C5105" s="3" t="str">
        <f>IFERROR(__xludf.DUMMYFUNCTION("GOOGLETRANSLATE(B5105,""id"",""en"")"),"['ugly', 'network', 'APK', 'Out', 'Update', 'Disappointed']")</f>
        <v>['ugly', 'network', 'APK', 'Out', 'Update', 'Disappointed']</v>
      </c>
      <c r="D5105" s="3">
        <v>1.0</v>
      </c>
    </row>
    <row r="5106" ht="15.75" customHeight="1">
      <c r="A5106" s="1">
        <v>5487.0</v>
      </c>
      <c r="B5106" s="3" t="s">
        <v>4958</v>
      </c>
      <c r="C5106" s="3" t="str">
        <f>IFERROR(__xludf.DUMMYFUNCTION("GOOGLETRANSLATE(B5106,""id"",""en"")"),"['right', 'problematic', 'capital', 'sorry', 'compensation', 'anything', 'customer', 'try', 'provider', 'extended', 'reach', 'throw', ' Hopefully ',' In the future ',' Provider ',' expanding ',' The network ',' Change ',' Provider ',' already ',' tired ',"&amp;"' Telkomsel ',' Ngelag ',' quota ',' special ' , 'Dipake', 'feature', 'quota', 'dipake', 'late', 'second', 'activation', 'package', 'pulse', 'tens',' thousand ',' lost ',' Huh ',' fast ',' replace ']")</f>
        <v>['right', 'problematic', 'capital', 'sorry', 'compensation', 'anything', 'customer', 'try', 'provider', 'extended', 'reach', 'throw', ' Hopefully ',' In the future ',' Provider ',' expanding ',' The network ',' Change ',' Provider ',' already ',' tired ',' Telkomsel ',' Ngelag ',' quota ',' special ' , 'Dipake', 'feature', 'quota', 'dipake', 'late', 'second', 'activation', 'package', 'pulse', 'tens',' thousand ',' lost ',' Huh ',' fast ',' replace ']</v>
      </c>
      <c r="D5106" s="3">
        <v>1.0</v>
      </c>
    </row>
    <row r="5107" ht="15.75" customHeight="1">
      <c r="A5107" s="1">
        <v>5489.0</v>
      </c>
      <c r="B5107" s="3" t="s">
        <v>4959</v>
      </c>
      <c r="C5107" s="3" t="str">
        <f>IFERROR(__xludf.DUMMYFUNCTION("GOOGLETRANSLATE(B5107,""id"",""en"")"),"['Times', 'Pakek', 'Telkomsel', 'Game', 'Ngelag', 'Mending', 'Change', 'already', 'Pakek', 'Telkomsel', 'oath', 'disappointed']")</f>
        <v>['Times', 'Pakek', 'Telkomsel', 'Game', 'Ngelag', 'Mending', 'Change', 'already', 'Pakek', 'Telkomsel', 'oath', 'disappointed']</v>
      </c>
      <c r="D5107" s="3">
        <v>1.0</v>
      </c>
    </row>
    <row r="5108" ht="15.75" customHeight="1">
      <c r="A5108" s="1">
        <v>5490.0</v>
      </c>
      <c r="B5108" s="3" t="s">
        <v>4960</v>
      </c>
      <c r="C5108" s="3" t="str">
        <f>IFERROR(__xludf.DUMMYFUNCTION("GOOGLETRANSLATE(B5108,""id"",""en"")"),"['Signal', 'Bad', 'Region', '']")</f>
        <v>['Signal', 'Bad', 'Region', '']</v>
      </c>
      <c r="D5108" s="3">
        <v>2.0</v>
      </c>
    </row>
    <row r="5109" ht="15.75" customHeight="1">
      <c r="A5109" s="1">
        <v>5492.0</v>
      </c>
      <c r="B5109" s="3" t="s">
        <v>4961</v>
      </c>
      <c r="C5109" s="3" t="str">
        <f>IFERROR(__xludf.DUMMYFUNCTION("GOOGLETRANSLATE(B5109,""id"",""en"")"),"['Read', 'post', 'person', 'doubt', 'apk', 'oath', 'doubt', 'really', 'doubt', 'Akau', 'doubt', 'doubt', ' Covering me ',' doubt ',' doubt ',' doubt ',' doubt ',' doubt ',' made ',' doubt ',' doubt ',' seraguraga ']")</f>
        <v>['Read', 'post', 'person', 'doubt', 'apk', 'oath', 'doubt', 'really', 'doubt', 'Akau', 'doubt', 'doubt', ' Covering me ',' doubt ',' doubt ',' doubt ',' doubt ',' doubt ',' made ',' doubt ',' doubt ',' seraguraga ']</v>
      </c>
      <c r="D5109" s="3">
        <v>1.0</v>
      </c>
    </row>
    <row r="5110" ht="15.75" customHeight="1">
      <c r="A5110" s="1">
        <v>5493.0</v>
      </c>
      <c r="B5110" s="3" t="s">
        <v>4962</v>
      </c>
      <c r="C5110" s="3" t="str">
        <f>IFERROR(__xludf.DUMMYFUNCTION("GOOGLETRANSLATE(B5110,""id"",""en"")"),"['SERBA', 'Enasilized', '']")</f>
        <v>['SERBA', 'Enasilized', '']</v>
      </c>
      <c r="D5110" s="3">
        <v>5.0</v>
      </c>
    </row>
    <row r="5111" ht="15.75" customHeight="1">
      <c r="A5111" s="1">
        <v>5494.0</v>
      </c>
      <c r="B5111" s="3" t="s">
        <v>4963</v>
      </c>
      <c r="C5111" s="3" t="str">
        <f>IFERROR(__xludf.DUMMYFUNCTION("GOOGLETRANSLATE(B5111,""id"",""en"")"),"['signal', 'Telkomsel', 'ngeleg', 'really', 'quota', 'contents', 'yesterday', 'tlg', 'assisted', '']")</f>
        <v>['signal', 'Telkomsel', 'ngeleg', 'really', 'quota', 'contents', 'yesterday', 'tlg', 'assisted', '']</v>
      </c>
      <c r="D5111" s="3">
        <v>3.0</v>
      </c>
    </row>
    <row r="5112" ht="15.75" customHeight="1">
      <c r="A5112" s="1">
        <v>5495.0</v>
      </c>
      <c r="B5112" s="3" t="s">
        <v>4964</v>
      </c>
      <c r="C5112" s="3" t="str">
        <f>IFERROR(__xludf.DUMMYFUNCTION("GOOGLETRANSLATE(B5112,""id"",""en"")"),"['Yesterday', 'morning', 'buy', 'quota', 'internet', 'for', 'APK', 'quota', 'enter', 'balance', 'reduced', 'Please', ' His explanation ',' ']")</f>
        <v>['Yesterday', 'morning', 'buy', 'quota', 'internet', 'for', 'APK', 'quota', 'enter', 'balance', 'reduced', 'Please', ' His explanation ',' ']</v>
      </c>
      <c r="D5112" s="3">
        <v>1.0</v>
      </c>
    </row>
    <row r="5113" ht="15.75" customHeight="1">
      <c r="A5113" s="1">
        <v>5496.0</v>
      </c>
      <c r="B5113" s="3" t="s">
        <v>4965</v>
      </c>
      <c r="C5113" s="3" t="str">
        <f>IFERROR(__xludf.DUMMYFUNCTION("GOOGLETRANSLATE(B5113,""id"",""en"")"),"['Sorry', 'please', 'fix', 'signal', 'network', 'here', 'network', 'signal', 'ugly', 'makasih']")</f>
        <v>['Sorry', 'please', 'fix', 'signal', 'network', 'here', 'network', 'signal', 'ugly', 'makasih']</v>
      </c>
      <c r="D5113" s="3">
        <v>2.0</v>
      </c>
    </row>
    <row r="5114" ht="15.75" customHeight="1">
      <c r="A5114" s="1">
        <v>5497.0</v>
      </c>
      <c r="B5114" s="3" t="s">
        <v>4966</v>
      </c>
      <c r="C5114" s="3" t="str">
        <f>IFERROR(__xludf.DUMMYFUNCTION("GOOGLETRANSLATE(B5114,""id"",""en"")"),"['Telkomsel', 'difficult', 'open']")</f>
        <v>['Telkomsel', 'difficult', 'open']</v>
      </c>
      <c r="D5114" s="3">
        <v>2.0</v>
      </c>
    </row>
    <row r="5115" ht="15.75" customHeight="1">
      <c r="A5115" s="1">
        <v>5498.0</v>
      </c>
      <c r="B5115" s="3" t="s">
        <v>4967</v>
      </c>
      <c r="C5115" s="3" t="str">
        <f>IFERROR(__xludf.DUMMYFUNCTION("GOOGLETRANSLATE(B5115,""id"",""en"")"),"['Sanggat', 'Good', 'satisfying']")</f>
        <v>['Sanggat', 'Good', 'satisfying']</v>
      </c>
      <c r="D5115" s="3">
        <v>5.0</v>
      </c>
    </row>
    <row r="5116" ht="15.75" customHeight="1">
      <c r="A5116" s="1">
        <v>5499.0</v>
      </c>
      <c r="B5116" s="3" t="s">
        <v>4968</v>
      </c>
      <c r="C5116" s="3" t="str">
        <f>IFERROR(__xludf.DUMMYFUNCTION("GOOGLETRANSLATE(B5116,""id"",""en"")"),"['How', 'Telkomsel', 'buy', 'package', 'game', 'bia', 'login', 'doang', 'no', 'play', 'please', 'fix', ' ']")</f>
        <v>['How', 'Telkomsel', 'buy', 'package', 'game', 'bia', 'login', 'doang', 'no', 'play', 'please', 'fix', ' ']</v>
      </c>
      <c r="D5116" s="3">
        <v>1.0</v>
      </c>
    </row>
    <row r="5117" ht="15.75" customHeight="1">
      <c r="A5117" s="1">
        <v>5500.0</v>
      </c>
      <c r="B5117" s="3" t="s">
        <v>4969</v>
      </c>
      <c r="C5117" s="3" t="str">
        <f>IFERROR(__xludf.DUMMYFUNCTION("GOOGLETRANSLATE(B5117,""id"",""en"")"),"['', 'User', 'Annual', '']")</f>
        <v>['', 'User', 'Annual', '']</v>
      </c>
      <c r="D5117" s="3">
        <v>4.0</v>
      </c>
    </row>
    <row r="5118" ht="15.75" customHeight="1">
      <c r="A5118" s="1">
        <v>5501.0</v>
      </c>
      <c r="B5118" s="3" t="s">
        <v>4970</v>
      </c>
      <c r="C5118" s="3" t="str">
        <f>IFERROR(__xludf.DUMMYFUNCTION("GOOGLETRANSLATE(B5118,""id"",""en"")"),"['Telkomsel', 'sinnyal', 'garbage', 'urban', 'slow', 'apalgi', 'rural', 'no', 'signal', 'skali', 'package', 'expensive', ' signal ',' ugly ',' contents', 'package', 'internet', 'telkomsel', 'gnti', 'ama', 'tri', 'axis',' lbih ',' bgus', 'signalny' , 'Dri'"&amp;", 'PDA', 'TLKOMSEL', 'Come on', 'Leave', 'Telkomsel', 'Move', 'card', 'garbage']")</f>
        <v>['Telkomsel', 'sinnyal', 'garbage', 'urban', 'slow', 'apalgi', 'rural', 'no', 'signal', 'skali', 'package', 'expensive', ' signal ',' ugly ',' contents', 'package', 'internet', 'telkomsel', 'gnti', 'ama', 'tri', 'axis',' lbih ',' bgus', 'signalny' , 'Dri', 'PDA', 'TLKOMSEL', 'Come on', 'Leave', 'Telkomsel', 'Move', 'card', 'garbage']</v>
      </c>
      <c r="D5118" s="3">
        <v>1.0</v>
      </c>
    </row>
    <row r="5119" ht="15.75" customHeight="1">
      <c r="A5119" s="1">
        <v>5502.0</v>
      </c>
      <c r="B5119" s="3" t="s">
        <v>4971</v>
      </c>
      <c r="C5119" s="3" t="str">
        <f>IFERROR(__xludf.DUMMYFUNCTION("GOOGLETRANSLATE(B5119,""id"",""en"")"),"['Good', 'dowload']")</f>
        <v>['Good', 'dowload']</v>
      </c>
      <c r="D5119" s="3">
        <v>5.0</v>
      </c>
    </row>
    <row r="5120" ht="15.75" customHeight="1">
      <c r="A5120" s="1">
        <v>5503.0</v>
      </c>
      <c r="B5120" s="3" t="s">
        <v>4972</v>
      </c>
      <c r="C5120" s="3" t="str">
        <f>IFERROR(__xludf.DUMMYFUNCTION("GOOGLETRANSLATE(B5120,""id"",""en"")"),"['Kasi', 'Free', '']")</f>
        <v>['Kasi', 'Free', '']</v>
      </c>
      <c r="D5120" s="3">
        <v>5.0</v>
      </c>
    </row>
    <row r="5121" ht="15.75" customHeight="1">
      <c r="A5121" s="1">
        <v>5504.0</v>
      </c>
      <c r="B5121" s="3" t="s">
        <v>4973</v>
      </c>
      <c r="C5121" s="3" t="str">
        <f>IFERROR(__xludf.DUMMYFUNCTION("GOOGLETRANSLATE(B5121,""id"",""en"")"),"['', 'Taya']")</f>
        <v>['', 'Taya']</v>
      </c>
      <c r="D5121" s="3">
        <v>5.0</v>
      </c>
    </row>
    <row r="5122" ht="15.75" customHeight="1">
      <c r="A5122" s="1">
        <v>5505.0</v>
      </c>
      <c r="B5122" s="3" t="s">
        <v>4974</v>
      </c>
      <c r="C5122" s="3" t="str">
        <f>IFERROR(__xludf.DUMMYFUNCTION("GOOGLETRANSLATE(B5122,""id"",""en"")"),"['operator', 'sucked', 'pulse', 'customer', '']")</f>
        <v>['operator', 'sucked', 'pulse', 'customer', '']</v>
      </c>
      <c r="D5122" s="3">
        <v>1.0</v>
      </c>
    </row>
    <row r="5123" ht="15.75" customHeight="1">
      <c r="A5123" s="1">
        <v>5506.0</v>
      </c>
      <c r="B5123" s="3" t="s">
        <v>4975</v>
      </c>
      <c r="C5123" s="3" t="str">
        <f>IFERROR(__xludf.DUMMYFUNCTION("GOOGLETRANSLATE(B5123,""id"",""en"")"),"['package', 'naekin', 'little', 'tod', 'already', 'right', 'plate', 'complicated', 'jing', ""]")</f>
        <v>['package', 'naekin', 'little', 'tod', 'already', 'right', 'plate', 'complicated', 'jing', "]</v>
      </c>
      <c r="D5123" s="3">
        <v>1.0</v>
      </c>
    </row>
    <row r="5124" ht="15.75" customHeight="1">
      <c r="A5124" s="1">
        <v>5507.0</v>
      </c>
      <c r="B5124" s="3" t="s">
        <v>4976</v>
      </c>
      <c r="C5124" s="3" t="str">
        <f>IFERROR(__xludf.DUMMYFUNCTION("GOOGLETRANSLATE(B5124,""id"",""en"")"),"['Application', 'Good', 'Simple', 'Helpful', '']")</f>
        <v>['Application', 'Good', 'Simple', 'Helpful', '']</v>
      </c>
      <c r="D5124" s="3">
        <v>5.0</v>
      </c>
    </row>
    <row r="5125" ht="15.75" customHeight="1">
      <c r="A5125" s="1">
        <v>5508.0</v>
      </c>
      <c r="B5125" s="3" t="s">
        <v>4977</v>
      </c>
      <c r="C5125" s="3" t="str">
        <f>IFERROR(__xludf.DUMMYFUNCTION("GOOGLETRANSLATE(B5125,""id"",""en"")"),"['Buy', 'Package', '']")</f>
        <v>['Buy', 'Package', '']</v>
      </c>
      <c r="D5125" s="3">
        <v>1.0</v>
      </c>
    </row>
    <row r="5126" ht="15.75" customHeight="1">
      <c r="A5126" s="1">
        <v>5509.0</v>
      </c>
      <c r="B5126" s="3" t="s">
        <v>4978</v>
      </c>
      <c r="C5126" s="3" t="str">
        <f>IFERROR(__xludf.DUMMYFUNCTION("GOOGLETRANSLATE(B5126,""id"",""en"")"),"['Really', 'help']")</f>
        <v>['Really', 'help']</v>
      </c>
      <c r="D5126" s="3">
        <v>5.0</v>
      </c>
    </row>
    <row r="5127" ht="15.75" customHeight="1">
      <c r="A5127" s="1">
        <v>5510.0</v>
      </c>
      <c r="B5127" s="3" t="s">
        <v>4979</v>
      </c>
      <c r="C5127" s="3" t="str">
        <f>IFERROR(__xludf.DUMMYFUNCTION("GOOGLETRANSLATE(B5127,""id"",""en"")"),"['Please', 'The Network', 'Gencang', 'Slow']")</f>
        <v>['Please', 'The Network', 'Gencang', 'Slow']</v>
      </c>
      <c r="D5127" s="3">
        <v>5.0</v>
      </c>
    </row>
    <row r="5128" ht="15.75" customHeight="1">
      <c r="A5128" s="1">
        <v>5511.0</v>
      </c>
      <c r="B5128" s="3" t="s">
        <v>4980</v>
      </c>
      <c r="C5128" s="3" t="str">
        <f>IFERROR(__xludf.DUMMYFUNCTION("GOOGLETRANSLATE(B5128,""id"",""en"")"),"['Telkomsel', 'network', 'BERES', 'expensive', 'network', 'kayak', 'snail', 'slow', ""]")</f>
        <v>['Telkomsel', 'network', 'BERES', 'expensive', 'network', 'kayak', 'snail', 'slow', "]</v>
      </c>
      <c r="D5128" s="3">
        <v>1.0</v>
      </c>
    </row>
    <row r="5129" ht="15.75" customHeight="1">
      <c r="A5129" s="1">
        <v>5512.0</v>
      </c>
      <c r="B5129" s="3" t="s">
        <v>4981</v>
      </c>
      <c r="C5129" s="3" t="str">
        <f>IFERROR(__xludf.DUMMYFUNCTION("GOOGLETRANSLATE(B5129,""id"",""en"")"),"['Promotions', 'NGK', 'Believe', ""]")</f>
        <v>['Promotions', 'NGK', 'Believe', "]</v>
      </c>
      <c r="D5129" s="3">
        <v>1.0</v>
      </c>
    </row>
    <row r="5130" ht="15.75" customHeight="1">
      <c r="A5130" s="1">
        <v>5513.0</v>
      </c>
      <c r="B5130" s="3" t="s">
        <v>4982</v>
      </c>
      <c r="C5130" s="3" t="str">
        <f>IFERROR(__xludf.DUMMYFUNCTION("GOOGLETRANSLATE(B5130,""id"",""en"")"),"['Nukar', 'Coins', 'Data', 'Failed', 'Mulu', 'Males', 'Make', 'Card', 'Telkom']")</f>
        <v>['Nukar', 'Coins', 'Data', 'Failed', 'Mulu', 'Males', 'Make', 'Card', 'Telkom']</v>
      </c>
      <c r="D5130" s="3">
        <v>1.0</v>
      </c>
    </row>
    <row r="5131" ht="15.75" customHeight="1">
      <c r="A5131" s="1">
        <v>5514.0</v>
      </c>
      <c r="B5131" s="3" t="s">
        <v>4983</v>
      </c>
      <c r="C5131" s="3" t="str">
        <f>IFERROR(__xludf.DUMMYFUNCTION("GOOGLETRANSLATE(B5131,""id"",""en"")"),"['Sometimes', 'signal', 'bad', 'stable']")</f>
        <v>['Sometimes', 'signal', 'bad', 'stable']</v>
      </c>
      <c r="D5131" s="3">
        <v>4.0</v>
      </c>
    </row>
    <row r="5132" ht="15.75" customHeight="1">
      <c r="A5132" s="1">
        <v>5515.0</v>
      </c>
      <c r="B5132" s="3" t="s">
        <v>4984</v>
      </c>
      <c r="C5132" s="3" t="str">
        <f>IFERROR(__xludf.DUMMYFUNCTION("GOOGLETRANSLATE(B5132,""id"",""en"")"),"['Steady', 'contents', 'reset', 'ribet']")</f>
        <v>['Steady', 'contents', 'reset', 'ribet']</v>
      </c>
      <c r="D5132" s="3">
        <v>5.0</v>
      </c>
    </row>
    <row r="5133" ht="15.75" customHeight="1">
      <c r="A5133" s="1">
        <v>5516.0</v>
      </c>
      <c r="B5133" s="3" t="s">
        <v>4985</v>
      </c>
      <c r="C5133" s="3" t="str">
        <f>IFERROR(__xludf.DUMMYFUNCTION("GOOGLETRANSLATE(B5133,""id"",""en"")"),"['package', 'internet', 'expensive', 'browsing', 'muter', 'koyok', 'conch', 'beg', 'repaired', 'in the area', 'garden', 'sda', ' Internet ',' sympathy ',' thanks']")</f>
        <v>['package', 'internet', 'expensive', 'browsing', 'muter', 'koyok', 'conch', 'beg', 'repaired', 'in the area', 'garden', 'sda', ' Internet ',' sympathy ',' thanks']</v>
      </c>
      <c r="D5133" s="3">
        <v>1.0</v>
      </c>
    </row>
    <row r="5134" ht="15.75" customHeight="1">
      <c r="A5134" s="1">
        <v>5517.0</v>
      </c>
      <c r="B5134" s="3" t="s">
        <v>4986</v>
      </c>
      <c r="C5134" s="3" t="str">
        <f>IFERROR(__xludf.DUMMYFUNCTION("GOOGLETRANSLATE(B5134,""id"",""en"")"),"['Steady', 'Sampe', 'Angry', 'Emak']")</f>
        <v>['Steady', 'Sampe', 'Angry', 'Emak']</v>
      </c>
      <c r="D5134" s="3">
        <v>5.0</v>
      </c>
    </row>
    <row r="5135" ht="15.75" customHeight="1">
      <c r="A5135" s="1">
        <v>5518.0</v>
      </c>
      <c r="B5135" s="3" t="s">
        <v>4987</v>
      </c>
      <c r="C5135" s="3" t="str">
        <f>IFERROR(__xludf.DUMMYFUNCTION("GOOGLETRANSLATE(B5135,""id"",""en"")"),"['pulse', 'kepotang', 'transaction', 'already', 'rich', 'thief', '']")</f>
        <v>['pulse', 'kepotang', 'transaction', 'already', 'rich', 'thief', '']</v>
      </c>
      <c r="D5135" s="3">
        <v>1.0</v>
      </c>
    </row>
    <row r="5136" ht="15.75" customHeight="1">
      <c r="A5136" s="1">
        <v>5519.0</v>
      </c>
      <c r="B5136" s="3" t="s">
        <v>4988</v>
      </c>
      <c r="C5136" s="3" t="str">
        <f>IFERROR(__xludf.DUMMYFUNCTION("GOOGLETRANSLATE(B5136,""id"",""en"")"),"['network', 'internet', 'Telkomsel', 'quality', 'slow', 'buy', 'package', 'expensive', 'quality', 'network', 'quality', 'edge']")</f>
        <v>['network', 'internet', 'Telkomsel', 'quality', 'slow', 'buy', 'package', 'expensive', 'quality', 'network', 'quality', 'edge']</v>
      </c>
      <c r="D5136" s="3">
        <v>1.0</v>
      </c>
    </row>
    <row r="5137" ht="15.75" customHeight="1">
      <c r="A5137" s="1">
        <v>5520.0</v>
      </c>
      <c r="B5137" s="3" t="s">
        <v>4989</v>
      </c>
      <c r="C5137" s="3" t="str">
        <f>IFERROR(__xludf.DUMMYFUNCTION("GOOGLETRANSLATE(B5137,""id"",""en"")"),"['Telkomsel', 'ugly', 'bapuk', 'really', 'signal', 'error', 'expensive', 'doang', 'wkwkw']")</f>
        <v>['Telkomsel', 'ugly', 'bapuk', 'really', 'signal', 'error', 'expensive', 'doang', 'wkwkw']</v>
      </c>
      <c r="D5137" s="3">
        <v>1.0</v>
      </c>
    </row>
    <row r="5138" ht="15.75" customHeight="1">
      <c r="A5138" s="1">
        <v>5521.0</v>
      </c>
      <c r="B5138" s="3" t="s">
        <v>1435</v>
      </c>
      <c r="C5138" s="3" t="str">
        <f>IFERROR(__xludf.DUMMYFUNCTION("GOOGLETRANSLATE(B5138,""id"",""en"")"),"['help', '']")</f>
        <v>['help', '']</v>
      </c>
      <c r="D5138" s="3">
        <v>4.0</v>
      </c>
    </row>
    <row r="5139" ht="15.75" customHeight="1">
      <c r="A5139" s="1">
        <v>5522.0</v>
      </c>
      <c r="B5139" s="3" t="s">
        <v>4990</v>
      </c>
      <c r="C5139" s="3" t="str">
        <f>IFERROR(__xludf.DUMMYFUNCTION("GOOGLETRANSLATE(B5139,""id"",""en"")"),"['Many', 'contents', 'pulse', 'take-up', 'pdhall', 'wifi']")</f>
        <v>['Many', 'contents', 'pulse', 'take-up', 'pdhall', 'wifi']</v>
      </c>
      <c r="D5139" s="3">
        <v>1.0</v>
      </c>
    </row>
    <row r="5140" ht="15.75" customHeight="1">
      <c r="A5140" s="1">
        <v>5524.0</v>
      </c>
      <c r="B5140" s="3" t="s">
        <v>4991</v>
      </c>
      <c r="C5140" s="3" t="str">
        <f>IFERROR(__xludf.DUMMYFUNCTION("GOOGLETRANSLATE(B5140,""id"",""en"")"),"['application', 'good', 'Telkomsel', 'signal', 'threat', 'try', 'survive', 'Telkomsel', 'hope', 'repair', ""]")</f>
        <v>['application', 'good', 'Telkomsel', 'signal', 'threat', 'try', 'survive', 'Telkomsel', 'hope', 'repair', "]</v>
      </c>
      <c r="D5140" s="3">
        <v>4.0</v>
      </c>
    </row>
    <row r="5141" ht="15.75" customHeight="1">
      <c r="A5141" s="1">
        <v>5525.0</v>
      </c>
      <c r="B5141" s="3" t="s">
        <v>4992</v>
      </c>
      <c r="C5141" s="3" t="str">
        <f>IFERROR(__xludf.DUMMYFUNCTION("GOOGLETRANSLATE(B5141,""id"",""en"")"),"['Satisfied', 'card', 'Telkomsel']")</f>
        <v>['Satisfied', 'card', 'Telkomsel']</v>
      </c>
      <c r="D5141" s="3">
        <v>5.0</v>
      </c>
    </row>
    <row r="5142" ht="15.75" customHeight="1">
      <c r="A5142" s="1">
        <v>5526.0</v>
      </c>
      <c r="B5142" s="3" t="s">
        <v>4993</v>
      </c>
      <c r="C5142" s="3" t="str">
        <f>IFERROR(__xludf.DUMMYFUNCTION("GOOGLETRANSLATE(B5142,""id"",""en"")"),"['signal', 'Telkomsel', 'severe', 'bangetttttttttttttttttttttttttttttttttttttt', 'lemoooottttttt', 'special', 'region', 'oki', 'sumsel', 'sickening', 'try', ' Control ',' Njirrr ',' SOP ',' Pay ',' Package ',' Free ',' Citizens', 'Oki', 'Village', 'Mari',"&amp;" 'Change', 'Card', 'Use' , 'Telkomsel', '']")</f>
        <v>['signal', 'Telkomsel', 'severe', 'bangetttttttttttttttttttttttttttttttttttttt', 'lemoooottttttt', 'special', 'region', 'oki', 'sumsel', 'sickening', 'try', ' Control ',' Njirrr ',' SOP ',' Pay ',' Package ',' Free ',' Citizens', 'Oki', 'Village', 'Mari', 'Change', 'Card', 'Use' , 'Telkomsel', '']</v>
      </c>
      <c r="D5142" s="3">
        <v>1.0</v>
      </c>
    </row>
    <row r="5143" ht="15.75" customHeight="1">
      <c r="A5143" s="1">
        <v>5527.0</v>
      </c>
      <c r="B5143" s="3" t="s">
        <v>4994</v>
      </c>
      <c r="C5143" s="3" t="str">
        <f>IFERROR(__xludf.DUMMYFUNCTION("GOOGLETRANSLATE(B5143,""id"",""en"")"),"['Telkomsel', 'contents',' pulse ',' nominal ',' cut ',' credit ',' emergency ',' contents', 'rb', 'finished', 'cut', 'pulse', ' emergency ',' contents', 'rb', 'run out', 'cut', 'pulse', 'emergency', 'test', 'contents',' rb ',' cut ',' pulse ',' emergency"&amp;" ' , 'curious', 'contents', 'credit', 'rb', 'cut', 'owe', 'credit', 'emergency', 'back', 'pulses', ""]")</f>
        <v>['Telkomsel', 'contents',' pulse ',' nominal ',' cut ',' credit ',' emergency ',' contents', 'rb', 'finished', 'cut', 'pulse', ' emergency ',' contents', 'rb', 'run out', 'cut', 'pulse', 'emergency', 'test', 'contents',' rb ',' cut ',' pulse ',' emergency ' , 'curious', 'contents', 'credit', 'rb', 'cut', 'owe', 'credit', 'emergency', 'back', 'pulses', "]</v>
      </c>
      <c r="D5143" s="3">
        <v>1.0</v>
      </c>
    </row>
    <row r="5144" ht="15.75" customHeight="1">
      <c r="A5144" s="1">
        <v>5528.0</v>
      </c>
      <c r="B5144" s="3" t="s">
        <v>4995</v>
      </c>
      <c r="C5144" s="3" t="str">
        <f>IFERROR(__xludf.DUMMYFUNCTION("GOOGLETRANSLATE(B5144,""id"",""en"")"),"['Network', 'rich', 'pig', 'slow', 'really', 'pending', 'here', 'no', 'pretentious',' provider ',' network ',' broke ',' regret ',' cave ',' buy ',' expensive ',' quality ',' network ',' pulp ']")</f>
        <v>['Network', 'rich', 'pig', 'slow', 'really', 'pending', 'here', 'no', 'pretentious',' provider ',' network ',' broke ',' regret ',' cave ',' buy ',' expensive ',' quality ',' network ',' pulp ']</v>
      </c>
      <c r="D5144" s="3">
        <v>1.0</v>
      </c>
    </row>
    <row r="5145" ht="15.75" customHeight="1">
      <c r="A5145" s="1">
        <v>5530.0</v>
      </c>
      <c r="B5145" s="3" t="s">
        <v>4996</v>
      </c>
      <c r="C5145" s="3" t="str">
        <f>IFERROR(__xludf.DUMMYFUNCTION("GOOGLETRANSLATE(B5145,""id"",""en"")"),"['Bye', 'Bye', 'Telkomnyet']")</f>
        <v>['Bye', 'Bye', 'Telkomnyet']</v>
      </c>
      <c r="D5145" s="3">
        <v>1.0</v>
      </c>
    </row>
    <row r="5146" ht="15.75" customHeight="1">
      <c r="A5146" s="1">
        <v>5531.0</v>
      </c>
      <c r="B5146" s="3" t="s">
        <v>4997</v>
      </c>
      <c r="C5146" s="3" t="str">
        <f>IFERROR(__xludf.DUMMYFUNCTION("GOOGLETRANSLATE(B5146,""id"",""en"")"),"['Network', 'limit', 'steady', ""]")</f>
        <v>['Network', 'limit', 'steady', "]</v>
      </c>
      <c r="D5146" s="3">
        <v>5.0</v>
      </c>
    </row>
    <row r="5147" ht="15.75" customHeight="1">
      <c r="A5147" s="1">
        <v>5532.0</v>
      </c>
      <c r="B5147" s="3" t="s">
        <v>4998</v>
      </c>
      <c r="C5147" s="3" t="str">
        <f>IFERROR(__xludf.DUMMYFUNCTION("GOOGLETRANSLATE(B5147,""id"",""en"")"),"['brapa', 'user', 'indihome', 'card', 'hello', 'really', 'every time', 'date', 'jatoh', 'tempo', 'always',' error ',' SLAMA ',' Elements', 'Deliberate', 'all', 'Customer', 'Indihome', 'Karto', 'Hello', 'get', 'Dena', 'People', 'Dena', 'times' , 'people', "&amp;"'brapa', 'users', 'Telkomsel', 'millions', 'people', 'take', 'chancy', 'kah', 'every time', 'fine']")</f>
        <v>['brapa', 'user', 'indihome', 'card', 'hello', 'really', 'every time', 'date', 'jatoh', 'tempo', 'always',' error ',' SLAMA ',' Elements', 'Deliberate', 'all', 'Customer', 'Indihome', 'Karto', 'Hello', 'get', 'Dena', 'People', 'Dena', 'times' , 'people', 'brapa', 'users', 'Telkomsel', 'millions', 'people', 'take', 'chancy', 'kah', 'every time', 'fine']</v>
      </c>
      <c r="D5147" s="3">
        <v>5.0</v>
      </c>
    </row>
    <row r="5148" ht="15.75" customHeight="1">
      <c r="A5148" s="1">
        <v>5533.0</v>
      </c>
      <c r="B5148" s="3" t="s">
        <v>4999</v>
      </c>
      <c r="C5148" s="3" t="str">
        <f>IFERROR(__xludf.DUMMYFUNCTION("GOOGLETRANSLATE(B5148,""id"",""en"")"),"['Paketan', 'expensive', 'network', 'ilang', 'already', 'that's',' ilangnya ',' bete ',' push ',' rank ',' car ',' legend ',' improve ',' quality ',' network ',' ']")</f>
        <v>['Paketan', 'expensive', 'network', 'ilang', 'already', 'that's',' ilangnya ',' bete ',' push ',' rank ',' car ',' legend ',' improve ',' quality ',' network ',' ']</v>
      </c>
      <c r="D5148" s="3">
        <v>1.0</v>
      </c>
    </row>
    <row r="5149" ht="15.75" customHeight="1">
      <c r="A5149" s="1">
        <v>5534.0</v>
      </c>
      <c r="B5149" s="3" t="s">
        <v>5000</v>
      </c>
      <c r="C5149" s="3" t="str">
        <f>IFERROR(__xludf.DUMMYFUNCTION("GOOGLETRANSLATE(B5149,""id"",""en"")"),"['makes it easier', 'Affairs']")</f>
        <v>['makes it easier', 'Affairs']</v>
      </c>
      <c r="D5149" s="3">
        <v>5.0</v>
      </c>
    </row>
    <row r="5150" ht="15.75" customHeight="1">
      <c r="A5150" s="1">
        <v>5535.0</v>
      </c>
      <c r="B5150" s="3" t="s">
        <v>5001</v>
      </c>
      <c r="C5150" s="3" t="str">
        <f>IFERROR(__xludf.DUMMYFUNCTION("GOOGLETRANSLATE(B5150,""id"",""en"")"),"['Kerenn', 'Paketan', 'Combo', 'Sakti', 'Card', 'Muraahhh', 'Bangeetttt', ""]")</f>
        <v>['Kerenn', 'Paketan', 'Combo', 'Sakti', 'Card', 'Muraahhh', 'Bangeetttt', "]</v>
      </c>
      <c r="D5150" s="3">
        <v>5.0</v>
      </c>
    </row>
    <row r="5151" ht="15.75" customHeight="1">
      <c r="A5151" s="1">
        <v>5536.0</v>
      </c>
      <c r="B5151" s="3" t="s">
        <v>5002</v>
      </c>
      <c r="C5151" s="3" t="str">
        <f>IFERROR(__xludf.DUMMYFUNCTION("GOOGLETRANSLATE(B5151,""id"",""en"")"),"['Cape', 'Telkomsel', 'buy', 'pulse', 'activated', 'data', 'still', 'sumps',' so ',' buy ',' pulse ',' activated ',' Package ',' difficult ',' recommendation ',' ']")</f>
        <v>['Cape', 'Telkomsel', 'buy', 'pulse', 'activated', 'data', 'still', 'sumps',' so ',' buy ',' pulse ',' activated ',' Package ',' difficult ',' recommendation ',' ']</v>
      </c>
      <c r="D5151" s="3">
        <v>1.0</v>
      </c>
    </row>
    <row r="5152" ht="15.75" customHeight="1">
      <c r="A5152" s="1">
        <v>5537.0</v>
      </c>
      <c r="B5152" s="3" t="s">
        <v>5003</v>
      </c>
      <c r="C5152" s="3" t="str">
        <f>IFERROR(__xludf.DUMMYFUNCTION("GOOGLETRANSLATE(B5152,""id"",""en"")"),"['my computer', 'price', 'expensive', 'already', 'my computer', 'divided', '']")</f>
        <v>['my computer', 'price', 'expensive', 'already', 'my computer', 'divided', '']</v>
      </c>
      <c r="D5152" s="3">
        <v>3.0</v>
      </c>
    </row>
    <row r="5153" ht="15.75" customHeight="1">
      <c r="A5153" s="1">
        <v>5538.0</v>
      </c>
      <c r="B5153" s="3" t="s">
        <v>5004</v>
      </c>
      <c r="C5153" s="3" t="str">
        <f>IFERROR(__xludf.DUMMYFUNCTION("GOOGLETRANSLATE(B5153,""id"",""en"")"),"['Current', 'network', '']")</f>
        <v>['Current', 'network', '']</v>
      </c>
      <c r="D5153" s="3">
        <v>5.0</v>
      </c>
    </row>
    <row r="5154" ht="15.75" customHeight="1">
      <c r="A5154" s="1">
        <v>5539.0</v>
      </c>
      <c r="B5154" s="3" t="s">
        <v>5005</v>
      </c>
      <c r="C5154" s="3" t="str">
        <f>IFERROR(__xludf.DUMMYFUNCTION("GOOGLETRANSLATE(B5154,""id"",""en"")"),"['Synity', 'Joss', 'Weather', 'Overcast']")</f>
        <v>['Synity', 'Joss', 'Weather', 'Overcast']</v>
      </c>
      <c r="D5154" s="3">
        <v>5.0</v>
      </c>
    </row>
    <row r="5155" ht="15.75" customHeight="1">
      <c r="A5155" s="1">
        <v>5540.0</v>
      </c>
      <c r="B5155" s="3" t="s">
        <v>1918</v>
      </c>
      <c r="C5155" s="3" t="str">
        <f>IFERROR(__xludf.DUMMYFUNCTION("GOOGLETRANSLATE(B5155,""id"",""en"")"),"['Signal', 'Severe', '']")</f>
        <v>['Signal', 'Severe', '']</v>
      </c>
      <c r="D5155" s="3">
        <v>1.0</v>
      </c>
    </row>
    <row r="5156" ht="15.75" customHeight="1">
      <c r="A5156" s="1">
        <v>5541.0</v>
      </c>
      <c r="B5156" s="3" t="s">
        <v>5006</v>
      </c>
      <c r="C5156" s="3" t="str">
        <f>IFERROR(__xludf.DUMMYFUNCTION("GOOGLETRANSLATE(B5156,""id"",""en"")"),"['', 'Please', 'Lower', 'Price']")</f>
        <v>['', 'Please', 'Lower', 'Price']</v>
      </c>
      <c r="D5156" s="3">
        <v>5.0</v>
      </c>
    </row>
    <row r="5157" ht="15.75" customHeight="1">
      <c r="A5157" s="1">
        <v>5542.0</v>
      </c>
      <c r="B5157" s="3" t="s">
        <v>5007</v>
      </c>
      <c r="C5157" s="3" t="str">
        <f>IFERROR(__xludf.DUMMYFUNCTION("GOOGLETRANSLATE(B5157,""id"",""en"")"),"['internet', 'expensive', 'price']")</f>
        <v>['internet', 'expensive', 'price']</v>
      </c>
      <c r="D5157" s="3">
        <v>1.0</v>
      </c>
    </row>
    <row r="5158" ht="15.75" customHeight="1">
      <c r="A5158" s="1">
        <v>5543.0</v>
      </c>
      <c r="B5158" s="3" t="s">
        <v>5008</v>
      </c>
      <c r="C5158" s="3" t="str">
        <f>IFERROR(__xludf.DUMMYFUNCTION("GOOGLETRANSLATE(B5158,""id"",""en"")"),"['Unlimited', 'YouTube', 'Suck', 'Quota', 'Main', 'Sampe', 'Abis', 'Basic', 'PAOK']")</f>
        <v>['Unlimited', 'YouTube', 'Suck', 'Quota', 'Main', 'Sampe', 'Abis', 'Basic', 'PAOK']</v>
      </c>
      <c r="D5158" s="3">
        <v>1.0</v>
      </c>
    </row>
    <row r="5159" ht="15.75" customHeight="1">
      <c r="A5159" s="1">
        <v>5544.0</v>
      </c>
      <c r="B5159" s="3" t="s">
        <v>5009</v>
      </c>
      <c r="C5159" s="3" t="str">
        <f>IFERROR(__xludf.DUMMYFUNCTION("GOOGLETRANSLATE(B5159,""id"",""en"")"),"['signal', 'ugly', 'times', 'cem', 'telkom', 'gajelas']")</f>
        <v>['signal', 'ugly', 'times', 'cem', 'telkom', 'gajelas']</v>
      </c>
      <c r="D5159" s="3">
        <v>1.0</v>
      </c>
    </row>
    <row r="5160" ht="15.75" customHeight="1">
      <c r="A5160" s="1">
        <v>5545.0</v>
      </c>
      <c r="B5160" s="3" t="s">
        <v>5010</v>
      </c>
      <c r="C5160" s="3" t="str">
        <f>IFERROR(__xludf.DUMMYFUNCTION("GOOGLETRANSLATE(B5160,""id"",""en"")"),"['application', 'good', 'dapt', 'quota', 'grtis']")</f>
        <v>['application', 'good', 'dapt', 'quota', 'grtis']</v>
      </c>
      <c r="D5160" s="3">
        <v>5.0</v>
      </c>
    </row>
    <row r="5161" ht="15.75" customHeight="1">
      <c r="A5161" s="1">
        <v>5546.0</v>
      </c>
      <c r="B5161" s="3" t="s">
        <v>5011</v>
      </c>
      <c r="C5161" s="3" t="str">
        <f>IFERROR(__xludf.DUMMYFUNCTION("GOOGLETRANSLATE(B5161,""id"",""en"")"),"['Recommended', 'APL', 'MyTelkomsel']")</f>
        <v>['Recommended', 'APL', 'MyTelkomsel']</v>
      </c>
      <c r="D5161" s="3">
        <v>5.0</v>
      </c>
    </row>
    <row r="5162" ht="15.75" customHeight="1">
      <c r="A5162" s="1">
        <v>5548.0</v>
      </c>
      <c r="B5162" s="3" t="s">
        <v>5012</v>
      </c>
      <c r="C5162" s="3" t="str">
        <f>IFERROR(__xludf.DUMMYFUNCTION("GOOGLETRANSLATE(B5162,""id"",""en"")"),"['like', 'unlimitedmax', 'speed', 'bad', 'quota', 'main', 'run out', 'unlimitedmax', '']")</f>
        <v>['like', 'unlimitedmax', 'speed', 'bad', 'quota', 'main', 'run out', 'unlimitedmax', '']</v>
      </c>
      <c r="D5162" s="3">
        <v>1.0</v>
      </c>
    </row>
    <row r="5163" ht="15.75" customHeight="1">
      <c r="A5163" s="1">
        <v>5549.0</v>
      </c>
      <c r="B5163" s="3" t="s">
        <v>5013</v>
      </c>
      <c r="C5163" s="3" t="str">
        <f>IFERROR(__xludf.DUMMYFUNCTION("GOOGLETRANSLATE(B5163,""id"",""en"")"),"['APK', 'Good', 'Service', 'Enhanced']")</f>
        <v>['APK', 'Good', 'Service', 'Enhanced']</v>
      </c>
      <c r="D5163" s="3">
        <v>4.0</v>
      </c>
    </row>
    <row r="5164" ht="15.75" customHeight="1">
      <c r="A5164" s="1">
        <v>5550.0</v>
      </c>
      <c r="B5164" s="3" t="s">
        <v>5014</v>
      </c>
      <c r="C5164" s="3" t="str">
        <f>IFERROR(__xludf.DUMMYFUNCTION("GOOGLETRANSLATE(B5164,""id"",""en"")"),"['Enter', 'quota', 'how', 'Telkomsel']")</f>
        <v>['Enter', 'quota', 'how', 'Telkomsel']</v>
      </c>
      <c r="D5164" s="3">
        <v>1.0</v>
      </c>
    </row>
    <row r="5165" ht="15.75" customHeight="1">
      <c r="A5165" s="1">
        <v>5551.0</v>
      </c>
      <c r="B5165" s="3" t="s">
        <v>5015</v>
      </c>
      <c r="C5165" s="3" t="str">
        <f>IFERROR(__xludf.DUMMYFUNCTION("GOOGLETRANSLATE(B5165,""id"",""en"")"),"['card', 'doang', 'expensive', 'quality', 'no', 'signal', 'like', 'missing', ""]")</f>
        <v>['card', 'doang', 'expensive', 'quality', 'no', 'signal', 'like', 'missing', "]</v>
      </c>
      <c r="D5165" s="3">
        <v>1.0</v>
      </c>
    </row>
    <row r="5166" ht="15.75" customHeight="1">
      <c r="A5166" s="1">
        <v>5552.0</v>
      </c>
      <c r="B5166" s="3" t="s">
        <v>5016</v>
      </c>
      <c r="C5166" s="3" t="str">
        <f>IFERROR(__xludf.DUMMYFUNCTION("GOOGLETRANSLATE(B5166,""id"",""en"")"),"['Effective', 'Efficient']")</f>
        <v>['Effective', 'Efficient']</v>
      </c>
      <c r="D5166" s="3">
        <v>5.0</v>
      </c>
    </row>
    <row r="5167" ht="15.75" customHeight="1">
      <c r="A5167" s="1">
        <v>5554.0</v>
      </c>
      <c r="B5167" s="3" t="s">
        <v>5017</v>
      </c>
      <c r="C5167" s="3" t="str">
        <f>IFERROR(__xludf.DUMMYFUNCTION("GOOGLETRANSLATE(B5167,""id"",""en"")"),"['Good', 'signal', 'Where']")</f>
        <v>['Good', 'signal', 'Where']</v>
      </c>
      <c r="D5167" s="3">
        <v>5.0</v>
      </c>
    </row>
    <row r="5168" ht="15.75" customHeight="1">
      <c r="A5168" s="1">
        <v>5555.0</v>
      </c>
      <c r="B5168" s="3" t="s">
        <v>5018</v>
      </c>
      <c r="C5168" s="3" t="str">
        <f>IFERROR(__xludf.DUMMYFUNCTION("GOOGLETRANSLATE(B5168,""id"",""en"")"),"['Good', 'service', 'Customer']")</f>
        <v>['Good', 'service', 'Customer']</v>
      </c>
      <c r="D5168" s="3">
        <v>1.0</v>
      </c>
    </row>
    <row r="5169" ht="15.75" customHeight="1">
      <c r="A5169" s="1">
        <v>5556.0</v>
      </c>
      <c r="B5169" s="3" t="s">
        <v>5019</v>
      </c>
      <c r="C5169" s="3" t="str">
        <f>IFERROR(__xludf.DUMMYFUNCTION("GOOGLETRANSLATE(B5169,""id"",""en"")"),"['Anyway', 'complete', 'top', 'markotop', 'application', 'help', 'thank', 'love']")</f>
        <v>['Anyway', 'complete', 'top', 'markotop', 'application', 'help', 'thank', 'love']</v>
      </c>
      <c r="D5169" s="3">
        <v>5.0</v>
      </c>
    </row>
    <row r="5170" ht="15.75" customHeight="1">
      <c r="A5170" s="1">
        <v>5557.0</v>
      </c>
      <c r="B5170" s="3" t="s">
        <v>5020</v>
      </c>
      <c r="C5170" s="3" t="str">
        <f>IFERROR(__xludf.DUMMYFUNCTION("GOOGLETRANSLATE(B5170,""id"",""en"")"),"['thank', 'love', 'Telkomsel', 'makes it easy', 'citizens',' Indonesia ',' active ',' card ',' active ',' packet ',' grace ',' card ',' Telkomsel ',' ']")</f>
        <v>['thank', 'love', 'Telkomsel', 'makes it easy', 'citizens',' Indonesia ',' active ',' card ',' active ',' packet ',' grace ',' card ',' Telkomsel ',' ']</v>
      </c>
      <c r="D5170" s="3">
        <v>5.0</v>
      </c>
    </row>
    <row r="5171" ht="15.75" customHeight="1">
      <c r="A5171" s="1">
        <v>5558.0</v>
      </c>
      <c r="B5171" s="3" t="s">
        <v>34</v>
      </c>
      <c r="C5171" s="3" t="str">
        <f>IFERROR(__xludf.DUMMYFUNCTION("GOOGLETRANSLATE(B5171,""id"",""en"")"),"['', 'simple']")</f>
        <v>['', 'simple']</v>
      </c>
      <c r="D5171" s="3">
        <v>5.0</v>
      </c>
    </row>
    <row r="5172" ht="15.75" customHeight="1">
      <c r="A5172" s="1">
        <v>5559.0</v>
      </c>
      <c r="B5172" s="3" t="s">
        <v>5021</v>
      </c>
      <c r="C5172" s="3" t="str">
        <f>IFERROR(__xludf.DUMMYFUNCTION("GOOGLETRANSLATE(B5172,""id"",""en"")"),"['Thank you', 'Telkomsel', 'Applications', 'Good', 'Very', 'Promo']")</f>
        <v>['Thank you', 'Telkomsel', 'Applications', 'Good', 'Very', 'Promo']</v>
      </c>
      <c r="D5172" s="3">
        <v>5.0</v>
      </c>
    </row>
    <row r="5173" ht="15.75" customHeight="1">
      <c r="A5173" s="1">
        <v>5560.0</v>
      </c>
      <c r="B5173" s="3" t="s">
        <v>5022</v>
      </c>
      <c r="C5173" s="3" t="str">
        <f>IFERROR(__xludf.DUMMYFUNCTION("GOOGLETRANSLATE(B5173,""id"",""en"")"),"['Telkomsel', 'how', 'gajelas',' really ',' network ',' missing ',' ngeselin ',' buy ',' package ',' expensive ',' the network ',' get ',' equivalent ',' price ',' disappointed ',' really ',' buy ',' Telkomsel ',' klk ',' kek ',' gini ',' trs', 'please', "&amp;"'repay', 'network' , 'Gajelas', 'Kek', 'Gini', 'Ngelag', 'Mulu']")</f>
        <v>['Telkomsel', 'how', 'gajelas',' really ',' network ',' missing ',' ngeselin ',' buy ',' package ',' expensive ',' the network ',' get ',' equivalent ',' price ',' disappointed ',' really ',' buy ',' Telkomsel ',' klk ',' kek ',' gini ',' trs', 'please', 'repay', 'network' , 'Gajelas', 'Kek', 'Gini', 'Ngelag', 'Mulu']</v>
      </c>
      <c r="D5173" s="3">
        <v>1.0</v>
      </c>
    </row>
    <row r="5174" ht="15.75" customHeight="1">
      <c r="A5174" s="1">
        <v>5561.0</v>
      </c>
      <c r="B5174" s="3" t="s">
        <v>5023</v>
      </c>
      <c r="C5174" s="3" t="str">
        <f>IFERROR(__xludf.DUMMYFUNCTION("GOOGLETRANSLATE(B5174,""id"",""en"")"),"['easy', 'operation', 'help']")</f>
        <v>['easy', 'operation', 'help']</v>
      </c>
      <c r="D5174" s="3">
        <v>5.0</v>
      </c>
    </row>
    <row r="5175" ht="15.75" customHeight="1">
      <c r="A5175" s="1">
        <v>5562.0</v>
      </c>
      <c r="B5175" s="3" t="s">
        <v>5024</v>
      </c>
      <c r="C5175" s="3" t="str">
        <f>IFERROR(__xludf.DUMMYFUNCTION("GOOGLETRANSLATE(B5175,""id"",""en"")"),"['application', 'heavy', 'really', 'nakya', 'kayak', 'game', 'online', 'heavy', 'check', 'pulse', 'doang']")</f>
        <v>['application', 'heavy', 'really', 'nakya', 'kayak', 'game', 'online', 'heavy', 'check', 'pulse', 'doang']</v>
      </c>
      <c r="D5175" s="3">
        <v>1.0</v>
      </c>
    </row>
    <row r="5176" ht="15.75" customHeight="1">
      <c r="A5176" s="1">
        <v>5563.0</v>
      </c>
      <c r="B5176" s="3" t="s">
        <v>5025</v>
      </c>
      <c r="C5176" s="3" t="str">
        <f>IFERROR(__xludf.DUMMYFUNCTION("GOOGLETRANSLATE(B5176,""id"",""en"")"),"['Udh', 'Berthun', 'PKE', 'Telkosel']")</f>
        <v>['Udh', 'Berthun', 'PKE', 'Telkosel']</v>
      </c>
      <c r="D5176" s="3">
        <v>5.0</v>
      </c>
    </row>
    <row r="5177" ht="15.75" customHeight="1">
      <c r="A5177" s="1">
        <v>5564.0</v>
      </c>
      <c r="B5177" s="3" t="s">
        <v>5026</v>
      </c>
      <c r="C5177" s="3" t="str">
        <f>IFERROR(__xludf.DUMMYFUNCTION("GOOGLETRANSLATE(B5177,""id"",""en"")"),"['Quota', 'Free', 'Buy', 'Package', 'Monthly', 'Not bad', 'Thankkasi', 'Telkomsel']")</f>
        <v>['Quota', 'Free', 'Buy', 'Package', 'Monthly', 'Not bad', 'Thankkasi', 'Telkomsel']</v>
      </c>
      <c r="D5177" s="3">
        <v>5.0</v>
      </c>
    </row>
    <row r="5178" ht="15.75" customHeight="1">
      <c r="A5178" s="1">
        <v>5565.0</v>
      </c>
      <c r="B5178" s="3" t="s">
        <v>5027</v>
      </c>
      <c r="C5178" s="3" t="str">
        <f>IFERROR(__xludf.DUMMYFUNCTION("GOOGLETRANSLATE(B5178,""id"",""en"")"),"['Telkomsel', 'Severe', 'Network', 'Normal', 'Play', 'Game', 'Severe', 'Really', 'Already', 'Buy', 'Kouta', 'expensive', ' expensive ',' play ',' game ',' Greget ',' really ',' network ',' Telkomsel ',' chaotic ',' severe ',' regret ',' pakek ',' card ','"&amp;" cellular ' , '']")</f>
        <v>['Telkomsel', 'Severe', 'Network', 'Normal', 'Play', 'Game', 'Severe', 'Really', 'Already', 'Buy', 'Kouta', 'expensive', ' expensive ',' play ',' game ',' Greget ',' really ',' network ',' Telkomsel ',' chaotic ',' severe ',' regret ',' pakek ',' card ',' cellular ' , '']</v>
      </c>
      <c r="D5178" s="3">
        <v>1.0</v>
      </c>
    </row>
    <row r="5179" ht="15.75" customHeight="1">
      <c r="A5179" s="1">
        <v>5566.0</v>
      </c>
      <c r="B5179" s="3" t="s">
        <v>5028</v>
      </c>
      <c r="C5179" s="3" t="str">
        <f>IFERROR(__xludf.DUMMYFUNCTION("GOOGLETRANSLATE(B5179,""id"",""en"")"),"['Damaged', 'The network', 'Main', 'Higss',' Domino ',' Jringanya ',' group ',' compact ',' harmed ',' network ',' regret ',' buy ',' Koutaa ',' Telkomsel ',' It's better ',' buy ',' card ',' good ',' ']")</f>
        <v>['Damaged', 'The network', 'Main', 'Higss',' Domino ',' Jringanya ',' group ',' compact ',' harmed ',' network ',' regret ',' buy ',' Koutaa ',' Telkomsel ',' It's better ',' buy ',' card ',' good ',' ']</v>
      </c>
      <c r="D5179" s="3">
        <v>1.0</v>
      </c>
    </row>
    <row r="5180" ht="15.75" customHeight="1">
      <c r="A5180" s="1">
        <v>5567.0</v>
      </c>
      <c r="B5180" s="3" t="s">
        <v>5029</v>
      </c>
      <c r="C5180" s="3" t="str">
        <f>IFERROR(__xludf.DUMMYFUNCTION("GOOGLETRANSLATE(B5180,""id"",""en"")"),"['Telkomsel', 'bapuk', 'really', 'network', 'lost', 'strange', 'pkonya']")</f>
        <v>['Telkomsel', 'bapuk', 'really', 'network', 'lost', 'strange', 'pkonya']</v>
      </c>
      <c r="D5180" s="3">
        <v>1.0</v>
      </c>
    </row>
    <row r="5181" ht="15.75" customHeight="1">
      <c r="A5181" s="1">
        <v>5568.0</v>
      </c>
      <c r="B5181" s="3" t="s">
        <v>5030</v>
      </c>
      <c r="C5181" s="3" t="str">
        <f>IFERROR(__xludf.DUMMYFUNCTION("GOOGLETRANSLATE(B5181,""id"",""en"")"),"['Jgan', 'expensive']")</f>
        <v>['Jgan', 'expensive']</v>
      </c>
      <c r="D5181" s="3">
        <v>2.0</v>
      </c>
    </row>
    <row r="5182" ht="15.75" customHeight="1">
      <c r="A5182" s="1">
        <v>5569.0</v>
      </c>
      <c r="B5182" s="3" t="s">
        <v>5031</v>
      </c>
      <c r="C5182" s="3" t="str">
        <f>IFERROR(__xludf.DUMMYFUNCTION("GOOGLETRANSLATE(B5182,""id"",""en"")"),"['Success', 'Telkomsel']")</f>
        <v>['Success', 'Telkomsel']</v>
      </c>
      <c r="D5182" s="3">
        <v>5.0</v>
      </c>
    </row>
    <row r="5183" ht="15.75" customHeight="1">
      <c r="A5183" s="1">
        <v>5570.0</v>
      </c>
      <c r="B5183" s="3" t="s">
        <v>5032</v>
      </c>
      <c r="C5183" s="3" t="str">
        <f>IFERROR(__xludf.DUMMYFUNCTION("GOOGLETRANSLATE(B5183,""id"",""en"")"),"['Good', 'really', 'Telkomsel', 'send', 'quota', 'brother', 'features', 'price', 'fix', 'briefly', 'changed']")</f>
        <v>['Good', 'really', 'Telkomsel', 'send', 'quota', 'brother', 'features', 'price', 'fix', 'briefly', 'changed']</v>
      </c>
      <c r="D5183" s="3">
        <v>5.0</v>
      </c>
    </row>
    <row r="5184" ht="15.75" customHeight="1">
      <c r="A5184" s="1">
        <v>5571.0</v>
      </c>
      <c r="B5184" s="3" t="s">
        <v>5033</v>
      </c>
      <c r="C5184" s="3" t="str">
        <f>IFERROR(__xludf.DUMMYFUNCTION("GOOGLETRANSLATE(B5184,""id"",""en"")"),"['You', 'Telkomsel', 'Damn', 'Pay', 'Expensive', 'Internet', 'Kek', 'Pig']")</f>
        <v>['You', 'Telkomsel', 'Damn', 'Pay', 'Expensive', 'Internet', 'Kek', 'Pig']</v>
      </c>
      <c r="D5184" s="3">
        <v>1.0</v>
      </c>
    </row>
    <row r="5185" ht="15.75" customHeight="1">
      <c r="A5185" s="1">
        <v>5572.0</v>
      </c>
      <c r="B5185" s="3" t="s">
        <v>5034</v>
      </c>
      <c r="C5185" s="3" t="str">
        <f>IFERROR(__xludf.DUMMYFUNCTION("GOOGLETRANSLATE(B5185,""id"",""en"")"),"['times',' bonus', 'monetary', 'Telkomsel', 'used', 'telephone', 'sms',' telkomlakkan ',' pulse ',' finished ',' used ',' rupiah ',' monetary ',' used ',' expired ',' bonus', 'trick', 'yesterday', 'monetary', 'exp', 'charge', 'telephone', 'sms',' charged "&amp;"',' package ' , 'pulse', 'regular', 'service', 'bad', 'responsible', '']")</f>
        <v>['times',' bonus', 'monetary', 'Telkomsel', 'used', 'telephone', 'sms',' telkomlakkan ',' pulse ',' finished ',' used ',' rupiah ',' monetary ',' used ',' expired ',' bonus', 'trick', 'yesterday', 'monetary', 'exp', 'charge', 'telephone', 'sms',' charged ',' package ' , 'pulse', 'regular', 'service', 'bad', 'responsible', '']</v>
      </c>
      <c r="D5185" s="3">
        <v>1.0</v>
      </c>
    </row>
    <row r="5186" ht="15.75" customHeight="1">
      <c r="A5186" s="1">
        <v>5573.0</v>
      </c>
      <c r="B5186" s="3" t="s">
        <v>5035</v>
      </c>
      <c r="C5186" s="3" t="str">
        <f>IFERROR(__xludf.DUMMYFUNCTION("GOOGLETRANSLATE(B5186,""id"",""en"")"),"['Try', 'Kasi', 'star', '']")</f>
        <v>['Try', 'Kasi', 'star', '']</v>
      </c>
      <c r="D5186" s="3">
        <v>4.0</v>
      </c>
    </row>
    <row r="5187" ht="15.75" customHeight="1">
      <c r="A5187" s="1">
        <v>5575.0</v>
      </c>
      <c r="B5187" s="3" t="s">
        <v>5036</v>
      </c>
      <c r="C5187" s="3" t="str">
        <f>IFERROR(__xludf.DUMMYFUNCTION("GOOGLETRANSLATE(B5187,""id"",""en"")"),"['Diem', 'Urban', 'Network', 'Rich', 'Goa']")</f>
        <v>['Diem', 'Urban', 'Network', 'Rich', 'Goa']</v>
      </c>
      <c r="D5187" s="3">
        <v>1.0</v>
      </c>
    </row>
    <row r="5188" ht="15.75" customHeight="1">
      <c r="A5188" s="1">
        <v>5576.0</v>
      </c>
      <c r="B5188" s="3" t="s">
        <v>5037</v>
      </c>
      <c r="C5188" s="3" t="str">
        <f>IFERROR(__xludf.DUMMYFUNCTION("GOOGLETRANSLATE(B5188,""id"",""en"")"),"['thisi', 'what', 'buy', 'package', 'apk', 'gabisa', 'disorder', 'lho', 'gabisa', 'buy', 'package', 'apk', ' Dear ',' money ',' uda ',' buy ',' gabisa ',' packagein ',' ']")</f>
        <v>['thisi', 'what', 'buy', 'package', 'apk', 'gabisa', 'disorder', 'lho', 'gabisa', 'buy', 'package', 'apk', ' Dear ',' money ',' uda ',' buy ',' gabisa ',' packagein ',' ']</v>
      </c>
      <c r="D5188" s="3">
        <v>2.0</v>
      </c>
    </row>
    <row r="5189" ht="15.75" customHeight="1">
      <c r="A5189" s="1">
        <v>5577.0</v>
      </c>
      <c r="B5189" s="3" t="s">
        <v>1435</v>
      </c>
      <c r="C5189" s="3" t="str">
        <f>IFERROR(__xludf.DUMMYFUNCTION("GOOGLETRANSLATE(B5189,""id"",""en"")"),"['help', '']")</f>
        <v>['help', '']</v>
      </c>
      <c r="D5189" s="3">
        <v>5.0</v>
      </c>
    </row>
    <row r="5190" ht="15.75" customHeight="1">
      <c r="A5190" s="1">
        <v>5578.0</v>
      </c>
      <c r="B5190" s="3" t="s">
        <v>5038</v>
      </c>
      <c r="C5190" s="3" t="str">
        <f>IFERROR(__xludf.DUMMYFUNCTION("GOOGLETRANSLATE(B5190,""id"",""en"")"),"['Good', 'Need', 'Improve', 'Integration', 'Provider', 'Method', 'Payment', 'Try', 'Transaction', 'Salah', 'Wallet', 'Digital', ' Application ',' freeze ',' darling ',' really ',' ']")</f>
        <v>['Good', 'Need', 'Improve', 'Integration', 'Provider', 'Method', 'Payment', 'Try', 'Transaction', 'Salah', 'Wallet', 'Digital', ' Application ',' freeze ',' darling ',' really ',' ']</v>
      </c>
      <c r="D5190" s="3">
        <v>5.0</v>
      </c>
    </row>
    <row r="5191" ht="15.75" customHeight="1">
      <c r="A5191" s="1">
        <v>5579.0</v>
      </c>
      <c r="B5191" s="3" t="s">
        <v>5039</v>
      </c>
      <c r="C5191" s="3" t="str">
        <f>IFERROR(__xludf.DUMMYFUNCTION("GOOGLETRANSLATE(B5191,""id"",""en"")"),"['Telkomsel', 'stupid']")</f>
        <v>['Telkomsel', 'stupid']</v>
      </c>
      <c r="D5191" s="3">
        <v>1.0</v>
      </c>
    </row>
    <row r="5192" ht="15.75" customHeight="1">
      <c r="A5192" s="1">
        <v>5580.0</v>
      </c>
      <c r="B5192" s="3" t="s">
        <v>5040</v>
      </c>
      <c r="C5192" s="3" t="str">
        <f>IFERROR(__xludf.DUMMYFUNCTION("GOOGLETRANSLATE(B5192,""id"",""en"")"),"['Credit', 'Cutting', 'Message', 'Enter', 'SDG', 'Access',' Internet ',' Rates', 'Non', 'Package', 'Yuk', 'Buy', ' package ',' internet ',' tsel ',' tsel ',' activate ',' data ',' wifi ',' obviously ',' please ',' donk ',' muted ',' service ',' terimkasih"&amp;" ' , '']")</f>
        <v>['Credit', 'Cutting', 'Message', 'Enter', 'SDG', 'Access',' Internet ',' Rates', 'Non', 'Package', 'Yuk', 'Buy', ' package ',' internet ',' tsel ',' tsel ',' activate ',' data ',' wifi ',' obviously ',' please ',' donk ',' muted ',' service ',' terimkasih ' , '']</v>
      </c>
      <c r="D5192" s="3">
        <v>2.0</v>
      </c>
    </row>
    <row r="5193" ht="15.75" customHeight="1">
      <c r="A5193" s="1">
        <v>5581.0</v>
      </c>
      <c r="B5193" s="3" t="s">
        <v>5041</v>
      </c>
      <c r="C5193" s="3" t="str">
        <f>IFERROR(__xludf.DUMMYFUNCTION("GOOGLETRANSLATE(B5193,""id"",""en"")"),"['promo', 'cheap', 'expensive']")</f>
        <v>['promo', 'cheap', 'expensive']</v>
      </c>
      <c r="D5193" s="3">
        <v>5.0</v>
      </c>
    </row>
    <row r="5194" ht="15.75" customHeight="1">
      <c r="A5194" s="1">
        <v>5582.0</v>
      </c>
      <c r="B5194" s="3" t="s">
        <v>5042</v>
      </c>
      <c r="C5194" s="3" t="str">
        <f>IFERROR(__xludf.DUMMYFUNCTION("GOOGLETRANSLATE(B5194,""id"",""en"")"),"['package', 'gamemax', 'use', 'login', 'game', 'please', 'love', 'explanation', 'Telkomsel', ""]")</f>
        <v>['package', 'gamemax', 'use', 'login', 'game', 'please', 'love', 'explanation', 'Telkomsel', "]</v>
      </c>
      <c r="D5194" s="3">
        <v>5.0</v>
      </c>
    </row>
    <row r="5195" ht="15.75" customHeight="1">
      <c r="A5195" s="1">
        <v>5584.0</v>
      </c>
      <c r="B5195" s="3" t="s">
        <v>5043</v>
      </c>
      <c r="C5195" s="3" t="str">
        <f>IFERROR(__xludf.DUMMYFUNCTION("GOOGLETRANSLATE(B5195,""id"",""en"")"),"['Cook', 'signal', 'Ngelag', 'Mulu', 'Dahului', 'Provider', 'Service', 'Internet']")</f>
        <v>['Cook', 'signal', 'Ngelag', 'Mulu', 'Dahului', 'Provider', 'Service', 'Internet']</v>
      </c>
      <c r="D5195" s="3">
        <v>1.0</v>
      </c>
    </row>
    <row r="5196" ht="15.75" customHeight="1">
      <c r="A5196" s="1">
        <v>5585.0</v>
      </c>
      <c r="B5196" s="3" t="s">
        <v>5044</v>
      </c>
      <c r="C5196" s="3" t="str">
        <f>IFERROR(__xludf.DUMMYFUNCTION("GOOGLETRANSLATE(B5196,""id"",""en"")"),"['quota', 'doang', 'expensive', 'internet', 'slow', '']")</f>
        <v>['quota', 'doang', 'expensive', 'internet', 'slow', '']</v>
      </c>
      <c r="D5196" s="3">
        <v>1.0</v>
      </c>
    </row>
    <row r="5197" ht="15.75" customHeight="1">
      <c r="A5197" s="1">
        <v>5586.0</v>
      </c>
      <c r="B5197" s="3" t="s">
        <v>5045</v>
      </c>
      <c r="C5197" s="3" t="str">
        <f>IFERROR(__xludf.DUMMYFUNCTION("GOOGLETRANSLATE(B5197,""id"",""en"")"),"['Package', 'expensive', 'KARU', 'accept', 'call']")</f>
        <v>['Package', 'expensive', 'KARU', 'accept', 'call']</v>
      </c>
      <c r="D5197" s="3">
        <v>1.0</v>
      </c>
    </row>
    <row r="5198" ht="15.75" customHeight="1">
      <c r="A5198" s="1">
        <v>5588.0</v>
      </c>
      <c r="B5198" s="3" t="s">
        <v>5046</v>
      </c>
      <c r="C5198" s="3" t="str">
        <f>IFERROR(__xludf.DUMMYFUNCTION("GOOGLETRANSLATE(B5198,""id"",""en"")"),"['Help', 'Matapp', 'Bangett']")</f>
        <v>['Help', 'Matapp', 'Bangett']</v>
      </c>
      <c r="D5198" s="3">
        <v>5.0</v>
      </c>
    </row>
    <row r="5199" ht="15.75" customHeight="1">
      <c r="A5199" s="1">
        <v>5589.0</v>
      </c>
      <c r="B5199" s="3" t="s">
        <v>5047</v>
      </c>
      <c r="C5199" s="3" t="str">
        <f>IFERROR(__xludf.DUMMYFUNCTION("GOOGLETRANSLATE(B5199,""id"",""en"")"),"['', 'try', '']")</f>
        <v>['', 'try', '']</v>
      </c>
      <c r="D5199" s="3">
        <v>4.0</v>
      </c>
    </row>
    <row r="5200" ht="15.75" customHeight="1">
      <c r="A5200" s="1">
        <v>5590.0</v>
      </c>
      <c r="B5200" s="3" t="s">
        <v>5048</v>
      </c>
      <c r="C5200" s="3" t="str">
        <f>IFERROR(__xludf.DUMMYFUNCTION("GOOGLETRANSLATE(B5200,""id"",""en"")"),"['Network', 'missing', 'game', 'video', 'stop', 'kouta', 'main', 'GB']")</f>
        <v>['Network', 'missing', 'game', 'video', 'stop', 'kouta', 'main', 'GB']</v>
      </c>
      <c r="D5200" s="3">
        <v>3.0</v>
      </c>
    </row>
    <row r="5201" ht="15.75" customHeight="1">
      <c r="A5201" s="1">
        <v>5591.0</v>
      </c>
      <c r="B5201" s="3" t="s">
        <v>5049</v>
      </c>
      <c r="C5201" s="3" t="str">
        <f>IFERROR(__xludf.DUMMYFUNCTION("GOOGLETRANSLATE(B5201,""id"",""en"")"),"['Hopefully', 'Help', 'Information', 'Telkomsel']")</f>
        <v>['Hopefully', 'Help', 'Information', 'Telkomsel']</v>
      </c>
      <c r="D5201" s="3">
        <v>4.0</v>
      </c>
    </row>
    <row r="5202" ht="15.75" customHeight="1">
      <c r="A5202" s="1">
        <v>5592.0</v>
      </c>
      <c r="B5202" s="3" t="s">
        <v>5050</v>
      </c>
      <c r="C5202" s="3" t="str">
        <f>IFERROR(__xludf.DUMMYFUNCTION("GOOGLETRANSLATE(B5202,""id"",""en"")"),"['Try', 'Package']")</f>
        <v>['Try', 'Package']</v>
      </c>
      <c r="D5202" s="3">
        <v>5.0</v>
      </c>
    </row>
    <row r="5203" ht="15.75" customHeight="1">
      <c r="A5203" s="1">
        <v>5593.0</v>
      </c>
      <c r="B5203" s="3" t="s">
        <v>5051</v>
      </c>
      <c r="C5203" s="3" t="str">
        <f>IFERROR(__xludf.DUMMYFUNCTION("GOOGLETRANSLATE(B5203,""id"",""en"")"),"['wasteful', 'internet', 'love', 'star', 'dlu', 'dch', 'economical', 'bru', 'full', 'star']")</f>
        <v>['wasteful', 'internet', 'love', 'star', 'dlu', 'dch', 'economical', 'bru', 'full', 'star']</v>
      </c>
      <c r="D5203" s="3">
        <v>4.0</v>
      </c>
    </row>
    <row r="5204" ht="15.75" customHeight="1">
      <c r="A5204" s="1">
        <v>5594.0</v>
      </c>
      <c r="B5204" s="3" t="s">
        <v>5052</v>
      </c>
      <c r="C5204" s="3" t="str">
        <f>IFERROR(__xludf.DUMMYFUNCTION("GOOGLETRANSLATE(B5204,""id"",""en"")"),"['Bru', 'Try', ""]")</f>
        <v>['Bru', 'Try', "]</v>
      </c>
      <c r="D5204" s="3">
        <v>4.0</v>
      </c>
    </row>
    <row r="5205" ht="15.75" customHeight="1">
      <c r="A5205" s="1">
        <v>5595.0</v>
      </c>
      <c r="B5205" s="3" t="s">
        <v>5053</v>
      </c>
      <c r="C5205" s="3" t="str">
        <f>IFERROR(__xludf.DUMMYFUNCTION("GOOGLETRANSLATE(B5205,""id"",""en"")"),"['Sometimes', 'annoying', '']")</f>
        <v>['Sometimes', 'annoying', '']</v>
      </c>
      <c r="D5205" s="3">
        <v>3.0</v>
      </c>
    </row>
    <row r="5206" ht="15.75" customHeight="1">
      <c r="A5206" s="1">
        <v>5596.0</v>
      </c>
      <c r="B5206" s="3" t="s">
        <v>5054</v>
      </c>
      <c r="C5206" s="3" t="str">
        <f>IFERROR(__xludf.DUMMYFUNCTION("GOOGLETRANSLATE(B5206,""id"",""en"")"),"['', 'THN', 'Telkomsel']")</f>
        <v>['', 'THN', 'Telkomsel']</v>
      </c>
      <c r="D5206" s="3">
        <v>5.0</v>
      </c>
    </row>
    <row r="5207" ht="15.75" customHeight="1">
      <c r="A5207" s="1">
        <v>5597.0</v>
      </c>
      <c r="B5207" s="3" t="s">
        <v>5055</v>
      </c>
      <c r="C5207" s="3" t="str">
        <f>IFERROR(__xludf.DUMMYFUNCTION("GOOGLETRANSLATE(B5207,""id"",""en"")"),"['Please', 'Fix', 'Data', 'Internet', 'Problem', 'Data', 'Internet', 'Thank you']")</f>
        <v>['Please', 'Fix', 'Data', 'Internet', 'Problem', 'Data', 'Internet', 'Thank you']</v>
      </c>
      <c r="D5207" s="3">
        <v>4.0</v>
      </c>
    </row>
    <row r="5208" ht="15.75" customHeight="1">
      <c r="A5208" s="1">
        <v>5598.0</v>
      </c>
      <c r="B5208" s="3" t="s">
        <v>5056</v>
      </c>
      <c r="C5208" s="3" t="str">
        <f>IFERROR(__xludf.DUMMYFUNCTION("GOOGLETRANSLATE(B5208,""id"",""en"")"),"['Apple', 'Help', 'Kerennnnnn', '']")</f>
        <v>['Apple', 'Help', 'Kerennnnnn', '']</v>
      </c>
      <c r="D5208" s="3">
        <v>5.0</v>
      </c>
    </row>
    <row r="5209" ht="15.75" customHeight="1">
      <c r="A5209" s="1">
        <v>5599.0</v>
      </c>
      <c r="B5209" s="3" t="s">
        <v>5057</v>
      </c>
      <c r="C5209" s="3" t="str">
        <f>IFERROR(__xludf.DUMMYFUNCTION("GOOGLETRANSLATE(B5209,""id"",""en"")"),"['Credit', 'Cutting']")</f>
        <v>['Credit', 'Cutting']</v>
      </c>
      <c r="D5209" s="3">
        <v>1.0</v>
      </c>
    </row>
    <row r="5210" ht="15.75" customHeight="1">
      <c r="A5210" s="1">
        <v>5600.0</v>
      </c>
      <c r="B5210" s="3" t="s">
        <v>5058</v>
      </c>
      <c r="C5210" s="3" t="str">
        <f>IFERROR(__xludf.DUMMYFUNCTION("GOOGLETRANSLATE(B5210,""id"",""en"")"),"['Please', 'dokampung', 'tower', 'difficult', 'signal']")</f>
        <v>['Please', 'dokampung', 'tower', 'difficult', 'signal']</v>
      </c>
      <c r="D5210" s="3">
        <v>5.0</v>
      </c>
    </row>
    <row r="5211" ht="15.75" customHeight="1">
      <c r="A5211" s="1">
        <v>5601.0</v>
      </c>
      <c r="B5211" s="3" t="s">
        <v>5059</v>
      </c>
      <c r="C5211" s="3" t="str">
        <f>IFERROR(__xludf.DUMMYFUNCTION("GOOGLETRANSLATE(B5211,""id"",""en"")"),"['Increases', 'Performance', 'Lots', 'Promotions', '']")</f>
        <v>['Increases', 'Performance', 'Lots', 'Promotions', '']</v>
      </c>
      <c r="D5211" s="3">
        <v>5.0</v>
      </c>
    </row>
    <row r="5212" ht="15.75" customHeight="1">
      <c r="A5212" s="1">
        <v>5602.0</v>
      </c>
      <c r="B5212" s="3" t="s">
        <v>5060</v>
      </c>
      <c r="C5212" s="3" t="str">
        <f>IFERROR(__xludf.DUMMYFUNCTION("GOOGLETRANSLATE(B5212,""id"",""en"")"),"['Star', 'revoked', 'here', 'signal', 'severe', ""]")</f>
        <v>['Star', 'revoked', 'here', 'signal', 'severe', "]</v>
      </c>
      <c r="D5212" s="3">
        <v>1.0</v>
      </c>
    </row>
    <row r="5213" ht="15.75" customHeight="1">
      <c r="A5213" s="1">
        <v>5603.0</v>
      </c>
      <c r="B5213" s="3" t="s">
        <v>5061</v>
      </c>
      <c r="C5213" s="3" t="str">
        <f>IFERROR(__xludf.DUMMYFUNCTION("GOOGLETRANSLATE(B5213,""id"",""en"")"),"['price', 'expensive', 'doang', 'quality', 'signal', 'bad', 'full', 'send', 'lemotttttt', '']")</f>
        <v>['price', 'expensive', 'doang', 'quality', 'signal', 'bad', 'full', 'send', 'lemotttttt', '']</v>
      </c>
      <c r="D5213" s="3">
        <v>1.0</v>
      </c>
    </row>
    <row r="5214" ht="15.75" customHeight="1">
      <c r="A5214" s="1">
        <v>5604.0</v>
      </c>
      <c r="B5214" s="3" t="s">
        <v>5062</v>
      </c>
      <c r="C5214" s="3" t="str">
        <f>IFERROR(__xludf.DUMMYFUNCTION("GOOGLETRANSLATE(B5214,""id"",""en"")"),"['rotten', 'Maling', 'pulses']")</f>
        <v>['rotten', 'Maling', 'pulses']</v>
      </c>
      <c r="D5214" s="3">
        <v>1.0</v>
      </c>
    </row>
    <row r="5215" ht="15.75" customHeight="1">
      <c r="A5215" s="1">
        <v>5605.0</v>
      </c>
      <c r="B5215" s="3" t="s">
        <v>5063</v>
      </c>
      <c r="C5215" s="3" t="str">
        <f>IFERROR(__xludf.DUMMYFUNCTION("GOOGLETRANSLATE(B5215,""id"",""en"")"),"['Ticket', 'Complaints', 'Credit', 'Enter', 'Processed']")</f>
        <v>['Ticket', 'Complaints', 'Credit', 'Enter', 'Processed']</v>
      </c>
      <c r="D5215" s="3">
        <v>2.0</v>
      </c>
    </row>
    <row r="5216" ht="15.75" customHeight="1">
      <c r="A5216" s="1">
        <v>5606.0</v>
      </c>
      <c r="B5216" s="3" t="s">
        <v>1352</v>
      </c>
      <c r="C5216" s="3" t="str">
        <f>IFERROR(__xludf.DUMMYFUNCTION("GOOGLETRANSLATE(B5216,""id"",""en"")"),"['']")</f>
        <v>['']</v>
      </c>
      <c r="D5216" s="3">
        <v>1.0</v>
      </c>
    </row>
    <row r="5217" ht="15.75" customHeight="1">
      <c r="A5217" s="1">
        <v>5607.0</v>
      </c>
      <c r="B5217" s="3" t="s">
        <v>5064</v>
      </c>
      <c r="C5217" s="3" t="str">
        <f>IFERROR(__xludf.DUMMYFUNCTION("GOOGLETRANSLATE(B5217,""id"",""en"")"),"['Anyway', 'Best']")</f>
        <v>['Anyway', 'Best']</v>
      </c>
      <c r="D5217" s="3">
        <v>5.0</v>
      </c>
    </row>
    <row r="5218" ht="15.75" customHeight="1">
      <c r="A5218" s="1">
        <v>5608.0</v>
      </c>
      <c r="B5218" s="3" t="s">
        <v>5065</v>
      </c>
      <c r="C5218" s="3" t="str">
        <f>IFERROR(__xludf.DUMMYFUNCTION("GOOGLETRANSLATE(B5218,""id"",""en"")"),"['Service', 'Kayak', 'Taikk']")</f>
        <v>['Service', 'Kayak', 'Taikk']</v>
      </c>
      <c r="D5218" s="3">
        <v>1.0</v>
      </c>
    </row>
    <row r="5219" ht="15.75" customHeight="1">
      <c r="A5219" s="1">
        <v>5609.0</v>
      </c>
      <c r="B5219" s="3" t="s">
        <v>5066</v>
      </c>
      <c r="C5219" s="3" t="str">
        <f>IFERROR(__xludf.DUMMYFUNCTION("GOOGLETRANSLATE(B5219,""id"",""en"")"),"['Kouta', 'Out', 'Fill in', 'Credit', 'Soin', 'Package', 'Kouta', 'APK', 'TELKOM', 'Credit', 'Cutting', 'Dijadied', ' Credit ',' Kouta ',' NOT ',' PACKAGE ',' Kouta ',' All Day ',' Lumping ',' Clock ',' Night ',' Out ',' Clock ',' Night ',' All Day ' , 'h"&amp;"ours', 'night', 'night', 'meet', 'night', 'all day', 'already', 'expensive']")</f>
        <v>['Kouta', 'Out', 'Fill in', 'Credit', 'Soin', 'Package', 'Kouta', 'APK', 'TELKOM', 'Credit', 'Cutting', 'Dijadied', ' Credit ',' Kouta ',' NOT ',' PACKAGE ',' Kouta ',' All Day ',' Lumping ',' Clock ',' Night ',' Out ',' Clock ',' Night ',' All Day ' , 'hours', 'night', 'night', 'meet', 'night', 'all day', 'already', 'expensive']</v>
      </c>
      <c r="D5219" s="3">
        <v>2.0</v>
      </c>
    </row>
    <row r="5220" ht="15.75" customHeight="1">
      <c r="A5220" s="1">
        <v>5610.0</v>
      </c>
      <c r="B5220" s="3" t="s">
        <v>5067</v>
      </c>
      <c r="C5220" s="3" t="str">
        <f>IFERROR(__xludf.DUMMYFUNCTION("GOOGLETRANSLATE(B5220,""id"",""en"")"),"['pulses',' Sumpot ',' buy ',' package ',' anything ',' quota ',' internet ',' pulses', 'sumps',' regret ',' cave ',' buy ',' Credit ',' That's', 'mah', '']")</f>
        <v>['pulses',' Sumpot ',' buy ',' package ',' anything ',' quota ',' internet ',' pulses', 'sumps',' regret ',' cave ',' buy ',' Credit ',' That's', 'mah', '']</v>
      </c>
      <c r="D5220" s="3">
        <v>1.0</v>
      </c>
    </row>
    <row r="5221" ht="15.75" customHeight="1">
      <c r="A5221" s="1">
        <v>5611.0</v>
      </c>
      <c r="B5221" s="3" t="s">
        <v>5068</v>
      </c>
      <c r="C5221" s="3" t="str">
        <f>IFERROR(__xludf.DUMMYFUNCTION("GOOGLETRANSLATE(B5221,""id"",""en"")"),"['network', 'Tsel', 'ugly', 'really', 'use', 'tsel', 'mending', 'tri', '']")</f>
        <v>['network', 'Tsel', 'ugly', 'really', 'use', 'tsel', 'mending', 'tri', '']</v>
      </c>
      <c r="D5221" s="3">
        <v>1.0</v>
      </c>
    </row>
    <row r="5222" ht="15.75" customHeight="1">
      <c r="A5222" s="1">
        <v>5612.0</v>
      </c>
      <c r="B5222" s="3" t="s">
        <v>5069</v>
      </c>
      <c r="C5222" s="3" t="str">
        <f>IFERROR(__xludf.DUMMYFUNCTION("GOOGLETRANSLATE(B5222,""id"",""en"")"),"['package', 'high', 'network', 'slow', 'network', 'lost', 'sometimes',' sometimes', 'doang', 'wish', 'card', 'friend', ' Sampek ',' Destroyed ',' HP ',' Banting ',' Gara ',' Card ',' SIM ',' Kaga ',' Raying ',' Buy ',' Package ',' Expensive ',' Bagusan ' "&amp;", 'signal', 'card', 'next door', 'package', 'cheap', 'festive', 'then', 'gini', 'sampek', 'customer', 'Telkomsel', 'moved', ' Card ',' Liat ',' Review ',' Already ',' Mari ',' Moving ',' Card ',' Look ',' Telkomsel ',' Already ',' Worth ',' Pakek ']")</f>
        <v>['package', 'high', 'network', 'slow', 'network', 'lost', 'sometimes',' sometimes', 'doang', 'wish', 'card', 'friend', ' Sampek ',' Destroyed ',' HP ',' Banting ',' Gara ',' Card ',' SIM ',' Kaga ',' Raying ',' Buy ',' Package ',' Expensive ',' Bagusan ' , 'signal', 'card', 'next door', 'package', 'cheap', 'festive', 'then', 'gini', 'sampek', 'customer', 'Telkomsel', 'moved', ' Card ',' Liat ',' Review ',' Already ',' Mari ',' Moving ',' Card ',' Look ',' Telkomsel ',' Already ',' Worth ',' Pakek ']</v>
      </c>
      <c r="D5222" s="3">
        <v>1.0</v>
      </c>
    </row>
    <row r="5223" ht="15.75" customHeight="1">
      <c r="A5223" s="1">
        <v>5613.0</v>
      </c>
      <c r="B5223" s="3" t="s">
        <v>996</v>
      </c>
      <c r="C5223" s="3" t="str">
        <f>IFERROR(__xludf.DUMMYFUNCTION("GOOGLETRANSLATE(B5223,""id"",""en"")"),"['Application', 'Good', '']")</f>
        <v>['Application', 'Good', '']</v>
      </c>
      <c r="D5223" s="3">
        <v>5.0</v>
      </c>
    </row>
    <row r="5224" ht="15.75" customHeight="1">
      <c r="A5224" s="1">
        <v>5614.0</v>
      </c>
      <c r="B5224" s="3" t="s">
        <v>5070</v>
      </c>
      <c r="C5224" s="3" t="str">
        <f>IFERROR(__xludf.DUMMYFUNCTION("GOOGLETRANSLATE(B5224,""id"",""en"")"),"['signal', 'slow', 'like', 'take', 'pulse', 'person', 'price', 'expensive', 'please', 'repaired', 'quality', 'signal', ' Take ',' pulse ']")</f>
        <v>['signal', 'slow', 'like', 'take', 'pulse', 'person', 'price', 'expensive', 'please', 'repaired', 'quality', 'signal', ' Take ',' pulse ']</v>
      </c>
      <c r="D5224" s="3">
        <v>1.0</v>
      </c>
    </row>
    <row r="5225" ht="15.75" customHeight="1">
      <c r="A5225" s="1">
        <v>5615.0</v>
      </c>
      <c r="B5225" s="3" t="s">
        <v>5071</v>
      </c>
      <c r="C5225" s="3" t="str">
        <f>IFERROR(__xludf.DUMMYFUNCTION("GOOGLETRANSLATE(B5225,""id"",""en"")"),"['Bagus',' good ',' fast ',' really ',' sumps', 'pulse', 'quota', 'gatau', 'knp', 'pdhl', 'rare', 'hold', ' Kalini ',' Aware ',' Please ',' Points', 'Telkomsel', 'Changed', 'Switch', 'Quota', 'Lottery', 'Voucher', 'Sis']")</f>
        <v>['Bagus',' good ',' fast ',' really ',' sumps', 'pulse', 'quota', 'gatau', 'knp', 'pdhl', 'rare', 'hold', ' Kalini ',' Aware ',' Please ',' Points', 'Telkomsel', 'Changed', 'Switch', 'Quota', 'Lottery', 'Voucher', 'Sis']</v>
      </c>
      <c r="D5225" s="3">
        <v>3.0</v>
      </c>
    </row>
    <row r="5226" ht="15.75" customHeight="1">
      <c r="A5226" s="1">
        <v>5616.0</v>
      </c>
      <c r="B5226" s="3" t="s">
        <v>5072</v>
      </c>
      <c r="C5226" s="3" t="str">
        <f>IFERROR(__xludf.DUMMYFUNCTION("GOOGLETRANSLATE(B5226,""id"",""en"")"),"['', 'Telkomsel', 'best']")</f>
        <v>['', 'Telkomsel', 'best']</v>
      </c>
      <c r="D5226" s="3">
        <v>5.0</v>
      </c>
    </row>
    <row r="5227" ht="15.75" customHeight="1">
      <c r="A5227" s="1">
        <v>5618.0</v>
      </c>
      <c r="B5227" s="3" t="s">
        <v>5073</v>
      </c>
      <c r="C5227" s="3" t="str">
        <f>IFERROR(__xludf.DUMMYFUNCTION("GOOGLETRANSLATE(B5227,""id"",""en"")"),"['great', 'really', 'network', 'price', 'package', 'try', 'expensive', 'expensive', 'boss', ""]")</f>
        <v>['great', 'really', 'network', 'price', 'package', 'try', 'expensive', 'expensive', 'boss', "]</v>
      </c>
      <c r="D5227" s="3">
        <v>5.0</v>
      </c>
    </row>
    <row r="5228" ht="15.75" customHeight="1">
      <c r="A5228" s="1">
        <v>5619.0</v>
      </c>
      <c r="B5228" s="3" t="s">
        <v>5074</v>
      </c>
      <c r="C5228" s="3" t="str">
        <f>IFERROR(__xludf.DUMMYFUNCTION("GOOGLETRANSLATE(B5228,""id"",""en"")"),"['Severe', 'Severe', 'Severe', 'The Network', 'Sebagus', '']")</f>
        <v>['Severe', 'Severe', 'Severe', 'The Network', 'Sebagus', '']</v>
      </c>
      <c r="D5228" s="3">
        <v>1.0</v>
      </c>
    </row>
    <row r="5229" ht="15.75" customHeight="1">
      <c r="A5229" s="1">
        <v>5620.0</v>
      </c>
      <c r="B5229" s="3" t="s">
        <v>5075</v>
      </c>
      <c r="C5229" s="3" t="str">
        <f>IFERROR(__xludf.DUMMYFUNCTION("GOOGLETRANSLATE(B5229,""id"",""en"")"),"['Telkomsel', 'strange', 'buy', 'quota', 'dated', 'inserted', 'date', 'TelkomToll']")</f>
        <v>['Telkomsel', 'strange', 'buy', 'quota', 'dated', 'inserted', 'date', 'TelkomToll']</v>
      </c>
      <c r="D5229" s="3">
        <v>1.0</v>
      </c>
    </row>
    <row r="5230" ht="15.75" customHeight="1">
      <c r="A5230" s="1">
        <v>5621.0</v>
      </c>
      <c r="B5230" s="3" t="s">
        <v>5076</v>
      </c>
      <c r="C5230" s="3" t="str">
        <f>IFERROR(__xludf.DUMMYFUNCTION("GOOGLETRANSLATE(B5230,""id"",""en"")"),"['TOP', 'pulse', 'love', 'explanation']")</f>
        <v>['TOP', 'pulse', 'love', 'explanation']</v>
      </c>
      <c r="D5230" s="3">
        <v>2.0</v>
      </c>
    </row>
    <row r="5231" ht="15.75" customHeight="1">
      <c r="A5231" s="1">
        <v>5622.0</v>
      </c>
      <c r="B5231" s="3" t="s">
        <v>5077</v>
      </c>
      <c r="C5231" s="3" t="str">
        <f>IFERROR(__xludf.DUMMYFUNCTION("GOOGLETRANSLATE(B5231,""id"",""en"")"),"['Not bad', 'good', 'just', 'lbih', 'dint level']")</f>
        <v>['Not bad', 'good', 'just', 'lbih', 'dint level']</v>
      </c>
      <c r="D5231" s="3">
        <v>3.0</v>
      </c>
    </row>
    <row r="5232" ht="15.75" customHeight="1">
      <c r="A5232" s="1">
        <v>5623.0</v>
      </c>
      <c r="B5232" s="3" t="s">
        <v>5078</v>
      </c>
      <c r="C5232" s="3" t="str">
        <f>IFERROR(__xludf.DUMMYFUNCTION("GOOGLETRANSLATE(B5232,""id"",""en"")"),"['', 'Try', 'dlu']")</f>
        <v>['', 'Try', 'dlu']</v>
      </c>
      <c r="D5232" s="3">
        <v>5.0</v>
      </c>
    </row>
    <row r="5233" ht="15.75" customHeight="1">
      <c r="A5233" s="1">
        <v>5624.0</v>
      </c>
      <c r="B5233" s="3" t="s">
        <v>5079</v>
      </c>
      <c r="C5233" s="3" t="str">
        <f>IFERROR(__xludf.DUMMYFUNCTION("GOOGLETRANSLATE(B5233,""id"",""en"")"),"['package', 'doang', 'expensive', 'connection', 'kek', 'era', 'stone']")</f>
        <v>['package', 'doang', 'expensive', 'connection', 'kek', 'era', 'stone']</v>
      </c>
      <c r="D5233" s="3">
        <v>1.0</v>
      </c>
    </row>
    <row r="5234" ht="15.75" customHeight="1">
      <c r="A5234" s="1">
        <v>5625.0</v>
      </c>
      <c r="B5234" s="3" t="s">
        <v>5080</v>
      </c>
      <c r="C5234" s="3" t="str">
        <f>IFERROR(__xludf.DUMMYFUNCTION("GOOGLETRANSLATE(B5234,""id"",""en"")"),"['Signal', 'Telkomsel', 'Joblok', 'at home', 'blooming', 'Jaya', 'Kencana', 'Kencana', 'Asri', 'Muaro', 'Jambi', 'Lost', ' Axus', 'beg', 'repaired', 'yak']")</f>
        <v>['Signal', 'Telkomsel', 'Joblok', 'at home', 'blooming', 'Jaya', 'Kencana', 'Kencana', 'Asri', 'Muaro', 'Jambi', 'Lost', ' Axus', 'beg', 'repaired', 'yak']</v>
      </c>
      <c r="D5234" s="3">
        <v>5.0</v>
      </c>
    </row>
    <row r="5235" ht="15.75" customHeight="1">
      <c r="A5235" s="1">
        <v>5626.0</v>
      </c>
      <c r="B5235" s="3" t="s">
        <v>5081</v>
      </c>
      <c r="C5235" s="3" t="str">
        <f>IFERROR(__xludf.DUMMYFUNCTION("GOOGLETRANSLATE(B5235,""id"",""en"")"),"['Suah', 'Login', 'Lemot']")</f>
        <v>['Suah', 'Login', 'Lemot']</v>
      </c>
      <c r="D5235" s="3">
        <v>1.0</v>
      </c>
    </row>
    <row r="5236" ht="15.75" customHeight="1">
      <c r="A5236" s="1">
        <v>5627.0</v>
      </c>
      <c r="B5236" s="3" t="s">
        <v>5082</v>
      </c>
      <c r="C5236" s="3" t="str">
        <f>IFERROR(__xludf.DUMMYFUNCTION("GOOGLETRANSLATE(B5236,""id"",""en"")"),"['need']")</f>
        <v>['need']</v>
      </c>
      <c r="D5236" s="3">
        <v>5.0</v>
      </c>
    </row>
    <row r="5237" ht="15.75" customHeight="1">
      <c r="A5237" s="1">
        <v>5628.0</v>
      </c>
      <c r="B5237" s="3" t="s">
        <v>5083</v>
      </c>
      <c r="C5237" s="3" t="str">
        <f>IFERROR(__xludf.DUMMYFUNCTION("GOOGLETRANSLATE(B5237,""id"",""en"")"),"['Send', 'pulse']")</f>
        <v>['Send', 'pulse']</v>
      </c>
      <c r="D5237" s="3">
        <v>2.0</v>
      </c>
    </row>
    <row r="5238" ht="15.75" customHeight="1">
      <c r="A5238" s="1">
        <v>5629.0</v>
      </c>
      <c r="B5238" s="3" t="s">
        <v>5084</v>
      </c>
      <c r="C5238" s="3" t="str">
        <f>IFERROR(__xludf.DUMMYFUNCTION("GOOGLETRANSLATE(B5238,""id"",""en"")"),"['open', 'application', 'Telkomsel', 'sound', 'notification', 'annoying', 'turned off', 'setting', 'automatic', 'life', 'number', 'must', ' Checked ',' bother ',' deh ', ""]")</f>
        <v>['open', 'application', 'Telkomsel', 'sound', 'notification', 'annoying', 'turned off', 'setting', 'automatic', 'life', 'number', 'must', ' Checked ',' bother ',' deh ', "]</v>
      </c>
      <c r="D5238" s="3">
        <v>1.0</v>
      </c>
    </row>
    <row r="5239" ht="15.75" customHeight="1">
      <c r="A5239" s="1">
        <v>5630.0</v>
      </c>
      <c r="B5239" s="3" t="s">
        <v>5085</v>
      </c>
      <c r="C5239" s="3" t="str">
        <f>IFERROR(__xludf.DUMMYFUNCTION("GOOGLETRANSLATE(B5239,""id"",""en"")"),"['Maintain', 'unlimited', 'max', 'price', 'affordable']")</f>
        <v>['Maintain', 'unlimited', 'max', 'price', 'affordable']</v>
      </c>
      <c r="D5239" s="3">
        <v>5.0</v>
      </c>
    </row>
    <row r="5240" ht="15.75" customHeight="1">
      <c r="A5240" s="1">
        <v>5632.0</v>
      </c>
      <c r="B5240" s="3" t="s">
        <v>1017</v>
      </c>
      <c r="C5240" s="3" t="str">
        <f>IFERROR(__xludf.DUMMYFUNCTION("GOOGLETRANSLATE(B5240,""id"",""en"")"),"['application']")</f>
        <v>['application']</v>
      </c>
      <c r="D5240" s="3">
        <v>5.0</v>
      </c>
    </row>
    <row r="5241" ht="15.75" customHeight="1">
      <c r="A5241" s="1">
        <v>5633.0</v>
      </c>
      <c r="B5241" s="3" t="s">
        <v>5086</v>
      </c>
      <c r="C5241" s="3" t="str">
        <f>IFERROR(__xludf.DUMMYFUNCTION("GOOGLETRANSLATE(B5241,""id"",""en"")"),"['smg', 'lbh', 'good', 'features']")</f>
        <v>['smg', 'lbh', 'good', 'features']</v>
      </c>
      <c r="D5241" s="3">
        <v>5.0</v>
      </c>
    </row>
    <row r="5242" ht="15.75" customHeight="1">
      <c r="A5242" s="1">
        <v>5635.0</v>
      </c>
      <c r="B5242" s="3" t="s">
        <v>5087</v>
      </c>
      <c r="C5242" s="3" t="str">
        <f>IFERROR(__xludf.DUMMYFUNCTION("GOOGLETRANSLATE(B5242,""id"",""en"")"),"['', 'Display', 'promo', 'quota', 'aps', 'gabisa', 'buy', 'hadehh']")</f>
        <v>['', 'Display', 'promo', 'quota', 'aps', 'gabisa', 'buy', 'hadehh']</v>
      </c>
      <c r="D5242" s="3">
        <v>1.0</v>
      </c>
    </row>
    <row r="5243" ht="15.75" customHeight="1">
      <c r="A5243" s="1">
        <v>5636.0</v>
      </c>
      <c r="B5243" s="3" t="s">
        <v>1352</v>
      </c>
      <c r="C5243" s="3" t="str">
        <f>IFERROR(__xludf.DUMMYFUNCTION("GOOGLETRANSLATE(B5243,""id"",""en"")"),"['']")</f>
        <v>['']</v>
      </c>
      <c r="D5243" s="3">
        <v>5.0</v>
      </c>
    </row>
    <row r="5244" ht="15.75" customHeight="1">
      <c r="A5244" s="1">
        <v>5637.0</v>
      </c>
      <c r="B5244" s="3" t="s">
        <v>5088</v>
      </c>
      <c r="C5244" s="3" t="str">
        <f>IFERROR(__xludf.DUMMYFUNCTION("GOOGLETRANSLATE(B5244,""id"",""en"")"),"['fast', 'cheap', 'quality']")</f>
        <v>['fast', 'cheap', 'quality']</v>
      </c>
      <c r="D5244" s="3">
        <v>5.0</v>
      </c>
    </row>
    <row r="5245" ht="15.75" customHeight="1">
      <c r="A5245" s="1">
        <v>5638.0</v>
      </c>
      <c r="B5245" s="3" t="s">
        <v>5089</v>
      </c>
      <c r="C5245" s="3" t="str">
        <f>IFERROR(__xludf.DUMMYFUNCTION("GOOGLETRANSLATE(B5245,""id"",""en"")"),"['Because', 'master', 'gaptek']")</f>
        <v>['Because', 'master', 'gaptek']</v>
      </c>
      <c r="D5245" s="3">
        <v>2.0</v>
      </c>
    </row>
    <row r="5246" ht="15.75" customHeight="1">
      <c r="A5246" s="1">
        <v>5639.0</v>
      </c>
      <c r="B5246" s="3" t="s">
        <v>5090</v>
      </c>
      <c r="C5246" s="3" t="str">
        <f>IFERROR(__xludf.DUMMYFUNCTION("GOOGLETRANSLATE(B5246,""id"",""en"")"),"['Help', 'application', 'log', 'out', 'enter', 'link', 'error', 'easy', 'code', 'send', 'message', 'whatsapp']")</f>
        <v>['Help', 'application', 'log', 'out', 'enter', 'link', 'error', 'easy', 'code', 'send', 'message', 'whatsapp']</v>
      </c>
      <c r="D5246" s="3">
        <v>5.0</v>
      </c>
    </row>
    <row r="5247" ht="15.75" customHeight="1">
      <c r="A5247" s="1">
        <v>5640.0</v>
      </c>
      <c r="B5247" s="3" t="s">
        <v>5091</v>
      </c>
      <c r="C5247" s="3" t="str">
        <f>IFERROR(__xludf.DUMMYFUNCTION("GOOGLETRANSLATE(B5247,""id"",""en"")"),"['knp', 'Telkomsel', 'pulse', 'missing', 'KMNA', 'PDAH', 'quota', 'internet', 'msh', 'bnyak', 'customer', 'loyal', ' Telkomsel ',' yrs', 'here', 'Telkomsel', 'Mentai', '']")</f>
        <v>['knp', 'Telkomsel', 'pulse', 'missing', 'KMNA', 'PDAH', 'quota', 'internet', 'msh', 'bnyak', 'customer', 'loyal', ' Telkomsel ',' yrs', 'here', 'Telkomsel', 'Mentai', '']</v>
      </c>
      <c r="D5247" s="3">
        <v>5.0</v>
      </c>
    </row>
    <row r="5248" ht="15.75" customHeight="1">
      <c r="A5248" s="1">
        <v>5642.0</v>
      </c>
      <c r="B5248" s="3" t="s">
        <v>5092</v>
      </c>
      <c r="C5248" s="3" t="str">
        <f>IFERROR(__xludf.DUMMYFUNCTION("GOOGLETRANSLATE(B5248,""id"",""en"")"),"['turn', 'quota', 'run out', 'contents',' application ',' open ',' turn ',' quota ',' okay ',' wrong ',' press', 'little', ' The application ',' direct ',' open ',' where ',' location ',' convenience ', ""]")</f>
        <v>['turn', 'quota', 'run out', 'contents',' application ',' open ',' turn ',' quota ',' okay ',' wrong ',' press', 'little', ' The application ',' direct ',' open ',' where ',' location ',' convenience ', "]</v>
      </c>
      <c r="D5248" s="3">
        <v>1.0</v>
      </c>
    </row>
    <row r="5249" ht="15.75" customHeight="1">
      <c r="A5249" s="1">
        <v>5643.0</v>
      </c>
      <c r="B5249" s="3" t="s">
        <v>5093</v>
      </c>
      <c r="C5249" s="3" t="str">
        <f>IFERROR(__xludf.DUMMYFUNCTION("GOOGLETRANSLATE(B5249,""id"",""en"")"),"['Heart', 'Heart', 'Telkomsel', 'Pay', 'Blocked', 'Service', 'Bad', 'Slow', ""]")</f>
        <v>['Heart', 'Heart', 'Telkomsel', 'Pay', 'Blocked', 'Service', 'Bad', 'Slow', "]</v>
      </c>
      <c r="D5249" s="3">
        <v>1.0</v>
      </c>
    </row>
    <row r="5250" ht="15.75" customHeight="1">
      <c r="A5250" s="1">
        <v>5644.0</v>
      </c>
      <c r="B5250" s="3" t="s">
        <v>5094</v>
      </c>
      <c r="C5250" s="3" t="str">
        <f>IFERROR(__xludf.DUMMYFUNCTION("GOOGLETRANSLATE(B5250,""id"",""en"")"),"['application', 'help', 'really', 'steady']")</f>
        <v>['application', 'help', 'really', 'steady']</v>
      </c>
      <c r="D5250" s="3">
        <v>5.0</v>
      </c>
    </row>
    <row r="5251" ht="15.75" customHeight="1">
      <c r="A5251" s="1">
        <v>5645.0</v>
      </c>
      <c r="B5251" s="3" t="s">
        <v>5095</v>
      </c>
      <c r="C5251" s="3" t="str">
        <f>IFERROR(__xludf.DUMMYFUNCTION("GOOGLETRANSLATE(B5251,""id"",""en"")"),"['need', 'internet', 'video', 'iflik', 'anything', 'please', 'price', 'separate', 'unite', 'thks']")</f>
        <v>['need', 'internet', 'video', 'iflik', 'anything', 'please', 'price', 'separate', 'unite', 'thks']</v>
      </c>
      <c r="D5251" s="3">
        <v>5.0</v>
      </c>
    </row>
    <row r="5252" ht="15.75" customHeight="1">
      <c r="A5252" s="1">
        <v>5646.0</v>
      </c>
      <c r="B5252" s="3" t="s">
        <v>5096</v>
      </c>
      <c r="C5252" s="3" t="str">
        <f>IFERROR(__xludf.DUMMYFUNCTION("GOOGLETRANSLATE(B5252,""id"",""en"")"),"['Good', 'steady', 'just', 'facilitated', 'purchase', 'pulse', 'via', 'mbanking', 'Telkomsel', 'strange', 'pke', 'Telkomsel', ' Quota ',' expensive ',' UDH ',' GTU ',' quota ',' orgtua ',' pke ',' card ',' quota ',' price ',' cheap ',' strange ',' really "&amp;"' , 'Please', 'fix', 'BLI', 'card']")</f>
        <v>['Good', 'steady', 'just', 'facilitated', 'purchase', 'pulse', 'via', 'mbanking', 'Telkomsel', 'strange', 'pke', 'Telkomsel', ' Quota ',' expensive ',' UDH ',' GTU ',' quota ',' orgtua ',' pke ',' card ',' quota ',' price ',' cheap ',' strange ',' really ' , 'Please', 'fix', 'BLI', 'card']</v>
      </c>
      <c r="D5252" s="3">
        <v>5.0</v>
      </c>
    </row>
    <row r="5253" ht="15.75" customHeight="1">
      <c r="A5253" s="1">
        <v>5647.0</v>
      </c>
      <c r="B5253" s="3" t="s">
        <v>5097</v>
      </c>
      <c r="C5253" s="3" t="str">
        <f>IFERROR(__xludf.DUMMYFUNCTION("GOOGLETRANSLATE(B5253,""id"",""en"")"),"['cool']")</f>
        <v>['cool']</v>
      </c>
      <c r="D5253" s="3">
        <v>5.0</v>
      </c>
    </row>
    <row r="5254" ht="15.75" customHeight="1">
      <c r="A5254" s="1">
        <v>5648.0</v>
      </c>
      <c r="B5254" s="3" t="s">
        <v>5098</v>
      </c>
      <c r="C5254" s="3" t="str">
        <f>IFERROR(__xludf.DUMMYFUNCTION("GOOGLETRANSLATE(B5254,""id"",""en"")"),"['quota', 'multimedia', 'sympathy', 'used', 'play', 'youtube', 'quota', 'multimedia', 'telkomsel', 'kayak', 'take', 'quota', ' Multimedia ',' take ',' quota ',' mainly ',' taken ',' take ',' quota ',' main ', ""]")</f>
        <v>['quota', 'multimedia', 'sympathy', 'used', 'play', 'youtube', 'quota', 'multimedia', 'telkomsel', 'kayak', 'take', 'quota', ' Multimedia ',' take ',' quota ',' mainly ',' taken ',' take ',' quota ',' main ', "]</v>
      </c>
      <c r="D5254" s="3">
        <v>3.0</v>
      </c>
    </row>
    <row r="5255" ht="15.75" customHeight="1">
      <c r="A5255" s="1">
        <v>5649.0</v>
      </c>
      <c r="B5255" s="3" t="s">
        <v>5099</v>
      </c>
      <c r="C5255" s="3" t="str">
        <f>IFERROR(__xludf.DUMMYFUNCTION("GOOGLETRANSLATE(B5255,""id"",""en"")"),"['APK', 'Good', 'Helpful']")</f>
        <v>['APK', 'Good', 'Helpful']</v>
      </c>
      <c r="D5255" s="3">
        <v>5.0</v>
      </c>
    </row>
    <row r="5256" ht="15.75" customHeight="1">
      <c r="A5256" s="1">
        <v>5650.0</v>
      </c>
      <c r="B5256" s="3" t="s">
        <v>5100</v>
      </c>
      <c r="C5256" s="3" t="str">
        <f>IFERROR(__xludf.DUMMYFUNCTION("GOOGLETRANSLATE(B5256,""id"",""en"")"),"['ksih', 'dl', 'bntang', 'mang', 'bgus', 'ksih', ""]")</f>
        <v>['ksih', 'dl', 'bntang', 'mang', 'bgus', 'ksih', "]</v>
      </c>
      <c r="D5256" s="3">
        <v>2.0</v>
      </c>
    </row>
    <row r="5257" ht="15.75" customHeight="1">
      <c r="A5257" s="1">
        <v>5651.0</v>
      </c>
      <c r="B5257" s="3" t="s">
        <v>5101</v>
      </c>
      <c r="C5257" s="3" t="str">
        <f>IFERROR(__xludf.DUMMYFUNCTION("GOOGLETRANSLATE(B5257,""id"",""en"")"),"['brain', 'pig', 'ngelag', 'understand', 'complaints', 'users', 'Telkomsel', 'gini', 'then', 'prayer', 'Telkomsel', 'sell']")</f>
        <v>['brain', 'pig', 'ngelag', 'understand', 'complaints', 'users', 'Telkomsel', 'gini', 'then', 'prayer', 'Telkomsel', 'sell']</v>
      </c>
      <c r="D5257" s="3">
        <v>1.0</v>
      </c>
    </row>
    <row r="5258" ht="15.75" customHeight="1">
      <c r="A5258" s="1">
        <v>5652.0</v>
      </c>
      <c r="B5258" s="3" t="s">
        <v>5102</v>
      </c>
      <c r="C5258" s="3" t="str">
        <f>IFERROR(__xludf.DUMMYFUNCTION("GOOGLETRANSLATE(B5258,""id"",""en"")"),"['function', 'needs', 'internet', 'satisfying', 'promo', 'internet', 'cheap', 'hopefully', 'aspects', 'needs', 'internet', ""]")</f>
        <v>['function', 'needs', 'internet', 'satisfying', 'promo', 'internet', 'cheap', 'hopefully', 'aspects', 'needs', 'internet', "]</v>
      </c>
      <c r="D5258" s="3">
        <v>5.0</v>
      </c>
    </row>
    <row r="5259" ht="15.75" customHeight="1">
      <c r="A5259" s="1">
        <v>5653.0</v>
      </c>
      <c r="B5259" s="3" t="s">
        <v>3014</v>
      </c>
      <c r="C5259" s="3" t="str">
        <f>IFERROR(__xludf.DUMMYFUNCTION("GOOGLETRANSLATE(B5259,""id"",""en"")"),"['Convenience']")</f>
        <v>['Convenience']</v>
      </c>
      <c r="D5259" s="3">
        <v>5.0</v>
      </c>
    </row>
    <row r="5260" ht="15.75" customHeight="1">
      <c r="A5260" s="1">
        <v>5655.0</v>
      </c>
      <c r="B5260" s="3" t="s">
        <v>5103</v>
      </c>
      <c r="C5260" s="3" t="str">
        <f>IFERROR(__xludf.DUMMYFUNCTION("GOOGLETRANSLATE(B5260,""id"",""en"")"),"['signal', 'ugly', 'really', 'recommend', 'really', 'Telkomsel', 'already', 'expensive', 'wkwkwkwk']")</f>
        <v>['signal', 'ugly', 'really', 'recommend', 'really', 'Telkomsel', 'already', 'expensive', 'wkwkwkwk']</v>
      </c>
      <c r="D5260" s="3">
        <v>1.0</v>
      </c>
    </row>
    <row r="5261" ht="15.75" customHeight="1">
      <c r="A5261" s="1">
        <v>5656.0</v>
      </c>
      <c r="B5261" s="3" t="s">
        <v>217</v>
      </c>
      <c r="C5261" s="3" t="str">
        <f>IFERROR(__xludf.DUMMYFUNCTION("GOOGLETRANSLATE(B5261,""id"",""en"")"),"['satisfying', '']")</f>
        <v>['satisfying', '']</v>
      </c>
      <c r="D5261" s="3">
        <v>5.0</v>
      </c>
    </row>
    <row r="5262" ht="15.75" customHeight="1">
      <c r="A5262" s="1">
        <v>5657.0</v>
      </c>
      <c r="B5262" s="3" t="s">
        <v>5104</v>
      </c>
      <c r="C5262" s="3" t="str">
        <f>IFERROR(__xludf.DUMMYFUNCTION("GOOGLETRANSLATE(B5262,""id"",""en"")"),"['Package', 'enter', 'enter', 'pulse', 'response', '']")</f>
        <v>['Package', 'enter', 'enter', 'pulse', 'response', '']</v>
      </c>
      <c r="D5262" s="3">
        <v>2.0</v>
      </c>
    </row>
    <row r="5263" ht="15.75" customHeight="1">
      <c r="A5263" s="1">
        <v>5658.0</v>
      </c>
      <c r="B5263" s="3" t="s">
        <v>5105</v>
      </c>
      <c r="C5263" s="3" t="str">
        <f>IFERROR(__xludf.DUMMYFUNCTION("GOOGLETRANSLATE(B5263,""id"",""en"")"),"['Telkomsel', 'complete', 'trusted']")</f>
        <v>['Telkomsel', 'complete', 'trusted']</v>
      </c>
      <c r="D5263" s="3">
        <v>5.0</v>
      </c>
    </row>
    <row r="5264" ht="15.75" customHeight="1">
      <c r="A5264" s="1">
        <v>5659.0</v>
      </c>
      <c r="B5264" s="3" t="s">
        <v>5106</v>
      </c>
      <c r="C5264" s="3" t="str">
        <f>IFERROR(__xludf.DUMMYFUNCTION("GOOGLETRANSLATE(B5264,""id"",""en"")"),"['Satisfied', 'TPI', 'KNPA', 'Price', 'TLL', 'Mahak', 'PKET', 'HRI', ""]")</f>
        <v>['Satisfied', 'TPI', 'KNPA', 'Price', 'TLL', 'Mahak', 'PKET', 'HRI', "]</v>
      </c>
      <c r="D5264" s="3">
        <v>5.0</v>
      </c>
    </row>
    <row r="5265" ht="15.75" customHeight="1">
      <c r="A5265" s="1">
        <v>5660.0</v>
      </c>
      <c r="B5265" s="3" t="s">
        <v>5107</v>
      </c>
      <c r="C5265" s="3" t="str">
        <f>IFERROR(__xludf.DUMMYFUNCTION("GOOGLETRANSLATE(B5265,""id"",""en"")"),"['Telkomsel', 'signal', 'destroyed', 'Biki', 'Males', 'Telkomsel']")</f>
        <v>['Telkomsel', 'signal', 'destroyed', 'Biki', 'Males', 'Telkomsel']</v>
      </c>
      <c r="D5265" s="3">
        <v>1.0</v>
      </c>
    </row>
    <row r="5266" ht="15.75" customHeight="1">
      <c r="A5266" s="1">
        <v>5661.0</v>
      </c>
      <c r="B5266" s="3" t="s">
        <v>5108</v>
      </c>
      <c r="C5266" s="3" t="str">
        <f>IFERROR(__xludf.DUMMYFUNCTION("GOOGLETRANSLATE(B5266,""id"",""en"")"),"['price', 'package', 'expensive', 'expensive', 'according to', 'quality', '']")</f>
        <v>['price', 'package', 'expensive', 'expensive', 'according to', 'quality', '']</v>
      </c>
      <c r="D5266" s="3">
        <v>1.0</v>
      </c>
    </row>
    <row r="5267" ht="15.75" customHeight="1">
      <c r="A5267" s="1">
        <v>5662.0</v>
      </c>
      <c r="B5267" s="3" t="s">
        <v>5109</v>
      </c>
      <c r="C5267" s="3" t="str">
        <f>IFERROR(__xludf.DUMMYFUNCTION("GOOGLETRANSLATE(B5267,""id"",""en"")"),"['Telkomsel', 'severe', 'really', 'skrg', 'yesterday', 'buy', 'quota', 'rb', 'GB', 'lemoooooottt', 'paraahhh', 'gabiazanya', ' ']")</f>
        <v>['Telkomsel', 'severe', 'really', 'skrg', 'yesterday', 'buy', 'quota', 'rb', 'GB', 'lemoooooottt', 'paraahhh', 'gabiazanya', ' ']</v>
      </c>
      <c r="D5267" s="3">
        <v>1.0</v>
      </c>
    </row>
    <row r="5268" ht="15.75" customHeight="1">
      <c r="A5268" s="1">
        <v>5663.0</v>
      </c>
      <c r="B5268" s="3" t="s">
        <v>5110</v>
      </c>
      <c r="C5268" s="3" t="str">
        <f>IFERROR(__xludf.DUMMYFUNCTION("GOOGLETRANSLATE(B5268,""id"",""en"")"),"['Telkomsel', 'strange', 'quota', 'GB', 'internet', 'cut', 'pulse', 'disappointed']")</f>
        <v>['Telkomsel', 'strange', 'quota', 'GB', 'internet', 'cut', 'pulse', 'disappointed']</v>
      </c>
      <c r="D5268" s="3">
        <v>1.0</v>
      </c>
    </row>
    <row r="5269" ht="15.75" customHeight="1">
      <c r="A5269" s="1">
        <v>5664.0</v>
      </c>
      <c r="B5269" s="3" t="s">
        <v>5111</v>
      </c>
      <c r="C5269" s="3" t="str">
        <f>IFERROR(__xludf.DUMMYFUNCTION("GOOGLETRANSLATE(B5269,""id"",""en"")"),"['Fix', 'Network', 'Client']")</f>
        <v>['Fix', 'Network', 'Client']</v>
      </c>
      <c r="D5269" s="3">
        <v>1.0</v>
      </c>
    </row>
    <row r="5270" ht="15.75" customHeight="1">
      <c r="A5270" s="1">
        <v>5665.0</v>
      </c>
      <c r="B5270" s="3" t="s">
        <v>5112</v>
      </c>
      <c r="C5270" s="3" t="str">
        <f>IFERROR(__xludf.DUMMYFUNCTION("GOOGLETRANSLATE(B5270,""id"",""en"")"),"['Practical', 'fast']")</f>
        <v>['Practical', 'fast']</v>
      </c>
      <c r="D5270" s="3">
        <v>5.0</v>
      </c>
    </row>
    <row r="5271" ht="15.75" customHeight="1">
      <c r="A5271" s="1">
        <v>5667.0</v>
      </c>
      <c r="B5271" s="3" t="s">
        <v>5113</v>
      </c>
      <c r="C5271" s="3" t="str">
        <f>IFERROR(__xludf.DUMMYFUNCTION("GOOGLETRANSLATE(B5271,""id"",""en"")"),"['APK', 'Bgus', '']")</f>
        <v>['APK', 'Bgus', '']</v>
      </c>
      <c r="D5271" s="3">
        <v>4.0</v>
      </c>
    </row>
    <row r="5272" ht="15.75" customHeight="1">
      <c r="A5272" s="1">
        <v>5669.0</v>
      </c>
      <c r="B5272" s="3" t="s">
        <v>5114</v>
      </c>
      <c r="C5272" s="3" t="str">
        <f>IFERROR(__xludf.DUMMYFUNCTION("GOOGLETRANSLATE(B5272,""id"",""en"")"),"['Best', 'steady', 'hope', 'car']")</f>
        <v>['Best', 'steady', 'hope', 'car']</v>
      </c>
      <c r="D5272" s="3">
        <v>5.0</v>
      </c>
    </row>
    <row r="5273" ht="15.75" customHeight="1">
      <c r="A5273" s="1">
        <v>5670.0</v>
      </c>
      <c r="B5273" s="3" t="s">
        <v>5115</v>
      </c>
      <c r="C5273" s="3" t="str">
        <f>IFERROR(__xludf.DUMMYFUNCTION("GOOGLETRANSLATE(B5273,""id"",""en"")"),"['quota', 'data', 'run out', 'pulse', 'call', 'sucked', 'stop', 'pulse', 'call', 'used', 'internet', '']")</f>
        <v>['quota', 'data', 'run out', 'pulse', 'call', 'sucked', 'stop', 'pulse', 'call', 'used', 'internet', '']</v>
      </c>
      <c r="D5273" s="3">
        <v>1.0</v>
      </c>
    </row>
    <row r="5274" ht="15.75" customHeight="1">
      <c r="A5274" s="1">
        <v>5671.0</v>
      </c>
      <c r="B5274" s="3" t="s">
        <v>5116</v>
      </c>
      <c r="C5274" s="3" t="str">
        <f>IFERROR(__xludf.DUMMYFUNCTION("GOOGLETRANSLATE(B5274,""id"",""en"")"),"['Service', 'Online', 'fast', 'direct', 'accepted']")</f>
        <v>['Service', 'Online', 'fast', 'direct', 'accepted']</v>
      </c>
      <c r="D5274" s="3">
        <v>5.0</v>
      </c>
    </row>
    <row r="5275" ht="15.75" customHeight="1">
      <c r="A5275" s="1">
        <v>5672.0</v>
      </c>
      <c r="B5275" s="3" t="s">
        <v>5117</v>
      </c>
      <c r="C5275" s="3" t="str">
        <f>IFERROR(__xludf.DUMMYFUNCTION("GOOGLETRANSLATE(B5275,""id"",""en"")"),"['Najis', 'price', 'package', 'changed', 'folding', 'monopoly', 'works']")</f>
        <v>['Najis', 'price', 'package', 'changed', 'folding', 'monopoly', 'works']</v>
      </c>
      <c r="D5275" s="3">
        <v>1.0</v>
      </c>
    </row>
    <row r="5276" ht="15.75" customHeight="1">
      <c r="A5276" s="1">
        <v>5673.0</v>
      </c>
      <c r="B5276" s="3" t="s">
        <v>5118</v>
      </c>
      <c r="C5276" s="3" t="str">
        <f>IFERROR(__xludf.DUMMYFUNCTION("GOOGLETRANSLATE(B5276,""id"",""en"")"),"['', 'like', 'application']")</f>
        <v>['', 'like', 'application']</v>
      </c>
      <c r="D5276" s="3">
        <v>5.0</v>
      </c>
    </row>
    <row r="5277" ht="15.75" customHeight="1">
      <c r="A5277" s="1">
        <v>5675.0</v>
      </c>
      <c r="B5277" s="3" t="s">
        <v>5119</v>
      </c>
      <c r="C5277" s="3" t="str">
        <f>IFERROR(__xludf.DUMMYFUNCTION("GOOGLETRANSLATE(B5277,""id"",""en"")"),"['slow']")</f>
        <v>['slow']</v>
      </c>
      <c r="D5277" s="3">
        <v>3.0</v>
      </c>
    </row>
    <row r="5278" ht="15.75" customHeight="1">
      <c r="A5278" s="1">
        <v>5677.0</v>
      </c>
      <c r="B5278" s="3" t="s">
        <v>5120</v>
      </c>
      <c r="C5278" s="3" t="str">
        <f>IFERROR(__xludf.DUMMYFUNCTION("GOOGLETRANSLATE(B5278,""id"",""en"")"),"['Package', 'Internet', 'Pair', 'Data', 'Internet', 'Turn Off', 'Credit', 'Cut', 'Ludes', 'Please', 'Repair', ""]")</f>
        <v>['Package', 'Internet', 'Pair', 'Data', 'Internet', 'Turn Off', 'Credit', 'Cut', 'Ludes', 'Please', 'Repair', "]</v>
      </c>
      <c r="D5278" s="3">
        <v>1.0</v>
      </c>
    </row>
    <row r="5279" ht="15.75" customHeight="1">
      <c r="A5279" s="1">
        <v>5678.0</v>
      </c>
      <c r="B5279" s="3" t="s">
        <v>5121</v>
      </c>
      <c r="C5279" s="3" t="str">
        <f>IFERROR(__xludf.DUMMYFUNCTION("GOOGLETRANSLATE(B5279,""id"",""en"")"),"['usage', 'quota', 'pay attention', 'package', 'internet', 'run out', ""]")</f>
        <v>['usage', 'quota', 'pay attention', 'package', 'internet', 'run out', "]</v>
      </c>
      <c r="D5279" s="3">
        <v>4.0</v>
      </c>
    </row>
    <row r="5280" ht="15.75" customHeight="1">
      <c r="A5280" s="1">
        <v>5679.0</v>
      </c>
      <c r="B5280" s="3" t="s">
        <v>5122</v>
      </c>
      <c r="C5280" s="3" t="str">
        <f>IFERROR(__xludf.DUMMYFUNCTION("GOOGLETRANSLATE(B5280,""id"",""en"")"),"['', 'Naek', 'price', 'package', 'down', '']")</f>
        <v>['', 'Naek', 'price', 'package', 'down', '']</v>
      </c>
      <c r="D5280" s="3">
        <v>2.0</v>
      </c>
    </row>
    <row r="5281" ht="15.75" customHeight="1">
      <c r="A5281" s="1">
        <v>5680.0</v>
      </c>
      <c r="B5281" s="3" t="s">
        <v>902</v>
      </c>
      <c r="C5281" s="3" t="str">
        <f>IFERROR(__xludf.DUMMYFUNCTION("GOOGLETRANSLATE(B5281,""id"",""en"")"),"['best']")</f>
        <v>['best']</v>
      </c>
      <c r="D5281" s="3">
        <v>5.0</v>
      </c>
    </row>
    <row r="5282" ht="15.75" customHeight="1">
      <c r="A5282" s="1">
        <v>5681.0</v>
      </c>
      <c r="B5282" s="3" t="s">
        <v>996</v>
      </c>
      <c r="C5282" s="3" t="str">
        <f>IFERROR(__xludf.DUMMYFUNCTION("GOOGLETRANSLATE(B5282,""id"",""en"")"),"['Application', 'Good', '']")</f>
        <v>['Application', 'Good', '']</v>
      </c>
      <c r="D5282" s="3">
        <v>5.0</v>
      </c>
    </row>
    <row r="5283" ht="15.75" customHeight="1">
      <c r="A5283" s="1">
        <v>5682.0</v>
      </c>
      <c r="B5283" s="3" t="s">
        <v>5123</v>
      </c>
      <c r="C5283" s="3" t="str">
        <f>IFERROR(__xludf.DUMMYFUNCTION("GOOGLETRANSLATE(B5283,""id"",""en"")"),"['Margnt', '']")</f>
        <v>['Margnt', '']</v>
      </c>
      <c r="D5283" s="3">
        <v>4.0</v>
      </c>
    </row>
    <row r="5284" ht="15.75" customHeight="1">
      <c r="A5284" s="1">
        <v>5683.0</v>
      </c>
      <c r="B5284" s="3" t="s">
        <v>5124</v>
      </c>
      <c r="C5284" s="3" t="str">
        <f>IFERROR(__xludf.DUMMYFUNCTION("GOOGLETRANSLATE(B5284,""id"",""en"")"),"['Signal', 'Bad', 'Severe', 'Rain', 'Severe']")</f>
        <v>['Signal', 'Bad', 'Severe', 'Rain', 'Severe']</v>
      </c>
      <c r="D5284" s="3">
        <v>1.0</v>
      </c>
    </row>
    <row r="5285" ht="15.75" customHeight="1">
      <c r="A5285" s="1">
        <v>5684.0</v>
      </c>
      <c r="B5285" s="3" t="s">
        <v>5125</v>
      </c>
      <c r="C5285" s="3" t="str">
        <f>IFERROR(__xludf.DUMMYFUNCTION("GOOGLETRANSLATE(B5285,""id"",""en"")"),"['Mantul', 'steady', '']")</f>
        <v>['Mantul', 'steady', '']</v>
      </c>
      <c r="D5285" s="3">
        <v>5.0</v>
      </c>
    </row>
    <row r="5286" ht="15.75" customHeight="1">
      <c r="A5286" s="1">
        <v>5685.0</v>
      </c>
      <c r="B5286" s="3" t="s">
        <v>5126</v>
      </c>
      <c r="C5286" s="3" t="str">
        <f>IFERROR(__xludf.DUMMYFUNCTION("GOOGLETRANSLATE(B5286,""id"",""en"")"),"['bapuk', 'signal', 'expensive', 'doank']")</f>
        <v>['bapuk', 'signal', 'expensive', 'doank']</v>
      </c>
      <c r="D5286" s="3">
        <v>1.0</v>
      </c>
    </row>
    <row r="5287" ht="15.75" customHeight="1">
      <c r="A5287" s="1">
        <v>5686.0</v>
      </c>
      <c r="B5287" s="3" t="s">
        <v>5127</v>
      </c>
      <c r="C5287" s="3" t="str">
        <f>IFERROR(__xludf.DUMMYFUNCTION("GOOGLETRANSLATE(B5287,""id"",""en"")"),"['fun', 'hope', 'gift']")</f>
        <v>['fun', 'hope', 'gift']</v>
      </c>
      <c r="D5287" s="3">
        <v>5.0</v>
      </c>
    </row>
    <row r="5288" ht="15.75" customHeight="1">
      <c r="A5288" s="1">
        <v>5687.0</v>
      </c>
      <c r="B5288" s="3" t="s">
        <v>5128</v>
      </c>
      <c r="C5288" s="3" t="str">
        <f>IFERROR(__xludf.DUMMYFUNCTION("GOOGLETRANSLATE(B5288,""id"",""en"")"),"['', 'multiptenizes', 'promo', 'subscription', 'awake']")</f>
        <v>['', 'multiptenizes', 'promo', 'subscription', 'awake']</v>
      </c>
      <c r="D5288" s="3">
        <v>5.0</v>
      </c>
    </row>
    <row r="5289" ht="15.75" customHeight="1">
      <c r="A5289" s="1">
        <v>5688.0</v>
      </c>
      <c r="B5289" s="3" t="s">
        <v>5129</v>
      </c>
      <c r="C5289" s="3" t="str">
        <f>IFERROR(__xludf.DUMMYFUNCTION("GOOGLETRANSLATE(B5289,""id"",""en"")"),"['Good', 'really', 'apk', 'boss', 'darling', 'coupon']")</f>
        <v>['Good', 'really', 'apk', 'boss', 'darling', 'coupon']</v>
      </c>
      <c r="D5289" s="3">
        <v>5.0</v>
      </c>
    </row>
    <row r="5290" ht="15.75" customHeight="1">
      <c r="A5290" s="1">
        <v>5689.0</v>
      </c>
      <c r="B5290" s="3" t="s">
        <v>5130</v>
      </c>
      <c r="C5290" s="3" t="str">
        <f>IFERROR(__xludf.DUMMYFUNCTION("GOOGLETRANSLATE(B5290,""id"",""en"")"),"['Recommend']")</f>
        <v>['Recommend']</v>
      </c>
      <c r="D5290" s="3">
        <v>5.0</v>
      </c>
    </row>
    <row r="5291" ht="15.75" customHeight="1">
      <c r="A5291" s="1">
        <v>5690.0</v>
      </c>
      <c r="B5291" s="3" t="s">
        <v>5131</v>
      </c>
      <c r="C5291" s="3" t="str">
        <f>IFERROR(__xludf.DUMMYFUNCTION("GOOGLETRANSLATE(B5291,""id"",""en"")"),"['connection', 'stable', 'not', 'good', '']")</f>
        <v>['connection', 'stable', 'not', 'good', '']</v>
      </c>
      <c r="D5291" s="3">
        <v>3.0</v>
      </c>
    </row>
    <row r="5292" ht="15.75" customHeight="1">
      <c r="A5292" s="1">
        <v>5691.0</v>
      </c>
      <c r="B5292" s="3" t="s">
        <v>5132</v>
      </c>
      <c r="C5292" s="3" t="str">
        <f>IFERROR(__xludf.DUMMYFUNCTION("GOOGLETRANSLATE(B5292,""id"",""en"")"),"['Disappointed', 'Telkomsel', 'signal', 'down', 'slow', 'really', 'area', 'city', 'Telkomsel', 'lost', 'here', 'down', ' Please, 'Love', 'Explanation', 'Consumers', 'Explanation', 'Ngaoain', 'Telkomsel', 'Mending', 'Change', 'Card', 'Loss', 'Like', 'Gaes'"&amp;" ]")</f>
        <v>['Disappointed', 'Telkomsel', 'signal', 'down', 'slow', 'really', 'area', 'city', 'Telkomsel', 'lost', 'here', 'down', ' Please, 'Love', 'Explanation', 'Consumers', 'Explanation', 'Ngaoain', 'Telkomsel', 'Mending', 'Change', 'Card', 'Loss', 'Like', 'Gaes' ]</v>
      </c>
      <c r="D5292" s="3">
        <v>1.0</v>
      </c>
    </row>
    <row r="5293" ht="15.75" customHeight="1">
      <c r="A5293" s="1">
        <v>5692.0</v>
      </c>
      <c r="B5293" s="3" t="s">
        <v>5133</v>
      </c>
      <c r="C5293" s="3" t="str">
        <f>IFERROR(__xludf.DUMMYFUNCTION("GOOGLETRANSLATE(B5293,""id"",""en"")"),"['Telkomsel', 'hopefully', 'aspect', 'anything', 'price', 'cheap', 'noticed', 'consumer', ""]")</f>
        <v>['Telkomsel', 'hopefully', 'aspect', 'anything', 'price', 'cheap', 'noticed', 'consumer', "]</v>
      </c>
      <c r="D5293" s="3">
        <v>5.0</v>
      </c>
    </row>
    <row r="5294" ht="15.75" customHeight="1">
      <c r="A5294" s="1">
        <v>5693.0</v>
      </c>
      <c r="B5294" s="3" t="s">
        <v>5134</v>
      </c>
      <c r="C5294" s="3" t="str">
        <f>IFERROR(__xludf.DUMMYFUNCTION("GOOGLETRANSLATE(B5294,""id"",""en"")"),"['star', 'I', 'love', 'because' according to ',' signal ',' intention ',' gave ',' just ',' class ',' Surabaya ',' signal ',' ugly ',' really ',' here ',' destroyed ',' service ',' Telkomsel ',' dlu ',' skrg ',' slogan ',' Loe ',' rear ',' thanks', 'thn' "&amp;", 'accompany me', '']")</f>
        <v>['star', 'I', 'love', 'because' according to ',' signal ',' intention ',' gave ',' just ',' class ',' Surabaya ',' signal ',' ugly ',' really ',' here ',' destroyed ',' service ',' Telkomsel ',' dlu ',' skrg ',' slogan ',' Loe ',' rear ',' thanks', 'thn' , 'accompany me', '']</v>
      </c>
      <c r="D5294" s="3">
        <v>1.0</v>
      </c>
    </row>
    <row r="5295" ht="15.75" customHeight="1">
      <c r="A5295" s="1">
        <v>5694.0</v>
      </c>
      <c r="B5295" s="3" t="s">
        <v>5135</v>
      </c>
      <c r="C5295" s="3" t="str">
        <f>IFERROR(__xludf.DUMMYFUNCTION("GOOGLETRANSLATE(B5295,""id"",""en"")"),"['Really', 'Help', ""]")</f>
        <v>['Really', 'Help', "]</v>
      </c>
      <c r="D5295" s="3">
        <v>5.0</v>
      </c>
    </row>
    <row r="5296" ht="15.75" customHeight="1">
      <c r="A5296" s="1">
        <v>5695.0</v>
      </c>
      <c r="B5296" s="3" t="s">
        <v>5136</v>
      </c>
      <c r="C5296" s="3" t="str">
        <f>IFERROR(__xludf.DUMMYFUNCTION("GOOGLETRANSLATE(B5296,""id"",""en"")"),"['The essence', 'disappointed', 'slow', 'application', 'MyTelkomsel', 'upgrade', 'price', 'above', 'provider', 'Telkomsel', 'fail', 'carry', ' Trust ',' Customer ',' Auto ',' Move ',' Cheap ']")</f>
        <v>['The essence', 'disappointed', 'slow', 'application', 'MyTelkomsel', 'upgrade', 'price', 'above', 'provider', 'Telkomsel', 'fail', 'carry', ' Trust ',' Customer ',' Auto ',' Move ',' Cheap ']</v>
      </c>
      <c r="D5296" s="3">
        <v>1.0</v>
      </c>
    </row>
    <row r="5297" ht="15.75" customHeight="1">
      <c r="A5297" s="1">
        <v>5696.0</v>
      </c>
      <c r="B5297" s="3" t="s">
        <v>5137</v>
      </c>
      <c r="C5297" s="3" t="str">
        <f>IFERROR(__xludf.DUMMYFUNCTION("GOOGLETRANSLATE(B5297,""id"",""en"")"),"['', 'comment', 'Anyway', 'Best', 'Telkomsel']")</f>
        <v>['', 'comment', 'Anyway', 'Best', 'Telkomsel']</v>
      </c>
      <c r="D5297" s="3">
        <v>5.0</v>
      </c>
    </row>
    <row r="5298" ht="15.75" customHeight="1">
      <c r="A5298" s="1">
        <v>5697.0</v>
      </c>
      <c r="B5298" s="3" t="s">
        <v>5138</v>
      </c>
      <c r="C5298" s="3" t="str">
        <f>IFERROR(__xludf.DUMMYFUNCTION("GOOGLETRANSLATE(B5298,""id"",""en"")"),"['minus', 'really', 'signal', 'severe', 'really', 'hours', 'bareless', 'ping', 'ngejump', 'play', 'game', 'above' hours', 'gabisa', 'receiving', 'sms']")</f>
        <v>['minus', 'really', 'signal', 'severe', 'really', 'hours', 'bareless', 'ping', 'ngejump', 'play', 'game', 'above' hours', 'gabisa', 'receiving', 'sms']</v>
      </c>
      <c r="D5298" s="3">
        <v>1.0</v>
      </c>
    </row>
    <row r="5299" ht="15.75" customHeight="1">
      <c r="A5299" s="1">
        <v>5698.0</v>
      </c>
      <c r="B5299" s="3" t="s">
        <v>5139</v>
      </c>
      <c r="C5299" s="3" t="str">
        <f>IFERROR(__xludf.DUMMYFUNCTION("GOOGLETRANSLATE(B5299,""id"",""en"")"),"['hope', 'brankun']")</f>
        <v>['hope', 'brankun']</v>
      </c>
      <c r="D5299" s="3">
        <v>5.0</v>
      </c>
    </row>
    <row r="5300" ht="15.75" customHeight="1">
      <c r="A5300" s="1">
        <v>5699.0</v>
      </c>
      <c r="B5300" s="3" t="s">
        <v>5140</v>
      </c>
      <c r="C5300" s="3" t="str">
        <f>IFERROR(__xludf.DUMMYFUNCTION("GOOGLETRANSLATE(B5300,""id"",""en"")"),"['Steady', 'love', 'star', '']")</f>
        <v>['Steady', 'love', 'star', '']</v>
      </c>
      <c r="D5300" s="3">
        <v>4.0</v>
      </c>
    </row>
    <row r="5301" ht="15.75" customHeight="1">
      <c r="A5301" s="1">
        <v>5700.0</v>
      </c>
      <c r="B5301" s="3" t="s">
        <v>5141</v>
      </c>
      <c r="C5301" s="3" t="str">
        <f>IFERROR(__xludf.DUMMYFUNCTION("GOOGLETRANSLATE(B5301,""id"",""en"")"),"['buy', 'quota', 'expensive', 'network', 'slow', 'forgiveness',' bar ',' signal ',' written ',' TPI ',' original ',' slow ',' Severe ',' please ',' Fix ',' slow ',' chaotic ',' staple ',' star ',' Telkomsel ',' star ',' minus', 'love', 'reasons',' improve"&amp;"ment ' , 'Network', 'halahhhh', 'bct', 'doang', 'improvement', 'network', 'so', 'slow', 'turn', 'review', 'telegram', 'gercep', ' Conditions', 'signal', 'ugly']")</f>
        <v>['buy', 'quota', 'expensive', 'network', 'slow', 'forgiveness',' bar ',' signal ',' written ',' TPI ',' original ',' slow ',' Severe ',' please ',' Fix ',' slow ',' chaotic ',' staple ',' star ',' Telkomsel ',' star ',' minus', 'love', 'reasons',' improvement ' , 'Network', 'halahhhh', 'bct', 'doang', 'improvement', 'network', 'so', 'slow', 'turn', 'review', 'telegram', 'gercep', ' Conditions', 'signal', 'ugly']</v>
      </c>
      <c r="D5301" s="3">
        <v>1.0</v>
      </c>
    </row>
    <row r="5302" ht="15.75" customHeight="1">
      <c r="A5302" s="1">
        <v>5701.0</v>
      </c>
      <c r="B5302" s="3" t="s">
        <v>5142</v>
      </c>
      <c r="C5302" s="3" t="str">
        <f>IFERROR(__xludf.DUMMYFUNCTION("GOOGLETRANSLATE(B5302,""id"",""en"")"),"['Severe', 'package', 'expensive', 'network', 'selogan']")</f>
        <v>['Severe', 'package', 'expensive', 'network', 'selogan']</v>
      </c>
      <c r="D5302" s="3">
        <v>1.0</v>
      </c>
    </row>
    <row r="5303" ht="15.75" customHeight="1">
      <c r="A5303" s="1">
        <v>5702.0</v>
      </c>
      <c r="B5303" s="3" t="s">
        <v>5143</v>
      </c>
      <c r="C5303" s="3" t="str">
        <f>IFERROR(__xludf.DUMMYFUNCTION("GOOGLETRANSLATE(B5303,""id"",""en"")"),"['fast', 'easy']")</f>
        <v>['fast', 'easy']</v>
      </c>
      <c r="D5303" s="3">
        <v>5.0</v>
      </c>
    </row>
    <row r="5304" ht="15.75" customHeight="1">
      <c r="A5304" s="1">
        <v>5703.0</v>
      </c>
      <c r="B5304" s="3" t="s">
        <v>5144</v>
      </c>
      <c r="C5304" s="3" t="str">
        <f>IFERROR(__xludf.DUMMYFUNCTION("GOOGLETRANSLATE(B5304,""id"",""en"")"),"['Kalu', 'subscribe', 'Addin', 'promo', 'sympathy', 'stingy']")</f>
        <v>['Kalu', 'subscribe', 'Addin', 'promo', 'sympathy', 'stingy']</v>
      </c>
      <c r="D5304" s="3">
        <v>4.0</v>
      </c>
    </row>
    <row r="5305" ht="15.75" customHeight="1">
      <c r="A5305" s="1">
        <v>5704.0</v>
      </c>
      <c r="B5305" s="3" t="s">
        <v>5145</v>
      </c>
      <c r="C5305" s="3" t="str">
        <f>IFERROR(__xludf.DUMMYFUNCTION("GOOGLETRANSLATE(B5305,""id"",""en"")"),"['vrsi', 'blank', 'open', 'stack', 'picture', 'white', 'enter', 'telkomsel', 'regrestration', 'enter', 'smooth', 'enter', ' SETERUS ',' ']")</f>
        <v>['vrsi', 'blank', 'open', 'stack', 'picture', 'white', 'enter', 'telkomsel', 'regrestration', 'enter', 'smooth', 'enter', ' SETERUS ',' ']</v>
      </c>
      <c r="D5305" s="3">
        <v>1.0</v>
      </c>
    </row>
    <row r="5306" ht="15.75" customHeight="1">
      <c r="A5306" s="1">
        <v>5705.0</v>
      </c>
      <c r="B5306" s="3" t="s">
        <v>5146</v>
      </c>
      <c r="C5306" s="3" t="str">
        <f>IFERROR(__xludf.DUMMYFUNCTION("GOOGLETRANSLATE(B5306,""id"",""en"")"),"['Miss's', 'user']")</f>
        <v>['Miss's', 'user']</v>
      </c>
      <c r="D5306" s="3">
        <v>2.0</v>
      </c>
    </row>
    <row r="5307" ht="15.75" customHeight="1">
      <c r="A5307" s="1">
        <v>5706.0</v>
      </c>
      <c r="B5307" s="3" t="s">
        <v>5147</v>
      </c>
      <c r="C5307" s="3" t="str">
        <f>IFERROR(__xludf.DUMMYFUNCTION("GOOGLETRANSLATE(B5307,""id"",""en"")"),"['biggest', 'best']")</f>
        <v>['biggest', 'best']</v>
      </c>
      <c r="D5307" s="3">
        <v>5.0</v>
      </c>
    </row>
    <row r="5308" ht="15.75" customHeight="1">
      <c r="A5308" s="1">
        <v>5707.0</v>
      </c>
      <c r="B5308" s="3" t="s">
        <v>5148</v>
      </c>
      <c r="C5308" s="3" t="str">
        <f>IFERROR(__xludf.DUMMYFUNCTION("GOOGLETRANSLATE(B5308,""id"",""en"")"),"['Network', 'BURIK', 'LEMOT']")</f>
        <v>['Network', 'BURIK', 'LEMOT']</v>
      </c>
      <c r="D5308" s="3">
        <v>1.0</v>
      </c>
    </row>
    <row r="5309" ht="15.75" customHeight="1">
      <c r="A5309" s="1">
        <v>5708.0</v>
      </c>
      <c r="B5309" s="3" t="s">
        <v>5149</v>
      </c>
      <c r="C5309" s="3" t="str">
        <f>IFERROR(__xludf.DUMMYFUNCTION("GOOGLETRANSLATE(B5309,""id"",""en"")"),"['Program', 'help']")</f>
        <v>['Program', 'help']</v>
      </c>
      <c r="D5309" s="3">
        <v>5.0</v>
      </c>
    </row>
    <row r="5310" ht="15.75" customHeight="1">
      <c r="A5310" s="1">
        <v>5709.0</v>
      </c>
      <c r="B5310" s="3" t="s">
        <v>5150</v>
      </c>
      <c r="C5310" s="3" t="str">
        <f>IFERROR(__xludf.DUMMYFUNCTION("GOOGLETRANSLATE(B5310,""id"",""en"")"),"['users', 'Telkomsel', 'Ampe', 'Unfortunately', 'Disorders', 'Please', 'Overcome', 'Harm', 'Impact', 'Disruption', 'Signal', 'Error']")</f>
        <v>['users', 'Telkomsel', 'Ampe', 'Unfortunately', 'Disorders', 'Please', 'Overcome', 'Harm', 'Impact', 'Disruption', 'Signal', 'Error']</v>
      </c>
      <c r="D5310" s="3">
        <v>1.0</v>
      </c>
    </row>
    <row r="5311" ht="15.75" customHeight="1">
      <c r="A5311" s="1">
        <v>5710.0</v>
      </c>
      <c r="B5311" s="3" t="s">
        <v>5151</v>
      </c>
      <c r="C5311" s="3" t="str">
        <f>IFERROR(__xludf.DUMMYFUNCTION("GOOGLETRANSLATE(B5311,""id"",""en"")"),"['Please', 'Telkomsel', 'Severe', 'Signal', 'Home', 'Signal', 'Clock', 'Night', 'YouTube', 'Loading', 'Dead', 'Game', ' ']")</f>
        <v>['Please', 'Telkomsel', 'Severe', 'Signal', 'Home', 'Signal', 'Clock', 'Night', 'YouTube', 'Loading', 'Dead', 'Game', ' ']</v>
      </c>
      <c r="D5311" s="3">
        <v>1.0</v>
      </c>
    </row>
    <row r="5312" ht="15.75" customHeight="1">
      <c r="A5312" s="1">
        <v>5711.0</v>
      </c>
      <c r="B5312" s="3" t="s">
        <v>5152</v>
      </c>
      <c r="C5312" s="3" t="str">
        <f>IFERROR(__xludf.DUMMYFUNCTION("GOOGLETRANSLATE(B5312,""id"",""en"")"),"['sad', 'BGTZZ', 'oath', 'Faham', 'Telkomsel', 'Change', 'Many', 'Kali', 'Krna', 'number', 'fast', 'scorched', ' Udh ',' contents', 'pulses',' keep ']")</f>
        <v>['sad', 'BGTZZ', 'oath', 'Faham', 'Telkomsel', 'Change', 'Many', 'Kali', 'Krna', 'number', 'fast', 'scorched', ' Udh ',' contents', 'pulses',' keep ']</v>
      </c>
      <c r="D5312" s="3">
        <v>1.0</v>
      </c>
    </row>
    <row r="5313" ht="15.75" customHeight="1">
      <c r="A5313" s="1">
        <v>5712.0</v>
      </c>
      <c r="B5313" s="3" t="s">
        <v>5153</v>
      </c>
      <c r="C5313" s="3" t="str">
        <f>IFERROR(__xludf.DUMMYFUNCTION("GOOGLETRANSLATE(B5313,""id"",""en"")"),"['Telkomsel', 'already', 'week', 'net', 'Telkomsel', 'slow', 'already', 'use', 'Telkomsel', 'please', 'repaired', 'Customer', ' move']")</f>
        <v>['Telkomsel', 'already', 'week', 'net', 'Telkomsel', 'slow', 'already', 'use', 'Telkomsel', 'please', 'repaired', 'Customer', ' move']</v>
      </c>
      <c r="D5313" s="3">
        <v>1.0</v>
      </c>
    </row>
    <row r="5314" ht="15.75" customHeight="1">
      <c r="A5314" s="1">
        <v>5713.0</v>
      </c>
      <c r="B5314" s="3" t="s">
        <v>5154</v>
      </c>
      <c r="C5314" s="3" t="str">
        <f>IFERROR(__xludf.DUMMYFUNCTION("GOOGLETRANSLATE(B5314,""id"",""en"")"),"['Sorry', 'Love', 'Star', 'Karna', 'System', 'Telkom', 'Bags',' System ',' Notif ',' Masi ',' Slow ',' Sampe ',' Credit ',' Cut ',' Please ',' Telkom ',' Please ',' Fix ',' Error ',' Nya ',' Karna ',' Cape ',' Credit ',' Cut ',' Thank "" , 'love']")</f>
        <v>['Sorry', 'Love', 'Star', 'Karna', 'System', 'Telkom', 'Bags',' System ',' Notif ',' Masi ',' Slow ',' Sampe ',' Credit ',' Cut ',' Please ',' Telkom ',' Please ',' Fix ',' Error ',' Nya ',' Karna ',' Cape ',' Credit ',' Cut ',' Thank " , 'love']</v>
      </c>
      <c r="D5314" s="3">
        <v>1.0</v>
      </c>
    </row>
    <row r="5315" ht="15.75" customHeight="1">
      <c r="A5315" s="1">
        <v>5714.0</v>
      </c>
      <c r="B5315" s="3" t="s">
        <v>5155</v>
      </c>
      <c r="C5315" s="3" t="str">
        <f>IFERROR(__xludf.DUMMYFUNCTION("GOOGLETRANSLATE(B5315,""id"",""en"")"),"['buy', 'package', 'GB', 'swallowed', 'package', 'Ministry of Education and Culture', 'Wonked', 'Samsek', 'UDH', 'Network', 'ugly', 'separation', ' Package ',' intentionally ',' complicated ',' Telkomsel ',' Recommended ',' ']")</f>
        <v>['buy', 'package', 'GB', 'swallowed', 'package', 'Ministry of Education and Culture', 'Wonked', 'Samsek', 'UDH', 'Network', 'ugly', 'separation', ' Package ',' intentionally ',' complicated ',' Telkomsel ',' Recommended ',' ']</v>
      </c>
      <c r="D5315" s="3">
        <v>1.0</v>
      </c>
    </row>
    <row r="5316" ht="15.75" customHeight="1">
      <c r="A5316" s="1">
        <v>5715.0</v>
      </c>
      <c r="B5316" s="3" t="s">
        <v>5156</v>
      </c>
      <c r="C5316" s="3" t="str">
        <f>IFERROR(__xludf.DUMMYFUNCTION("GOOGLETRANSLATE(B5316,""id"",""en"")"),"['Update', 'Telkomsel', 'signal', 'lag', 'pulse', 'suction', 'Alahh']")</f>
        <v>['Update', 'Telkomsel', 'signal', 'lag', 'pulse', 'suction', 'Alahh']</v>
      </c>
      <c r="D5316" s="3">
        <v>1.0</v>
      </c>
    </row>
    <row r="5317" ht="15.75" customHeight="1">
      <c r="A5317" s="1">
        <v>5716.0</v>
      </c>
      <c r="B5317" s="3" t="s">
        <v>5157</v>
      </c>
      <c r="C5317" s="3" t="str">
        <f>IFERROR(__xludf.DUMMYFUNCTION("GOOGLETRANSLATE(B5317,""id"",""en"")"),"['stable']")</f>
        <v>['stable']</v>
      </c>
      <c r="D5317" s="3">
        <v>1.0</v>
      </c>
    </row>
    <row r="5318" ht="15.75" customHeight="1">
      <c r="A5318" s="1">
        <v>5717.0</v>
      </c>
      <c r="B5318" s="3" t="s">
        <v>5158</v>
      </c>
      <c r="C5318" s="3" t="str">
        <f>IFERROR(__xludf.DUMMYFUNCTION("GOOGLETRANSLATE(B5318,""id"",""en"")"),"['Help', 'satisfying']")</f>
        <v>['Help', 'satisfying']</v>
      </c>
      <c r="D5318" s="3">
        <v>5.0</v>
      </c>
    </row>
    <row r="5319" ht="15.75" customHeight="1">
      <c r="A5319" s="1">
        <v>5718.0</v>
      </c>
      <c r="B5319" s="3" t="s">
        <v>5159</v>
      </c>
      <c r="C5319" s="3" t="str">
        <f>IFERROR(__xludf.DUMMYFUNCTION("GOOGLETRANSLATE(B5319,""id"",""en"")"),"['apk', 'help', 'package', 'internet', 'cheap', 'weee', 'calin', 'ngk', 'download', 'regret', 'kau', ""]")</f>
        <v>['apk', 'help', 'package', 'internet', 'cheap', 'weee', 'calin', 'ngk', 'download', 'regret', 'kau', "]</v>
      </c>
      <c r="D5319" s="3">
        <v>5.0</v>
      </c>
    </row>
    <row r="5320" ht="15.75" customHeight="1">
      <c r="A5320" s="1">
        <v>5719.0</v>
      </c>
      <c r="B5320" s="3" t="s">
        <v>5160</v>
      </c>
      <c r="C5320" s="3" t="str">
        <f>IFERROR(__xludf.DUMMYFUNCTION("GOOGLETRANSLATE(B5320,""id"",""en"")"),"['price', 'package', 'data', 'network', 'ugly', 'change', 'card', 'Telkomsel', 'correct', 'network', 'network', 'ugly', ' Ride in ',' Price ',' Package ',' Times', 'WADEFAK', 'MEN', '']")</f>
        <v>['price', 'package', 'data', 'network', 'ugly', 'change', 'card', 'Telkomsel', 'correct', 'network', 'network', 'ugly', ' Ride in ',' Price ',' Package ',' Times', 'WADEFAK', 'MEN', '']</v>
      </c>
      <c r="D5320" s="3">
        <v>1.0</v>
      </c>
    </row>
    <row r="5321" ht="15.75" customHeight="1">
      <c r="A5321" s="1">
        <v>5720.0</v>
      </c>
      <c r="B5321" s="3" t="s">
        <v>5161</v>
      </c>
      <c r="C5321" s="3" t="str">
        <f>IFERROR(__xludf.DUMMYFUNCTION("GOOGLETRANSLATE(B5321,""id"",""en"")"),"['application', 'Waya', 'WIKA', 'SUPER', 'LEGEN', '']")</f>
        <v>['application', 'Waya', 'WIKA', 'SUPER', 'LEGEN', '']</v>
      </c>
      <c r="D5321" s="3">
        <v>2.0</v>
      </c>
    </row>
    <row r="5322" ht="15.75" customHeight="1">
      <c r="A5322" s="1">
        <v>5722.0</v>
      </c>
      <c r="B5322" s="3" t="s">
        <v>5162</v>
      </c>
      <c r="C5322" s="3" t="str">
        <f>IFERROR(__xludf.DUMMYFUNCTION("GOOGLETRANSLATE(B5322,""id"",""en"")"),"['Assalamualaikum', 'WRWB', 'Alhamdulillah', 'Teacher', 'Pandemi', 'Enjoy', 'Credit', 'Ministry of Education and Culture', 'Promo', 'Fill', 'Data', 'fill it', ' Hoax ',' SMS ',' read ',' Congratulations', 'quota', 'Ministry of Education and Culture', 'Tha"&amp;"nk you', 'Telkomsel', 'Hopefully', 'Shipping', 'Current']")</f>
        <v>['Assalamualaikum', 'WRWB', 'Alhamdulillah', 'Teacher', 'Pandemi', 'Enjoy', 'Credit', 'Ministry of Education and Culture', 'Promo', 'Fill', 'Data', 'fill it', ' Hoax ',' SMS ',' read ',' Congratulations', 'quota', 'Ministry of Education and Culture', 'Thank you', 'Telkomsel', 'Hopefully', 'Shipping', 'Current']</v>
      </c>
      <c r="D5322" s="3">
        <v>5.0</v>
      </c>
    </row>
    <row r="5323" ht="15.75" customHeight="1">
      <c r="A5323" s="1">
        <v>5723.0</v>
      </c>
      <c r="B5323" s="3" t="s">
        <v>5163</v>
      </c>
      <c r="C5323" s="3" t="str">
        <f>IFERROR(__xludf.DUMMYFUNCTION("GOOGLETRANSLATE(B5323,""id"",""en"")"),"['Sometimes', 'Error']")</f>
        <v>['Sometimes', 'Error']</v>
      </c>
      <c r="D5323" s="3">
        <v>3.0</v>
      </c>
    </row>
    <row r="5324" ht="15.75" customHeight="1">
      <c r="A5324" s="1">
        <v>5724.0</v>
      </c>
      <c r="B5324" s="3" t="s">
        <v>5164</v>
      </c>
      <c r="C5324" s="3" t="str">
        <f>IFERROR(__xludf.DUMMYFUNCTION("GOOGLETRANSLATE(B5324,""id"",""en"")"),"['Increases', 'Service', 'Telkomsel', 'Consumer']")</f>
        <v>['Increases', 'Service', 'Telkomsel', 'Consumer']</v>
      </c>
      <c r="D5324" s="3">
        <v>5.0</v>
      </c>
    </row>
    <row r="5325" ht="15.75" customHeight="1">
      <c r="A5325" s="1">
        <v>5725.0</v>
      </c>
      <c r="B5325" s="3" t="s">
        <v>2510</v>
      </c>
      <c r="C5325" s="3" t="str">
        <f>IFERROR(__xludf.DUMMYFUNCTION("GOOGLETRANSLATE(B5325,""id"",""en"")"),"['Make it easier']")</f>
        <v>['Make it easier']</v>
      </c>
      <c r="D5325" s="3">
        <v>5.0</v>
      </c>
    </row>
    <row r="5326" ht="15.75" customHeight="1">
      <c r="A5326" s="1">
        <v>5726.0</v>
      </c>
      <c r="B5326" s="3" t="s">
        <v>5165</v>
      </c>
      <c r="C5326" s="3" t="str">
        <f>IFERROR(__xludf.DUMMYFUNCTION("GOOGLETRANSLATE(B5326,""id"",""en"")"),"['Connection', '']")</f>
        <v>['Connection', '']</v>
      </c>
      <c r="D5326" s="3">
        <v>1.0</v>
      </c>
    </row>
    <row r="5327" ht="15.75" customHeight="1">
      <c r="A5327" s="1">
        <v>5727.0</v>
      </c>
      <c r="B5327" s="3" t="s">
        <v>5166</v>
      </c>
      <c r="C5327" s="3" t="str">
        <f>IFERROR(__xludf.DUMMYFUNCTION("GOOGLETRANSLATE(B5327,""id"",""en"")"),"['Like', 'Telcomsel']")</f>
        <v>['Like', 'Telcomsel']</v>
      </c>
      <c r="D5327" s="3">
        <v>5.0</v>
      </c>
    </row>
    <row r="5328" ht="15.75" customHeight="1">
      <c r="A5328" s="1">
        <v>5728.0</v>
      </c>
      <c r="B5328" s="3" t="s">
        <v>5167</v>
      </c>
      <c r="C5328" s="3" t="str">
        <f>IFERROR(__xludf.DUMMYFUNCTION("GOOGLETRANSLATE(B5328,""id"",""en"")"),"['Try', 'Yadi', 'Kasi', 'star']")</f>
        <v>['Try', 'Yadi', 'Kasi', 'star']</v>
      </c>
      <c r="D5328" s="3">
        <v>3.0</v>
      </c>
    </row>
    <row r="5329" ht="15.75" customHeight="1">
      <c r="A5329" s="1">
        <v>5729.0</v>
      </c>
      <c r="B5329" s="3" t="s">
        <v>5168</v>
      </c>
      <c r="C5329" s="3" t="str">
        <f>IFERROR(__xludf.DUMMYFUNCTION("GOOGLETRANSLATE(B5329,""id"",""en"")"),"['Upgrade', 'package', 'wonder', '']")</f>
        <v>['Upgrade', 'package', 'wonder', '']</v>
      </c>
      <c r="D5329" s="3">
        <v>3.0</v>
      </c>
    </row>
    <row r="5330" ht="15.75" customHeight="1">
      <c r="A5330" s="1">
        <v>5730.0</v>
      </c>
      <c r="B5330" s="3" t="s">
        <v>5169</v>
      </c>
      <c r="C5330" s="3" t="str">
        <f>IFERROR(__xludf.DUMMYFUNCTION("GOOGLETRANSLATE(B5330,""id"",""en"")"),"['expensive', 'package', 'call', 'improvement', 'no', 'signal', 'slow', 'suck', 'money', 'user', 'top', 'contents',' column ',' Review ',' domination ',' star ',' junior high school ',' use ',' provider ',' good ',' decline ',' good ',' job ',' klau ',' J"&amp;"ava ' , 'domination', 'ngg', 'make', 'btw', 'understand', 'unlimited', 'no', 'boundish', 'appendage', 'appeal', 'use', 'normal', ' Unlimited ',' name ',' ']")</f>
        <v>['expensive', 'package', 'call', 'improvement', 'no', 'signal', 'slow', 'suck', 'money', 'user', 'top', 'contents',' column ',' Review ',' domination ',' star ',' junior high school ',' use ',' provider ',' good ',' decline ',' good ',' job ',' klau ',' Java ' , 'domination', 'ngg', 'make', 'btw', 'understand', 'unlimited', 'no', 'boundish', 'appendage', 'appeal', 'use', 'normal', ' Unlimited ',' name ',' ']</v>
      </c>
      <c r="D5330" s="3">
        <v>1.0</v>
      </c>
    </row>
    <row r="5331" ht="15.75" customHeight="1">
      <c r="A5331" s="1">
        <v>5731.0</v>
      </c>
      <c r="B5331" s="3" t="s">
        <v>5170</v>
      </c>
      <c r="C5331" s="3" t="str">
        <f>IFERROR(__xludf.DUMMYFUNCTION("GOOGLETRANSLATE(B5331,""id"",""en"")"),"['signal', 'nyah', 'ugly', 'please', 'really', 'how', 'already', 'week', 'signal', 'nyah', 'rich', 'gini', ' disappointed ',' signal ',' nyah ',' ginih ']")</f>
        <v>['signal', 'nyah', 'ugly', 'please', 'really', 'how', 'already', 'week', 'signal', 'nyah', 'rich', 'gini', ' disappointed ',' signal ',' nyah ',' ginih ']</v>
      </c>
      <c r="D5331" s="3">
        <v>2.0</v>
      </c>
    </row>
    <row r="5332" ht="15.75" customHeight="1">
      <c r="A5332" s="1">
        <v>5732.0</v>
      </c>
      <c r="B5332" s="3" t="s">
        <v>5171</v>
      </c>
      <c r="C5332" s="3" t="str">
        <f>IFERROR(__xludf.DUMMYFUNCTION("GOOGLETRANSLATE(B5332,""id"",""en"")"),"['Telkomsel', 'oath', 'stupid', 'really', 'cok', 'lag', 'ilang', 'apus',' operator ',' gapapa ',' frequency ',' thinking ',' Gimane ',' Ngeluh ',' already ',' task ']")</f>
        <v>['Telkomsel', 'oath', 'stupid', 'really', 'cok', 'lag', 'ilang', 'apus',' operator ',' gapapa ',' frequency ',' thinking ',' Gimane ',' Ngeluh ',' already ',' task ']</v>
      </c>
      <c r="D5332" s="3">
        <v>1.0</v>
      </c>
    </row>
    <row r="5333" ht="15.75" customHeight="1">
      <c r="A5333" s="1">
        <v>5733.0</v>
      </c>
      <c r="B5333" s="3" t="s">
        <v>5172</v>
      </c>
      <c r="C5333" s="3" t="str">
        <f>IFERROR(__xludf.DUMMYFUNCTION("GOOGLETRANSLATE(B5333,""id"",""en"")"),"['Cool', 'bonus', 'price', 'lbh', 'cheap']")</f>
        <v>['Cool', 'bonus', 'price', 'lbh', 'cheap']</v>
      </c>
      <c r="D5333" s="3">
        <v>5.0</v>
      </c>
    </row>
    <row r="5334" ht="15.75" customHeight="1">
      <c r="A5334" s="1">
        <v>5734.0</v>
      </c>
      <c r="B5334" s="3" t="s">
        <v>5173</v>
      </c>
      <c r="C5334" s="3" t="str">
        <f>IFERROR(__xludf.DUMMYFUNCTION("GOOGLETRANSLATE(B5334,""id"",""en"")"),"['buy', 'Kouta', 'Error', 'Mulu', 'already']")</f>
        <v>['buy', 'Kouta', 'Error', 'Mulu', 'already']</v>
      </c>
      <c r="D5334" s="3">
        <v>1.0</v>
      </c>
    </row>
    <row r="5335" ht="15.75" customHeight="1">
      <c r="A5335" s="1">
        <v>5735.0</v>
      </c>
      <c r="B5335" s="3" t="s">
        <v>5174</v>
      </c>
      <c r="C5335" s="3" t="str">
        <f>IFERROR(__xludf.DUMMYFUNCTION("GOOGLETRANSLATE(B5335,""id"",""en"")"),"['pulse', 'main', 'reduced', '']")</f>
        <v>['pulse', 'main', 'reduced', '']</v>
      </c>
      <c r="D5335" s="3">
        <v>2.0</v>
      </c>
    </row>
    <row r="5336" ht="15.75" customHeight="1">
      <c r="A5336" s="1">
        <v>5736.0</v>
      </c>
      <c r="B5336" s="3" t="s">
        <v>5175</v>
      </c>
      <c r="C5336" s="3" t="str">
        <f>IFERROR(__xludf.DUMMYFUNCTION("GOOGLETRANSLATE(B5336,""id"",""en"")"),"['satisfying', 'coral', 'Telkomsel', 'card', 'sympathy']")</f>
        <v>['satisfying', 'coral', 'Telkomsel', 'card', 'sympathy']</v>
      </c>
      <c r="D5336" s="3">
        <v>4.0</v>
      </c>
    </row>
    <row r="5337" ht="15.75" customHeight="1">
      <c r="A5337" s="1">
        <v>5737.0</v>
      </c>
      <c r="B5337" s="3" t="s">
        <v>5176</v>
      </c>
      <c r="C5337" s="3" t="str">
        <f>IFERROR(__xludf.DUMMYFUNCTION("GOOGLETRANSLATE(B5337,""id"",""en"")"),"['easy to understand']")</f>
        <v>['easy to understand']</v>
      </c>
      <c r="D5337" s="3">
        <v>4.0</v>
      </c>
    </row>
    <row r="5338" ht="15.75" customHeight="1">
      <c r="A5338" s="1">
        <v>5738.0</v>
      </c>
      <c r="B5338" s="3" t="s">
        <v>5177</v>
      </c>
      <c r="C5338" s="3" t="str">
        <f>IFERROR(__xludf.DUMMYFUNCTION("GOOGLETRANSLATE(B5338,""id"",""en"")"),"['Sangan', 'happy', 'wear', 'Telkomsel']")</f>
        <v>['Sangan', 'happy', 'wear', 'Telkomsel']</v>
      </c>
      <c r="D5338" s="3">
        <v>5.0</v>
      </c>
    </row>
    <row r="5339" ht="15.75" customHeight="1">
      <c r="A5339" s="1">
        <v>5740.0</v>
      </c>
      <c r="B5339" s="3" t="s">
        <v>5178</v>
      </c>
      <c r="C5339" s="3" t="str">
        <f>IFERROR(__xludf.DUMMYFUNCTION("GOOGLETRANSLATE(B5339,""id"",""en"")"),"['Telkomsel', 'Kalimantan', 'Super', 'Severe', 'Trouble', 'Clock', 'Hour', 'Sampain', 'Jam', 'Yoh', 'Love', 'Star']")</f>
        <v>['Telkomsel', 'Kalimantan', 'Super', 'Severe', 'Trouble', 'Clock', 'Hour', 'Sampain', 'Jam', 'Yoh', 'Love', 'Star']</v>
      </c>
      <c r="D5339" s="3">
        <v>1.0</v>
      </c>
    </row>
    <row r="5340" ht="15.75" customHeight="1">
      <c r="A5340" s="1">
        <v>5741.0</v>
      </c>
      <c r="B5340" s="3" t="s">
        <v>5179</v>
      </c>
      <c r="C5340" s="3" t="str">
        <f>IFERROR(__xludf.DUMMYFUNCTION("GOOGLETRANSLATE(B5340,""id"",""en"")"),"['oiii', 'please', 'repaired', 'quota', 'packagein', 'direct', 'run out', 'pulse', 'sumps', ""]")</f>
        <v>['oiii', 'please', 'repaired', 'quota', 'packagein', 'direct', 'run out', 'pulse', 'sumps', "]</v>
      </c>
      <c r="D5340" s="3">
        <v>1.0</v>
      </c>
    </row>
    <row r="5341" ht="15.75" customHeight="1">
      <c r="A5341" s="1">
        <v>5742.0</v>
      </c>
      <c r="B5341" s="3" t="s">
        <v>902</v>
      </c>
      <c r="C5341" s="3" t="str">
        <f>IFERROR(__xludf.DUMMYFUNCTION("GOOGLETRANSLATE(B5341,""id"",""en"")"),"['best']")</f>
        <v>['best']</v>
      </c>
      <c r="D5341" s="3">
        <v>5.0</v>
      </c>
    </row>
    <row r="5342" ht="15.75" customHeight="1">
      <c r="A5342" s="1">
        <v>5743.0</v>
      </c>
      <c r="B5342" s="3" t="s">
        <v>5180</v>
      </c>
      <c r="C5342" s="3" t="str">
        <f>IFERROR(__xludf.DUMMYFUNCTION("GOOGLETRANSLATE(B5342,""id"",""en"")"),"['Hem', 'signal', 'taiiiii']")</f>
        <v>['Hem', 'signal', 'taiiiii']</v>
      </c>
      <c r="D5342" s="3">
        <v>1.0</v>
      </c>
    </row>
    <row r="5343" ht="15.75" customHeight="1">
      <c r="A5343" s="1">
        <v>5745.0</v>
      </c>
      <c r="B5343" s="3" t="s">
        <v>5181</v>
      </c>
      <c r="C5343" s="3" t="str">
        <f>IFERROR(__xludf.DUMMYFUNCTION("GOOGLETRANSLATE(B5343,""id"",""en"")"),"['Good', 'Blehlah', 'Irit', 'Thanks']")</f>
        <v>['Good', 'Blehlah', 'Irit', 'Thanks']</v>
      </c>
      <c r="D5343" s="3">
        <v>5.0</v>
      </c>
    </row>
    <row r="5344" ht="15.75" customHeight="1">
      <c r="A5344" s="1">
        <v>5746.0</v>
      </c>
      <c r="B5344" s="3" t="s">
        <v>5182</v>
      </c>
      <c r="C5344" s="3" t="str">
        <f>IFERROR(__xludf.DUMMYFUNCTION("GOOGLETRANSLATE(B5344,""id"",""en"")"),"['Network', 'ugly', 'Bangat', 'already', 'card', 'expensive']")</f>
        <v>['Network', 'ugly', 'Bangat', 'already', 'card', 'expensive']</v>
      </c>
      <c r="D5344" s="3">
        <v>1.0</v>
      </c>
    </row>
    <row r="5345" ht="15.75" customHeight="1">
      <c r="A5345" s="1">
        <v>5747.0</v>
      </c>
      <c r="B5345" s="3" t="s">
        <v>5183</v>
      </c>
      <c r="C5345" s="3" t="str">
        <f>IFERROR(__xludf.DUMMYFUNCTION("GOOGLETRANSLATE(B5345,""id"",""en"")"),"['APL', 'Helping', 'Trimakasih', 'MyTelkomsel']")</f>
        <v>['APL', 'Helping', 'Trimakasih', 'MyTelkomsel']</v>
      </c>
      <c r="D5345" s="3">
        <v>5.0</v>
      </c>
    </row>
    <row r="5346" ht="15.75" customHeight="1">
      <c r="A5346" s="1">
        <v>5748.0</v>
      </c>
      <c r="B5346" s="3" t="s">
        <v>5184</v>
      </c>
      <c r="C5346" s="3" t="str">
        <f>IFERROR(__xludf.DUMMYFUNCTION("GOOGLETRANSLATE(B5346,""id"",""en"")"),"['Network', 'slow', 'rough', ""]")</f>
        <v>['Network', 'slow', 'rough', "]</v>
      </c>
      <c r="D5346" s="3">
        <v>1.0</v>
      </c>
    </row>
    <row r="5347" ht="15.75" customHeight="1">
      <c r="A5347" s="1">
        <v>5749.0</v>
      </c>
      <c r="B5347" s="3" t="s">
        <v>5185</v>
      </c>
      <c r="C5347" s="3" t="str">
        <f>IFERROR(__xludf.DUMMYFUNCTION("GOOGLETRANSLATE(B5347,""id"",""en"")"),"['Sorry', 'network', 'ngelek', 'yaa', 'already', 'buy', 'package', 'expensive', 'ngelek', 'watch', 'story', 'difficult', ' Min ',' The network ',' Kek ',' Gini ',' yaa ',' price ',' package ',' down ',' laaa ',' network ',' no ',' good ',' watch ' , 'Stor"&amp;"y', 'Dipelek']")</f>
        <v>['Sorry', 'network', 'ngelek', 'yaa', 'already', 'buy', 'package', 'expensive', 'ngelek', 'watch', 'story', 'difficult', ' Min ',' The network ',' Kek ',' Gini ',' yaa ',' price ',' package ',' down ',' laaa ',' network ',' no ',' good ',' watch ' , 'Story', 'Dipelek']</v>
      </c>
      <c r="D5347" s="3">
        <v>1.0</v>
      </c>
    </row>
    <row r="5348" ht="15.75" customHeight="1">
      <c r="A5348" s="1">
        <v>5750.0</v>
      </c>
      <c r="B5348" s="3" t="s">
        <v>5186</v>
      </c>
      <c r="C5348" s="3" t="str">
        <f>IFERROR(__xludf.DUMMYFUNCTION("GOOGLETRANSLATE(B5348,""id"",""en"")"),"['cave', 'already', 'download', 'entered']")</f>
        <v>['cave', 'already', 'download', 'entered']</v>
      </c>
      <c r="D5348" s="3">
        <v>1.0</v>
      </c>
    </row>
    <row r="5349" ht="15.75" customHeight="1">
      <c r="A5349" s="1">
        <v>5752.0</v>
      </c>
      <c r="B5349" s="3" t="s">
        <v>5187</v>
      </c>
      <c r="C5349" s="3" t="str">
        <f>IFERROR(__xludf.DUMMYFUNCTION("GOOGLETRANSLATE(B5349,""id"",""en"")"),"['hopefully', 'gift', 'Telkomsel', 'Amin', 'Allah']")</f>
        <v>['hopefully', 'gift', 'Telkomsel', 'Amin', 'Allah']</v>
      </c>
      <c r="D5349" s="3">
        <v>3.0</v>
      </c>
    </row>
    <row r="5350" ht="15.75" customHeight="1">
      <c r="A5350" s="1">
        <v>5753.0</v>
      </c>
      <c r="B5350" s="3" t="s">
        <v>5188</v>
      </c>
      <c r="C5350" s="3" t="str">
        <f>IFERROR(__xludf.DUMMYFUNCTION("GOOGLETRANSLATE(B5350,""id"",""en"")"),"['Credit', 'Cutting', 'Quota', 'Out', 'Sometimes',' Network ',' Error ',' Like ',' Fast ',' Response ',' Payment ',' Easy ',' bot ',' cool ',' friendly ']")</f>
        <v>['Credit', 'Cutting', 'Quota', 'Out', 'Sometimes',' Network ',' Error ',' Like ',' Fast ',' Response ',' Payment ',' Easy ',' bot ',' cool ',' friendly ']</v>
      </c>
      <c r="D5350" s="3">
        <v>4.0</v>
      </c>
    </row>
    <row r="5351" ht="15.75" customHeight="1">
      <c r="A5351" s="1">
        <v>5754.0</v>
      </c>
      <c r="B5351" s="3" t="s">
        <v>5189</v>
      </c>
      <c r="C5351" s="3" t="str">
        <f>IFERROR(__xludf.DUMMYFUNCTION("GOOGLETRANSLATE(B5351,""id"",""en"")"),"['Telkomsel', 'network', 'deteriorating', 'package', 'expensive', 'dri', 'pling', 'bgus', 'the network', 'according to', 'price']")</f>
        <v>['Telkomsel', 'network', 'deteriorating', 'package', 'expensive', 'dri', 'pling', 'bgus', 'the network', 'according to', 'price']</v>
      </c>
      <c r="D5351" s="3">
        <v>5.0</v>
      </c>
    </row>
    <row r="5352" ht="15.75" customHeight="1">
      <c r="A5352" s="1">
        <v>5755.0</v>
      </c>
      <c r="B5352" s="3" t="s">
        <v>5190</v>
      </c>
      <c r="C5352" s="3" t="str">
        <f>IFERROR(__xludf.DUMMYFUNCTION("GOOGLETRANSLATE(B5352,""id"",""en"")"),"['fast', 'process']")</f>
        <v>['fast', 'process']</v>
      </c>
      <c r="D5352" s="3">
        <v>5.0</v>
      </c>
    </row>
    <row r="5353" ht="15.75" customHeight="1">
      <c r="A5353" s="1">
        <v>5756.0</v>
      </c>
      <c r="B5353" s="3" t="s">
        <v>5191</v>
      </c>
      <c r="C5353" s="3" t="str">
        <f>IFERROR(__xludf.DUMMYFUNCTION("GOOGLETRANSLATE(B5353,""id"",""en"")"),"['Sya', 'love', 'star', 'Sya', 'aplkai', 'hope', 'aplkai', 'help']")</f>
        <v>['Sya', 'love', 'star', 'Sya', 'aplkai', 'hope', 'aplkai', 'help']</v>
      </c>
      <c r="D5353" s="3">
        <v>5.0</v>
      </c>
    </row>
    <row r="5354" ht="15.75" customHeight="1">
      <c r="A5354" s="1">
        <v>5757.0</v>
      </c>
      <c r="B5354" s="3" t="s">
        <v>5192</v>
      </c>
      <c r="C5354" s="3" t="str">
        <f>IFERROR(__xludf.DUMMYFUNCTION("GOOGLETRANSLATE(B5354,""id"",""en"")"),"['Trust', 'forward', 'hope', 'network', 'best', 'expand', 'network', '']")</f>
        <v>['Trust', 'forward', 'hope', 'network', 'best', 'expand', 'network', '']</v>
      </c>
      <c r="D5354" s="3">
        <v>4.0</v>
      </c>
    </row>
    <row r="5355" ht="15.75" customHeight="1">
      <c r="A5355" s="1">
        <v>5758.0</v>
      </c>
      <c r="B5355" s="3" t="s">
        <v>5193</v>
      </c>
      <c r="C5355" s="3" t="str">
        <f>IFERROR(__xludf.DUMMYFUNCTION("GOOGLETRANSLATE(B5355,""id"",""en"")"),"['Steady', 'according to', 'price', 'package']")</f>
        <v>['Steady', 'according to', 'price', 'package']</v>
      </c>
      <c r="D5355" s="3">
        <v>5.0</v>
      </c>
    </row>
    <row r="5356" ht="15.75" customHeight="1">
      <c r="A5356" s="1">
        <v>5759.0</v>
      </c>
      <c r="B5356" s="3" t="s">
        <v>5194</v>
      </c>
      <c r="C5356" s="3" t="str">
        <f>IFERROR(__xludf.DUMMYFUNCTION("GOOGLETRANSLATE(B5356,""id"",""en"")"),"['Telkomsel', 'BURIK', 'QUALITY', 'Signal', 'right', 'Maen', 'Game', 'Ngeeleg', 'Please', 'Explanation', ""]")</f>
        <v>['Telkomsel', 'BURIK', 'QUALITY', 'Signal', 'right', 'Maen', 'Game', 'Ngeeleg', 'Please', 'Explanation', "]</v>
      </c>
      <c r="D5356" s="3">
        <v>1.0</v>
      </c>
    </row>
    <row r="5357" ht="15.75" customHeight="1">
      <c r="A5357" s="1">
        <v>5760.0</v>
      </c>
      <c r="B5357" s="3" t="s">
        <v>5195</v>
      </c>
      <c r="C5357" s="3" t="str">
        <f>IFERROR(__xludf.DUMMYFUNCTION("GOOGLETRANSLATE(B5357,""id"",""en"")"),"['signal', 'easy', 'ilang']")</f>
        <v>['signal', 'easy', 'ilang']</v>
      </c>
      <c r="D5357" s="3">
        <v>1.0</v>
      </c>
    </row>
    <row r="5358" ht="15.75" customHeight="1">
      <c r="A5358" s="1">
        <v>5761.0</v>
      </c>
      <c r="B5358" s="3" t="s">
        <v>5196</v>
      </c>
      <c r="C5358" s="3" t="str">
        <f>IFERROR(__xludf.DUMMYFUNCTION("GOOGLETRANSLATE(B5358,""id"",""en"")"),"['Increase', ""]")</f>
        <v>['Increase', "]</v>
      </c>
      <c r="D5358" s="3">
        <v>5.0</v>
      </c>
    </row>
    <row r="5359" ht="15.75" customHeight="1">
      <c r="A5359" s="1">
        <v>5762.0</v>
      </c>
      <c r="B5359" s="3" t="s">
        <v>5197</v>
      </c>
      <c r="C5359" s="3" t="str">
        <f>IFERROR(__xludf.DUMMYFUNCTION("GOOGLETRANSLATE(B5359,""id"",""en"")"),"['Network', 'Telkomsel', 'Treac']")</f>
        <v>['Network', 'Telkomsel', 'Treac']</v>
      </c>
      <c r="D5359" s="3">
        <v>5.0</v>
      </c>
    </row>
    <row r="5360" ht="15.75" customHeight="1">
      <c r="A5360" s="1">
        <v>5763.0</v>
      </c>
      <c r="B5360" s="3" t="s">
        <v>5198</v>
      </c>
      <c r="C5360" s="3" t="str">
        <f>IFERROR(__xludf.DUMMYFUNCTION("GOOGLETRANSLATE(B5360,""id"",""en"")"),"['Useful', 'help']")</f>
        <v>['Useful', 'help']</v>
      </c>
      <c r="D5360" s="3">
        <v>5.0</v>
      </c>
    </row>
    <row r="5361" ht="15.75" customHeight="1">
      <c r="A5361" s="1">
        <v>5764.0</v>
      </c>
      <c r="B5361" s="3" t="s">
        <v>5199</v>
      </c>
      <c r="C5361" s="3" t="str">
        <f>IFERROR(__xludf.DUMMYFUNCTION("GOOGLETRANSLATE(B5361,""id"",""en"")"),"['Telkomsel', 'Please', 'Kalimantan', 'Seruyan', 'Hard', 'Network', 'Nge', 'Game', 'Bentar', 'Soon', 'Lost', 'Ngelag', ' Macem ',' please ',' fix ',' so ',' thank ',' love ']")</f>
        <v>['Telkomsel', 'Please', 'Kalimantan', 'Seruyan', 'Hard', 'Network', 'Nge', 'Game', 'Bentar', 'Soon', 'Lost', 'Ngelag', ' Macem ',' please ',' fix ',' so ',' thank ',' love ']</v>
      </c>
      <c r="D5361" s="3">
        <v>1.0</v>
      </c>
    </row>
    <row r="5362" ht="15.75" customHeight="1">
      <c r="A5362" s="1">
        <v>5765.0</v>
      </c>
      <c r="B5362" s="3" t="s">
        <v>5200</v>
      </c>
      <c r="C5362" s="3" t="str">
        <f>IFERROR(__xludf.DUMMYFUNCTION("GOOGLETRANSLATE(B5362,""id"",""en"")"),"['Kalu', 'Signal', 'Increase', 'Region', 'Good']")</f>
        <v>['Kalu', 'Signal', 'Increase', 'Region', 'Good']</v>
      </c>
      <c r="D5362" s="3">
        <v>4.0</v>
      </c>
    </row>
    <row r="5363" ht="15.75" customHeight="1">
      <c r="A5363" s="1">
        <v>5766.0</v>
      </c>
      <c r="B5363" s="3" t="s">
        <v>5201</v>
      </c>
      <c r="C5363" s="3" t="str">
        <f>IFERROR(__xludf.DUMMYFUNCTION("GOOGLETRANSLATE(B5363,""id"",""en"")"),"['price', 'quota', 'expensive', 'expensive', 'plus',' signal ',' destroyed ',' business', 'sell', 'buy', 'online', 'constrained', ' Providers', 'oath', 'grumbling', 'heart', ""]")</f>
        <v>['price', 'quota', 'expensive', 'expensive', 'plus',' signal ',' destroyed ',' business', 'sell', 'buy', 'online', 'constrained', ' Providers', 'oath', 'grumbling', 'heart', "]</v>
      </c>
      <c r="D5363" s="3">
        <v>1.0</v>
      </c>
    </row>
    <row r="5364" ht="15.75" customHeight="1">
      <c r="A5364" s="1">
        <v>5767.0</v>
      </c>
      <c r="B5364" s="3" t="s">
        <v>5202</v>
      </c>
      <c r="C5364" s="3" t="str">
        <f>IFERROR(__xludf.DUMMYFUNCTION("GOOGLETRANSLATE(B5364,""id"",""en"")"),"['Satisfied', 'really', 'network', 'error']")</f>
        <v>['Satisfied', 'really', 'network', 'error']</v>
      </c>
      <c r="D5364" s="3">
        <v>5.0</v>
      </c>
    </row>
    <row r="5365" ht="15.75" customHeight="1">
      <c r="A5365" s="1">
        <v>5768.0</v>
      </c>
      <c r="B5365" s="3" t="s">
        <v>5203</v>
      </c>
      <c r="C5365" s="3" t="str">
        <f>IFERROR(__xludf.DUMMYFUNCTION("GOOGLETRANSLATE(B5365,""id"",""en"")"),"['Package', 'extra', 'unlimeted', 'lost', 'comfortable', 'extra', 'unlimeted', 'hmm', 'disappointed', 'Telkomsel']")</f>
        <v>['Package', 'extra', 'unlimeted', 'lost', 'comfortable', 'extra', 'unlimeted', 'hmm', 'disappointed', 'Telkomsel']</v>
      </c>
      <c r="D5365" s="3">
        <v>1.0</v>
      </c>
    </row>
    <row r="5366" ht="15.75" customHeight="1">
      <c r="A5366" s="1">
        <v>5769.0</v>
      </c>
      <c r="B5366" s="3" t="s">
        <v>5204</v>
      </c>
      <c r="C5366" s="3" t="str">
        <f>IFERROR(__xludf.DUMMYFUNCTION("GOOGLETRANSLATE(B5366,""id"",""en"")"),"['Please', 'yaaaaa', 'signal', 'be used', 'Gara', 'Telkomsel', 'signal', 'disorder', 'gabisa', 'kabar', 'kebo', 'hurry', ' Goods', 'fast', 'good', 'signal', 'contents', ""]")</f>
        <v>['Please', 'yaaaaa', 'signal', 'be used', 'Gara', 'Telkomsel', 'signal', 'disorder', 'gabisa', 'kabar', 'kebo', 'hurry', ' Goods', 'fast', 'good', 'signal', 'contents', "]</v>
      </c>
      <c r="D5366" s="3">
        <v>1.0</v>
      </c>
    </row>
    <row r="5367" ht="15.75" customHeight="1">
      <c r="A5367" s="1">
        <v>5770.0</v>
      </c>
      <c r="B5367" s="3" t="s">
        <v>5205</v>
      </c>
      <c r="C5367" s="3" t="str">
        <f>IFERROR(__xludf.DUMMYFUNCTION("GOOGLETRANSLATE(B5367,""id"",""en"")"),"['Signal', 'Severe', 'Maen', 'Game', 'Open', 'Olshop', 'Gara', 'Network', 'Indihome', 'ugly', 'Telkomsel', 'BLM', ' Indihome ',' network ',' Telkomsel ',' good ',' even though ',' peak ',' mountain ',' bapug ',' gini ',' udh ',' tens', 'pke', 'Telkomsel' "&amp;", 'times', 'severe', 'please', 'repaired', 'network', 'love', 'star', 'disappointed']")</f>
        <v>['Signal', 'Severe', 'Maen', 'Game', 'Open', 'Olshop', 'Gara', 'Network', 'Indihome', 'ugly', 'Telkomsel', 'BLM', ' Indihome ',' network ',' Telkomsel ',' good ',' even though ',' peak ',' mountain ',' bapug ',' gini ',' udh ',' tens', 'pke', 'Telkomsel' , 'times', 'severe', 'please', 'repaired', 'network', 'love', 'star', 'disappointed']</v>
      </c>
      <c r="D5367" s="3">
        <v>1.0</v>
      </c>
    </row>
    <row r="5368" ht="15.75" customHeight="1">
      <c r="A5368" s="1">
        <v>5772.0</v>
      </c>
      <c r="B5368" s="3" t="s">
        <v>5206</v>
      </c>
      <c r="C5368" s="3" t="str">
        <f>IFERROR(__xludf.DUMMYFUNCTION("GOOGLETRANSLATE(B5368,""id"",""en"")"),"['Telekomsel', 'name', 'gada', 'quota', 'auto', 'sucked', 'pulse', 'permission']")</f>
        <v>['Telekomsel', 'name', 'gada', 'quota', 'auto', 'sucked', 'pulse', 'permission']</v>
      </c>
      <c r="D5368" s="3">
        <v>1.0</v>
      </c>
    </row>
    <row r="5369" ht="15.75" customHeight="1">
      <c r="A5369" s="1">
        <v>5773.0</v>
      </c>
      <c r="B5369" s="3" t="s">
        <v>5207</v>
      </c>
      <c r="C5369" s="3" t="str">
        <f>IFERROR(__xludf.DUMMYFUNCTION("GOOGLETRANSLATE(B5369,""id"",""en"")"),"['Telkomsel', 'The network', 'Kayak', 'Buburr', 'Lembekk', 'really']")</f>
        <v>['Telkomsel', 'The network', 'Kayak', 'Buburr', 'Lembekk', 'really']</v>
      </c>
      <c r="D5369" s="3">
        <v>1.0</v>
      </c>
    </row>
    <row r="5370" ht="15.75" customHeight="1">
      <c r="A5370" s="1">
        <v>5774.0</v>
      </c>
      <c r="B5370" s="3" t="s">
        <v>5208</v>
      </c>
      <c r="C5370" s="3" t="str">
        <f>IFERROR(__xludf.DUMMYFUNCTION("GOOGLETRANSLATE(B5370,""id"",""en"")"),"['pulse', 'package', 'internet', 'Telkomsel', 'offer', 'package', 'internet', 'cheap', 'quota', 'contents',' pulse ',' buy ',' Paketan ',' internet ',' bid ',' package ',' missing ',' bought ',' ']")</f>
        <v>['pulse', 'package', 'internet', 'Telkomsel', 'offer', 'package', 'internet', 'cheap', 'quota', 'contents',' pulse ',' buy ',' Paketan ',' internet ',' bid ',' package ',' missing ',' bought ',' ']</v>
      </c>
      <c r="D5370" s="3">
        <v>2.0</v>
      </c>
    </row>
    <row r="5371" ht="15.75" customHeight="1">
      <c r="A5371" s="1">
        <v>5775.0</v>
      </c>
      <c r="B5371" s="3" t="s">
        <v>5209</v>
      </c>
      <c r="C5371" s="3" t="str">
        <f>IFERROR(__xludf.DUMMYFUNCTION("GOOGLETRANSLATE(B5371,""id"",""en"")"),"['woooooiiiiiiiii', 'fix', 'network', 'as fast', 'network', 'weak', 'weather', 'pretentious',' easy ',' ride ',' price ',' quota ',' quota ',' pulp ',' sell ',' price ',' gold ']")</f>
        <v>['woooooiiiiiiiii', 'fix', 'network', 'as fast', 'network', 'weak', 'weather', 'pretentious',' easy ',' ride ',' price ',' quota ',' quota ',' pulp ',' sell ',' price ',' gold ']</v>
      </c>
      <c r="D5371" s="3">
        <v>1.0</v>
      </c>
    </row>
    <row r="5372" ht="15.75" customHeight="1">
      <c r="A5372" s="1">
        <v>5776.0</v>
      </c>
      <c r="B5372" s="3" t="s">
        <v>5210</v>
      </c>
      <c r="C5372" s="3" t="str">
        <f>IFERROR(__xludf.DUMMYFUNCTION("GOOGLETRANSLATE(B5372,""id"",""en"")"),"['telkomsell', 'pepekkk', 'gblkkkk', 'make', 'orng', 'emotions', 'anjjj']")</f>
        <v>['telkomsell', 'pepekkk', 'gblkkkk', 'make', 'orng', 'emotions', 'anjjj']</v>
      </c>
      <c r="D5372" s="3">
        <v>1.0</v>
      </c>
    </row>
    <row r="5373" ht="15.75" customHeight="1">
      <c r="A5373" s="1">
        <v>5777.0</v>
      </c>
      <c r="B5373" s="3" t="s">
        <v>5211</v>
      </c>
      <c r="C5373" s="3" t="str">
        <f>IFERROR(__xludf.DUMMYFUNCTION("GOOGLETRANSLATE(B5373,""id"",""en"")"),"['expensive', 'doang', 'signal', 'bird']")</f>
        <v>['expensive', 'doang', 'signal', 'bird']</v>
      </c>
      <c r="D5373" s="3">
        <v>1.0</v>
      </c>
    </row>
    <row r="5374" ht="15.75" customHeight="1">
      <c r="A5374" s="1">
        <v>5778.0</v>
      </c>
      <c r="B5374" s="3" t="s">
        <v>5212</v>
      </c>
      <c r="C5374" s="3" t="str">
        <f>IFERROR(__xludf.DUMMYFUNCTION("GOOGLETRANSLATE(B5374,""id"",""en"")"),"['Telkomsel', 'severe', 'in the area', 'Surabaya', 'North', 'a week', 'network', 'Nge', 'leg', 'severe', 'min', 'lover', ' Games', 'online', 'disappointed', 'smooth', '']")</f>
        <v>['Telkomsel', 'severe', 'in the area', 'Surabaya', 'North', 'a week', 'network', 'Nge', 'leg', 'severe', 'min', 'lover', ' Games', 'online', 'disappointed', 'smooth', '']</v>
      </c>
      <c r="D5374" s="3">
        <v>1.0</v>
      </c>
    </row>
    <row r="5375" ht="15.75" customHeight="1">
      <c r="A5375" s="1">
        <v>5779.0</v>
      </c>
      <c r="B5375" s="3" t="s">
        <v>5213</v>
      </c>
      <c r="C5375" s="3" t="str">
        <f>IFERROR(__xludf.DUMMYFUNCTION("GOOGLETRANSLATE(B5375,""id"",""en"")"),"['Card', 'Telkomsel', 'Prepaid', 'Saranin', 'Switch', 'card', 'Hello', 'Sousal', 'Nambah', 'ugly', 'quota', 'expensive', ' Regret ',' Switch ',' Card ',' Hello ',' Prepaid ']")</f>
        <v>['Card', 'Telkomsel', 'Prepaid', 'Saranin', 'Switch', 'card', 'Hello', 'Sousal', 'Nambah', 'ugly', 'quota', 'expensive', ' Regret ',' Switch ',' Card ',' Hello ',' Prepaid ']</v>
      </c>
      <c r="D5375" s="3">
        <v>3.0</v>
      </c>
    </row>
    <row r="5376" ht="15.75" customHeight="1">
      <c r="A5376" s="1">
        <v>5780.0</v>
      </c>
      <c r="B5376" s="3" t="s">
        <v>5214</v>
      </c>
      <c r="C5376" s="3" t="str">
        <f>IFERROR(__xludf.DUMMYFUNCTION("GOOGLETRANSLATE(B5376,""id"",""en"")"),"['It's easy', 'activity', 'activities', 'mobile', 'wherever', 'thank', 'love', 'mytelkomsel']")</f>
        <v>['It's easy', 'activity', 'activities', 'mobile', 'wherever', 'thank', 'love', 'mytelkomsel']</v>
      </c>
      <c r="D5376" s="3">
        <v>5.0</v>
      </c>
    </row>
    <row r="5377" ht="15.75" customHeight="1">
      <c r="A5377" s="1">
        <v>5781.0</v>
      </c>
      <c r="B5377" s="3" t="s">
        <v>677</v>
      </c>
      <c r="C5377" s="3" t="str">
        <f>IFERROR(__xludf.DUMMYFUNCTION("GOOGLETRANSLATE(B5377,""id"",""en"")"),"['Telkomsel']")</f>
        <v>['Telkomsel']</v>
      </c>
      <c r="D5377" s="3">
        <v>5.0</v>
      </c>
    </row>
    <row r="5378" ht="15.75" customHeight="1">
      <c r="A5378" s="1">
        <v>5782.0</v>
      </c>
      <c r="B5378" s="3" t="s">
        <v>5215</v>
      </c>
      <c r="C5378" s="3" t="str">
        <f>IFERROR(__xludf.DUMMYFUNCTION("GOOGLETRANSLATE(B5378,""id"",""en"")"),"['App', 'Telkomsel', 'Help', 'Man', 'Tul', ""]")</f>
        <v>['App', 'Telkomsel', 'Help', 'Man', 'Tul', "]</v>
      </c>
      <c r="D5378" s="3">
        <v>4.0</v>
      </c>
    </row>
    <row r="5379" ht="15.75" customHeight="1">
      <c r="A5379" s="1">
        <v>5783.0</v>
      </c>
      <c r="B5379" s="3" t="s">
        <v>5216</v>
      </c>
      <c r="C5379" s="3" t="str">
        <f>IFERROR(__xludf.DUMMYFUNCTION("GOOGLETRANSLATE(B5379,""id"",""en"")"),"['Ngak', 'Download', 'Application', '']")</f>
        <v>['Ngak', 'Download', 'Application', '']</v>
      </c>
      <c r="D5379" s="3">
        <v>1.0</v>
      </c>
    </row>
    <row r="5380" ht="15.75" customHeight="1">
      <c r="A5380" s="1">
        <v>5784.0</v>
      </c>
      <c r="B5380" s="3" t="s">
        <v>5217</v>
      </c>
      <c r="C5380" s="3" t="str">
        <f>IFERROR(__xludf.DUMMYFUNCTION("GOOGLETRANSLATE(B5380,""id"",""en"")"),"['Love', 'Rating', 'Low', 'Response', 'Telkomsel', 'complaints',' Alhamdulillah ',' already ',' process', 'complaints',' Telkomsel ',' suggestion ',' Telkomsel ',' Accelerating ',' Response ',' Customer ',' Secretary ',' Thank "", 'Love']")</f>
        <v>['Love', 'Rating', 'Low', 'Response', 'Telkomsel', 'complaints',' Alhamdulillah ',' already ',' process', 'complaints',' Telkomsel ',' suggestion ',' Telkomsel ',' Accelerating ',' Response ',' Customer ',' Secretary ',' Thank ", 'Love']</v>
      </c>
      <c r="D5380" s="3">
        <v>5.0</v>
      </c>
    </row>
    <row r="5381" ht="15.75" customHeight="1">
      <c r="A5381" s="1">
        <v>5785.0</v>
      </c>
      <c r="B5381" s="3" t="s">
        <v>5218</v>
      </c>
      <c r="C5381" s="3" t="str">
        <f>IFERROR(__xludf.DUMMYFUNCTION("GOOGLETRANSLATE(B5381,""id"",""en"")"),"['Good', 'Package', 'Offered', 'Cheap', '']")</f>
        <v>['Good', 'Package', 'Offered', 'Cheap', '']</v>
      </c>
      <c r="D5381" s="3">
        <v>5.0</v>
      </c>
    </row>
    <row r="5382" ht="15.75" customHeight="1">
      <c r="A5382" s="1">
        <v>5786.0</v>
      </c>
      <c r="B5382" s="3" t="s">
        <v>5219</v>
      </c>
      <c r="C5382" s="3" t="str">
        <f>IFERROR(__xludf.DUMMYFUNCTION("GOOGLETRANSLATE(B5382,""id"",""en"")"),"['love', 'star', 'dlu', 'promo', 'telkomsel', 'blm', 'evenly', 'cheap', 'exchange', 'point', 'package', 'GB', ' use ',' pulse ',' pulse ',' then ',' take ',' and ',' give ',' consumer ',' diligent ',' check ',' tuker ',' use ',' pulses' , 'Okee', 'tks', '"&amp;"telkomselll']")</f>
        <v>['love', 'star', 'dlu', 'promo', 'telkomsel', 'blm', 'evenly', 'cheap', 'exchange', 'point', 'package', 'GB', ' use ',' pulse ',' pulse ',' then ',' take ',' and ',' give ',' consumer ',' diligent ',' check ',' tuker ',' use ',' pulses' , 'Okee', 'tks', 'telkomselll']</v>
      </c>
      <c r="D5382" s="3">
        <v>3.0</v>
      </c>
    </row>
    <row r="5383" ht="15.75" customHeight="1">
      <c r="A5383" s="1">
        <v>5787.0</v>
      </c>
      <c r="B5383" s="3" t="s">
        <v>5220</v>
      </c>
      <c r="C5383" s="3" t="str">
        <f>IFERROR(__xludf.DUMMYFUNCTION("GOOGLETRANSLATE(B5383,""id"",""en"")"),"['skrang', 'Telkomsel', 'maybe', 'mngecewakn']")</f>
        <v>['skrang', 'Telkomsel', 'maybe', 'mngecewakn']</v>
      </c>
      <c r="D5383" s="3">
        <v>1.0</v>
      </c>
    </row>
    <row r="5384" ht="15.75" customHeight="1">
      <c r="A5384" s="1">
        <v>5788.0</v>
      </c>
      <c r="B5384" s="3" t="s">
        <v>5221</v>
      </c>
      <c r="C5384" s="3" t="str">
        <f>IFERROR(__xludf.DUMMYFUNCTION("GOOGLETRANSLATE(B5384,""id"",""en"")"),"['Please', 'Network', 'Telkomsel', 'Condition', 'Weve', 'Network', 'Delicious', '']")</f>
        <v>['Please', 'Network', 'Telkomsel', 'Condition', 'Weve', 'Network', 'Delicious', '']</v>
      </c>
      <c r="D5384" s="3">
        <v>1.0</v>
      </c>
    </row>
    <row r="5385" ht="15.75" customHeight="1">
      <c r="A5385" s="1">
        <v>5789.0</v>
      </c>
      <c r="B5385" s="3" t="s">
        <v>5222</v>
      </c>
      <c r="C5385" s="3" t="str">
        <f>IFERROR(__xludf.DUMMYFUNCTION("GOOGLETRANSLATE(B5385,""id"",""en"")"),"['hope', 'in the future', 'features',' interesting ',' contents', 'credit', 'point', 'point', 'exchange', 'pulse', 'package', 'data', ' etc', '']")</f>
        <v>['hope', 'in the future', 'features',' interesting ',' contents', 'credit', 'point', 'point', 'exchange', 'pulse', 'package', 'data', ' etc', '']</v>
      </c>
      <c r="D5385" s="3">
        <v>3.0</v>
      </c>
    </row>
    <row r="5386" ht="15.75" customHeight="1">
      <c r="A5386" s="1">
        <v>5790.0</v>
      </c>
      <c r="B5386" s="3" t="s">
        <v>5223</v>
      </c>
      <c r="C5386" s="3" t="str">
        <f>IFERROR(__xludf.DUMMYFUNCTION("GOOGLETRANSLATE(B5386,""id"",""en"")"),"['Customer', 'kog', 'expensive', 'price', 'package', 'data']")</f>
        <v>['Customer', 'kog', 'expensive', 'price', 'package', 'data']</v>
      </c>
      <c r="D5386" s="3">
        <v>3.0</v>
      </c>
    </row>
    <row r="5387" ht="15.75" customHeight="1">
      <c r="A5387" s="1">
        <v>5791.0</v>
      </c>
      <c r="B5387" s="3" t="s">
        <v>5224</v>
      </c>
      <c r="C5387" s="3" t="str">
        <f>IFERROR(__xludf.DUMMYFUNCTION("GOOGLETRANSLATE(B5387,""id"",""en"")"),"['card', 'rotten', 'garbage', 'package', 'expensive', 'signal', 'ngelag', 'according to', 'cave', 'buy', 'package', 'thousand', ' Delete ',' Tlkom ',' Dri ',' face ',' earth ',' KRTU ',' rotten ',' Kek ',' GNI ',' Najis']")</f>
        <v>['card', 'rotten', 'garbage', 'package', 'expensive', 'signal', 'ngelag', 'according to', 'cave', 'buy', 'package', 'thousand', ' Delete ',' Tlkom ',' Dri ',' face ',' earth ',' KRTU ',' rotten ',' Kek ',' GNI ',' Najis']</v>
      </c>
      <c r="D5387" s="3">
        <v>1.0</v>
      </c>
    </row>
    <row r="5388" ht="15.75" customHeight="1">
      <c r="A5388" s="1">
        <v>5792.0</v>
      </c>
      <c r="B5388" s="3" t="s">
        <v>5225</v>
      </c>
      <c r="C5388" s="3" t="str">
        <f>IFERROR(__xludf.DUMMYFUNCTION("GOOGLETRANSLATE(B5388,""id"",""en"")"),"['Application', 'KNTL', 'BYK', 'Error', 'Leet']")</f>
        <v>['Application', 'KNTL', 'BYK', 'Error', 'Leet']</v>
      </c>
      <c r="D5388" s="3">
        <v>1.0</v>
      </c>
    </row>
    <row r="5389" ht="15.75" customHeight="1">
      <c r="A5389" s="1">
        <v>5793.0</v>
      </c>
      <c r="B5389" s="3" t="s">
        <v>1193</v>
      </c>
      <c r="C5389" s="3" t="str">
        <f>IFERROR(__xludf.DUMMYFUNCTION("GOOGLETRANSLATE(B5389,""id"",""en"")"),"['Steady', 'Telkomsel']")</f>
        <v>['Steady', 'Telkomsel']</v>
      </c>
      <c r="D5389" s="3">
        <v>5.0</v>
      </c>
    </row>
    <row r="5390" ht="15.75" customHeight="1">
      <c r="A5390" s="1">
        <v>5794.0</v>
      </c>
      <c r="B5390" s="3" t="s">
        <v>5226</v>
      </c>
      <c r="C5390" s="3" t="str">
        <f>IFERROR(__xludf.DUMMYFUNCTION("GOOGLETRANSLATE(B5390,""id"",""en"")"),"['Like', 'service', 'APK', 'MyTelkomsel']")</f>
        <v>['Like', 'service', 'APK', 'MyTelkomsel']</v>
      </c>
      <c r="D5390" s="3">
        <v>5.0</v>
      </c>
    </row>
    <row r="5391" ht="15.75" customHeight="1">
      <c r="A5391" s="1">
        <v>5795.0</v>
      </c>
      <c r="B5391" s="3" t="s">
        <v>5227</v>
      </c>
      <c r="C5391" s="3" t="str">
        <f>IFERROR(__xludf.DUMMYFUNCTION("GOOGLETRANSLATE(B5391,""id"",""en"")"),"['signal', 'strong', 'remote']")</f>
        <v>['signal', 'strong', 'remote']</v>
      </c>
      <c r="D5391" s="3">
        <v>5.0</v>
      </c>
    </row>
    <row r="5392" ht="15.75" customHeight="1">
      <c r="A5392" s="1">
        <v>5796.0</v>
      </c>
      <c r="B5392" s="3" t="s">
        <v>5228</v>
      </c>
      <c r="C5392" s="3" t="str">
        <f>IFERROR(__xludf.DUMMYFUNCTION("GOOGLETRANSLATE(B5392,""id"",""en"")"),"['Fraudster', 'AJG', 'Link', 'Damaged', 'Ngen']")</f>
        <v>['Fraudster', 'AJG', 'Link', 'Damaged', 'Ngen']</v>
      </c>
      <c r="D5392" s="3">
        <v>5.0</v>
      </c>
    </row>
    <row r="5393" ht="15.75" customHeight="1">
      <c r="A5393" s="1">
        <v>5798.0</v>
      </c>
      <c r="B5393" s="3" t="s">
        <v>5229</v>
      </c>
      <c r="C5393" s="3" t="str">
        <f>IFERROR(__xludf.DUMMYFUNCTION("GOOGLETRANSLATE(B5393,""id"",""en"")"),"['good', 'like', 'nyedotine', 'pulse', 'quota', 'contents', 'pulled', 'regret', 'download']")</f>
        <v>['good', 'like', 'nyedotine', 'pulse', 'quota', 'contents', 'pulled', 'regret', 'download']</v>
      </c>
      <c r="D5393" s="3">
        <v>1.0</v>
      </c>
    </row>
    <row r="5394" ht="15.75" customHeight="1">
      <c r="A5394" s="1">
        <v>5799.0</v>
      </c>
      <c r="B5394" s="3" t="s">
        <v>5230</v>
      </c>
      <c r="C5394" s="3" t="str">
        <f>IFERROR(__xludf.DUMMYFUNCTION("GOOGLETRANSLATE(B5394,""id"",""en"")"),"['Telkomsel', 'knpa', 'signal', 'ugly', 'yesterday', 'replace', 'telkom', 'signal', 'ugly', 'try', 'buy', 'package', ' Telkomsel ',' good ',' ugly ',' bet ',' signal ',' maen ',' tasty ',' tasty ',' lag ',' severe ', ""]")</f>
        <v>['Telkomsel', 'knpa', 'signal', 'ugly', 'yesterday', 'replace', 'telkom', 'signal', 'ugly', 'try', 'buy', 'package', ' Telkomsel ',' good ',' ugly ',' bet ',' signal ',' maen ',' tasty ',' tasty ',' lag ',' severe ', "]</v>
      </c>
      <c r="D5394" s="3">
        <v>1.0</v>
      </c>
    </row>
    <row r="5395" ht="15.75" customHeight="1">
      <c r="A5395" s="1">
        <v>5800.0</v>
      </c>
      <c r="B5395" s="3" t="s">
        <v>5231</v>
      </c>
      <c r="C5395" s="3" t="str">
        <f>IFERROR(__xludf.DUMMYFUNCTION("GOOGLETRANSLATE(B5395,""id"",""en"")"),"['Constraints', 'gathering', 'road']")</f>
        <v>['Constraints', 'gathering', 'road']</v>
      </c>
      <c r="D5395" s="3">
        <v>5.0</v>
      </c>
    </row>
    <row r="5396" ht="15.75" customHeight="1">
      <c r="A5396" s="1">
        <v>5801.0</v>
      </c>
      <c r="B5396" s="3" t="s">
        <v>5232</v>
      </c>
      <c r="C5396" s="3" t="str">
        <f>IFERROR(__xludf.DUMMYFUNCTION("GOOGLETRANSLATE(B5396,""id"",""en"")"),"['open', 'network', 'internet', 'fast']")</f>
        <v>['open', 'network', 'internet', 'fast']</v>
      </c>
      <c r="D5396" s="3">
        <v>4.0</v>
      </c>
    </row>
    <row r="5397" ht="15.75" customHeight="1">
      <c r="A5397" s="1">
        <v>5802.0</v>
      </c>
      <c r="B5397" s="3" t="s">
        <v>5233</v>
      </c>
      <c r="C5397" s="3" t="str">
        <f>IFERROR(__xludf.DUMMYFUNCTION("GOOGLETRANSLATE(B5397,""id"",""en"")"),"['Increase', 'promo', 'enthusiasts']")</f>
        <v>['Increase', 'promo', 'enthusiasts']</v>
      </c>
      <c r="D5397" s="3">
        <v>2.0</v>
      </c>
    </row>
    <row r="5398" ht="15.75" customHeight="1">
      <c r="A5398" s="1">
        <v>5803.0</v>
      </c>
      <c r="B5398" s="3" t="s">
        <v>5234</v>
      </c>
      <c r="C5398" s="3" t="str">
        <f>IFERROR(__xludf.DUMMYFUNCTION("GOOGLETRANSLATE(B5398,""id"",""en"")"),"['Network', 'fisted', 'Try', ""]")</f>
        <v>['Network', 'fisted', 'Try', "]</v>
      </c>
      <c r="D5398" s="3">
        <v>1.0</v>
      </c>
    </row>
    <row r="5399" ht="15.75" customHeight="1">
      <c r="A5399" s="1">
        <v>5804.0</v>
      </c>
      <c r="B5399" s="3" t="s">
        <v>5235</v>
      </c>
      <c r="C5399" s="3" t="str">
        <f>IFERROR(__xludf.DUMMYFUNCTION("GOOGLETRANSLATE(B5399,""id"",""en"")"),"['What', 'Top', 'System', 'Busy', 'Watch', 'Persib', 'Persija', 'Top', 'Telkomsel', 'Gimna', ""]")</f>
        <v>['What', 'Top', 'System', 'Busy', 'Watch', 'Persib', 'Persija', 'Top', 'Telkomsel', 'Gimna', "]</v>
      </c>
      <c r="D5399" s="3">
        <v>1.0</v>
      </c>
    </row>
    <row r="5400" ht="15.75" customHeight="1">
      <c r="A5400" s="1">
        <v>5805.0</v>
      </c>
      <c r="B5400" s="3" t="s">
        <v>5236</v>
      </c>
      <c r="C5400" s="3" t="str">
        <f>IFERROR(__xludf.DUMMYFUNCTION("GOOGLETRANSLATE(B5400,""id"",""en"")"),"['Pepeklah', 'You', 'Anjeng', 'Gara', 'Gara', 'You', 'Cave', 'Lost', 'Streak', 'Pig', 'Pdhl', 'Quota', ' signal ',' rotten ',' bujang ',' insam ',' you ',' macul ',' mountain ',' pig ',' ']")</f>
        <v>['Pepeklah', 'You', 'Anjeng', 'Gara', 'Gara', 'You', 'Cave', 'Lost', 'Streak', 'Pig', 'Pdhl', 'Quota', ' signal ',' rotten ',' bujang ',' insam ',' you ',' macul ',' mountain ',' pig ',' ']</v>
      </c>
      <c r="D5400" s="3">
        <v>1.0</v>
      </c>
    </row>
    <row r="5401" ht="15.75" customHeight="1">
      <c r="A5401" s="1">
        <v>5806.0</v>
      </c>
      <c r="B5401" s="3" t="s">
        <v>5237</v>
      </c>
      <c r="C5401" s="3" t="str">
        <f>IFERROR(__xludf.DUMMYFUNCTION("GOOGLETRANSLATE(B5401,""id"",""en"")"),"['package', 'doang', 'expensive', 'network', 'kek', 'snail', '']")</f>
        <v>['package', 'doang', 'expensive', 'network', 'kek', 'snail', '']</v>
      </c>
      <c r="D5401" s="3">
        <v>1.0</v>
      </c>
    </row>
    <row r="5402" ht="15.75" customHeight="1">
      <c r="A5402" s="1">
        <v>5807.0</v>
      </c>
      <c r="B5402" s="3" t="s">
        <v>5238</v>
      </c>
      <c r="C5402" s="3" t="str">
        <f>IFERROR(__xludf.DUMMYFUNCTION("GOOGLETRANSLATE(B5402,""id"",""en"")"),"['Telkomsel', 'Skrng', 'Error', 'Story', 'Gini', 'Guakan', 'Unlimitide', 'YouTube', 'Cave', 'Watch', 'YouTube', 'Quota', ' Internet ',' Cave ',' Reduced ',' Please ',' Telkomsel ',' Fix ',' ']")</f>
        <v>['Telkomsel', 'Skrng', 'Error', 'Story', 'Gini', 'Guakan', 'Unlimitide', 'YouTube', 'Cave', 'Watch', 'YouTube', 'Quota', ' Internet ',' Cave ',' Reduced ',' Please ',' Telkomsel ',' Fix ',' ']</v>
      </c>
      <c r="D5402" s="3">
        <v>1.0</v>
      </c>
    </row>
    <row r="5403" ht="15.75" customHeight="1">
      <c r="A5403" s="1">
        <v>5808.0</v>
      </c>
      <c r="B5403" s="3" t="s">
        <v>5239</v>
      </c>
      <c r="C5403" s="3" t="str">
        <f>IFERROR(__xludf.DUMMYFUNCTION("GOOGLETRANSLATE(B5403,""id"",""en"")"),"['The story', 'buy', 'package', 'active', 'quota', 'check', 'tomorrow', 'internet', 'use', 'pulse', 'joking', '']")</f>
        <v>['The story', 'buy', 'package', 'active', 'quota', 'check', 'tomorrow', 'internet', 'use', 'pulse', 'joking', '']</v>
      </c>
      <c r="D5403" s="3">
        <v>1.0</v>
      </c>
    </row>
    <row r="5404" ht="15.75" customHeight="1">
      <c r="A5404" s="1">
        <v>5809.0</v>
      </c>
      <c r="B5404" s="3" t="s">
        <v>5240</v>
      </c>
      <c r="C5404" s="3" t="str">
        <f>IFERROR(__xludf.DUMMYFUNCTION("GOOGLETRANSLATE(B5404,""id"",""en"")"),"['try']")</f>
        <v>['try']</v>
      </c>
      <c r="D5404" s="3">
        <v>3.0</v>
      </c>
    </row>
    <row r="5405" ht="15.75" customHeight="1">
      <c r="A5405" s="1">
        <v>5810.0</v>
      </c>
      <c r="B5405" s="3" t="s">
        <v>5241</v>
      </c>
      <c r="C5405" s="3" t="str">
        <f>IFERROR(__xludf.DUMMYFUNCTION("GOOGLETRANSLATE(B5405,""id"",""en"")"),"['Okeeeeeeeeeeeee', 'Bangeeetttt']")</f>
        <v>['Okeeeeeeeeeeeee', 'Bangeeetttt']</v>
      </c>
      <c r="D5405" s="3">
        <v>5.0</v>
      </c>
    </row>
    <row r="5406" ht="15.75" customHeight="1">
      <c r="A5406" s="1">
        <v>5811.0</v>
      </c>
      <c r="B5406" s="3" t="s">
        <v>5242</v>
      </c>
      <c r="C5406" s="3" t="str">
        <f>IFERROR(__xludf.DUMMYFUNCTION("GOOGLETRANSLATE(B5406,""id"",""en"")"),"['Dancing', 'help']")</f>
        <v>['Dancing', 'help']</v>
      </c>
      <c r="D5406" s="3">
        <v>5.0</v>
      </c>
    </row>
    <row r="5407" ht="15.75" customHeight="1">
      <c r="A5407" s="1">
        <v>5812.0</v>
      </c>
      <c r="B5407" s="3" t="s">
        <v>5243</v>
      </c>
      <c r="C5407" s="3" t="str">
        <f>IFERROR(__xludf.DUMMYFUNCTION("GOOGLETRANSLATE(B5407,""id"",""en"")"),"['strange', 'cave', 'buy', 'package', 'game', 'mobile', 'legends', 'play', 'please', 'help', ""]")</f>
        <v>['strange', 'cave', 'buy', 'package', 'game', 'mobile', 'legends', 'play', 'please', 'help', "]</v>
      </c>
      <c r="D5407" s="3">
        <v>1.0</v>
      </c>
    </row>
    <row r="5408" ht="15.75" customHeight="1">
      <c r="A5408" s="1">
        <v>5813.0</v>
      </c>
      <c r="B5408" s="3" t="s">
        <v>5244</v>
      </c>
      <c r="C5408" s="3" t="str">
        <f>IFERROR(__xludf.DUMMYFUNCTION("GOOGLETRANSLATE(B5408,""id"",""en"")"),"['buy', 'package', 'internet', 'pulse', 'active', 'mytelkosel', 'already', 'quota', 'GB', 'right', 'Samsek', 'right', ' Check ',' quota ',' SMS ',' have ',' quota ',' check ',' status', 'Package', 'MyTelkomsel', 'Tsel', 'info', 'Tsel', 'how' , 'pulse', 'a"&amp;"lready', 'suck']")</f>
        <v>['buy', 'package', 'internet', 'pulse', 'active', 'mytelkosel', 'already', 'quota', 'GB', 'right', 'Samsek', 'right', ' Check ',' quota ',' SMS ',' have ',' quota ',' check ',' status', 'Package', 'MyTelkomsel', 'Tsel', 'info', 'Tsel', 'how' , 'pulse', 'already', 'suck']</v>
      </c>
      <c r="D5408" s="3">
        <v>1.0</v>
      </c>
    </row>
    <row r="5409" ht="15.75" customHeight="1">
      <c r="A5409" s="1">
        <v>5814.0</v>
      </c>
      <c r="B5409" s="3" t="s">
        <v>5245</v>
      </c>
      <c r="C5409" s="3" t="str">
        <f>IFERROR(__xludf.DUMMYFUNCTION("GOOGLETRANSLATE(B5409,""id"",""en"")"),"['signal', 'incorrect', 'price', 'expensive']")</f>
        <v>['signal', 'incorrect', 'price', 'expensive']</v>
      </c>
      <c r="D5409" s="3">
        <v>1.0</v>
      </c>
    </row>
    <row r="5410" ht="15.75" customHeight="1">
      <c r="A5410" s="1">
        <v>5815.0</v>
      </c>
      <c r="B5410" s="3" t="s">
        <v>5246</v>
      </c>
      <c r="C5410" s="3" t="str">
        <f>IFERROR(__xludf.DUMMYFUNCTION("GOOGLETRANSLATE(B5410,""id"",""en"")"),"['Bintang', 'Ampe', 'Network', 'Normal', 'ilang', 'ilang', 'Mulu', 'Sinyal']")</f>
        <v>['Bintang', 'Ampe', 'Network', 'Normal', 'ilang', 'ilang', 'Mulu', 'Sinyal']</v>
      </c>
      <c r="D5410" s="3">
        <v>1.0</v>
      </c>
    </row>
    <row r="5411" ht="15.75" customHeight="1">
      <c r="A5411" s="1">
        <v>5816.0</v>
      </c>
      <c r="B5411" s="3" t="s">
        <v>5247</v>
      </c>
      <c r="C5411" s="3" t="str">
        <f>IFERROR(__xludf.DUMMYFUNCTION("GOOGLETRANSLATE(B5411,""id"",""en"")"),"['lag', 'knp', '']")</f>
        <v>['lag', 'knp', '']</v>
      </c>
      <c r="D5411" s="3">
        <v>1.0</v>
      </c>
    </row>
    <row r="5412" ht="15.75" customHeight="1">
      <c r="A5412" s="1">
        <v>5817.0</v>
      </c>
      <c r="B5412" s="3" t="s">
        <v>5248</v>
      </c>
      <c r="C5412" s="3" t="str">
        <f>IFERROR(__xludf.DUMMYFUNCTION("GOOGLETRANSLATE(B5412,""id"",""en"")"),"['Congratulations', 'reset', 'min', '']")</f>
        <v>['Congratulations', 'reset', 'min', '']</v>
      </c>
      <c r="D5412" s="3">
        <v>5.0</v>
      </c>
    </row>
    <row r="5413" ht="15.75" customHeight="1">
      <c r="A5413" s="1">
        <v>5818.0</v>
      </c>
      <c r="B5413" s="3" t="s">
        <v>5249</v>
      </c>
      <c r="C5413" s="3" t="str">
        <f>IFERROR(__xludf.DUMMYFUNCTION("GOOGLETRANSLATE(B5413,""id"",""en"")"),"['It's easier for', 'people', '']")</f>
        <v>['It's easier for', 'people', '']</v>
      </c>
      <c r="D5413" s="3">
        <v>3.0</v>
      </c>
    </row>
    <row r="5414" ht="15.75" customHeight="1">
      <c r="A5414" s="1">
        <v>5820.0</v>
      </c>
      <c r="B5414" s="3" t="s">
        <v>5250</v>
      </c>
      <c r="C5414" s="3" t="str">
        <f>IFERROR(__xludf.DUMMYFUNCTION("GOOGLETRANSLATE(B5414,""id"",""en"")"),"['buy', 'quota', 'unlimites',' specifically ',' YouTube ',' Instagram ',' Kasi ',' pulse ',' Cut ',' APK ',' YouTube ',' APK ',' Connection ',' opened ',' APK ',' pulse ',' reduced ',' rich ',' application ',' browser ',' game ',' etc. ',' APK ',' network"&amp;" ',' opened ' , 'quota', 'main', 'buy', 'quota', 'special', 'good', 'apk', 'sometimes', 'connection', 'network', 'lanjay']")</f>
        <v>['buy', 'quota', 'unlimites',' specifically ',' YouTube ',' Instagram ',' Kasi ',' pulse ',' Cut ',' APK ',' YouTube ',' APK ',' Connection ',' opened ',' APK ',' pulse ',' reduced ',' rich ',' application ',' browser ',' game ',' etc. ',' APK ',' network ',' opened ' , 'quota', 'main', 'buy', 'quota', 'special', 'good', 'apk', 'sometimes', 'connection', 'network', 'lanjay']</v>
      </c>
      <c r="D5414" s="3">
        <v>4.0</v>
      </c>
    </row>
    <row r="5415" ht="15.75" customHeight="1">
      <c r="A5415" s="1">
        <v>5821.0</v>
      </c>
      <c r="B5415" s="3" t="s">
        <v>2815</v>
      </c>
      <c r="C5415" s="3" t="str">
        <f>IFERROR(__xludf.DUMMYFUNCTION("GOOGLETRANSLATE(B5415,""id"",""en"")"),"['Network', 'Telkomsel', 'bad']")</f>
        <v>['Network', 'Telkomsel', 'bad']</v>
      </c>
      <c r="D5415" s="3">
        <v>1.0</v>
      </c>
    </row>
    <row r="5416" ht="15.75" customHeight="1">
      <c r="A5416" s="1">
        <v>5822.0</v>
      </c>
      <c r="B5416" s="3" t="s">
        <v>5251</v>
      </c>
      <c r="C5416" s="3" t="str">
        <f>IFERROR(__xludf.DUMMYFUNCTION("GOOGLETRANSLATE(B5416,""id"",""en"")"),"['woiiii', 'signal', 'ugly', 'really', ""]")</f>
        <v>['woiiii', 'signal', 'ugly', 'really', "]</v>
      </c>
      <c r="D5416" s="3">
        <v>1.0</v>
      </c>
    </row>
    <row r="5417" ht="15.75" customHeight="1">
      <c r="A5417" s="1">
        <v>5823.0</v>
      </c>
      <c r="B5417" s="3" t="s">
        <v>5252</v>
      </c>
      <c r="C5417" s="3" t="str">
        <f>IFERROR(__xludf.DUMMYFUNCTION("GOOGLETRANSLATE(B5417,""id"",""en"")"),"['APK', 'Manep']")</f>
        <v>['APK', 'Manep']</v>
      </c>
      <c r="D5417" s="3">
        <v>5.0</v>
      </c>
    </row>
    <row r="5418" ht="15.75" customHeight="1">
      <c r="A5418" s="1">
        <v>5825.0</v>
      </c>
      <c r="B5418" s="3" t="s">
        <v>5253</v>
      </c>
      <c r="C5418" s="3" t="str">
        <f>IFERROR(__xludf.DUMMYFUNCTION("GOOGLETRANSLATE(B5418,""id"",""en"")"),"['Package', 'Sakti', 'expensive', 'Different', 'Package', 'Sakti', '']")</f>
        <v>['Package', 'Sakti', 'expensive', 'Different', 'Package', 'Sakti', '']</v>
      </c>
      <c r="D5418" s="3">
        <v>5.0</v>
      </c>
    </row>
    <row r="5419" ht="15.75" customHeight="1">
      <c r="A5419" s="1">
        <v>5826.0</v>
      </c>
      <c r="B5419" s="3" t="s">
        <v>5254</v>
      </c>
      <c r="C5419" s="3" t="str">
        <f>IFERROR(__xludf.DUMMYFUNCTION("GOOGLETRANSLATE(B5419,""id"",""en"")"),"['City', 'Threat', 'Network', 'Update', 'NGK', '']")</f>
        <v>['City', 'Threat', 'Network', 'Update', 'NGK', '']</v>
      </c>
      <c r="D5419" s="3">
        <v>1.0</v>
      </c>
    </row>
    <row r="5420" ht="15.75" customHeight="1">
      <c r="A5420" s="1">
        <v>5827.0</v>
      </c>
      <c r="B5420" s="3" t="s">
        <v>5255</v>
      </c>
      <c r="C5420" s="3" t="str">
        <f>IFERROR(__xludf.DUMMYFUNCTION("GOOGLETRANSLATE(B5420,""id"",""en"")"),"['Network', 'ngelag', 'problematic', 'signal', 'full', 'many', 'contact', 'custcare', 'response', 'change', 'mending', 'switch', ' operator']")</f>
        <v>['Network', 'ngelag', 'problematic', 'signal', 'full', 'many', 'contact', 'custcare', 'response', 'change', 'mending', 'switch', ' operator']</v>
      </c>
      <c r="D5420" s="3">
        <v>1.0</v>
      </c>
    </row>
    <row r="5421" ht="15.75" customHeight="1">
      <c r="A5421" s="1">
        <v>5828.0</v>
      </c>
      <c r="B5421" s="3" t="s">
        <v>5256</v>
      </c>
      <c r="C5421" s="3" t="str">
        <f>IFERROR(__xludf.DUMMYFUNCTION("GOOGLETRANSLATE(B5421,""id"",""en"")"),"['lag', 'really', 'anjg']")</f>
        <v>['lag', 'really', 'anjg']</v>
      </c>
      <c r="D5421" s="3">
        <v>1.0</v>
      </c>
    </row>
    <row r="5422" ht="15.75" customHeight="1">
      <c r="A5422" s="1">
        <v>5829.0</v>
      </c>
      <c r="B5422" s="3" t="s">
        <v>5257</v>
      </c>
      <c r="C5422" s="3" t="str">
        <f>IFERROR(__xludf.DUMMYFUNCTION("GOOGLETRANSLATE(B5422,""id"",""en"")"),"['Telkomsel', 'Jancokkkk', 'signal', 'ngelek', 'Kek', 'Bangsattt']")</f>
        <v>['Telkomsel', 'Jancokkkk', 'signal', 'ngelek', 'Kek', 'Bangsattt']</v>
      </c>
      <c r="D5422" s="3">
        <v>1.0</v>
      </c>
    </row>
    <row r="5423" ht="15.75" customHeight="1">
      <c r="A5423" s="1">
        <v>5830.0</v>
      </c>
      <c r="B5423" s="3" t="s">
        <v>5258</v>
      </c>
      <c r="C5423" s="3" t="str">
        <f>IFERROR(__xludf.DUMMYFUNCTION("GOOGLETRANSLATE(B5423,""id"",""en"")"),"['Like', 'features', 'gift', 'affordable', 'quality', 'good', 'stay', 'village']")</f>
        <v>['Like', 'features', 'gift', 'affordable', 'quality', 'good', 'stay', 'village']</v>
      </c>
      <c r="D5423" s="3">
        <v>5.0</v>
      </c>
    </row>
    <row r="5424" ht="15.75" customHeight="1">
      <c r="A5424" s="1">
        <v>5831.0</v>
      </c>
      <c r="B5424" s="3" t="s">
        <v>5259</v>
      </c>
      <c r="C5424" s="3" t="str">
        <f>IFERROR(__xludf.DUMMYFUNCTION("GOOGLETRANSLATE(B5424,""id"",""en"")"),"['Network', 'You', 'Begin', 'Min']")</f>
        <v>['Network', 'You', 'Begin', 'Min']</v>
      </c>
      <c r="D5424" s="3">
        <v>1.0</v>
      </c>
    </row>
    <row r="5425" ht="15.75" customHeight="1">
      <c r="A5425" s="1">
        <v>5832.0</v>
      </c>
      <c r="B5425" s="3" t="s">
        <v>5260</v>
      </c>
      <c r="C5425" s="3" t="str">
        <f>IFERROR(__xludf.DUMMYFUNCTION("GOOGLETRANSLATE(B5425,""id"",""en"")"),"['Credit', 'Sumpot', 'Mulu', 'Quota', 'Masi', 'Berciki', 'Giga', 'Plis', ""]")</f>
        <v>['Credit', 'Sumpot', 'Mulu', 'Quota', 'Masi', 'Berciki', 'Giga', 'Plis', "]</v>
      </c>
      <c r="D5425" s="3">
        <v>1.0</v>
      </c>
    </row>
    <row r="5426" ht="15.75" customHeight="1">
      <c r="A5426" s="1">
        <v>5833.0</v>
      </c>
      <c r="B5426" s="3" t="s">
        <v>5261</v>
      </c>
      <c r="C5426" s="3" t="str">
        <f>IFERROR(__xludf.DUMMYFUNCTION("GOOGLETRANSLATE(B5426,""id"",""en"")"),"['expensive cheap']")</f>
        <v>['expensive cheap']</v>
      </c>
      <c r="D5426" s="3">
        <v>3.0</v>
      </c>
    </row>
    <row r="5427" ht="15.75" customHeight="1">
      <c r="A5427" s="1">
        <v>5834.0</v>
      </c>
      <c r="B5427" s="3" t="s">
        <v>5262</v>
      </c>
      <c r="C5427" s="3" t="str">
        <f>IFERROR(__xludf.DUMMYFUNCTION("GOOGLETRANSLATE(B5427,""id"",""en"")"),"['Good', 'Bangangtt']")</f>
        <v>['Good', 'Bangangtt']</v>
      </c>
      <c r="D5427" s="3">
        <v>5.0</v>
      </c>
    </row>
    <row r="5428" ht="15.75" customHeight="1">
      <c r="A5428" s="1">
        <v>5835.0</v>
      </c>
      <c r="B5428" s="3" t="s">
        <v>5263</v>
      </c>
      <c r="C5428" s="3" t="str">
        <f>IFERROR(__xludf.DUMMYFUNCTION("GOOGLETRANSLATE(B5428,""id"",""en"")"),"['Telkomsel', 'signal', 'ugly', 'high', '']")</f>
        <v>['Telkomsel', 'signal', 'ugly', 'high', '']</v>
      </c>
      <c r="D5428" s="3">
        <v>1.0</v>
      </c>
    </row>
    <row r="5429" ht="15.75" customHeight="1">
      <c r="A5429" s="1">
        <v>5836.0</v>
      </c>
      <c r="B5429" s="3" t="s">
        <v>5264</v>
      </c>
      <c r="C5429" s="3" t="str">
        <f>IFERROR(__xludf.DUMMYFUNCTION("GOOGLETRANSLATE(B5429,""id"",""en"")"),"['mmbantu', 'APK']")</f>
        <v>['mmbantu', 'APK']</v>
      </c>
      <c r="D5429" s="3">
        <v>5.0</v>
      </c>
    </row>
    <row r="5430" ht="15.75" customHeight="1">
      <c r="A5430" s="1">
        <v>5837.0</v>
      </c>
      <c r="B5430" s="3" t="s">
        <v>5265</v>
      </c>
      <c r="C5430" s="3" t="str">
        <f>IFERROR(__xludf.DUMMYFUNCTION("GOOGLETRANSLATE(B5430,""id"",""en"")"),"['Help', 'makes it easy']")</f>
        <v>['Help', 'makes it easy']</v>
      </c>
      <c r="D5430" s="3">
        <v>5.0</v>
      </c>
    </row>
    <row r="5431" ht="15.75" customHeight="1">
      <c r="A5431" s="1">
        <v>5838.0</v>
      </c>
      <c r="B5431" s="3" t="s">
        <v>5266</v>
      </c>
      <c r="C5431" s="3" t="str">
        <f>IFERROR(__xludf.DUMMYFUNCTION("GOOGLETRANSLATE(B5431,""id"",""en"")"),"['', 'steady', 'recommendation']")</f>
        <v>['', 'steady', 'recommendation']</v>
      </c>
      <c r="D5431" s="3">
        <v>5.0</v>
      </c>
    </row>
    <row r="5432" ht="15.75" customHeight="1">
      <c r="A5432" s="1">
        <v>5839.0</v>
      </c>
      <c r="B5432" s="3" t="s">
        <v>5267</v>
      </c>
      <c r="C5432" s="3" t="str">
        <f>IFERROR(__xludf.DUMMYFUNCTION("GOOGLETRANSLATE(B5432,""id"",""en"")"),"['application', 'mytelkomsel', 'bgs', 'skli']")</f>
        <v>['application', 'mytelkomsel', 'bgs', 'skli']</v>
      </c>
      <c r="D5432" s="3">
        <v>5.0</v>
      </c>
    </row>
    <row r="5433" ht="15.75" customHeight="1">
      <c r="A5433" s="1">
        <v>5840.0</v>
      </c>
      <c r="B5433" s="3" t="s">
        <v>5268</v>
      </c>
      <c r="C5433" s="3" t="str">
        <f>IFERROR(__xludf.DUMMYFUNCTION("GOOGLETRANSLATE(B5433,""id"",""en"")"),"['Fool', 'stupid', 'signal', 'emotion', 'force', 'stupid', 'signal', 'dlu', 'rich', 'gini', 'tamarine']")</f>
        <v>['Fool', 'stupid', 'signal', 'emotion', 'force', 'stupid', 'signal', 'dlu', 'rich', 'gini', 'tamarine']</v>
      </c>
      <c r="D5433" s="3">
        <v>1.0</v>
      </c>
    </row>
    <row r="5434" ht="15.75" customHeight="1">
      <c r="A5434" s="1">
        <v>5841.0</v>
      </c>
      <c r="B5434" s="3" t="s">
        <v>5269</v>
      </c>
      <c r="C5434" s="3" t="str">
        <f>IFERROR(__xludf.DUMMYFUNCTION("GOOGLETRANSLATE(B5434,""id"",""en"")"),"['Tribulation', 'Network', 'Internet']")</f>
        <v>['Tribulation', 'Network', 'Internet']</v>
      </c>
      <c r="D5434" s="3">
        <v>5.0</v>
      </c>
    </row>
    <row r="5435" ht="15.75" customHeight="1">
      <c r="A5435" s="1">
        <v>5842.0</v>
      </c>
      <c r="B5435" s="3" t="s">
        <v>5270</v>
      </c>
      <c r="C5435" s="3" t="str">
        <f>IFERROR(__xludf.DUMMYFUNCTION("GOOGLETRANSLATE(B5435,""id"",""en"")"),"['Satisfied', 'buy', 'package', 'easy', 'cheap']")</f>
        <v>['Satisfied', 'buy', 'package', 'easy', 'cheap']</v>
      </c>
      <c r="D5435" s="3">
        <v>5.0</v>
      </c>
    </row>
    <row r="5436" ht="15.75" customHeight="1">
      <c r="A5436" s="1">
        <v>5843.0</v>
      </c>
      <c r="B5436" s="3" t="s">
        <v>5271</v>
      </c>
      <c r="C5436" s="3" t="str">
        <f>IFERROR(__xludf.DUMMYFUNCTION("GOOGLETRANSLATE(B5436,""id"",""en"")"),"['Good', 'The opposite', '']")</f>
        <v>['Good', 'The opposite', '']</v>
      </c>
      <c r="D5436" s="3">
        <v>5.0</v>
      </c>
    </row>
    <row r="5437" ht="15.75" customHeight="1">
      <c r="A5437" s="1">
        <v>5844.0</v>
      </c>
      <c r="B5437" s="3" t="s">
        <v>5272</v>
      </c>
      <c r="C5437" s="3" t="str">
        <f>IFERROR(__xludf.DUMMYFUNCTION("GOOGLETRANSLATE(B5437,""id"",""en"")"),"['easier', 'community', 'shopping', 'internet']")</f>
        <v>['easier', 'community', 'shopping', 'internet']</v>
      </c>
      <c r="D5437" s="3">
        <v>1.0</v>
      </c>
    </row>
    <row r="5438" ht="15.75" customHeight="1">
      <c r="A5438" s="1">
        <v>5845.0</v>
      </c>
      <c r="B5438" s="3" t="s">
        <v>5273</v>
      </c>
      <c r="C5438" s="3" t="str">
        <f>IFERROR(__xludf.DUMMYFUNCTION("GOOGLETRANSLATE(B5438,""id"",""en"")"),"['Kasi', 'promo', 'cheap']")</f>
        <v>['Kasi', 'promo', 'cheap']</v>
      </c>
      <c r="D5438" s="3">
        <v>4.0</v>
      </c>
    </row>
    <row r="5439" ht="15.75" customHeight="1">
      <c r="A5439" s="1">
        <v>5846.0</v>
      </c>
      <c r="B5439" s="3" t="s">
        <v>5274</v>
      </c>
      <c r="C5439" s="3" t="str">
        <f>IFERROR(__xludf.DUMMYFUNCTION("GOOGLETRANSLATE(B5439,""id"",""en"")"),"['signal', 'steady', 'price', 'expensive']")</f>
        <v>['signal', 'steady', 'price', 'expensive']</v>
      </c>
      <c r="D5439" s="3">
        <v>5.0</v>
      </c>
    </row>
    <row r="5440" ht="15.75" customHeight="1">
      <c r="A5440" s="1">
        <v>5847.0</v>
      </c>
      <c r="B5440" s="3" t="s">
        <v>5275</v>
      </c>
      <c r="C5440" s="3" t="str">
        <f>IFERROR(__xludf.DUMMYFUNCTION("GOOGLETRANSLATE(B5440,""id"",""en"")"),"['', 'easy', 'promo']")</f>
        <v>['', 'easy', 'promo']</v>
      </c>
      <c r="D5440" s="3">
        <v>5.0</v>
      </c>
    </row>
    <row r="5441" ht="15.75" customHeight="1">
      <c r="A5441" s="1">
        <v>5848.0</v>
      </c>
      <c r="B5441" s="3" t="s">
        <v>5276</v>
      </c>
      <c r="C5441" s="3" t="str">
        <f>IFERROR(__xludf.DUMMYFUNCTION("GOOGLETRANSLATE(B5441,""id"",""en"")"),"['like', 'application', 'missing', 'package', 'unlimited', 'kalu', 'kasi', 'package', 'unlimited']")</f>
        <v>['like', 'application', 'missing', 'package', 'unlimited', 'kalu', 'kasi', 'package', 'unlimited']</v>
      </c>
      <c r="D5441" s="3">
        <v>5.0</v>
      </c>
    </row>
    <row r="5442" ht="15.75" customHeight="1">
      <c r="A5442" s="1">
        <v>5849.0</v>
      </c>
      <c r="B5442" s="3" t="s">
        <v>5277</v>
      </c>
      <c r="C5442" s="3" t="str">
        <f>IFERROR(__xludf.DUMMYFUNCTION("GOOGLETRANSLATE(B5442,""id"",""en"")"),"['Good', 'piece', '']")</f>
        <v>['Good', 'piece', '']</v>
      </c>
      <c r="D5442" s="3">
        <v>5.0</v>
      </c>
    </row>
    <row r="5443" ht="15.75" customHeight="1">
      <c r="A5443" s="1">
        <v>5850.0</v>
      </c>
      <c r="B5443" s="3" t="s">
        <v>5278</v>
      </c>
      <c r="C5443" s="3" t="str">
        <f>IFERROR(__xludf.DUMMYFUNCTION("GOOGLETRANSLATE(B5443,""id"",""en"")"),"['like', 'use', 'Telkomsel']")</f>
        <v>['like', 'use', 'Telkomsel']</v>
      </c>
      <c r="D5443" s="3">
        <v>5.0</v>
      </c>
    </row>
    <row r="5444" ht="15.75" customHeight="1">
      <c r="A5444" s="1">
        <v>5851.0</v>
      </c>
      <c r="B5444" s="3" t="s">
        <v>5279</v>
      </c>
      <c r="C5444" s="3" t="str">
        <f>IFERROR(__xludf.DUMMYFUNCTION("GOOGLETRANSLATE(B5444,""id"",""en"")"),"['Sngat', 'Useful', '']")</f>
        <v>['Sngat', 'Useful', '']</v>
      </c>
      <c r="D5444" s="3">
        <v>5.0</v>
      </c>
    </row>
    <row r="5445" ht="15.75" customHeight="1">
      <c r="A5445" s="1">
        <v>5852.0</v>
      </c>
      <c r="B5445" s="3" t="s">
        <v>5280</v>
      </c>
      <c r="C5445" s="3" t="str">
        <f>IFERROR(__xludf.DUMMYFUNCTION("GOOGLETRANSLATE(B5445,""id"",""en"")"),"['Veronika']")</f>
        <v>['Veronika']</v>
      </c>
      <c r="D5445" s="3">
        <v>1.0</v>
      </c>
    </row>
    <row r="5446" ht="15.75" customHeight="1">
      <c r="A5446" s="1">
        <v>5853.0</v>
      </c>
      <c r="B5446" s="3" t="s">
        <v>5281</v>
      </c>
      <c r="C5446" s="3" t="str">
        <f>IFERROR(__xludf.DUMMYFUNCTION("GOOGLETRANSLATE(B5446,""id"",""en"")"),"['Increase', 'according to', 'menu']")</f>
        <v>['Increase', 'according to', 'menu']</v>
      </c>
      <c r="D5446" s="3">
        <v>5.0</v>
      </c>
    </row>
    <row r="5447" ht="15.75" customHeight="1">
      <c r="A5447" s="1">
        <v>5854.0</v>
      </c>
      <c r="B5447" s="3" t="s">
        <v>5282</v>
      </c>
      <c r="C5447" s="3" t="str">
        <f>IFERROR(__xludf.DUMMYFUNCTION("GOOGLETRANSLATE(B5447,""id"",""en"")"),"['skrg', 'buy', 'package', 'kouta', 'telkomsel', 'expensive', 'fast', 'endless',' boross', 'pdhal', 'rare', 'dpke', ' Liat ',' sosmed ',' Tiktok ',' etc. ', ""]")</f>
        <v>['skrg', 'buy', 'package', 'kouta', 'telkomsel', 'expensive', 'fast', 'endless',' boross', 'pdhal', 'rare', 'dpke', ' Liat ',' sosmed ',' Tiktok ',' etc. ', "]</v>
      </c>
      <c r="D5447" s="3">
        <v>2.0</v>
      </c>
    </row>
    <row r="5448" ht="15.75" customHeight="1">
      <c r="A5448" s="1">
        <v>5855.0</v>
      </c>
      <c r="B5448" s="3" t="s">
        <v>5283</v>
      </c>
      <c r="C5448" s="3" t="str">
        <f>IFERROR(__xludf.DUMMYFUNCTION("GOOGLETRANSLATE(B5448,""id"",""en"")"),"['Kaga', 'Top', 'Game', 'Free', 'Fire', 'Mobile', 'Legends', 'Please', 'Top', 'Love', 'Star']")</f>
        <v>['Kaga', 'Top', 'Game', 'Free', 'Fire', 'Mobile', 'Legends', 'Please', 'Top', 'Love', 'Star']</v>
      </c>
      <c r="D5448" s="3">
        <v>1.0</v>
      </c>
    </row>
    <row r="5449" ht="15.75" customHeight="1">
      <c r="A5449" s="1">
        <v>5856.0</v>
      </c>
      <c r="B5449" s="3" t="s">
        <v>5284</v>
      </c>
      <c r="C5449" s="3" t="str">
        <f>IFERROR(__xludf.DUMMYFUNCTION("GOOGLETRANSLATE(B5449,""id"",""en"")"),"['price', 'quota', 'bought', 'price', 'already', 'cheap', 'already', 'expensive', ""]")</f>
        <v>['price', 'quota', 'bought', 'price', 'already', 'cheap', 'already', 'expensive', "]</v>
      </c>
      <c r="D5449" s="3">
        <v>4.0</v>
      </c>
    </row>
    <row r="5450" ht="15.75" customHeight="1">
      <c r="A5450" s="1">
        <v>5858.0</v>
      </c>
      <c r="B5450" s="3" t="s">
        <v>5285</v>
      </c>
      <c r="C5450" s="3" t="str">
        <f>IFERROR(__xludf.DUMMYFUNCTION("GOOGLETRANSLATE(B5450,""id"",""en"")"),"['Buy', 'Package', 'YouTobe', 'Sucking', 'Credit', 'Internet', 'Come', 'Application', 'Used', 'Transaction']")</f>
        <v>['Buy', 'Package', 'YouTobe', 'Sucking', 'Credit', 'Internet', 'Come', 'Application', 'Used', 'Transaction']</v>
      </c>
      <c r="D5450" s="3">
        <v>1.0</v>
      </c>
    </row>
    <row r="5451" ht="15.75" customHeight="1">
      <c r="A5451" s="1">
        <v>5859.0</v>
      </c>
      <c r="B5451" s="3" t="s">
        <v>5286</v>
      </c>
      <c r="C5451" s="3" t="str">
        <f>IFERROR(__xludf.DUMMYFUNCTION("GOOGLETRANSLATE(B5451,""id"",""en"")"),"['Buy', 'Package', 'Combo', 'Sakti', 'Unlimited', 'You', 'Tube', 'Games',' Use ',' Package ',' Regular ',' Abis', ' Regular ',' quota ',' youtubenya ',' Waiting ',' Waiting ',' Package ',' Regular ',' Abis', 'Used', 'Quota', 'YouTubenya', ""]")</f>
        <v>['Buy', 'Package', 'Combo', 'Sakti', 'Unlimited', 'You', 'Tube', 'Games',' Use ',' Package ',' Regular ',' Abis', ' Regular ',' quota ',' youtubenya ',' Waiting ',' Waiting ',' Package ',' Regular ',' Abis', 'Used', 'Quota', 'YouTubenya', "]</v>
      </c>
      <c r="D5451" s="3">
        <v>3.0</v>
      </c>
    </row>
    <row r="5452" ht="15.75" customHeight="1">
      <c r="A5452" s="1">
        <v>5860.0</v>
      </c>
      <c r="B5452" s="3" t="s">
        <v>5287</v>
      </c>
      <c r="C5452" s="3" t="str">
        <f>IFERROR(__xludf.DUMMYFUNCTION("GOOGLETRANSLATE(B5452,""id"",""en"")"),"['signal', 'lost', 'buffering', 'ngellag', 'chatingan', 'jamkot', 'Telkomsel', 'rich', 'little', 'little', 'signal', 'missing', ' Credit ',' Sumpot ',' Kayak ',' KNTL ',' ']")</f>
        <v>['signal', 'lost', 'buffering', 'ngellag', 'chatingan', 'jamkot', 'Telkomsel', 'rich', 'little', 'little', 'signal', 'missing', ' Credit ',' Sumpot ',' Kayak ',' KNTL ',' ']</v>
      </c>
      <c r="D5452" s="3">
        <v>1.0</v>
      </c>
    </row>
    <row r="5453" ht="15.75" customHeight="1">
      <c r="A5453" s="1">
        <v>5861.0</v>
      </c>
      <c r="B5453" s="3" t="s">
        <v>5288</v>
      </c>
      <c r="C5453" s="3" t="str">
        <f>IFERROR(__xludf.DUMMYFUNCTION("GOOGLETRANSLATE(B5453,""id"",""en"")"),"['', 'Transaction', 'SUCCESS', 'Credit', 'Cutting', 'Njir', 'Lossii']")</f>
        <v>['', 'Transaction', 'SUCCESS', 'Credit', 'Cutting', 'Njir', 'Lossii']</v>
      </c>
      <c r="D5453" s="3">
        <v>1.0</v>
      </c>
    </row>
    <row r="5454" ht="15.75" customHeight="1">
      <c r="A5454" s="1">
        <v>5862.0</v>
      </c>
      <c r="B5454" s="3" t="s">
        <v>5289</v>
      </c>
      <c r="C5454" s="3" t="str">
        <f>IFERROR(__xludf.DUMMYFUNCTION("GOOGLETRANSLATE(B5454,""id"",""en"")"),"['', 'Bintang', 'buy', 'package', 'kinya', 'Telkomsel', 'disorder', 'sorry', 'delete', 'app', 'here', 'severe', "" ]")</f>
        <v>['', 'Bintang', 'buy', 'package', 'kinya', 'Telkomsel', 'disorder', 'sorry', 'delete', 'app', 'here', 'severe', " ]</v>
      </c>
      <c r="D5454" s="3">
        <v>1.0</v>
      </c>
    </row>
    <row r="5455" ht="15.75" customHeight="1">
      <c r="A5455" s="1">
        <v>5863.0</v>
      </c>
      <c r="B5455" s="3" t="s">
        <v>5290</v>
      </c>
      <c r="C5455" s="3" t="str">
        <f>IFERROR(__xludf.DUMMYFUNCTION("GOOGLETRANSLATE(B5455,""id"",""en"")"),"['Package', 'GB', 'Napa', 'Addin', 'Jdi']")</f>
        <v>['Package', 'GB', 'Napa', 'Addin', 'Jdi']</v>
      </c>
      <c r="D5455" s="3">
        <v>2.0</v>
      </c>
    </row>
    <row r="5456" ht="15.75" customHeight="1">
      <c r="A5456" s="1">
        <v>5864.0</v>
      </c>
      <c r="B5456" s="3" t="s">
        <v>5291</v>
      </c>
      <c r="C5456" s="3" t="str">
        <f>IFERROR(__xludf.DUMMYFUNCTION("GOOGLETRANSLATE(B5456,""id"",""en"")"),"['Quality', 'Network', 'Good', 'My Area', 'Quota', 'Internet', 'Cheap']")</f>
        <v>['Quality', 'Network', 'Good', 'My Area', 'Quota', 'Internet', 'Cheap']</v>
      </c>
      <c r="D5456" s="3">
        <v>5.0</v>
      </c>
    </row>
    <row r="5457" ht="15.75" customHeight="1">
      <c r="A5457" s="1">
        <v>5865.0</v>
      </c>
      <c r="B5457" s="3" t="s">
        <v>5292</v>
      </c>
      <c r="C5457" s="3" t="str">
        <f>IFERROR(__xludf.DUMMYFUNCTION("GOOGLETRANSLATE(B5457,""id"",""en"")"),"['City', 'yape']")</f>
        <v>['City', 'yape']</v>
      </c>
      <c r="D5457" s="3">
        <v>1.0</v>
      </c>
    </row>
    <row r="5458" ht="15.75" customHeight="1">
      <c r="A5458" s="1">
        <v>5866.0</v>
      </c>
      <c r="B5458" s="3" t="s">
        <v>5293</v>
      </c>
      <c r="C5458" s="3" t="str">
        <f>IFERROR(__xludf.DUMMYFUNCTION("GOOGLETRANSLATE(B5458,""id"",""en"")"),"['Give', 'package', 'internet', 'cheap', 'festive', 'enjoy', 'internet', 'degan', 'satisfied', 'comfortable']")</f>
        <v>['Give', 'package', 'internet', 'cheap', 'festive', 'enjoy', 'internet', 'degan', 'satisfied', 'comfortable']</v>
      </c>
      <c r="D5458" s="3">
        <v>3.0</v>
      </c>
    </row>
    <row r="5459" ht="15.75" customHeight="1">
      <c r="A5459" s="1">
        <v>5867.0</v>
      </c>
      <c r="B5459" s="3" t="s">
        <v>5294</v>
      </c>
      <c r="C5459" s="3" t="str">
        <f>IFERROR(__xludf.DUMMYFUNCTION("GOOGLETRANSLATE(B5459,""id"",""en"")"),"['SNGT', 'pulse', 'skrng', 'brp', 'install', 'application', 'Telkomsel', '']")</f>
        <v>['SNGT', 'pulse', 'skrng', 'brp', 'install', 'application', 'Telkomsel', '']</v>
      </c>
      <c r="D5459" s="3">
        <v>5.0</v>
      </c>
    </row>
    <row r="5460" ht="15.75" customHeight="1">
      <c r="A5460" s="1">
        <v>5868.0</v>
      </c>
      <c r="B5460" s="3" t="s">
        <v>5295</v>
      </c>
      <c r="C5460" s="3" t="str">
        <f>IFERROR(__xludf.DUMMYFUNCTION("GOOGLETRANSLATE(B5460,""id"",""en"")"),"['Telkomsel', 'signal', 'Telkomsel', 'good', 'signal', 'ugly', 'play', 'game', 'difficult', 'AFK', 'Mulu', 'I', ' I '' buy ',' package ',' internet ']")</f>
        <v>['Telkomsel', 'signal', 'Telkomsel', 'good', 'signal', 'ugly', 'play', 'game', 'difficult', 'AFK', 'Mulu', 'I', ' I '' buy ',' package ',' internet ']</v>
      </c>
      <c r="D5460" s="3">
        <v>1.0</v>
      </c>
    </row>
    <row r="5461" ht="15.75" customHeight="1">
      <c r="A5461" s="1">
        <v>5869.0</v>
      </c>
      <c r="B5461" s="3" t="s">
        <v>5296</v>
      </c>
      <c r="C5461" s="3" t="str">
        <f>IFERROR(__xludf.DUMMYFUNCTION("GOOGLETRANSLATE(B5461,""id"",""en"")"),"['Switch', 'Points', 'Telkomsel', '']")</f>
        <v>['Switch', 'Points', 'Telkomsel', '']</v>
      </c>
      <c r="D5461" s="3">
        <v>2.0</v>
      </c>
    </row>
    <row r="5462" ht="15.75" customHeight="1">
      <c r="A5462" s="1">
        <v>5870.0</v>
      </c>
      <c r="B5462" s="3" t="s">
        <v>5297</v>
      </c>
      <c r="C5462" s="3" t="str">
        <f>IFERROR(__xludf.DUMMYFUNCTION("GOOGLETRANSLATE(B5462,""id"",""en"")"),"['APK', 'Good', 'great', 'great']")</f>
        <v>['APK', 'Good', 'great', 'great']</v>
      </c>
      <c r="D5462" s="3">
        <v>5.0</v>
      </c>
    </row>
    <row r="5463" ht="15.75" customHeight="1">
      <c r="A5463" s="1">
        <v>5871.0</v>
      </c>
      <c r="B5463" s="3" t="s">
        <v>5298</v>
      </c>
      <c r="C5463" s="3" t="str">
        <f>IFERROR(__xludf.DUMMYFUNCTION("GOOGLETRANSLATE(B5463,""id"",""en"")"),"['Signal', 'cell', 'ugly', '']")</f>
        <v>['Signal', 'cell', 'ugly', '']</v>
      </c>
      <c r="D5463" s="3">
        <v>1.0</v>
      </c>
    </row>
    <row r="5464" ht="15.75" customHeight="1">
      <c r="A5464" s="1">
        <v>5872.0</v>
      </c>
      <c r="B5464" s="3" t="s">
        <v>5299</v>
      </c>
      <c r="C5464" s="3" t="str">
        <f>IFERROR(__xludf.DUMMYFUNCTION("GOOGLETRANSLATE(B5464,""id"",""en"")"),"['Appk', 'Bags']")</f>
        <v>['Appk', 'Bags']</v>
      </c>
      <c r="D5464" s="3">
        <v>5.0</v>
      </c>
    </row>
    <row r="5465" ht="15.75" customHeight="1">
      <c r="A5465" s="1">
        <v>5873.0</v>
      </c>
      <c r="B5465" s="3" t="s">
        <v>5300</v>
      </c>
      <c r="C5465" s="3" t="str">
        <f>IFERROR(__xludf.DUMMYFUNCTION("GOOGLETRANSLATE(B5465,""id"",""en"")"),"['Network', 'bad', 'card', 'already', 'edge', 'bankrupt', 'Indosat', 'competed', 'fix', 'network', 'telkomprat', 'bad', ' The network ',' damn ',' ']")</f>
        <v>['Network', 'bad', 'card', 'already', 'edge', 'bankrupt', 'Indosat', 'competed', 'fix', 'network', 'telkomprat', 'bad', ' The network ',' damn ',' ']</v>
      </c>
      <c r="D5465" s="3">
        <v>1.0</v>
      </c>
    </row>
    <row r="5466" ht="15.75" customHeight="1">
      <c r="A5466" s="1">
        <v>5874.0</v>
      </c>
      <c r="B5466" s="3" t="s">
        <v>5301</v>
      </c>
      <c r="C5466" s="3" t="str">
        <f>IFERROR(__xludf.DUMMYFUNCTION("GOOGLETRANSLATE(B5466,""id"",""en"")"),"['buy', 'Package', 'YouTube', 'unlimited', 'consumed', 'package', 'main', 'data', 'main', 'seboros',' as if ',' package ',' Unlimited ',' YouTube ',' Cukan ',' Terms', 'Akalan', 'Package', 'Unlimited', 'Please']")</f>
        <v>['buy', 'Package', 'YouTube', 'unlimited', 'consumed', 'package', 'main', 'data', 'main', 'seboros',' as if ',' package ',' Unlimited ',' YouTube ',' Cukan ',' Terms', 'Akalan', 'Package', 'Unlimited', 'Please']</v>
      </c>
      <c r="D5466" s="3">
        <v>1.0</v>
      </c>
    </row>
    <row r="5467" ht="15.75" customHeight="1">
      <c r="A5467" s="1">
        <v>5875.0</v>
      </c>
      <c r="B5467" s="3" t="s">
        <v>5302</v>
      </c>
      <c r="C5467" s="3" t="str">
        <f>IFERROR(__xludf.DUMMYFUNCTION("GOOGLETRANSLATE(B5467,""id"",""en"")"),"['bug', 'apk', 'Telkomsel', 'like', 'buy', 'package', 'failure', 'disorder', 'pulse', 'mlh', 'reduced', 'buy', ' package ',' please ',' repaired ']")</f>
        <v>['bug', 'apk', 'Telkomsel', 'like', 'buy', 'package', 'failure', 'disorder', 'pulse', 'mlh', 'reduced', 'buy', ' package ',' please ',' repaired ']</v>
      </c>
      <c r="D5467" s="3">
        <v>2.0</v>
      </c>
    </row>
    <row r="5468" ht="15.75" customHeight="1">
      <c r="A5468" s="1">
        <v>5877.0</v>
      </c>
      <c r="B5468" s="3" t="s">
        <v>5303</v>
      </c>
      <c r="C5468" s="3" t="str">
        <f>IFERROR(__xludf.DUMMYFUNCTION("GOOGLETRANSLATE(B5468,""id"",""en"")"),"['Anyway', 'steady']")</f>
        <v>['Anyway', 'steady']</v>
      </c>
      <c r="D5468" s="3">
        <v>5.0</v>
      </c>
    </row>
    <row r="5469" ht="15.75" customHeight="1">
      <c r="A5469" s="1">
        <v>5878.0</v>
      </c>
      <c r="B5469" s="3" t="s">
        <v>5304</v>
      </c>
      <c r="C5469" s="3" t="str">
        <f>IFERROR(__xludf.DUMMYFUNCTION("GOOGLETRANSLATE(B5469,""id"",""en"")"),"['signal', 'connection', 'internet', 'card', 'GSM', 'Telkomsel', 'Hello', 'Depok', 'West Java', 'WIL', 'Kec', 'Cipayung', ' LEGE ',' Quota ',' APK ',' Muter ',' Loading ',' Terbuus', 'Ancuur']")</f>
        <v>['signal', 'connection', 'internet', 'card', 'GSM', 'Telkomsel', 'Hello', 'Depok', 'West Java', 'WIL', 'Kec', 'Cipayung', ' LEGE ',' Quota ',' APK ',' Muter ',' Loading ',' Terbuus', 'Ancuur']</v>
      </c>
      <c r="D5469" s="3">
        <v>1.0</v>
      </c>
    </row>
    <row r="5470" ht="15.75" customHeight="1">
      <c r="A5470" s="1">
        <v>5879.0</v>
      </c>
      <c r="B5470" s="3" t="s">
        <v>5305</v>
      </c>
      <c r="C5470" s="3" t="str">
        <f>IFERROR(__xludf.DUMMYFUNCTION("GOOGLETRANSLATE(B5470,""id"",""en"")"),"['promo', 'promo', 'weekly', 'week', 'a week', 'Empor']")</f>
        <v>['promo', 'promo', 'weekly', 'week', 'a week', 'Empor']</v>
      </c>
      <c r="D5470" s="3">
        <v>1.0</v>
      </c>
    </row>
    <row r="5471" ht="15.75" customHeight="1">
      <c r="A5471" s="1">
        <v>5881.0</v>
      </c>
      <c r="B5471" s="3" t="s">
        <v>5306</v>
      </c>
      <c r="C5471" s="3" t="str">
        <f>IFERROR(__xludf.DUMMYFUNCTION("GOOGLETRANSLATE(B5471,""id"",""en"")"),"['Telkomsel', 'mainstay', 'Indonesia', 'East', 'spilled', 'blood', 'Indonesia']")</f>
        <v>['Telkomsel', 'mainstay', 'Indonesia', 'East', 'spilled', 'blood', 'Indonesia']</v>
      </c>
      <c r="D5471" s="3">
        <v>3.0</v>
      </c>
    </row>
    <row r="5472" ht="15.75" customHeight="1">
      <c r="A5472" s="1">
        <v>5882.0</v>
      </c>
      <c r="B5472" s="3" t="s">
        <v>5307</v>
      </c>
      <c r="C5472" s="3" t="str">
        <f>IFERROR(__xludf.DUMMYFUNCTION("GOOGLETRANSLATE(B5472,""id"",""en"")"),"['Please', 'package', 'internet', 'Telkomsel', 'cheap', 'lose', 'competitiveness', 'network']")</f>
        <v>['Please', 'package', 'internet', 'Telkomsel', 'cheap', 'lose', 'competitiveness', 'network']</v>
      </c>
      <c r="D5472" s="3">
        <v>2.0</v>
      </c>
    </row>
    <row r="5473" ht="15.75" customHeight="1">
      <c r="A5473" s="1">
        <v>5884.0</v>
      </c>
      <c r="B5473" s="3" t="s">
        <v>1782</v>
      </c>
      <c r="C5473" s="3" t="str">
        <f>IFERROR(__xludf.DUMMYFUNCTION("GOOGLETRANSLATE(B5473,""id"",""en"")"),"['network']")</f>
        <v>['network']</v>
      </c>
      <c r="D5473" s="3">
        <v>5.0</v>
      </c>
    </row>
    <row r="5474" ht="15.75" customHeight="1">
      <c r="A5474" s="1">
        <v>5885.0</v>
      </c>
      <c r="B5474" s="3" t="s">
        <v>5308</v>
      </c>
      <c r="C5474" s="3" t="str">
        <f>IFERROR(__xludf.DUMMYFUNCTION("GOOGLETRANSLATE(B5474,""id"",""en"")"),"['Value', 'really', 'truncated', 'activates',' data ',' Telkomsel ',' admin ',' gap ',' quota ',' internet ',' active ',' emang ',' Used ',' internet ',' number ',' Activate ',' quota ',' internet ',' provider ',' Ter ',' strange ',' disappointed ',' real"&amp;"ly ']")</f>
        <v>['Value', 'really', 'truncated', 'activates',' data ',' Telkomsel ',' admin ',' gap ',' quota ',' internet ',' active ',' emang ',' Used ',' internet ',' number ',' Activate ',' quota ',' internet ',' provider ',' Ter ',' strange ',' disappointed ',' really ']</v>
      </c>
      <c r="D5474" s="3">
        <v>1.0</v>
      </c>
    </row>
    <row r="5475" ht="15.75" customHeight="1">
      <c r="A5475" s="1">
        <v>5886.0</v>
      </c>
      <c r="B5475" s="3" t="s">
        <v>376</v>
      </c>
      <c r="C5475" s="3" t="str">
        <f>IFERROR(__xludf.DUMMYFUNCTION("GOOGLETRANSLATE(B5475,""id"",""en"")"),"['Telkomsel', '']")</f>
        <v>['Telkomsel', '']</v>
      </c>
      <c r="D5475" s="3">
        <v>5.0</v>
      </c>
    </row>
    <row r="5476" ht="15.75" customHeight="1">
      <c r="A5476" s="1">
        <v>5887.0</v>
      </c>
      <c r="B5476" s="3" t="s">
        <v>5309</v>
      </c>
      <c r="C5476" s="3" t="str">
        <f>IFERROR(__xludf.DUMMYFUNCTION("GOOGLETRANSLATE(B5476,""id"",""en"")"),"['Network', 'bad', 'towards', 'afternoon', 'please', 'fix', 'gini', 'trs', 'byk', 'moved', 'provider']")</f>
        <v>['Network', 'bad', 'towards', 'afternoon', 'please', 'fix', 'gini', 'trs', 'byk', 'moved', 'provider']</v>
      </c>
      <c r="D5476" s="3">
        <v>1.0</v>
      </c>
    </row>
    <row r="5477" ht="15.75" customHeight="1">
      <c r="A5477" s="1">
        <v>5888.0</v>
      </c>
      <c r="B5477" s="3" t="s">
        <v>5310</v>
      </c>
      <c r="C5477" s="3" t="str">
        <f>IFERROR(__xludf.DUMMYFUNCTION("GOOGLETRANSLATE(B5477,""id"",""en"")"),"['Customer', 'Telkomsel', 'Hopefully', 'Maju', 'Jaya', 'Success']")</f>
        <v>['Customer', 'Telkomsel', 'Hopefully', 'Maju', 'Jaya', 'Success']</v>
      </c>
      <c r="D5477" s="3">
        <v>5.0</v>
      </c>
    </row>
    <row r="5478" ht="15.75" customHeight="1">
      <c r="A5478" s="1">
        <v>5889.0</v>
      </c>
      <c r="B5478" s="3" t="s">
        <v>1550</v>
      </c>
      <c r="C5478" s="3" t="str">
        <f>IFERROR(__xludf.DUMMYFUNCTION("GOOGLETRANSLATE(B5478,""id"",""en"")"),"['beneficial']")</f>
        <v>['beneficial']</v>
      </c>
      <c r="D5478" s="3">
        <v>5.0</v>
      </c>
    </row>
    <row r="5479" ht="15.75" customHeight="1">
      <c r="A5479" s="1">
        <v>5890.0</v>
      </c>
      <c r="B5479" s="3" t="s">
        <v>5311</v>
      </c>
      <c r="C5479" s="3" t="str">
        <f>IFERROR(__xludf.DUMMYFUNCTION("GOOGLETRANSLATE(B5479,""id"",""en"")"),"['buy', 'package', 'unlimited', 'sucked', 'pulse', 'strange']")</f>
        <v>['buy', 'package', 'unlimited', 'sucked', 'pulse', 'strange']</v>
      </c>
      <c r="D5479" s="3">
        <v>1.0</v>
      </c>
    </row>
    <row r="5480" ht="15.75" customHeight="1">
      <c r="A5480" s="1">
        <v>5891.0</v>
      </c>
      <c r="B5480" s="3" t="s">
        <v>5312</v>
      </c>
      <c r="C5480" s="3" t="str">
        <f>IFERROR(__xludf.DUMMYFUNCTION("GOOGLETRANSLATE(B5480,""id"",""en"")"),"['yeah', 'love', 'star']")</f>
        <v>['yeah', 'love', 'star']</v>
      </c>
      <c r="D5480" s="3">
        <v>5.0</v>
      </c>
    </row>
    <row r="5481" ht="15.75" customHeight="1">
      <c r="A5481" s="1">
        <v>5892.0</v>
      </c>
      <c r="B5481" s="3" t="s">
        <v>5313</v>
      </c>
      <c r="C5481" s="3" t="str">
        <f>IFERROR(__xludf.DUMMYFUNCTION("GOOGLETRANSLATE(B5481,""id"",""en"")"),"['application', 'good', 'useful', 'various',' features', 'in it', 'the application', 'heavy', 'loading', 'right', 'opened', 'appears',' White ',' Screen ',' updated ',' solve ',' MENSIASATE ',' Unload ',' Install ',' Application ',' MyTelkomsel ',' Minima"&amp;"l ',' Times', 'Do', 'appears' , 'His advice', 'Please', 'Application', 'Repaired', 'Loading', 'Light', 'Fast', 'Thank', 'Love', ""]")</f>
        <v>['application', 'good', 'useful', 'various',' features', 'in it', 'the application', 'heavy', 'loading', 'right', 'opened', 'appears',' White ',' Screen ',' updated ',' solve ',' MENSIASATE ',' Unload ',' Install ',' Application ',' MyTelkomsel ',' Minimal ',' Times', 'Do', 'appears' , 'His advice', 'Please', 'Application', 'Repaired', 'Loading', 'Light', 'Fast', 'Thank', 'Love', "]</v>
      </c>
      <c r="D5481" s="3">
        <v>4.0</v>
      </c>
    </row>
    <row r="5482" ht="15.75" customHeight="1">
      <c r="A5482" s="1">
        <v>5894.0</v>
      </c>
      <c r="B5482" s="3" t="s">
        <v>5314</v>
      </c>
      <c r="C5482" s="3" t="str">
        <f>IFERROR(__xludf.DUMMYFUNCTION("GOOGLETRANSLATE(B5482,""id"",""en"")"),"['Thanks', 'already', 'meebatu']")</f>
        <v>['Thanks', 'already', 'meebatu']</v>
      </c>
      <c r="D5482" s="3">
        <v>5.0</v>
      </c>
    </row>
    <row r="5483" ht="15.75" customHeight="1">
      <c r="A5483" s="1">
        <v>5895.0</v>
      </c>
      <c r="B5483" s="3" t="s">
        <v>5315</v>
      </c>
      <c r="C5483" s="3" t="str">
        <f>IFERROR(__xludf.DUMMYFUNCTION("GOOGLETRANSLATE(B5483,""id"",""en"")"),"['application', 'slow', 'refresh']")</f>
        <v>['application', 'slow', 'refresh']</v>
      </c>
      <c r="D5483" s="3">
        <v>1.0</v>
      </c>
    </row>
    <row r="5484" ht="15.75" customHeight="1">
      <c r="A5484" s="1">
        <v>5896.0</v>
      </c>
      <c r="B5484" s="3" t="s">
        <v>5316</v>
      </c>
      <c r="C5484" s="3" t="str">
        <f>IFERROR(__xludf.DUMMYFUNCTION("GOOGLETRANSLATE(B5484,""id"",""en"")"),"['kga', 'signal', 'aga', 'good', 'buy', 'quota', 'until', 'hundreds',' thousand ',' tetep ',' ajah ',' signal ',' Bad ',' emng ',' kaga ',' signal ',' good ',' bankrupt ',' ajah ',' telkomsel ']")</f>
        <v>['kga', 'signal', 'aga', 'good', 'buy', 'quota', 'until', 'hundreds',' thousand ',' tetep ',' ajah ',' signal ',' Bad ',' emng ',' kaga ',' signal ',' good ',' bankrupt ',' ajah ',' telkomsel ']</v>
      </c>
      <c r="D5484" s="3">
        <v>1.0</v>
      </c>
    </row>
    <row r="5485" ht="15.75" customHeight="1">
      <c r="A5485" s="1">
        <v>5898.0</v>
      </c>
      <c r="B5485" s="3" t="s">
        <v>5317</v>
      </c>
      <c r="C5485" s="3" t="str">
        <f>IFERROR(__xludf.DUMMYFUNCTION("GOOGLETRANSLATE(B5485,""id"",""en"")"),"['', 'Telkomsel', 'Complain', 'Hirauin', 'Padalan', 'Uda', 'Taun', 'Make', 'Dipelek', 'Maklumin', 'TPI', 'Change', 'Say ',' Good ',' Bye ',' Telkomsel ']")</f>
        <v>['', 'Telkomsel', 'Complain', 'Hirauin', 'Padalan', 'Uda', 'Taun', 'Make', 'Dipelek', 'Maklumin', 'TPI', 'Change', 'Say ',' Good ',' Bye ',' Telkomsel ']</v>
      </c>
      <c r="D5485" s="3">
        <v>1.0</v>
      </c>
    </row>
    <row r="5486" ht="15.75" customHeight="1">
      <c r="A5486" s="1">
        <v>5900.0</v>
      </c>
      <c r="B5486" s="3" t="s">
        <v>5318</v>
      </c>
      <c r="C5486" s="3" t="str">
        <f>IFERROR(__xludf.DUMMYFUNCTION("GOOGLETRANSLATE(B5486,""id"",""en"")"),"['shy', 'ama', 'aperator', 'era', 'plim', 'old', 'until', 'network', 'lek', 'daddy', 'account', 'already', ' destroyed ',' mksih ']")</f>
        <v>['shy', 'ama', 'aperator', 'era', 'plim', 'old', 'until', 'network', 'lek', 'daddy', 'account', 'already', ' destroyed ',' mksih ']</v>
      </c>
      <c r="D5486" s="3">
        <v>2.0</v>
      </c>
    </row>
    <row r="5487" ht="15.75" customHeight="1">
      <c r="A5487" s="1">
        <v>5901.0</v>
      </c>
      <c r="B5487" s="3" t="s">
        <v>5319</v>
      </c>
      <c r="C5487" s="3" t="str">
        <f>IFERROR(__xludf.DUMMYFUNCTION("GOOGLETRANSLATE(B5487,""id"",""en"")"),"['Application', 'Ribet']")</f>
        <v>['Application', 'Ribet']</v>
      </c>
      <c r="D5487" s="3">
        <v>1.0</v>
      </c>
    </row>
    <row r="5488" ht="15.75" customHeight="1">
      <c r="A5488" s="1">
        <v>5902.0</v>
      </c>
      <c r="B5488" s="3" t="s">
        <v>5320</v>
      </c>
      <c r="C5488" s="3" t="str">
        <f>IFERROR(__xludf.DUMMYFUNCTION("GOOGLETRANSLATE(B5488,""id"",""en"")"),"['Telkomsel', 'Ngellag', 'Bet', 'NGNTD', 'Fix', 'Signal', 'NGLG', 'Mulu', 'KTNY', 'UDH', 'Updated', 'Nonny', ' "", 'Please', '']")</f>
        <v>['Telkomsel', 'Ngellag', 'Bet', 'NGNTD', 'Fix', 'Signal', 'NGLG', 'Mulu', 'KTNY', 'UDH', 'Updated', 'Nonny', ' ", 'Please', '']</v>
      </c>
      <c r="D5488" s="3">
        <v>1.0</v>
      </c>
    </row>
    <row r="5489" ht="15.75" customHeight="1">
      <c r="A5489" s="1">
        <v>5903.0</v>
      </c>
      <c r="B5489" s="3" t="s">
        <v>5321</v>
      </c>
      <c r="C5489" s="3" t="str">
        <f>IFERROR(__xludf.DUMMYFUNCTION("GOOGLETRANSLATE(B5489,""id"",""en"")"),"['poko', 'steady', 'deh', 'application', '']")</f>
        <v>['poko', 'steady', 'deh', 'application', '']</v>
      </c>
      <c r="D5489" s="3">
        <v>5.0</v>
      </c>
    </row>
    <row r="5490" ht="15.75" customHeight="1">
      <c r="A5490" s="1">
        <v>5904.0</v>
      </c>
      <c r="B5490" s="3" t="s">
        <v>5322</v>
      </c>
      <c r="C5490" s="3" t="str">
        <f>IFERROR(__xludf.DUMMYFUNCTION("GOOGLETRANSLATE(B5490,""id"",""en"")"),"['puki', 'Damn', 'package', 'expensive', 'network', 'ugly', 'tolo']")</f>
        <v>['puki', 'Damn', 'package', 'expensive', 'network', 'ugly', 'tolo']</v>
      </c>
      <c r="D5490" s="3">
        <v>1.0</v>
      </c>
    </row>
    <row r="5491" ht="15.75" customHeight="1">
      <c r="A5491" s="1">
        <v>5905.0</v>
      </c>
      <c r="B5491" s="3" t="s">
        <v>1435</v>
      </c>
      <c r="C5491" s="3" t="str">
        <f>IFERROR(__xludf.DUMMYFUNCTION("GOOGLETRANSLATE(B5491,""id"",""en"")"),"['help', '']")</f>
        <v>['help', '']</v>
      </c>
      <c r="D5491" s="3">
        <v>5.0</v>
      </c>
    </row>
    <row r="5492" ht="15.75" customHeight="1">
      <c r="A5492" s="1">
        <v>5906.0</v>
      </c>
      <c r="B5492" s="3" t="s">
        <v>5323</v>
      </c>
      <c r="C5492" s="3" t="str">
        <f>IFERROR(__xludf.DUMMYFUNCTION("GOOGLETRANSLATE(B5492,""id"",""en"")"),"['buy', 'pulse', 'buy', 'package', 'data', 'hose', 'a day', 'pulse', 'reduced', 'min', ""]")</f>
        <v>['buy', 'pulse', 'buy', 'package', 'data', 'hose', 'a day', 'pulse', 'reduced', 'min', "]</v>
      </c>
      <c r="D5492" s="3">
        <v>4.0</v>
      </c>
    </row>
    <row r="5493" ht="15.75" customHeight="1">
      <c r="A5493" s="1">
        <v>5907.0</v>
      </c>
      <c r="B5493" s="3" t="s">
        <v>5324</v>
      </c>
      <c r="C5493" s="3" t="str">
        <f>IFERROR(__xludf.DUMMYFUNCTION("GOOGLETRANSLATE(B5493,""id"",""en"")"),"['signal', 'strong']")</f>
        <v>['signal', 'strong']</v>
      </c>
      <c r="D5493" s="3">
        <v>5.0</v>
      </c>
    </row>
    <row r="5494" ht="15.75" customHeight="1">
      <c r="A5494" s="1">
        <v>5909.0</v>
      </c>
      <c r="B5494" s="3" t="s">
        <v>5325</v>
      </c>
      <c r="C5494" s="3" t="str">
        <f>IFERROR(__xludf.DUMMYFUNCTION("GOOGLETRANSLATE(B5494,""id"",""en"")"),"['Help', 'Singal', 'Telkomsel', 'Fix', 'Looks',' Disruption ',' Region ',' Village ',' Sarimulya ',' Kecamatan ',' Kotabaru ',' Kab ',' Karawang ',' Please ',' repaired ']")</f>
        <v>['Help', 'Singal', 'Telkomsel', 'Fix', 'Looks',' Disruption ',' Region ',' Village ',' Sarimulya ',' Kecamatan ',' Kotabaru ',' Kab ',' Karawang ',' Please ',' repaired ']</v>
      </c>
      <c r="D5494" s="3">
        <v>2.0</v>
      </c>
    </row>
    <row r="5495" ht="15.75" customHeight="1">
      <c r="A5495" s="1">
        <v>5910.0</v>
      </c>
      <c r="B5495" s="3" t="s">
        <v>5326</v>
      </c>
      <c r="C5495" s="3" t="str">
        <f>IFERROR(__xludf.DUMMYFUNCTION("GOOGLETRANSLATE(B5495,""id"",""en"")"),"['Application', 'SNGT', 'Good', 'Cheap']")</f>
        <v>['Application', 'SNGT', 'Good', 'Cheap']</v>
      </c>
      <c r="D5495" s="3">
        <v>5.0</v>
      </c>
    </row>
    <row r="5496" ht="15.75" customHeight="1">
      <c r="A5496" s="1">
        <v>5911.0</v>
      </c>
      <c r="B5496" s="3" t="s">
        <v>5327</v>
      </c>
      <c r="C5496" s="3" t="str">
        <f>IFERROR(__xludf.DUMMYFUNCTION("GOOGLETRANSLATE(B5496,""id"",""en"")"),"['Application', 'Useful']")</f>
        <v>['Application', 'Useful']</v>
      </c>
      <c r="D5496" s="3">
        <v>5.0</v>
      </c>
    </row>
    <row r="5497" ht="15.75" customHeight="1">
      <c r="A5497" s="1">
        <v>5913.0</v>
      </c>
      <c r="B5497" s="3" t="s">
        <v>5328</v>
      </c>
      <c r="C5497" s="3" t="str">
        <f>IFERROR(__xludf.DUMMYFUNCTION("GOOGLETRANSLATE(B5497,""id"",""en"")"),"['Pull', 'Reconcourse', 'OTP', 'Credit', 'Take']")</f>
        <v>['Pull', 'Reconcourse', 'OTP', 'Credit', 'Take']</v>
      </c>
      <c r="D5497" s="3">
        <v>5.0</v>
      </c>
    </row>
    <row r="5498" ht="15.75" customHeight="1">
      <c r="A5498" s="1">
        <v>5914.0</v>
      </c>
      <c r="B5498" s="3" t="s">
        <v>5329</v>
      </c>
      <c r="C5498" s="3" t="str">
        <f>IFERROR(__xludf.DUMMYFUNCTION("GOOGLETRANSLATE(B5498,""id"",""en"")"),"['Telkomsel', 'signal', 'good', ""]")</f>
        <v>['Telkomsel', 'signal', 'good', "]</v>
      </c>
      <c r="D5498" s="3">
        <v>2.0</v>
      </c>
    </row>
    <row r="5499" ht="15.75" customHeight="1">
      <c r="A5499" s="1">
        <v>5915.0</v>
      </c>
      <c r="B5499" s="3" t="s">
        <v>5330</v>
      </c>
      <c r="C5499" s="3" t="str">
        <f>IFERROR(__xludf.DUMMYFUNCTION("GOOGLETRANSLATE(B5499,""id"",""en"")"),"['Angga', 'koeya', 'steady']")</f>
        <v>['Angga', 'koeya', 'steady']</v>
      </c>
      <c r="D5499" s="3">
        <v>5.0</v>
      </c>
    </row>
    <row r="5500" ht="15.75" customHeight="1">
      <c r="A5500" s="1">
        <v>5916.0</v>
      </c>
      <c r="B5500" s="3" t="s">
        <v>5331</v>
      </c>
      <c r="C5500" s="3" t="str">
        <f>IFERROR(__xludf.DUMMYFUNCTION("GOOGLETRANSLATE(B5500,""id"",""en"")"),"['expensive', 'already', 'sangup', 'buy', 'pakit', 'network', 'slow', 'life', 'dokupung', 'IMANG', 'difficult', ""]")</f>
        <v>['expensive', 'already', 'sangup', 'buy', 'pakit', 'network', 'slow', 'life', 'dokupung', 'IMANG', 'difficult', "]</v>
      </c>
      <c r="D5500" s="3">
        <v>1.0</v>
      </c>
    </row>
    <row r="5501" ht="15.75" customHeight="1">
      <c r="A5501" s="1">
        <v>5917.0</v>
      </c>
      <c r="B5501" s="3" t="s">
        <v>5190</v>
      </c>
      <c r="C5501" s="3" t="str">
        <f>IFERROR(__xludf.DUMMYFUNCTION("GOOGLETRANSLATE(B5501,""id"",""en"")"),"['fast', 'process']")</f>
        <v>['fast', 'process']</v>
      </c>
      <c r="D5501" s="3">
        <v>5.0</v>
      </c>
    </row>
    <row r="5502" ht="15.75" customHeight="1">
      <c r="A5502" s="1">
        <v>5918.0</v>
      </c>
      <c r="B5502" s="3" t="s">
        <v>5332</v>
      </c>
      <c r="C5502" s="3" t="str">
        <f>IFERROR(__xludf.DUMMYFUNCTION("GOOGLETRANSLATE(B5502,""id"",""en"")"),"['', 'yak', 'signal', 'Telkomsel', 'chaotic', 'kagak', 'stable', 'already', 'price', 'quota', 'expensive', 'come here', 'chaotic ',' ']")</f>
        <v>['', 'yak', 'signal', 'Telkomsel', 'chaotic', 'kagak', 'stable', 'already', 'price', 'quota', 'expensive', 'come here', 'chaotic ',' ']</v>
      </c>
      <c r="D5502" s="3">
        <v>1.0</v>
      </c>
    </row>
    <row r="5503" ht="15.75" customHeight="1">
      <c r="A5503" s="1">
        <v>5919.0</v>
      </c>
      <c r="B5503" s="3" t="s">
        <v>5333</v>
      </c>
      <c r="C5503" s="3" t="str">
        <f>IFERROR(__xludf.DUMMYFUNCTION("GOOGLETRANSLATE(B5503,""id"",""en"")"),"['JLK', 'Features', 'Lock', 'Credit']")</f>
        <v>['JLK', 'Features', 'Lock', 'Credit']</v>
      </c>
      <c r="D5503" s="3">
        <v>1.0</v>
      </c>
    </row>
    <row r="5504" ht="15.75" customHeight="1">
      <c r="A5504" s="1">
        <v>5920.0</v>
      </c>
      <c r="B5504" s="3" t="s">
        <v>5334</v>
      </c>
      <c r="C5504" s="3" t="str">
        <f>IFERROR(__xludf.DUMMYFUNCTION("GOOGLETRANSLATE(B5504,""id"",""en"")"),"['update', 'version', 'network', 'slow', '']")</f>
        <v>['update', 'version', 'network', 'slow', '']</v>
      </c>
      <c r="D5504" s="3">
        <v>1.0</v>
      </c>
    </row>
    <row r="5505" ht="15.75" customHeight="1">
      <c r="A5505" s="1">
        <v>5922.0</v>
      </c>
      <c r="B5505" s="3" t="s">
        <v>5335</v>
      </c>
      <c r="C5505" s="3" t="str">
        <f>IFERROR(__xludf.DUMMYFUNCTION("GOOGLETRANSLATE(B5505,""id"",""en"")"),"['Telkomsel', 'Error', 'The Network', 'The Application']")</f>
        <v>['Telkomsel', 'Error', 'The Network', 'The Application']</v>
      </c>
      <c r="D5505" s="3">
        <v>1.0</v>
      </c>
    </row>
    <row r="5506" ht="15.75" customHeight="1">
      <c r="A5506" s="1">
        <v>5923.0</v>
      </c>
      <c r="B5506" s="3" t="s">
        <v>890</v>
      </c>
      <c r="C5506" s="3" t="str">
        <f>IFERROR(__xludf.DUMMYFUNCTION("GOOGLETRANSLATE(B5506,""id"",""en"")"),"['good', '']")</f>
        <v>['good', '']</v>
      </c>
      <c r="D5506" s="3">
        <v>3.0</v>
      </c>
    </row>
    <row r="5507" ht="15.75" customHeight="1">
      <c r="A5507" s="1">
        <v>5924.0</v>
      </c>
      <c r="B5507" s="3" t="s">
        <v>5336</v>
      </c>
      <c r="C5507" s="3" t="str">
        <f>IFERROR(__xludf.DUMMYFUNCTION("GOOGLETRANSLATE(B5507,""id"",""en"")"),"['please', 'signal', 'severe', 'really', 'selling', 'diverse', 'content', 'network', 'please', 'price', 'uda', 'expensive', ' network ',' stable ',' ilang ',' Season ']")</f>
        <v>['please', 'signal', 'severe', 'really', 'selling', 'diverse', 'content', 'network', 'please', 'price', 'uda', 'expensive', ' network ',' stable ',' ilang ',' Season ']</v>
      </c>
      <c r="D5507" s="3">
        <v>1.0</v>
      </c>
    </row>
    <row r="5508" ht="15.75" customHeight="1">
      <c r="A5508" s="1">
        <v>5925.0</v>
      </c>
      <c r="B5508" s="3" t="s">
        <v>5337</v>
      </c>
      <c r="C5508" s="3" t="str">
        <f>IFERROR(__xludf.DUMMYFUNCTION("GOOGLETRANSLATE(B5508,""id"",""en"")"),"['Application', 'Heavy', 'Error', '']")</f>
        <v>['Application', 'Heavy', 'Error', '']</v>
      </c>
      <c r="D5508" s="3">
        <v>1.0</v>
      </c>
    </row>
    <row r="5509" ht="15.75" customHeight="1">
      <c r="A5509" s="1">
        <v>5926.0</v>
      </c>
      <c r="B5509" s="3" t="s">
        <v>5338</v>
      </c>
      <c r="C5509" s="3" t="str">
        <f>IFERROR(__xludf.DUMMYFUNCTION("GOOGLETRANSLATE(B5509,""id"",""en"")"),"['signal', 'ugly', 'yaa', 'full', 'data', 'muter', 'request', 'reinforced', 'the network', 'thank you']")</f>
        <v>['signal', 'ugly', 'yaa', 'full', 'data', 'muter', 'request', 'reinforced', 'the network', 'thank you']</v>
      </c>
      <c r="D5509" s="3">
        <v>2.0</v>
      </c>
    </row>
    <row r="5510" ht="15.75" customHeight="1">
      <c r="A5510" s="1">
        <v>5927.0</v>
      </c>
      <c r="B5510" s="3" t="s">
        <v>5339</v>
      </c>
      <c r="C5510" s="3" t="str">
        <f>IFERROR(__xludf.DUMMYFUNCTION("GOOGLETRANSLATE(B5510,""id"",""en"")"),"['Package', 'mya', 'cheap']")</f>
        <v>['Package', 'mya', 'cheap']</v>
      </c>
      <c r="D5510" s="3">
        <v>5.0</v>
      </c>
    </row>
    <row r="5511" ht="15.75" customHeight="1">
      <c r="A5511" s="1">
        <v>5929.0</v>
      </c>
      <c r="B5511" s="3" t="s">
        <v>5340</v>
      </c>
      <c r="C5511" s="3" t="str">
        <f>IFERROR(__xludf.DUMMYFUNCTION("GOOGLETRANSLATE(B5511,""id"",""en"")"),"['Dozens',' Telkomsel ',' AHIR ',' Disappointing ',' Package ',' Quota ',' On ',' Pulse ',' Main ',' Sucked ',' Sampe ',' Abis', ' ']")</f>
        <v>['Dozens',' Telkomsel ',' AHIR ',' Disappointing ',' Package ',' Quota ',' On ',' Pulse ',' Main ',' Sucked ',' Sampe ',' Abis', ' ']</v>
      </c>
      <c r="D5511" s="3">
        <v>1.0</v>
      </c>
    </row>
    <row r="5512" ht="15.75" customHeight="1">
      <c r="A5512" s="1">
        <v>5930.0</v>
      </c>
      <c r="B5512" s="3" t="s">
        <v>5341</v>
      </c>
      <c r="C5512" s="3" t="str">
        <f>IFERROR(__xludf.DUMMYFUNCTION("GOOGLETRANSLATE(B5512,""id"",""en"")"),"['access', 'buy', 'data', 'easy', 'steady']")</f>
        <v>['access', 'buy', 'data', 'easy', 'steady']</v>
      </c>
      <c r="D5512" s="3">
        <v>5.0</v>
      </c>
    </row>
    <row r="5513" ht="15.75" customHeight="1">
      <c r="A5513" s="1">
        <v>5931.0</v>
      </c>
      <c r="B5513" s="3" t="s">
        <v>5342</v>
      </c>
      <c r="C5513" s="3" t="str">
        <f>IFERROR(__xludf.DUMMYFUNCTION("GOOGLETRANSLATE(B5513,""id"",""en"")"),"['Sorry', 'Sorry', 'progress', 'network', 'slow', 'package', 'expensive']")</f>
        <v>['Sorry', 'Sorry', 'progress', 'network', 'slow', 'package', 'expensive']</v>
      </c>
      <c r="D5513" s="3">
        <v>1.0</v>
      </c>
    </row>
    <row r="5514" ht="15.75" customHeight="1">
      <c r="A5514" s="1">
        <v>5932.0</v>
      </c>
      <c r="B5514" s="3" t="s">
        <v>5343</v>
      </c>
      <c r="C5514" s="3" t="str">
        <f>IFERROR(__xludf.DUMMYFUNCTION("GOOGLETRANSLATE(B5514,""id"",""en"")"),"['Telkomsel', 'bad', 'QUTYA', 'expensive', 'internet', 'bad']")</f>
        <v>['Telkomsel', 'bad', 'QUTYA', 'expensive', 'internet', 'bad']</v>
      </c>
      <c r="D5514" s="3">
        <v>1.0</v>
      </c>
    </row>
    <row r="5515" ht="15.75" customHeight="1">
      <c r="A5515" s="1">
        <v>5933.0</v>
      </c>
      <c r="B5515" s="3" t="s">
        <v>5344</v>
      </c>
      <c r="C5515" s="3" t="str">
        <f>IFERROR(__xludf.DUMMYFUNCTION("GOOGLETRANSLATE(B5515,""id"",""en"")"),"['Network', 'problematic', 'stable', 'quality', 'signal', 'bad', '']")</f>
        <v>['Network', 'problematic', 'stable', 'quality', 'signal', 'bad', '']</v>
      </c>
      <c r="D5515" s="3">
        <v>1.0</v>
      </c>
    </row>
    <row r="5516" ht="15.75" customHeight="1">
      <c r="A5516" s="1">
        <v>5934.0</v>
      </c>
      <c r="B5516" s="3" t="s">
        <v>5345</v>
      </c>
      <c r="C5516" s="3" t="str">
        <f>IFERROR(__xludf.DUMMYFUNCTION("GOOGLETRANSLATE(B5516,""id"",""en"")"),"['', 'user']")</f>
        <v>['', 'user']</v>
      </c>
      <c r="D5516" s="3">
        <v>3.0</v>
      </c>
    </row>
    <row r="5517" ht="15.75" customHeight="1">
      <c r="A5517" s="1">
        <v>5935.0</v>
      </c>
      <c r="B5517" s="3" t="s">
        <v>5346</v>
      </c>
      <c r="C5517" s="3" t="str">
        <f>IFERROR(__xludf.DUMMYFUNCTION("GOOGLETRANSLATE(B5517,""id"",""en"")"),"['Telkomsel', 'please', 'repair', 'inhibits',' work ',' Sya ',' buy ',' package ',' money ',' Udh ',' reduced ',' packetan ',' BLM ',' enter ',' UDH ',' BLGnya ',' Wait ',' hour ',' awaited ',' clock ',' blm ',' phone ',' sambungin ',' muter ',' muter ' ,"&amp;" 'complain', 'feels', 'Please', 'Sorry', 'star', 'love', 'please', 'responded', 'thanks']")</f>
        <v>['Telkomsel', 'please', 'repair', 'inhibits',' work ',' Sya ',' buy ',' package ',' money ',' Udh ',' reduced ',' packetan ',' BLM ',' enter ',' UDH ',' BLGnya ',' Wait ',' hour ',' awaited ',' clock ',' blm ',' phone ',' sambungin ',' muter ',' muter ' , 'complain', 'feels', 'Please', 'Sorry', 'star', 'love', 'please', 'responded', 'thanks']</v>
      </c>
      <c r="D5517" s="3">
        <v>1.0</v>
      </c>
    </row>
    <row r="5518" ht="15.75" customHeight="1">
      <c r="A5518" s="1">
        <v>5936.0</v>
      </c>
      <c r="B5518" s="3" t="s">
        <v>5347</v>
      </c>
      <c r="C5518" s="3" t="str">
        <f>IFERROR(__xludf.DUMMYFUNCTION("GOOGLETRANSLATE(B5518,""id"",""en"")"),"['company', 'provider', 'network', 'intention', 'ugly', 'signal', 'diem', 'city', 'district', 'salt', 'gini', 'mending', ' Move ',' card ',' deh ']")</f>
        <v>['company', 'provider', 'network', 'intention', 'ugly', 'signal', 'diem', 'city', 'district', 'salt', 'gini', 'mending', ' Move ',' card ',' deh ']</v>
      </c>
      <c r="D5518" s="3">
        <v>1.0</v>
      </c>
    </row>
    <row r="5519" ht="15.75" customHeight="1">
      <c r="A5519" s="1">
        <v>5937.0</v>
      </c>
      <c r="B5519" s="3" t="s">
        <v>5348</v>
      </c>
      <c r="C5519" s="3" t="str">
        <f>IFERROR(__xludf.DUMMYFUNCTION("GOOGLETRANSLATE(B5519,""id"",""en"")"),"['signal', 'Digame', 'lag', 'tomorrow', 'replace', 'lgi']")</f>
        <v>['signal', 'Digame', 'lag', 'tomorrow', 'replace', 'lgi']</v>
      </c>
      <c r="D5519" s="3">
        <v>2.0</v>
      </c>
    </row>
    <row r="5520" ht="15.75" customHeight="1">
      <c r="A5520" s="1">
        <v>5938.0</v>
      </c>
      <c r="B5520" s="3" t="s">
        <v>5349</v>
      </c>
      <c r="C5520" s="3" t="str">
        <f>IFERROR(__xludf.DUMMYFUNCTION("GOOGLETRANSLATE(B5520,""id"",""en"")"),"['Stu', 'gift', 'Switch', 'Points', 'Telkomse']")</f>
        <v>['Stu', 'gift', 'Switch', 'Points', 'Telkomse']</v>
      </c>
      <c r="D5520" s="3">
        <v>1.0</v>
      </c>
    </row>
    <row r="5521" ht="15.75" customHeight="1">
      <c r="A5521" s="1">
        <v>5939.0</v>
      </c>
      <c r="B5521" s="3" t="s">
        <v>5350</v>
      </c>
      <c r="C5521" s="3" t="str">
        <f>IFERROR(__xludf.DUMMYFUNCTION("GOOGLETRANSLATE(B5521,""id"",""en"")"),"['application', 'cool', 'good', 'reproduced', 'bonus']")</f>
        <v>['application', 'cool', 'good', 'reproduced', 'bonus']</v>
      </c>
      <c r="D5521" s="3">
        <v>5.0</v>
      </c>
    </row>
    <row r="5522" ht="15.75" customHeight="1">
      <c r="A5522" s="1">
        <v>5940.0</v>
      </c>
      <c r="B5522" s="3" t="s">
        <v>5351</v>
      </c>
      <c r="C5522" s="3" t="str">
        <f>IFERROR(__xludf.DUMMYFUNCTION("GOOGLETRANSLATE(B5522,""id"",""en"")"),"['steady', 'times', 'application']")</f>
        <v>['steady', 'times', 'application']</v>
      </c>
      <c r="D5522" s="3">
        <v>5.0</v>
      </c>
    </row>
    <row r="5523" ht="15.75" customHeight="1">
      <c r="A5523" s="1">
        <v>5941.0</v>
      </c>
      <c r="B5523" s="3" t="s">
        <v>5352</v>
      </c>
      <c r="C5523" s="3" t="str">
        <f>IFERROR(__xludf.DUMMYFUNCTION("GOOGLETRANSLATE(B5523,""id"",""en"")"),"['Good', 'Ribet']")</f>
        <v>['Good', 'Ribet']</v>
      </c>
      <c r="D5523" s="3">
        <v>4.0</v>
      </c>
    </row>
    <row r="5524" ht="15.75" customHeight="1">
      <c r="A5524" s="1">
        <v>5942.0</v>
      </c>
      <c r="B5524" s="3" t="s">
        <v>541</v>
      </c>
      <c r="C5524" s="3" t="str">
        <f>IFERROR(__xludf.DUMMYFUNCTION("GOOGLETRANSLATE(B5524,""id"",""en"")"),"['hopefully']")</f>
        <v>['hopefully']</v>
      </c>
      <c r="D5524" s="3">
        <v>5.0</v>
      </c>
    </row>
    <row r="5525" ht="15.75" customHeight="1">
      <c r="A5525" s="1">
        <v>5943.0</v>
      </c>
      <c r="B5525" s="3" t="s">
        <v>5353</v>
      </c>
      <c r="C5525" s="3" t="str">
        <f>IFERROR(__xludf.DUMMYFUNCTION("GOOGLETRANSLATE(B5525,""id"",""en"")"),"['omg', 'expensive', 'gaes', 'pandemic', 'kek', 'gini', 'forgiveness']")</f>
        <v>['omg', 'expensive', 'gaes', 'pandemic', 'kek', 'gini', 'forgiveness']</v>
      </c>
      <c r="D5525" s="3">
        <v>2.0</v>
      </c>
    </row>
    <row r="5526" ht="15.75" customHeight="1">
      <c r="A5526" s="1">
        <v>5944.0</v>
      </c>
      <c r="B5526" s="3" t="s">
        <v>289</v>
      </c>
      <c r="C5526" s="3" t="str">
        <f>IFERROR(__xludf.DUMMYFUNCTION("GOOGLETRANSLATE(B5526,""id"",""en"")"),"['expensive', 'slow']")</f>
        <v>['expensive', 'slow']</v>
      </c>
      <c r="D5526" s="3">
        <v>1.0</v>
      </c>
    </row>
    <row r="5527" ht="15.75" customHeight="1">
      <c r="A5527" s="1">
        <v>5945.0</v>
      </c>
      <c r="B5527" s="3" t="s">
        <v>5354</v>
      </c>
      <c r="C5527" s="3" t="str">
        <f>IFERROR(__xludf.DUMMYFUNCTION("GOOGLETRANSLATE(B5527,""id"",""en"")"),"['Increases', 'network', 'remote', 'area', 'remote', 'Indonesia', 'literacy', 'information', ""]")</f>
        <v>['Increases', 'network', 'remote', 'area', 'remote', 'Indonesia', 'literacy', 'information', "]</v>
      </c>
      <c r="D5527" s="3">
        <v>5.0</v>
      </c>
    </row>
    <row r="5528" ht="15.75" customHeight="1">
      <c r="A5528" s="1">
        <v>5946.0</v>
      </c>
      <c r="B5528" s="3" t="s">
        <v>5355</v>
      </c>
      <c r="C5528" s="3" t="str">
        <f>IFERROR(__xludf.DUMMYFUNCTION("GOOGLETRANSLATE(B5528,""id"",""en"")"),"['Please', 'Fix', 'Signal', 'City']")</f>
        <v>['Please', 'Fix', 'Signal', 'City']</v>
      </c>
      <c r="D5528" s="3">
        <v>1.0</v>
      </c>
    </row>
    <row r="5529" ht="15.75" customHeight="1">
      <c r="A5529" s="1">
        <v>5947.0</v>
      </c>
      <c r="B5529" s="3" t="s">
        <v>5356</v>
      </c>
      <c r="C5529" s="3" t="str">
        <f>IFERROR(__xludf.DUMMYFUNCTION("GOOGLETRANSLATE(B5529,""id"",""en"")"),"['top', 'quota', 'internet', 'Telkomsel', 'buy', 'quota', 'quota', 'divided', 'quota', 'internet', 'quota', 'sosmed', ' what's', 'use', 'just', 'suggestion', 'name', 'quota', 'internet', 'it should be', 'use', 'internet', 'published', 'sosmed', 'What's' ,"&amp;" 'yellow', 'sell', 'quota', 'internet', 'quota', 'mainly', 'used', 'internet', 'khan', 'effective', 'try', 'Telkomsel', ' Sell ​​',' package ',' quota ',' internet ',' sell ',' ']")</f>
        <v>['top', 'quota', 'internet', 'Telkomsel', 'buy', 'quota', 'quota', 'divided', 'quota', 'internet', 'quota', 'sosmed', ' what's', 'use', 'just', 'suggestion', 'name', 'quota', 'internet', 'it should be', 'use', 'internet', 'published', 'sosmed', 'What's' , 'yellow', 'sell', 'quota', 'internet', 'quota', 'mainly', 'used', 'internet', 'khan', 'effective', 'try', 'Telkomsel', ' Sell ​​',' package ',' quota ',' internet ',' sell ',' ']</v>
      </c>
      <c r="D5529" s="3">
        <v>1.0</v>
      </c>
    </row>
    <row r="5530" ht="15.75" customHeight="1">
      <c r="A5530" s="1">
        <v>5948.0</v>
      </c>
      <c r="B5530" s="3" t="s">
        <v>5357</v>
      </c>
      <c r="C5530" s="3" t="str">
        <f>IFERROR(__xludf.DUMMYFUNCTION("GOOGLETRANSLATE(B5530,""id"",""en"")"),"['slow', 'signal', 'difficult', 'rich', 'dlu', 'Telkomsel', 'good']")</f>
        <v>['slow', 'signal', 'difficult', 'rich', 'dlu', 'Telkomsel', 'good']</v>
      </c>
      <c r="D5530" s="3">
        <v>2.0</v>
      </c>
    </row>
    <row r="5531" ht="15.75" customHeight="1">
      <c r="A5531" s="1">
        <v>5949.0</v>
      </c>
      <c r="B5531" s="3" t="s">
        <v>5358</v>
      </c>
      <c r="C5531" s="3" t="str">
        <f>IFERROR(__xludf.DUMMYFUNCTION("GOOGLETRANSLATE(B5531,""id"",""en"")"),"['number', 'scorched', 'active', 'lucky', 'work']")</f>
        <v>['number', 'scorched', 'active', 'lucky', 'work']</v>
      </c>
      <c r="D5531" s="3">
        <v>1.0</v>
      </c>
    </row>
    <row r="5532" ht="15.75" customHeight="1">
      <c r="A5532" s="1">
        <v>5950.0</v>
      </c>
      <c r="B5532" s="3" t="s">
        <v>5359</v>
      </c>
      <c r="C5532" s="3" t="str">
        <f>IFERROR(__xludf.DUMMYFUNCTION("GOOGLETRANSLATE(B5532,""id"",""en"")"),"['blajar', 'use it', 'good', 'kasi', 'star', '']")</f>
        <v>['blajar', 'use it', 'good', 'kasi', 'star', '']</v>
      </c>
      <c r="D5532" s="3">
        <v>1.0</v>
      </c>
    </row>
    <row r="5533" ht="15.75" customHeight="1">
      <c r="A5533" s="1">
        <v>5951.0</v>
      </c>
      <c r="B5533" s="3" t="s">
        <v>5360</v>
      </c>
      <c r="C5533" s="3" t="str">
        <f>IFERROR(__xludf.DUMMYFUNCTION("GOOGLETRANSLATE(B5533,""id"",""en"")"),"['price', 'expensive', 'quality', 'cheap', 'tasty', 'im', 'signal', 'point', 'stable', 'kenceng', 'watch', 'plus',' cheap ',' price ',' package ',' Telkomsel ',' Jahanam ',' expensive ',' signal ',' full ',' stable ',' cuuuiiiiihhh ']")</f>
        <v>['price', 'expensive', 'quality', 'cheap', 'tasty', 'im', 'signal', 'point', 'stable', 'kenceng', 'watch', 'plus',' cheap ',' price ',' package ',' Telkomsel ',' Jahanam ',' expensive ',' signal ',' full ',' stable ',' cuuuiiiiihhh ']</v>
      </c>
      <c r="D5533" s="3">
        <v>1.0</v>
      </c>
    </row>
    <row r="5534" ht="15.75" customHeight="1">
      <c r="A5534" s="1">
        <v>5952.0</v>
      </c>
      <c r="B5534" s="3" t="s">
        <v>2510</v>
      </c>
      <c r="C5534" s="3" t="str">
        <f>IFERROR(__xludf.DUMMYFUNCTION("GOOGLETRANSLATE(B5534,""id"",""en"")"),"['Make it easier']")</f>
        <v>['Make it easier']</v>
      </c>
      <c r="D5534" s="3">
        <v>5.0</v>
      </c>
    </row>
    <row r="5535" ht="15.75" customHeight="1">
      <c r="A5535" s="1">
        <v>5953.0</v>
      </c>
      <c r="B5535" s="3" t="s">
        <v>5361</v>
      </c>
      <c r="C5535" s="3" t="str">
        <f>IFERROR(__xludf.DUMMYFUNCTION("GOOGLETRANSLATE(B5535,""id"",""en"")"),"['Where', 'signal', 'ampass']")</f>
        <v>['Where', 'signal', 'ampass']</v>
      </c>
      <c r="D5535" s="3">
        <v>1.0</v>
      </c>
    </row>
    <row r="5536" ht="15.75" customHeight="1">
      <c r="A5536" s="1">
        <v>5954.0</v>
      </c>
      <c r="B5536" s="3" t="s">
        <v>5362</v>
      </c>
      <c r="C5536" s="3" t="str">
        <f>IFERROR(__xludf.DUMMYFUNCTION("GOOGLETRANSLATE(B5536,""id"",""en"")"),"['expensive', 'ideak', 'cak', 'loop']")</f>
        <v>['expensive', 'ideak', 'cak', 'loop']</v>
      </c>
      <c r="D5536" s="3">
        <v>3.0</v>
      </c>
    </row>
    <row r="5537" ht="15.75" customHeight="1">
      <c r="A5537" s="1">
        <v>5955.0</v>
      </c>
      <c r="B5537" s="3" t="s">
        <v>5363</v>
      </c>
      <c r="C5537" s="3" t="str">
        <f>IFERROR(__xludf.DUMMYFUNCTION("GOOGLETRANSLATE(B5537,""id"",""en"")"),"['Telkomsel', 'The', 'Best', 'Always',' The ',' Best ',' Sinyal ',' Current ',' Pas', 'Weather', 'Bad', 'Troubled', ' for a while ',' Mantapp ',' Thank ',' You ',' Telkomsel ',' Hopefully ',' Success', 'Please', 'Program', 'Package', 'Internet', 'Cheap', "&amp;"""]")</f>
        <v>['Telkomsel', 'The', 'Best', 'Always',' The ',' Best ',' Sinyal ',' Current ',' Pas', 'Weather', 'Bad', 'Troubled', ' for a while ',' Mantapp ',' Thank ',' You ',' Telkomsel ',' Hopefully ',' Success', 'Please', 'Program', 'Package', 'Internet', 'Cheap', "]</v>
      </c>
      <c r="D5537" s="3">
        <v>5.0</v>
      </c>
    </row>
    <row r="5538" ht="15.75" customHeight="1">
      <c r="A5538" s="1">
        <v>5956.0</v>
      </c>
      <c r="B5538" s="3" t="s">
        <v>5364</v>
      </c>
      <c r="C5538" s="3" t="str">
        <f>IFERROR(__xludf.DUMMYFUNCTION("GOOGLETRANSLATE(B5538,""id"",""en"")"),"['already', 'umpteenth', 'time', 'buy', 'quota', 'already', 'success',' payment ',' balance ',' chick ',' quota ',' enter ',' Weve ',' nominal ',' right ',' kepepet ',' like ',' gini ',' complicated ',' please ',' repaired ',' system ', ""]")</f>
        <v>['already', 'umpteenth', 'time', 'buy', 'quota', 'already', 'success',' payment ',' balance ',' chick ',' quota ',' enter ',' Weve ',' nominal ',' right ',' kepepet ',' like ',' gini ',' complicated ',' please ',' repaired ',' system ', "]</v>
      </c>
      <c r="D5538" s="3">
        <v>5.0</v>
      </c>
    </row>
    <row r="5539" ht="15.75" customHeight="1">
      <c r="A5539" s="1">
        <v>5957.0</v>
      </c>
      <c r="B5539" s="3" t="s">
        <v>5365</v>
      </c>
      <c r="C5539" s="3" t="str">
        <f>IFERROR(__xludf.DUMMYFUNCTION("GOOGLETRANSLATE(B5539,""id"",""en"")"),"['promo', 'donk', 'level', 'member', 'gold', 'got', 'promo']")</f>
        <v>['promo', 'donk', 'level', 'member', 'gold', 'got', 'promo']</v>
      </c>
      <c r="D5539" s="3">
        <v>5.0</v>
      </c>
    </row>
    <row r="5540" ht="15.75" customHeight="1">
      <c r="A5540" s="1">
        <v>5958.0</v>
      </c>
      <c r="B5540" s="3" t="s">
        <v>5366</v>
      </c>
      <c r="C5540" s="3" t="str">
        <f>IFERROR(__xludf.DUMMYFUNCTION("GOOGLETRANSLATE(B5540,""id"",""en"")"),"['KRTU', 'KON', 'LLLLLLLL', 'Card', 'BNGST', 'Price', 'Quota', 'Expensive', 'Network', 'Change', 'Owner', 'Stock', ' Bosss', 'can', 'delicious',' play ',' game ',' signal ',' missing ',' dead ',' lights', 'bkn', 'disorder', 'routine', 'win' , 'name', 'doa"&amp;"ng', 'strength', 'signal', 'ugly', 'regret', 'card', 'network', 'really', 'disappointing', ""]")</f>
        <v>['KRTU', 'KON', 'LLLLLLLL', 'Card', 'BNGST', 'Price', 'Quota', 'Expensive', 'Network', 'Change', 'Owner', 'Stock', ' Bosss', 'can', 'delicious',' play ',' game ',' signal ',' missing ',' dead ',' lights', 'bkn', 'disorder', 'routine', 'win' , 'name', 'doang', 'strength', 'signal', 'ugly', 'regret', 'card', 'network', 'really', 'disappointing', "]</v>
      </c>
      <c r="D5540" s="3">
        <v>1.0</v>
      </c>
    </row>
    <row r="5541" ht="15.75" customHeight="1">
      <c r="A5541" s="1">
        <v>5959.0</v>
      </c>
      <c r="B5541" s="3" t="s">
        <v>5367</v>
      </c>
      <c r="C5541" s="3" t="str">
        <f>IFERROR(__xludf.DUMMYFUNCTION("GOOGLETRANSLATE(B5541,""id"",""en"")"),"['Package', 'Telkomsel', 'number', 'expensive', 'no', 'ngilkak', 'area', 'home', 'bad', 'signal', 'buy', 'package', ' expensive ',' trapped ',' business', 'work', 'home', 'please', 'normal', 'normal', 'normal', 'sane', 'sanful', 'expensive', 'sequence' , "&amp;"'Different', 'number', 'Telkom', 'strange', 'mah', ""]")</f>
        <v>['Package', 'Telkomsel', 'number', 'expensive', 'no', 'ngilkak', 'area', 'home', 'bad', 'signal', 'buy', 'package', ' expensive ',' trapped ',' business', 'work', 'home', 'please', 'normal', 'normal', 'normal', 'sane', 'sanful', 'expensive', 'sequence' , 'Different', 'number', 'Telkom', 'strange', 'mah', "]</v>
      </c>
      <c r="D5541" s="3">
        <v>1.0</v>
      </c>
    </row>
    <row r="5542" ht="15.75" customHeight="1">
      <c r="A5542" s="1">
        <v>5960.0</v>
      </c>
      <c r="B5542" s="3" t="s">
        <v>5368</v>
      </c>
      <c r="C5542" s="3" t="str">
        <f>IFERROR(__xludf.DUMMYFUNCTION("GOOGLETRANSLATE(B5542,""id"",""en"")"),"['Unlimited']")</f>
        <v>['Unlimited']</v>
      </c>
      <c r="D5542" s="3">
        <v>4.0</v>
      </c>
    </row>
    <row r="5543" ht="15.75" customHeight="1">
      <c r="A5543" s="1">
        <v>5961.0</v>
      </c>
      <c r="B5543" s="3" t="s">
        <v>5369</v>
      </c>
      <c r="C5543" s="3" t="str">
        <f>IFERROR(__xludf.DUMMYFUNCTION("GOOGLETRANSLATE(B5543,""id"",""en"")"),"['Network', 'stable', 'weather', 'cloudy', 'direct', 'slow', 'related', 'fix', 'suapaya', 'need', 'consumer', 'fulfilled', ' network', '']")</f>
        <v>['Network', 'stable', 'weather', 'cloudy', 'direct', 'slow', 'related', 'fix', 'suapaya', 'need', 'consumer', 'fulfilled', ' network', '']</v>
      </c>
      <c r="D5543" s="3">
        <v>1.0</v>
      </c>
    </row>
    <row r="5544" ht="15.75" customHeight="1">
      <c r="A5544" s="1">
        <v>5962.0</v>
      </c>
      <c r="B5544" s="3" t="s">
        <v>5370</v>
      </c>
      <c r="C5544" s="3" t="str">
        <f>IFERROR(__xludf.DUMMYFUNCTION("GOOGLETRANSLATE(B5544,""id"",""en"")"),"['package', 'sgant', 'useful', 'krena', 'quota', 'internet', 'sya', 'enjoy', 'free', 'call', '']")</f>
        <v>['package', 'sgant', 'useful', 'krena', 'quota', 'internet', 'sya', 'enjoy', 'free', 'call', '']</v>
      </c>
      <c r="D5544" s="3">
        <v>5.0</v>
      </c>
    </row>
    <row r="5545" ht="15.75" customHeight="1">
      <c r="A5545" s="1">
        <v>5963.0</v>
      </c>
      <c r="B5545" s="3" t="s">
        <v>5371</v>
      </c>
      <c r="C5545" s="3" t="str">
        <f>IFERROR(__xludf.DUMMYFUNCTION("GOOGLETRANSLATE(B5545,""id"",""en"")"),"['Heleh', 'package', 'expensive', 'GNY', 'ugly']")</f>
        <v>['Heleh', 'package', 'expensive', 'GNY', 'ugly']</v>
      </c>
      <c r="D5545" s="3">
        <v>1.0</v>
      </c>
    </row>
    <row r="5546" ht="15.75" customHeight="1">
      <c r="A5546" s="1">
        <v>5964.0</v>
      </c>
      <c r="B5546" s="3" t="s">
        <v>5372</v>
      </c>
      <c r="C5546" s="3" t="str">
        <f>IFERROR(__xludf.DUMMYFUNCTION("GOOGLETRANSLATE(B5546,""id"",""en"")"),"['Good', 'Helpful', '']")</f>
        <v>['Good', 'Helpful', '']</v>
      </c>
      <c r="D5546" s="3">
        <v>5.0</v>
      </c>
    </row>
    <row r="5547" ht="15.75" customHeight="1">
      <c r="A5547" s="1">
        <v>5965.0</v>
      </c>
      <c r="B5547" s="3" t="s">
        <v>5373</v>
      </c>
      <c r="C5547" s="3" t="str">
        <f>IFERROR(__xludf.DUMMYFUNCTION("GOOGLETRANSLATE(B5547,""id"",""en"")"),"['It's easy', 'customers', 'thank', 'love', 'Telkomsel']")</f>
        <v>['It's easy', 'customers', 'thank', 'love', 'Telkomsel']</v>
      </c>
      <c r="D5547" s="3">
        <v>5.0</v>
      </c>
    </row>
    <row r="5548" ht="15.75" customHeight="1">
      <c r="A5548" s="1">
        <v>5966.0</v>
      </c>
      <c r="B5548" s="3" t="s">
        <v>5374</v>
      </c>
      <c r="C5548" s="3" t="str">
        <f>IFERROR(__xludf.DUMMYFUNCTION("GOOGLETRANSLATE(B5548,""id"",""en"")"),"['package', 'expensive', 'network', 'kek', 'snail', 'slow', 'hadeehhh', 'package', 'doank', 'expensive', ""]")</f>
        <v>['package', 'expensive', 'network', 'kek', 'snail', 'slow', 'hadeehhh', 'package', 'doank', 'expensive', "]</v>
      </c>
      <c r="D5548" s="3">
        <v>1.0</v>
      </c>
    </row>
    <row r="5549" ht="15.75" customHeight="1">
      <c r="A5549" s="1">
        <v>5967.0</v>
      </c>
      <c r="B5549" s="3" t="s">
        <v>5375</v>
      </c>
      <c r="C5549" s="3" t="str">
        <f>IFERROR(__xludf.DUMMYFUNCTION("GOOGLETRANSLATE(B5549,""id"",""en"")"),"['Telkomsel', 'Top', 'deh', ""]")</f>
        <v>['Telkomsel', 'Top', 'deh', "]</v>
      </c>
      <c r="D5549" s="3">
        <v>5.0</v>
      </c>
    </row>
    <row r="5550" ht="15.75" customHeight="1">
      <c r="A5550" s="1">
        <v>5968.0</v>
      </c>
      <c r="B5550" s="3" t="s">
        <v>5376</v>
      </c>
      <c r="C5550" s="3" t="str">
        <f>IFERROR(__xludf.DUMMYFUNCTION("GOOGLETRANSLATE(B5550,""id"",""en"")"),"['Easy', 'satisfying', 'consumer']")</f>
        <v>['Easy', 'satisfying', 'consumer']</v>
      </c>
      <c r="D5550" s="3">
        <v>4.0</v>
      </c>
    </row>
    <row r="5551" ht="15.75" customHeight="1">
      <c r="A5551" s="1">
        <v>5969.0</v>
      </c>
      <c r="B5551" s="3" t="s">
        <v>5377</v>
      </c>
      <c r="C5551" s="3" t="str">
        <f>IFERROR(__xludf.DUMMYFUNCTION("GOOGLETRANSLATE(B5551,""id"",""en"")"),"['Contents',' pulse ',' buy ',' package ',' VIU ',' Direct ',' left ',' Rupiah ',' Please ',' enlightenment ',' min ',' buy ',' Package ',' pulse ',' sucked ',' Kekeke ',' data ',' quota ',' data ',' understand ',' really ',' ngelamin ',' kek ',' gini ', "&amp;"""]")</f>
        <v>['Contents',' pulse ',' buy ',' package ',' VIU ',' Direct ',' left ',' Rupiah ',' Please ',' enlightenment ',' min ',' buy ',' Package ',' pulse ',' sucked ',' Kekeke ',' data ',' quota ',' data ',' understand ',' really ',' ngelamin ',' kek ',' gini ', "]</v>
      </c>
      <c r="D5551" s="3">
        <v>1.0</v>
      </c>
    </row>
    <row r="5552" ht="15.75" customHeight="1">
      <c r="A5552" s="1">
        <v>5970.0</v>
      </c>
      <c r="B5552" s="3" t="s">
        <v>5378</v>
      </c>
      <c r="C5552" s="3" t="str">
        <f>IFERROR(__xludf.DUMMYFUNCTION("GOOGLETRANSLATE(B5552,""id"",""en"")"),"['Telkomsel', 'already', 'submitting', 'dragon', 'bro', 'really', 'network', 'Telkomsel', 'yesterday', 'bitten', 'shark', 'ntr', ' bitten ',' Naga ',' emang ',' use ',' Telkomsel ']")</f>
        <v>['Telkomsel', 'already', 'submitting', 'dragon', 'bro', 'really', 'network', 'Telkomsel', 'yesterday', 'bitten', 'shark', 'ntr', ' bitten ',' Naga ',' emang ',' use ',' Telkomsel ']</v>
      </c>
      <c r="D5552" s="3">
        <v>1.0</v>
      </c>
    </row>
    <row r="5553" ht="15.75" customHeight="1">
      <c r="A5553" s="1">
        <v>5971.0</v>
      </c>
      <c r="B5553" s="3" t="s">
        <v>5379</v>
      </c>
      <c r="C5553" s="3" t="str">
        <f>IFERROR(__xludf.DUMMYFUNCTION("GOOGLETRANSLATE(B5553,""id"",""en"")"),"['Star', 'experience', 'increase', 'price', 'package', 'Sakti', 'thousand', 'thousand', 'experience', 'price', 'normal', 'Sakti', ' thousand ',' thousand ',' thousand ',' ']")</f>
        <v>['Star', 'experience', 'increase', 'price', 'package', 'Sakti', 'thousand', 'thousand', 'experience', 'price', 'normal', 'Sakti', ' thousand ',' thousand ',' thousand ',' ']</v>
      </c>
      <c r="D5553" s="3">
        <v>2.0</v>
      </c>
    </row>
    <row r="5554" ht="15.75" customHeight="1">
      <c r="A5554" s="1">
        <v>5972.0</v>
      </c>
      <c r="B5554" s="3" t="s">
        <v>5380</v>
      </c>
      <c r="C5554" s="3" t="str">
        <f>IFERROR(__xludf.DUMMYFUNCTION("GOOGLETRANSLATE(B5554,""id"",""en"")"),"['tired', 'really', 'buy', 'type', 'package', 'internet', 'omg', 'slow', 'contact', 'ngknpernah', 'response', 'replace', ' cards', 'gini']")</f>
        <v>['tired', 'really', 'buy', 'type', 'package', 'internet', 'omg', 'slow', 'contact', 'ngknpernah', 'response', 'replace', ' cards', 'gini']</v>
      </c>
      <c r="D5554" s="3">
        <v>3.0</v>
      </c>
    </row>
    <row r="5555" ht="15.75" customHeight="1">
      <c r="A5555" s="1">
        <v>5974.0</v>
      </c>
      <c r="B5555" s="3" t="s">
        <v>5381</v>
      </c>
      <c r="C5555" s="3" t="str">
        <f>IFERROR(__xludf.DUMMYFUNCTION("GOOGLETRANSLATE(B5555,""id"",""en"")"),"['Sorry', 'kaks',' help ',' knap ',' take ',' package ',' emergency ',' pay ',' content ',' UDH ',' SUCCESS ',' Pay ',' Fill ',' Cut ',' Out ',' Tomorrow ',' Fill ',' Credit ',' Lost ',' Out ',' Take ',' Package ',' Emergency ',' Please ',' Help ' , 'Sis'"&amp;",' Kalaw ',' Gini ',' Mending ',' Ush ',' Telkomsel ',' Disappointed ',' Heavy ',' Money ',' Savings', 'Cape', 'Money', ' Snacks', 'Giniin', 'Telkomsel', 'Disappointed']")</f>
        <v>['Sorry', 'kaks',' help ',' knap ',' take ',' package ',' emergency ',' pay ',' content ',' UDH ',' SUCCESS ',' Pay ',' Fill ',' Cut ',' Out ',' Tomorrow ',' Fill ',' Credit ',' Lost ',' Out ',' Take ',' Package ',' Emergency ',' Please ',' Help ' , 'Sis',' Kalaw ',' Gini ',' Mending ',' Ush ',' Telkomsel ',' Disappointed ',' Heavy ',' Money ',' Savings', 'Cape', 'Money', ' Snacks', 'Giniin', 'Telkomsel', 'Disappointed']</v>
      </c>
      <c r="D5555" s="3">
        <v>1.0</v>
      </c>
    </row>
    <row r="5556" ht="15.75" customHeight="1">
      <c r="A5556" s="1">
        <v>5975.0</v>
      </c>
      <c r="B5556" s="3" t="s">
        <v>5382</v>
      </c>
      <c r="C5556" s="3" t="str">
        <f>IFERROR(__xludf.DUMMYFUNCTION("GOOGLETRANSLATE(B5556,""id"",""en"")"),"['Win', 'Lottery', 'Boss', 'Customer', '']")</f>
        <v>['Win', 'Lottery', 'Boss', 'Customer', '']</v>
      </c>
      <c r="D5556" s="3">
        <v>5.0</v>
      </c>
    </row>
    <row r="5557" ht="15.75" customHeight="1">
      <c r="A5557" s="1">
        <v>5976.0</v>
      </c>
      <c r="B5557" s="3" t="s">
        <v>5383</v>
      </c>
      <c r="C5557" s="3" t="str">
        <f>IFERROR(__xludf.DUMMYFUNCTION("GOOGLETRANSLATE(B5557,""id"",""en"")"),"['Not bad', 'Telkomsel']")</f>
        <v>['Not bad', 'Telkomsel']</v>
      </c>
      <c r="D5557" s="3">
        <v>3.0</v>
      </c>
    </row>
    <row r="5558" ht="15.75" customHeight="1">
      <c r="A5558" s="1">
        <v>5977.0</v>
      </c>
      <c r="B5558" s="3" t="s">
        <v>5384</v>
      </c>
      <c r="C5558" s="3" t="str">
        <f>IFERROR(__xludf.DUMMYFUNCTION("GOOGLETRANSLATE(B5558,""id"",""en"")"),"['Message', 'Telkomsel', 'Game', 'Google', 'Loading']")</f>
        <v>['Message', 'Telkomsel', 'Game', 'Google', 'Loading']</v>
      </c>
      <c r="D5558" s="3">
        <v>1.0</v>
      </c>
    </row>
    <row r="5559" ht="15.75" customHeight="1">
      <c r="A5559" s="1">
        <v>5978.0</v>
      </c>
      <c r="B5559" s="3" t="s">
        <v>5385</v>
      </c>
      <c r="C5559" s="3" t="str">
        <f>IFERROR(__xludf.DUMMYFUNCTION("GOOGLETRANSLATE(B5559,""id"",""en"")"),"['Like', 'Application', 'Telkomsel', 'Hopefully', 'Telkomsel', 'Moving']")</f>
        <v>['Like', 'Application', 'Telkomsel', 'Hopefully', 'Telkomsel', 'Moving']</v>
      </c>
      <c r="D5559" s="3">
        <v>5.0</v>
      </c>
    </row>
    <row r="5560" ht="15.75" customHeight="1">
      <c r="A5560" s="1">
        <v>5979.0</v>
      </c>
      <c r="B5560" s="3" t="s">
        <v>5386</v>
      </c>
      <c r="C5560" s="3" t="str">
        <f>IFERROR(__xludf.DUMMYFUNCTION("GOOGLETRANSLATE(B5560,""id"",""en"")"),"['Thank you', 'help', 'Telkomsel', 'smooth', 'signal', 'losestreak', 'following', 'tournament', 'mobile', 'legend']")</f>
        <v>['Thank you', 'help', 'Telkomsel', 'smooth', 'signal', 'losestreak', 'following', 'tournament', 'mobile', 'legend']</v>
      </c>
      <c r="D5560" s="3">
        <v>1.0</v>
      </c>
    </row>
    <row r="5561" ht="15.75" customHeight="1">
      <c r="A5561" s="1">
        <v>5980.0</v>
      </c>
      <c r="B5561" s="3" t="s">
        <v>1404</v>
      </c>
      <c r="C5561" s="3" t="str">
        <f>IFERROR(__xludf.DUMMYFUNCTION("GOOGLETRANSLATE(B5561,""id"",""en"")"),"['good, good']")</f>
        <v>['good, good']</v>
      </c>
      <c r="D5561" s="3">
        <v>5.0</v>
      </c>
    </row>
    <row r="5562" ht="15.75" customHeight="1">
      <c r="A5562" s="1">
        <v>5981.0</v>
      </c>
      <c r="B5562" s="3" t="s">
        <v>5387</v>
      </c>
      <c r="C5562" s="3" t="str">
        <f>IFERROR(__xludf.DUMMYFUNCTION("GOOGLETRANSLATE(B5562,""id"",""en"")"),"['Suda', 'update', 'Msih', 'Ngebug']")</f>
        <v>['Suda', 'update', 'Msih', 'Ngebug']</v>
      </c>
      <c r="D5562" s="3">
        <v>5.0</v>
      </c>
    </row>
    <row r="5563" ht="15.75" customHeight="1">
      <c r="A5563" s="1">
        <v>5982.0</v>
      </c>
      <c r="B5563" s="3" t="s">
        <v>5388</v>
      </c>
      <c r="C5563" s="3" t="str">
        <f>IFERROR(__xludf.DUMMYFUNCTION("GOOGLETRANSLATE(B5563,""id"",""en"")"),"['buset', 'rain', 'lightning', 'signal', 'ilang', 'continued']")</f>
        <v>['buset', 'rain', 'lightning', 'signal', 'ilang', 'continued']</v>
      </c>
      <c r="D5563" s="3">
        <v>1.0</v>
      </c>
    </row>
    <row r="5564" ht="15.75" customHeight="1">
      <c r="A5564" s="1">
        <v>5983.0</v>
      </c>
      <c r="B5564" s="3" t="s">
        <v>5389</v>
      </c>
      <c r="C5564" s="3" t="str">
        <f>IFERROR(__xludf.DUMMYFUNCTION("GOOGLETRANSLATE(B5564,""id"",""en"")"),"['Price', 'Ngilake', 'APK', 'Features', 'Corruptor', 'Doang', 'Buy']")</f>
        <v>['Price', 'Ngilake', 'APK', 'Features', 'Corruptor', 'Doang', 'Buy']</v>
      </c>
      <c r="D5564" s="3">
        <v>1.0</v>
      </c>
    </row>
    <row r="5565" ht="15.75" customHeight="1">
      <c r="A5565" s="1">
        <v>5984.0</v>
      </c>
      <c r="B5565" s="3" t="s">
        <v>5390</v>
      </c>
      <c r="C5565" s="3" t="str">
        <f>IFERROR(__xludf.DUMMYFUNCTION("GOOGLETRANSLATE(B5565,""id"",""en"")"),"['Steady', 'Telkomsel', 'cheap', 'steady']")</f>
        <v>['Steady', 'Telkomsel', 'cheap', 'steady']</v>
      </c>
      <c r="D5565" s="3">
        <v>5.0</v>
      </c>
    </row>
    <row r="5566" ht="15.75" customHeight="1">
      <c r="A5566" s="1">
        <v>5985.0</v>
      </c>
      <c r="B5566" s="3" t="s">
        <v>5391</v>
      </c>
      <c r="C5566" s="3" t="str">
        <f>IFERROR(__xludf.DUMMYFUNCTION("GOOGLETRANSLATE(B5566,""id"",""en"")"),"['Good', 'package', 'combo', 'cheap']")</f>
        <v>['Good', 'package', 'combo', 'cheap']</v>
      </c>
      <c r="D5566" s="3">
        <v>5.0</v>
      </c>
    </row>
    <row r="5567" ht="15.75" customHeight="1">
      <c r="A5567" s="1">
        <v>5986.0</v>
      </c>
      <c r="B5567" s="3" t="s">
        <v>5392</v>
      </c>
      <c r="C5567" s="3" t="str">
        <f>IFERROR(__xludf.DUMMYFUNCTION("GOOGLETRANSLATE(B5567,""id"",""en"")"),"['please', 'Telkomsel', 'network', 'fix', 'knp', 'network', 'ugly']")</f>
        <v>['please', 'Telkomsel', 'network', 'fix', 'knp', 'network', 'ugly']</v>
      </c>
      <c r="D5567" s="3">
        <v>1.0</v>
      </c>
    </row>
    <row r="5568" ht="15.75" customHeight="1">
      <c r="A5568" s="1">
        <v>5987.0</v>
      </c>
      <c r="B5568" s="3" t="s">
        <v>5393</v>
      </c>
      <c r="C5568" s="3" t="str">
        <f>IFERROR(__xludf.DUMMYFUNCTION("GOOGLETRANSLATE(B5568,""id"",""en"")"),"['Cool', 'buy', 'Ovo', 'pulses', 'direct', 'enter', '']")</f>
        <v>['Cool', 'buy', 'Ovo', 'pulses', 'direct', 'enter', '']</v>
      </c>
      <c r="D5568" s="3">
        <v>5.0</v>
      </c>
    </row>
    <row r="5569" ht="15.75" customHeight="1">
      <c r="A5569" s="1">
        <v>5988.0</v>
      </c>
      <c r="B5569" s="3" t="s">
        <v>5394</v>
      </c>
      <c r="C5569" s="3" t="str">
        <f>IFERROR(__xludf.DUMMYFUNCTION("GOOGLETRANSLATE(B5569,""id"",""en"")"),"['Network', 'Internet', 'slow', 'since', 'appears', 'Telkomsel', 'best', 'hah', ""]")</f>
        <v>['Network', 'Internet', 'slow', 'since', 'appears', 'Telkomsel', 'best', 'hah', "]</v>
      </c>
      <c r="D5569" s="3">
        <v>1.0</v>
      </c>
    </row>
    <row r="5570" ht="15.75" customHeight="1">
      <c r="A5570" s="1">
        <v>5989.0</v>
      </c>
      <c r="B5570" s="3" t="s">
        <v>5395</v>
      </c>
      <c r="C5570" s="3" t="str">
        <f>IFERROR(__xludf.DUMMYFUNCTION("GOOGLETRANSLATE(B5570,""id"",""en"")"),"['Please', 'Network', 'Java', 'Note', 'Network', 'The Widest', 'Fastest', 'Center', 'City', 'Description', 'Quota', 'Student', ' Application ',' YouTube ',' PAS ',' Run ',' Application ',' Credit ',' Reduced ',' Point ',' Disappointed ',' Telkomsel ', ""]")</f>
        <v>['Please', 'Network', 'Java', 'Note', 'Network', 'The Widest', 'Fastest', 'Center', 'City', 'Description', 'Quota', 'Student', ' Application ',' YouTube ',' PAS ',' Run ',' Application ',' Credit ',' Reduced ',' Point ',' Disappointed ',' Telkomsel ', "]</v>
      </c>
      <c r="D5570" s="3">
        <v>1.0</v>
      </c>
    </row>
    <row r="5571" ht="15.75" customHeight="1">
      <c r="A5571" s="1">
        <v>5990.0</v>
      </c>
      <c r="B5571" s="3" t="s">
        <v>5396</v>
      </c>
      <c r="C5571" s="3" t="str">
        <f>IFERROR(__xludf.DUMMYFUNCTION("GOOGLETRANSLATE(B5571,""id"",""en"")"),"['Discord', 'Blocked', 'Telkomsel', 'opened', 'friend', 'card', 'Tsel', 'open', 'discord', 'Yesterday', ""]")</f>
        <v>['Discord', 'Blocked', 'Telkomsel', 'opened', 'friend', 'card', 'Tsel', 'open', 'discord', 'Yesterday', "]</v>
      </c>
      <c r="D5571" s="3">
        <v>4.0</v>
      </c>
    </row>
    <row r="5572" ht="15.75" customHeight="1">
      <c r="A5572" s="1">
        <v>5991.0</v>
      </c>
      <c r="B5572" s="3" t="s">
        <v>1435</v>
      </c>
      <c r="C5572" s="3" t="str">
        <f>IFERROR(__xludf.DUMMYFUNCTION("GOOGLETRANSLATE(B5572,""id"",""en"")"),"['help', '']")</f>
        <v>['help', '']</v>
      </c>
      <c r="D5572" s="3">
        <v>4.0</v>
      </c>
    </row>
    <row r="5573" ht="15.75" customHeight="1">
      <c r="A5573" s="1">
        <v>5992.0</v>
      </c>
      <c r="B5573" s="3" t="s">
        <v>5397</v>
      </c>
      <c r="C5573" s="3" t="str">
        <f>IFERROR(__xludf.DUMMYFUNCTION("GOOGLETRANSLATE(B5573,""id"",""en"")"),"['Login', 'difficult', 'code', 'verification', 'expiration', 'sms', 'how', 'seribet', 'APK', '']")</f>
        <v>['Login', 'difficult', 'code', 'verification', 'expiration', 'sms', 'how', 'seribet', 'APK', '']</v>
      </c>
      <c r="D5573" s="3">
        <v>1.0</v>
      </c>
    </row>
    <row r="5574" ht="15.75" customHeight="1">
      <c r="A5574" s="1">
        <v>5993.0</v>
      </c>
      <c r="B5574" s="3" t="s">
        <v>5398</v>
      </c>
      <c r="C5574" s="3" t="str">
        <f>IFERROR(__xludf.DUMMYFUNCTION("GOOGLETRANSLATE(B5574,""id"",""en"")"),"['Disappointed', 'Telkomsel', 'bad', 'signal', 'package', 'expensive', 'quality', 'signal', 'ugly', '']")</f>
        <v>['Disappointed', 'Telkomsel', 'bad', 'signal', 'package', 'expensive', 'quality', 'signal', 'ugly', '']</v>
      </c>
      <c r="D5574" s="3">
        <v>1.0</v>
      </c>
    </row>
    <row r="5575" ht="15.75" customHeight="1">
      <c r="A5575" s="1">
        <v>5994.0</v>
      </c>
      <c r="B5575" s="3" t="s">
        <v>5399</v>
      </c>
      <c r="C5575" s="3" t="str">
        <f>IFERROR(__xludf.DUMMYFUNCTION("GOOGLETRANSLATE(B5575,""id"",""en"")"),"['application', 'sucks',' emotions', 'already', 'expensive', 'really', 'package', 'Hadeh', 'example', 'next door', 'donk', 'application', ' Good ',' cheap ',' package ',' ']")</f>
        <v>['application', 'sucks',' emotions', 'already', 'expensive', 'really', 'package', 'Hadeh', 'example', 'next door', 'donk', 'application', ' Good ',' cheap ',' package ',' ']</v>
      </c>
      <c r="D5575" s="3">
        <v>1.0</v>
      </c>
    </row>
    <row r="5576" ht="15.75" customHeight="1">
      <c r="A5576" s="1">
        <v>5995.0</v>
      </c>
      <c r="B5576" s="3" t="s">
        <v>5400</v>
      </c>
      <c r="C5576" s="3" t="str">
        <f>IFERROR(__xludf.DUMMYFUNCTION("GOOGLETRANSLATE(B5576,""id"",""en"")"),"['', 'buy', 'package', 'data', 'MyTelkomsel', 'clock', 'package', 'thank', 'balance', 'cut', 'package', 'data', 'accepted ',' GraPARI ',' Tetep ',' Nerima ',' Package ',' Data ',' TLP ',' Diputer ',' Call ',' Automatic ',' Credit ',' already ',' Hbz ',' H"&amp;"bz ', 'TLP', 'Connect', 'try', 'chat', 'Veronica', 'Sampe', 'ber', 'clock', 'reply', 'Helloo', 'Telkomsel', 'how', 'news ', 'complaint', '']")</f>
        <v>['', 'buy', 'package', 'data', 'MyTelkomsel', 'clock', 'package', 'thank', 'balance', 'cut', 'package', 'data', 'accepted ',' GraPARI ',' Tetep ',' Nerima ',' Package ',' Data ',' TLP ',' Diputer ',' Call ',' Automatic ',' Credit ',' already ',' Hbz ',' Hbz ', 'TLP', 'Connect', 'try', 'chat', 'Veronica', 'Sampe', 'ber', 'clock', 'reply', 'Helloo', 'Telkomsel', 'how', 'news ', 'complaint', '']</v>
      </c>
      <c r="D5576" s="3">
        <v>1.0</v>
      </c>
    </row>
    <row r="5577" ht="15.75" customHeight="1">
      <c r="A5577" s="1">
        <v>5996.0</v>
      </c>
      <c r="B5577" s="3" t="s">
        <v>5401</v>
      </c>
      <c r="C5577" s="3" t="str">
        <f>IFERROR(__xludf.DUMMYFUNCTION("GOOGLETRANSLATE(B5577,""id"",""en"")"),"['Hi', 'Telkomsel', 'Gara', 'Bacotin', 'Public', 'Ngelag', 'War', 'Fix', 'Nasea', 'The Network', 'Sometimes',' Lost ',' Asik ',' play ',' game ',' snack ',' ppk ']")</f>
        <v>['Hi', 'Telkomsel', 'Gara', 'Bacotin', 'Public', 'Ngelag', 'War', 'Fix', 'Nasea', 'The Network', 'Sometimes',' Lost ',' Asik ',' play ',' game ',' snack ',' ppk ']</v>
      </c>
      <c r="D5577" s="3">
        <v>1.0</v>
      </c>
    </row>
    <row r="5578" ht="15.75" customHeight="1">
      <c r="A5578" s="1">
        <v>5997.0</v>
      </c>
      <c r="B5578" s="3" t="s">
        <v>5402</v>
      </c>
      <c r="C5578" s="3" t="str">
        <f>IFERROR(__xludf.DUMMYFUNCTION("GOOGLETRANSLATE(B5578,""id"",""en"")"),"['heavy', 'Load', 'Sometimes', 'error', 'right', 'buy', 'quota', 'check', ""]]")</f>
        <v>['heavy', 'Load', 'Sometimes', 'error', 'right', 'buy', 'quota', 'check', "]]</v>
      </c>
      <c r="D5578" s="3">
        <v>2.0</v>
      </c>
    </row>
    <row r="5579" ht="15.75" customHeight="1">
      <c r="A5579" s="1">
        <v>5998.0</v>
      </c>
      <c r="B5579" s="3" t="s">
        <v>5403</v>
      </c>
      <c r="C5579" s="3" t="str">
        <f>IFERROR(__xludf.DUMMYFUNCTION("GOOGLETRANSLATE(B5579,""id"",""en"")"),"['Expand', 'The network']")</f>
        <v>['Expand', 'The network']</v>
      </c>
      <c r="D5579" s="3">
        <v>3.0</v>
      </c>
    </row>
    <row r="5580" ht="15.75" customHeight="1">
      <c r="A5580" s="1">
        <v>5999.0</v>
      </c>
      <c r="B5580" s="3" t="s">
        <v>5404</v>
      </c>
      <c r="C5580" s="3" t="str">
        <f>IFERROR(__xludf.DUMMYFUNCTION("GOOGLETRANSLATE(B5580,""id"",""en"")"),"['love', 'star', 'price', 'package', 'expensive', 'thousand', 'kouta', 'please', 'Telkomsel', 'down', 'price', 'package', ' Please, 'down', 'price', 'package', 'comparable', 'pulse', 'buy', '']")</f>
        <v>['love', 'star', 'price', 'package', 'expensive', 'thousand', 'kouta', 'please', 'Telkomsel', 'down', 'price', 'package', ' Please, 'down', 'price', 'package', 'comparable', 'pulse', 'buy', '']</v>
      </c>
      <c r="D5580" s="3">
        <v>3.0</v>
      </c>
    </row>
    <row r="5581" ht="15.75" customHeight="1">
      <c r="A5581" s="1">
        <v>6000.0</v>
      </c>
      <c r="B5581" s="3" t="s">
        <v>5405</v>
      </c>
      <c r="C5581" s="3" t="str">
        <f>IFERROR(__xludf.DUMMYFUNCTION("GOOGLETRANSLATE(B5581,""id"",""en"")"),"['code', 'vocher', 'Telkomsel', 'exchanged', 'system', 'busy', 'mulu', 'udh', 'clock', 'TPI', 'Msih', 'exchange', ' People ',' need ',' quota ',' internet ',' ']")</f>
        <v>['code', 'vocher', 'Telkomsel', 'exchanged', 'system', 'busy', 'mulu', 'udh', 'clock', 'TPI', 'Msih', 'exchange', ' People ',' need ',' quota ',' internet ',' ']</v>
      </c>
      <c r="D5581" s="3">
        <v>1.0</v>
      </c>
    </row>
    <row r="5582" ht="15.75" customHeight="1">
      <c r="A5582" s="1">
        <v>6001.0</v>
      </c>
      <c r="B5582" s="3" t="s">
        <v>5406</v>
      </c>
      <c r="C5582" s="3" t="str">
        <f>IFERROR(__xludf.DUMMYFUNCTION("GOOGLETRANSLATE(B5582,""id"",""en"")"),"['cheap', 'package', 'data']")</f>
        <v>['cheap', 'package', 'data']</v>
      </c>
      <c r="D5582" s="3">
        <v>5.0</v>
      </c>
    </row>
    <row r="5583" ht="15.75" customHeight="1">
      <c r="A5583" s="1">
        <v>6002.0</v>
      </c>
      <c r="B5583" s="3" t="s">
        <v>5407</v>
      </c>
      <c r="C5583" s="3" t="str">
        <f>IFERROR(__xludf.DUMMYFUNCTION("GOOGLETRANSLATE(B5583,""id"",""en"")"),"['buy', 'Package', 'YouTube', 'quota', 'main', 'kepakai', 'run out', 'run out', 'quota', 'main', 'use', 'package', ' YouTube ',' Hadeh ',' Telkomsel ',' here ',' Bener ']")</f>
        <v>['buy', 'Package', 'YouTube', 'quota', 'main', 'kepakai', 'run out', 'run out', 'quota', 'main', 'use', 'package', ' YouTube ',' Hadeh ',' Telkomsel ',' here ',' Bener ']</v>
      </c>
      <c r="D5583" s="3">
        <v>1.0</v>
      </c>
    </row>
    <row r="5584" ht="15.75" customHeight="1">
      <c r="A5584" s="1">
        <v>6003.0</v>
      </c>
      <c r="B5584" s="3" t="s">
        <v>5408</v>
      </c>
      <c r="C5584" s="3" t="str">
        <f>IFERROR(__xludf.DUMMYFUNCTION("GOOGLETRANSLATE(B5584,""id"",""en"")"),"['Please', 'explanation', 'knapa', 'price', 'package', 'Telkomsel', 'Different', 'friend', 'users',' Telkomsel ',' kebaps', 'person', ' expensive ',' rather than ',' my friend ',' buy ',' package ',' payment ',' pulse ',' Telkomsel ']")</f>
        <v>['Please', 'explanation', 'knapa', 'price', 'package', 'Telkomsel', 'Different', 'friend', 'users',' Telkomsel ',' kebaps', 'person', ' expensive ',' rather than ',' my friend ',' buy ',' package ',' payment ',' pulse ',' Telkomsel ']</v>
      </c>
      <c r="D5584" s="3">
        <v>1.0</v>
      </c>
    </row>
    <row r="5585" ht="15.75" customHeight="1">
      <c r="A5585" s="1">
        <v>6004.0</v>
      </c>
      <c r="B5585" s="3" t="s">
        <v>5409</v>
      </c>
      <c r="C5585" s="3" t="str">
        <f>IFERROR(__xludf.DUMMYFUNCTION("GOOGLETRANSLATE(B5585,""id"",""en"")"),"['Telkomsen', 'Burikkk', 'Price', 'Expensive', 'Signal', 'BURIK', 'Bankrupt']")</f>
        <v>['Telkomsen', 'Burikkk', 'Price', 'Expensive', 'Signal', 'BURIK', 'Bankrupt']</v>
      </c>
      <c r="D5585" s="3">
        <v>1.0</v>
      </c>
    </row>
    <row r="5586" ht="15.75" customHeight="1">
      <c r="A5586" s="1">
        <v>6005.0</v>
      </c>
      <c r="B5586" s="3" t="s">
        <v>5410</v>
      </c>
      <c r="C5586" s="3" t="str">
        <f>IFERROR(__xludf.DUMMYFUNCTION("GOOGLETRANSLATE(B5586,""id"",""en"")"),"['easy', 'application', 'runs', '']")</f>
        <v>['easy', 'application', 'runs', '']</v>
      </c>
      <c r="D5586" s="3">
        <v>5.0</v>
      </c>
    </row>
    <row r="5587" ht="15.75" customHeight="1">
      <c r="A5587" s="1">
        <v>6006.0</v>
      </c>
      <c r="B5587" s="3" t="s">
        <v>5411</v>
      </c>
      <c r="C5587" s="3" t="str">
        <f>IFERROR(__xludf.DUMMYFUNCTION("GOOGLETRANSLATE(B5587,""id"",""en"")"),"['Please', 'Telkomsel', 'Benerin', 'The network', 'skrng', 'noon', 'towards',' afternoon ',' like ',' missing ',' missing ',' signal ',' Padahl ',' sefulum ',' kyk ',' gini ',' kyk ',' gini ',' mending ',' replace ',' card ']")</f>
        <v>['Please', 'Telkomsel', 'Benerin', 'The network', 'skrng', 'noon', 'towards',' afternoon ',' like ',' missing ',' missing ',' signal ',' Padahl ',' sefulum ',' kyk ',' gini ',' kyk ',' gini ',' mending ',' replace ',' card ']</v>
      </c>
      <c r="D5587" s="3">
        <v>1.0</v>
      </c>
    </row>
    <row r="5588" ht="15.75" customHeight="1">
      <c r="A5588" s="1">
        <v>6007.0</v>
      </c>
      <c r="B5588" s="3" t="s">
        <v>5412</v>
      </c>
      <c r="C5588" s="3" t="str">
        <f>IFERROR(__xludf.DUMMYFUNCTION("GOOGLETRANSLATE(B5588,""id"",""en"")"),"['Telkomsel', 'serving', 'complaints',' buy ',' quota ',' via ',' pay ',' digital ',' balance ',' reduced ',' package ',' activated ',' used ',' accept ',' notification ',' Telkomsel ',' balance ',' reduced ',' according to ',' price ',' package ',' tsb '"&amp;",' please ',' followed up ',' please ' , 'Activate', 'Paketan', 'Minimal', 'Restore', 'Balance', 'Issued', 'Purchase', 'Package', 'Trying', 'Contact', 'Via', 'Veronica', ' Gmail ']")</f>
        <v>['Telkomsel', 'serving', 'complaints',' buy ',' quota ',' via ',' pay ',' digital ',' balance ',' reduced ',' package ',' activated ',' used ',' accept ',' notification ',' Telkomsel ',' balance ',' reduced ',' according to ',' price ',' package ',' tsb ',' please ',' followed up ',' please ' , 'Activate', 'Paketan', 'Minimal', 'Restore', 'Balance', 'Issued', 'Purchase', 'Package', 'Trying', 'Contact', 'Via', 'Veronica', ' Gmail ']</v>
      </c>
      <c r="D5588" s="3">
        <v>5.0</v>
      </c>
    </row>
    <row r="5589" ht="15.75" customHeight="1">
      <c r="A5589" s="1">
        <v>6009.0</v>
      </c>
      <c r="B5589" s="3" t="s">
        <v>5413</v>
      </c>
      <c r="C5589" s="3" t="str">
        <f>IFERROR(__xludf.DUMMYFUNCTION("GOOGLETRANSLATE(B5589,""id"",""en"")"),"['Dear', 'Telkomsel', 'signal', 'stable', 'repairs', 'network']")</f>
        <v>['Dear', 'Telkomsel', 'signal', 'stable', 'repairs', 'network']</v>
      </c>
      <c r="D5589" s="3">
        <v>1.0</v>
      </c>
    </row>
    <row r="5590" ht="15.75" customHeight="1">
      <c r="A5590" s="1">
        <v>6010.0</v>
      </c>
      <c r="B5590" s="3" t="s">
        <v>5414</v>
      </c>
      <c r="C5590" s="3" t="str">
        <f>IFERROR(__xludf.DUMMYFUNCTION("GOOGLETRANSLATE(B5590,""id"",""en"")"),"['', 'loyal', 'Telkomsel']")</f>
        <v>['', 'loyal', 'Telkomsel']</v>
      </c>
      <c r="D5590" s="3">
        <v>5.0</v>
      </c>
    </row>
    <row r="5591" ht="15.75" customHeight="1">
      <c r="A5591" s="1">
        <v>6011.0</v>
      </c>
      <c r="B5591" s="3" t="s">
        <v>5415</v>
      </c>
      <c r="C5591" s="3" t="str">
        <f>IFERROR(__xludf.DUMMYFUNCTION("GOOGLETRANSLATE(B5591,""id"",""en"")"),"['', 'Telkomsel', 'Sangt', 'bngus', 'reach', 'Luan', 'internet', 'mna', 'msuk']")</f>
        <v>['', 'Telkomsel', 'Sangt', 'bngus', 'reach', 'Luan', 'internet', 'mna', 'msuk']</v>
      </c>
      <c r="D5591" s="3">
        <v>5.0</v>
      </c>
    </row>
    <row r="5592" ht="15.75" customHeight="1">
      <c r="A5592" s="1">
        <v>6012.0</v>
      </c>
      <c r="B5592" s="3" t="s">
        <v>5416</v>
      </c>
      <c r="C5592" s="3" t="str">
        <f>IFERROR(__xludf.DUMMYFUNCTION("GOOGLETRANSLATE(B5592,""id"",""en"")"),"['Application', 'MyTelkomsel', 'Good', 'Easy', 'Event', 'Dancing', 'Ayoo', 'Download', 'Feel']")</f>
        <v>['Application', 'MyTelkomsel', 'Good', 'Easy', 'Event', 'Dancing', 'Ayoo', 'Download', 'Feel']</v>
      </c>
      <c r="D5592" s="3">
        <v>5.0</v>
      </c>
    </row>
    <row r="5593" ht="15.75" customHeight="1">
      <c r="A5593" s="1">
        <v>6013.0</v>
      </c>
      <c r="B5593" s="3" t="s">
        <v>5417</v>
      </c>
      <c r="C5593" s="3" t="str">
        <f>IFERROR(__xludf.DUMMYFUNCTION("GOOGLETRANSLATE(B5593,""id"",""en"")"),"['agree', 'baraqallah', 'amien']")</f>
        <v>['agree', 'baraqallah', 'amien']</v>
      </c>
      <c r="D5593" s="3">
        <v>5.0</v>
      </c>
    </row>
    <row r="5594" ht="15.75" customHeight="1">
      <c r="A5594" s="1">
        <v>6015.0</v>
      </c>
      <c r="B5594" s="3" t="s">
        <v>5418</v>
      </c>
      <c r="C5594" s="3" t="str">
        <f>IFERROR(__xludf.DUMMYFUNCTION("GOOGLETRANSLATE(B5594,""id"",""en"")"),"['gini', 'here', 'Telkomsel', 'credit', 'run out', 'that's',' package ',' active ',' lost ',' so ',' point ',' buy ',' Credit ',' Severe ',' Waras', 'Main', '']")</f>
        <v>['gini', 'here', 'Telkomsel', 'credit', 'run out', 'that's',' package ',' active ',' lost ',' so ',' point ',' buy ',' Credit ',' Severe ',' Waras', 'Main', '']</v>
      </c>
      <c r="D5594" s="3">
        <v>1.0</v>
      </c>
    </row>
    <row r="5595" ht="15.75" customHeight="1">
      <c r="A5595" s="1">
        <v>6016.0</v>
      </c>
      <c r="B5595" s="3" t="s">
        <v>5419</v>
      </c>
      <c r="C5595" s="3" t="str">
        <f>IFERROR(__xludf.DUMMYFUNCTION("GOOGLETRANSLATE(B5595,""id"",""en"")"),"['The application', 'easy', 'cheap', 'price', 'quotanya']")</f>
        <v>['The application', 'easy', 'cheap', 'price', 'quotanya']</v>
      </c>
      <c r="D5595" s="3">
        <v>5.0</v>
      </c>
    </row>
    <row r="5596" ht="15.75" customHeight="1">
      <c r="A5596" s="1">
        <v>6017.0</v>
      </c>
      <c r="B5596" s="3" t="s">
        <v>5420</v>
      </c>
      <c r="C5596" s="3" t="str">
        <f>IFERROR(__xludf.DUMMYFUNCTION("GOOGLETRANSLATE(B5596,""id"",""en"")"),"['Internet', 'Telkomsel', 'here', 'Leet', 'Customer', 'Disappointed', 'Mending', 'Move', 'Provider', 'Cheap', 'Good']")</f>
        <v>['Internet', 'Telkomsel', 'here', 'Leet', 'Customer', 'Disappointed', 'Mending', 'Move', 'Provider', 'Cheap', 'Good']</v>
      </c>
      <c r="D5596" s="3">
        <v>1.0</v>
      </c>
    </row>
    <row r="5597" ht="15.75" customHeight="1">
      <c r="A5597" s="1">
        <v>6018.0</v>
      </c>
      <c r="B5597" s="3" t="s">
        <v>5421</v>
      </c>
      <c r="C5597" s="3" t="str">
        <f>IFERROR(__xludf.DUMMYFUNCTION("GOOGLETRANSLATE(B5597,""id"",""en"")"),"['Lally', 'promo', 'discount']")</f>
        <v>['Lally', 'promo', 'discount']</v>
      </c>
      <c r="D5597" s="3">
        <v>4.0</v>
      </c>
    </row>
    <row r="5598" ht="15.75" customHeight="1">
      <c r="A5598" s="1">
        <v>6019.0</v>
      </c>
      <c r="B5598" s="3" t="s">
        <v>5422</v>
      </c>
      <c r="C5598" s="3" t="str">
        <f>IFERROR(__xludf.DUMMYFUNCTION("GOOGLETRANSLATE(B5598,""id"",""en"")"),"['KNPA', 'Telkomsel', 'slow', 'really', 'customers', 'Telkomsel', 'Lho', 'Telkomsel', '']")</f>
        <v>['KNPA', 'Telkomsel', 'slow', 'really', 'customers', 'Telkomsel', 'Lho', 'Telkomsel', '']</v>
      </c>
      <c r="D5598" s="3">
        <v>1.0</v>
      </c>
    </row>
    <row r="5599" ht="15.75" customHeight="1">
      <c r="A5599" s="1">
        <v>6020.0</v>
      </c>
      <c r="B5599" s="3" t="s">
        <v>5423</v>
      </c>
      <c r="C5599" s="3" t="str">
        <f>IFERROR(__xludf.DUMMYFUNCTION("GOOGLETRANSLATE(B5599,""id"",""en"")"),"['Package', 'Doang', 'expensive', 'signal', 'bad', 'boss']")</f>
        <v>['Package', 'Doang', 'expensive', 'signal', 'bad', 'boss']</v>
      </c>
      <c r="D5599" s="3">
        <v>1.0</v>
      </c>
    </row>
    <row r="5600" ht="15.75" customHeight="1">
      <c r="A5600" s="1">
        <v>6022.0</v>
      </c>
      <c r="B5600" s="3" t="s">
        <v>5424</v>
      </c>
      <c r="C5600" s="3" t="str">
        <f>IFERROR(__xludf.DUMMYFUNCTION("GOOGLETRANSLATE(B5600,""id"",""en"")"),"['era', 'Bahula', 'Telkomsel', 'SLLU', 'Sllu', 'Network', 'TPI', 'here', 'lose', 'competitiveness',' location ',' Tower ',' Tlonglah ',' ']")</f>
        <v>['era', 'Bahula', 'Telkomsel', 'SLLU', 'Sllu', 'Network', 'TPI', 'here', 'lose', 'competitiveness',' location ',' Tower ',' Tlonglah ',' ']</v>
      </c>
      <c r="D5600" s="3">
        <v>3.0</v>
      </c>
    </row>
    <row r="5601" ht="15.75" customHeight="1">
      <c r="A5601" s="1">
        <v>6023.0</v>
      </c>
      <c r="B5601" s="3" t="s">
        <v>5425</v>
      </c>
      <c r="C5601" s="3" t="str">
        <f>IFERROR(__xludf.DUMMYFUNCTION("GOOGLETRANSLATE(B5601,""id"",""en"")"),"['please', 'Telkomsel', 'make itin', 'feature', 'key', 'pulse', 'rich', 'operator', 'neighbor', 'pulse', 'no', 'ilang']")</f>
        <v>['please', 'Telkomsel', 'make itin', 'feature', 'key', 'pulse', 'rich', 'operator', 'neighbor', 'pulse', 'no', 'ilang']</v>
      </c>
      <c r="D5601" s="3">
        <v>1.0</v>
      </c>
    </row>
    <row r="5602" ht="15.75" customHeight="1">
      <c r="A5602" s="1">
        <v>6024.0</v>
      </c>
      <c r="B5602" s="3" t="s">
        <v>5426</v>
      </c>
      <c r="C5602" s="3" t="str">
        <f>IFERROR(__xludf.DUMMYFUNCTION("GOOGLETRANSLATE(B5602,""id"",""en"")"),"['Call', 'expensive']")</f>
        <v>['Call', 'expensive']</v>
      </c>
      <c r="D5602" s="3">
        <v>5.0</v>
      </c>
    </row>
    <row r="5603" ht="15.75" customHeight="1">
      <c r="A5603" s="1">
        <v>6025.0</v>
      </c>
      <c r="B5603" s="3" t="s">
        <v>5427</v>
      </c>
      <c r="C5603" s="3" t="str">
        <f>IFERROR(__xludf.DUMMYFUNCTION("GOOGLETRANSLATE(B5603,""id"",""en"")"),"['fast', 'service']")</f>
        <v>['fast', 'service']</v>
      </c>
      <c r="D5603" s="3">
        <v>5.0</v>
      </c>
    </row>
    <row r="5604" ht="15.75" customHeight="1">
      <c r="A5604" s="1">
        <v>6026.0</v>
      </c>
      <c r="B5604" s="3" t="s">
        <v>5428</v>
      </c>
      <c r="C5604" s="3" t="str">
        <f>IFERROR(__xludf.DUMMYFUNCTION("GOOGLETRANSLATE(B5604,""id"",""en"")"),"['Help', 'quota', 'remaining', 'active', 'price', 'type', 'package', 'promo', 'interesting', 'unfortunately', 'run out', 'active', ' price ',' type ',' package ',' according to ',' need ']")</f>
        <v>['Help', 'quota', 'remaining', 'active', 'price', 'type', 'package', 'promo', 'interesting', 'unfortunately', 'run out', 'active', ' price ',' type ',' package ',' according to ',' need ']</v>
      </c>
      <c r="D5604" s="3">
        <v>5.0</v>
      </c>
    </row>
    <row r="5605" ht="15.75" customHeight="1">
      <c r="A5605" s="1">
        <v>6027.0</v>
      </c>
      <c r="B5605" s="3" t="s">
        <v>5429</v>
      </c>
      <c r="C5605" s="3" t="str">
        <f>IFERROR(__xludf.DUMMYFUNCTION("GOOGLETRANSLATE(B5605,""id"",""en"")"),"['Support', 'Android', 'Kah', '']")</f>
        <v>['Support', 'Android', 'Kah', '']</v>
      </c>
      <c r="D5605" s="3">
        <v>5.0</v>
      </c>
    </row>
    <row r="5606" ht="15.75" customHeight="1">
      <c r="A5606" s="1">
        <v>6029.0</v>
      </c>
      <c r="B5606" s="3" t="s">
        <v>5430</v>
      </c>
      <c r="C5606" s="3" t="str">
        <f>IFERROR(__xludf.DUMMYFUNCTION("GOOGLETRANSLATE(B5606,""id"",""en"")"),"['love', 'star', 'minus', 'love', 'star', 'minus', 'deh', 'useful', 'useless', ""]")</f>
        <v>['love', 'star', 'minus', 'love', 'star', 'minus', 'deh', 'useful', 'useless', "]</v>
      </c>
      <c r="D5606" s="3">
        <v>1.0</v>
      </c>
    </row>
    <row r="5607" ht="15.75" customHeight="1">
      <c r="A5607" s="1">
        <v>6030.0</v>
      </c>
      <c r="B5607" s="3" t="s">
        <v>5431</v>
      </c>
      <c r="C5607" s="3" t="str">
        <f>IFERROR(__xludf.DUMMYFUNCTION("GOOGLETRANSLATE(B5607,""id"",""en"")"),"['Telkomsel', 'really']")</f>
        <v>['Telkomsel', 'really']</v>
      </c>
      <c r="D5607" s="3">
        <v>5.0</v>
      </c>
    </row>
    <row r="5608" ht="15.75" customHeight="1">
      <c r="A5608" s="1">
        <v>6031.0</v>
      </c>
      <c r="B5608" s="3" t="s">
        <v>5432</v>
      </c>
      <c r="C5608" s="3" t="str">
        <f>IFERROR(__xludf.DUMMYFUNCTION("GOOGLETRANSLATE(B5608,""id"",""en"")"),"['Yesterday', 'chat', 'APK', 'complaints',' purchase ',' quota ',' respond ',' told ',' wait ',' clock ',' confirm ',' contact ',' hours', 'contact', 'need', 'certainty', 'quota', 'internet', 'needed', 'disappointed', 'response', 'customer', 'servicenya',"&amp;" 'rich', 'gini' , 'move', '']")</f>
        <v>['Yesterday', 'chat', 'APK', 'complaints',' purchase ',' quota ',' respond ',' told ',' wait ',' clock ',' confirm ',' contact ',' hours', 'contact', 'need', 'certainty', 'quota', 'internet', 'needed', 'disappointed', 'response', 'customer', 'servicenya', 'rich', 'gini' , 'move', '']</v>
      </c>
      <c r="D5608" s="3">
        <v>1.0</v>
      </c>
    </row>
    <row r="5609" ht="15.75" customHeight="1">
      <c r="A5609" s="1">
        <v>6032.0</v>
      </c>
      <c r="B5609" s="3" t="s">
        <v>5433</v>
      </c>
      <c r="C5609" s="3" t="str">
        <f>IFERROR(__xludf.DUMMYFUNCTION("GOOGLETRANSLATE(B5609,""id"",""en"")"),"['Telkomsel', 'followed', 'ugly', 'kek', 'network', 'card', 'next door', 'gini', 'yesterday', 'network', 'Telkomsel', 'ugly', ' Follow out ',' practicum ',' failed ',' please ',' repaired ',' The network ',' Telkomsel ',' Region ',' Kelesa ',' Riau ', ""]")</f>
        <v>['Telkomsel', 'followed', 'ugly', 'kek', 'network', 'card', 'next door', 'gini', 'yesterday', 'network', 'Telkomsel', 'ugly', ' Follow out ',' practicum ',' failed ',' please ',' repaired ',' The network ',' Telkomsel ',' Region ',' Kelesa ',' Riau ', "]</v>
      </c>
      <c r="D5609" s="3">
        <v>1.0</v>
      </c>
    </row>
    <row r="5610" ht="15.75" customHeight="1">
      <c r="A5610" s="1">
        <v>6033.0</v>
      </c>
      <c r="B5610" s="3" t="s">
        <v>169</v>
      </c>
      <c r="C5610" s="3" t="str">
        <f>IFERROR(__xludf.DUMMYFUNCTION("GOOGLETRANSLATE(B5610,""id"",""en"")"),"['signal', 'slow']")</f>
        <v>['signal', 'slow']</v>
      </c>
      <c r="D5610" s="3">
        <v>1.0</v>
      </c>
    </row>
    <row r="5611" ht="15.75" customHeight="1">
      <c r="A5611" s="1">
        <v>6034.0</v>
      </c>
      <c r="B5611" s="3" t="s">
        <v>5434</v>
      </c>
      <c r="C5611" s="3" t="str">
        <f>IFERROR(__xludf.DUMMYFUNCTION("GOOGLETRANSLATE(B5611,""id"",""en"")"),"['Telkomsel', 'ngecire', 'bngt', 'filen', 'trs',' card ',' pulse ',' active ',' abis', 'internet', 'card', 'TPI', ' KOQ ',' Credit ',' Telkomsel ',' Sumpot ',' TRS ',' JLS ',' Card ',' Telkomsel ',' CMN ',' Trima ',' Phone ',' Doang ',' Already ' , 'Annua"&amp;"l', 'replace', 'NMR', 'TPI', 'here', 'BERES', 'Telkomsel']")</f>
        <v>['Telkomsel', 'ngecire', 'bngt', 'filen', 'trs',' card ',' pulse ',' active ',' abis', 'internet', 'card', 'TPI', ' KOQ ',' Credit ',' Telkomsel ',' Sumpot ',' TRS ',' JLS ',' Card ',' Telkomsel ',' CMN ',' Trima ',' Phone ',' Doang ',' Already ' , 'Annual', 'replace', 'NMR', 'TPI', 'here', 'BERES', 'Telkomsel']</v>
      </c>
      <c r="D5611" s="3">
        <v>1.0</v>
      </c>
    </row>
    <row r="5612" ht="15.75" customHeight="1">
      <c r="A5612" s="1">
        <v>6035.0</v>
      </c>
      <c r="B5612" s="3" t="s">
        <v>5435</v>
      </c>
      <c r="C5612" s="3" t="str">
        <f>IFERROR(__xludf.DUMMYFUNCTION("GOOGLETRANSLATE(B5612,""id"",""en"")"),"['Hopefully', 'Good', 'Network', 'Telkomsel']")</f>
        <v>['Hopefully', 'Good', 'Network', 'Telkomsel']</v>
      </c>
      <c r="D5612" s="3">
        <v>5.0</v>
      </c>
    </row>
    <row r="5613" ht="15.75" customHeight="1">
      <c r="A5613" s="1">
        <v>6036.0</v>
      </c>
      <c r="B5613" s="3" t="s">
        <v>5436</v>
      </c>
      <c r="C5613" s="3" t="str">
        <f>IFERROR(__xludf.DUMMYFUNCTION("GOOGLETRANSLATE(B5613,""id"",""en"")"),"['Steady', 'hopefully', 'champion']")</f>
        <v>['Steady', 'hopefully', 'champion']</v>
      </c>
      <c r="D5613" s="3">
        <v>5.0</v>
      </c>
    </row>
    <row r="5614" ht="15.75" customHeight="1">
      <c r="A5614" s="1">
        <v>6037.0</v>
      </c>
      <c r="B5614" s="3" t="s">
        <v>5437</v>
      </c>
      <c r="C5614" s="3" t="str">
        <f>IFERROR(__xludf.DUMMYFUNCTION("GOOGLETRANSLATE(B5614,""id"",""en"")"),"['Alhamdulillah', 'application', 'buy', 'package', 'cheap']")</f>
        <v>['Alhamdulillah', 'application', 'buy', 'package', 'cheap']</v>
      </c>
      <c r="D5614" s="3">
        <v>3.0</v>
      </c>
    </row>
    <row r="5615" ht="15.75" customHeight="1">
      <c r="A5615" s="1">
        <v>6038.0</v>
      </c>
      <c r="B5615" s="3" t="s">
        <v>5438</v>
      </c>
      <c r="C5615" s="3" t="str">
        <f>IFERROR(__xludf.DUMMYFUNCTION("GOOGLETRANSLATE(B5615,""id"",""en"")"),"['signal', 'region', 'Dragus',' intend ',' improve ',' signal ',' loyal ',' move ',' card ',' already ',' expensive ',' signal ',' ugly ',' ngak ',' satisfying ']")</f>
        <v>['signal', 'region', 'Dragus',' intend ',' improve ',' signal ',' loyal ',' move ',' card ',' already ',' expensive ',' signal ',' ugly ',' ngak ',' satisfying ']</v>
      </c>
      <c r="D5615" s="3">
        <v>1.0</v>
      </c>
    </row>
    <row r="5616" ht="15.75" customHeight="1">
      <c r="A5616" s="1">
        <v>6039.0</v>
      </c>
      <c r="B5616" s="3" t="s">
        <v>5439</v>
      </c>
      <c r="C5616" s="3" t="str">
        <f>IFERROR(__xludf.DUMMYFUNCTION("GOOGLETRANSLATE(B5616,""id"",""en"")"),"['Package', 'leftover', 'GB', 'pulse', 'leftover', 'thousand', 'right', 'open', 'apk', 'gmeet', 'pulse', 'takeup', ' The rest ',' Jdi ',' thousand ',' use ',' buy ',' package ',' many years', 'make', 'Telkomsel', 'please', 'pulses',' take ',' ']")</f>
        <v>['Package', 'leftover', 'GB', 'pulse', 'leftover', 'thousand', 'right', 'open', 'apk', 'gmeet', 'pulse', 'takeup', ' The rest ',' Jdi ',' thousand ',' use ',' buy ',' package ',' many years', 'make', 'Telkomsel', 'please', 'pulses',' take ',' ']</v>
      </c>
      <c r="D5616" s="3">
        <v>1.0</v>
      </c>
    </row>
    <row r="5617" ht="15.75" customHeight="1">
      <c r="A5617" s="1">
        <v>6040.0</v>
      </c>
      <c r="B5617" s="3" t="s">
        <v>5440</v>
      </c>
      <c r="C5617" s="3" t="str">
        <f>IFERROR(__xludf.DUMMYFUNCTION("GOOGLETRANSLATE(B5617,""id"",""en"")"),"['package', 'data', 'expensive', 'network', 'internet', 'bad', 'slow', 'forgiveness',' night ',' smooth ',' connection ',' clock ',' Such is', 'Doang', 'Current', 'Wktu', 'Org', 'Sleep', 'Stupid', 'Activity', 'Internet', 'Morning', 'Afternoon', 'Disturbed"&amp;"', 'Card' , 'service', 'bad', 'compare', 'card', 'mending', 'like', 'card', 'signal', 'sometimes',' like ',' lost ',' connection ',' Stable ',' remote ',' village ',' skali ']")</f>
        <v>['package', 'data', 'expensive', 'network', 'internet', 'bad', 'slow', 'forgiveness',' night ',' smooth ',' connection ',' clock ',' Such is', 'Doang', 'Current', 'Wktu', 'Org', 'Sleep', 'Stupid', 'Activity', 'Internet', 'Morning', 'Afternoon', 'Disturbed', 'Card' , 'service', 'bad', 'compare', 'card', 'mending', 'like', 'card', 'signal', 'sometimes',' like ',' lost ',' connection ',' Stable ',' remote ',' village ',' skali ']</v>
      </c>
      <c r="D5617" s="3">
        <v>1.0</v>
      </c>
    </row>
    <row r="5618" ht="15.75" customHeight="1">
      <c r="A5618" s="1">
        <v>6041.0</v>
      </c>
      <c r="B5618" s="3" t="s">
        <v>5441</v>
      </c>
      <c r="C5618" s="3" t="str">
        <f>IFERROR(__xludf.DUMMYFUNCTION("GOOGLETRANSLATE(B5618,""id"",""en"")"),"['', 'Love', 'Bintang', 'Dlu', 'Telkomsel', 'Karna', 'Network', 'Bad', 'Enter', 'Telkomsel', 'Ribet', 'really', 'hope ',' As soon as possible, 'The network', 'Thank you', ""]")</f>
        <v>['', 'Love', 'Bintang', 'Dlu', 'Telkomsel', 'Karna', 'Network', 'Bad', 'Enter', 'Telkomsel', 'Ribet', 'really', 'hope ',' As soon as possible, 'The network', 'Thank you', "]</v>
      </c>
      <c r="D5618" s="3">
        <v>1.0</v>
      </c>
    </row>
    <row r="5619" ht="15.75" customHeight="1">
      <c r="A5619" s="1">
        <v>6042.0</v>
      </c>
      <c r="B5619" s="3" t="s">
        <v>5442</v>
      </c>
      <c r="C5619" s="3" t="str">
        <f>IFERROR(__xludf.DUMMYFUNCTION("GOOGLETRANSLATE(B5619,""id"",""en"")"),"['Benerin', 'Network', 'sleep', 'Mulu', 'lol']")</f>
        <v>['Benerin', 'Network', 'sleep', 'Mulu', 'lol']</v>
      </c>
      <c r="D5619" s="3">
        <v>1.0</v>
      </c>
    </row>
    <row r="5620" ht="15.75" customHeight="1">
      <c r="A5620" s="1">
        <v>6043.0</v>
      </c>
      <c r="B5620" s="3" t="s">
        <v>5443</v>
      </c>
      <c r="C5620" s="3" t="str">
        <f>IFERROR(__xludf.DUMMYFUNCTION("GOOGLETRANSLATE(B5620,""id"",""en"")"),"['signal', 'telkom', 'sekrg', 'can', 'ngeta', 'ngepain', '']")</f>
        <v>['signal', 'telkom', 'sekrg', 'can', 'ngeta', 'ngepain', '']</v>
      </c>
      <c r="D5620" s="3">
        <v>1.0</v>
      </c>
    </row>
    <row r="5621" ht="15.75" customHeight="1">
      <c r="A5621" s="1">
        <v>6044.0</v>
      </c>
      <c r="B5621" s="3" t="s">
        <v>5444</v>
      </c>
      <c r="C5621" s="3" t="str">
        <f>IFERROR(__xludf.DUMMYFUNCTION("GOOGLETRANSLATE(B5621,""id"",""en"")"),"['Telkomsel', 'Package', 'Giganet', 'Different', 'Price']")</f>
        <v>['Telkomsel', 'Package', 'Giganet', 'Different', 'Price']</v>
      </c>
      <c r="D5621" s="3">
        <v>1.0</v>
      </c>
    </row>
    <row r="5622" ht="15.75" customHeight="1">
      <c r="A5622" s="1">
        <v>6045.0</v>
      </c>
      <c r="B5622" s="3" t="s">
        <v>5445</v>
      </c>
      <c r="C5622" s="3" t="str">
        <f>IFERROR(__xludf.DUMMYFUNCTION("GOOGLETRANSLATE(B5622,""id"",""en"")"),"['fast']")</f>
        <v>['fast']</v>
      </c>
      <c r="D5622" s="3">
        <v>5.0</v>
      </c>
    </row>
    <row r="5623" ht="15.75" customHeight="1">
      <c r="A5623" s="1">
        <v>6046.0</v>
      </c>
      <c r="B5623" s="3" t="s">
        <v>5446</v>
      </c>
      <c r="C5623" s="3" t="str">
        <f>IFERROR(__xludf.DUMMYFUNCTION("GOOGLETRANSLATE(B5623,""id"",""en"")"),"['', 'KNP', 'HRI', 'ugly', 'network', 'Telkomsel', 'moved', 'operator', 'fix', 'network', 'pelangan', 'Telkomsel', 'disappointed ',' heavy ',' trs', 'network', 'Telkomsel', 'ugly', 'baget', ""]")</f>
        <v>['', 'KNP', 'HRI', 'ugly', 'network', 'Telkomsel', 'moved', 'operator', 'fix', 'network', 'pelangan', 'Telkomsel', 'disappointed ',' heavy ',' trs', 'network', 'Telkomsel', 'ugly', 'baget', "]</v>
      </c>
      <c r="D5623" s="3">
        <v>1.0</v>
      </c>
    </row>
    <row r="5624" ht="15.75" customHeight="1">
      <c r="A5624" s="1">
        <v>6047.0</v>
      </c>
      <c r="B5624" s="3" t="s">
        <v>5447</v>
      </c>
      <c r="C5624" s="3" t="str">
        <f>IFERROR(__xludf.DUMMYFUNCTION("GOOGLETRANSLATE(B5624,""id"",""en"")"),"['Maap', 'System', 'Busy', 'That's', 'Saapi', 'Activity', 'Jeruku', '']")</f>
        <v>['Maap', 'System', 'Busy', 'That's', 'Saapi', 'Activity', 'Jeruku', '']</v>
      </c>
      <c r="D5624" s="3">
        <v>1.0</v>
      </c>
    </row>
    <row r="5625" ht="15.75" customHeight="1">
      <c r="A5625" s="1">
        <v>6048.0</v>
      </c>
      <c r="B5625" s="3" t="s">
        <v>5448</v>
      </c>
      <c r="C5625" s="3" t="str">
        <f>IFERROR(__xludf.DUMMYFUNCTION("GOOGLETRANSLATE(B5625,""id"",""en"")"),"['TOP', 'Kayak', 'usually']")</f>
        <v>['TOP', 'Kayak', 'usually']</v>
      </c>
      <c r="D5625" s="3">
        <v>1.0</v>
      </c>
    </row>
    <row r="5626" ht="15.75" customHeight="1">
      <c r="A5626" s="1">
        <v>6049.0</v>
      </c>
      <c r="B5626" s="3" t="s">
        <v>5449</v>
      </c>
      <c r="C5626" s="3" t="str">
        <f>IFERROR(__xludf.DUMMYFUNCTION("GOOGLETRANSLATE(B5626,""id"",""en"")"),"['already', 'disappointed', 'Telkom', 'Telkomsel', 'Provider', 'Dibroch', 'World']")</f>
        <v>['already', 'disappointed', 'Telkom', 'Telkomsel', 'Provider', 'Dibroch', 'World']</v>
      </c>
      <c r="D5626" s="3">
        <v>1.0</v>
      </c>
    </row>
    <row r="5627" ht="15.75" customHeight="1">
      <c r="A5627" s="1">
        <v>6050.0</v>
      </c>
      <c r="B5627" s="3" t="s">
        <v>5450</v>
      </c>
      <c r="C5627" s="3" t="str">
        <f>IFERROR(__xludf.DUMMYFUNCTION("GOOGLETRANSLATE(B5627,""id"",""en"")"),"['Please', 'rank', 'Telkomsel', 'quota', 'main', 'run out', 'connected', 'access',' internet ',' private ',' disappointed ',' pulses', ' run out ',' in a moment ',' access', 'quota', 'run out', 'automatic', 'cut', 'pulse', 'gtu', 'rich', 'service', 'card'"&amp;", 'quota' , 'Out', 'Access', 'Internet', 'Direct', 'Disconnected', 'User', 'Limitation', 'Pekana', 'Buy', 'Package', 'Cut', ""]")</f>
        <v>['Please', 'rank', 'Telkomsel', 'quota', 'main', 'run out', 'connected', 'access',' internet ',' private ',' disappointed ',' pulses', ' run out ',' in a moment ',' access', 'quota', 'run out', 'automatic', 'cut', 'pulse', 'gtu', 'rich', 'service', 'card', 'quota' , 'Out', 'Access', 'Internet', 'Direct', 'Disconnected', 'User', 'Limitation', 'Pekana', 'Buy', 'Package', 'Cut', "]</v>
      </c>
      <c r="D5627" s="3">
        <v>1.0</v>
      </c>
    </row>
    <row r="5628" ht="15.75" customHeight="1">
      <c r="A5628" s="1">
        <v>6051.0</v>
      </c>
      <c r="B5628" s="3" t="s">
        <v>286</v>
      </c>
      <c r="C5628" s="3" t="str">
        <f>IFERROR(__xludf.DUMMYFUNCTION("GOOGLETRANSLATE(B5628,""id"",""en"")"),"['good']")</f>
        <v>['good']</v>
      </c>
      <c r="D5628" s="3">
        <v>5.0</v>
      </c>
    </row>
    <row r="5629" ht="15.75" customHeight="1">
      <c r="A5629" s="1">
        <v>6052.0</v>
      </c>
      <c r="B5629" s="3" t="s">
        <v>5451</v>
      </c>
      <c r="C5629" s="3" t="str">
        <f>IFERROR(__xludf.DUMMYFUNCTION("GOOGLETRANSLATE(B5629,""id"",""en"")"),"['Telkomsel', 'BERES', 'OK', 'PAKETAN', 'Masi', 'Lemot']")</f>
        <v>['Telkomsel', 'BERES', 'OK', 'PAKETAN', 'Masi', 'Lemot']</v>
      </c>
      <c r="D5629" s="3">
        <v>1.0</v>
      </c>
    </row>
    <row r="5630" ht="15.75" customHeight="1">
      <c r="A5630" s="1">
        <v>6053.0</v>
      </c>
      <c r="B5630" s="3" t="s">
        <v>5452</v>
      </c>
      <c r="C5630" s="3" t="str">
        <f>IFERROR(__xludf.DUMMYFUNCTION("GOOGLETRANSLATE(B5630,""id"",""en"")"),"['Network', 'Telkomsel', 'difficult']")</f>
        <v>['Network', 'Telkomsel', 'difficult']</v>
      </c>
      <c r="D5630" s="3">
        <v>1.0</v>
      </c>
    </row>
    <row r="5631" ht="15.75" customHeight="1">
      <c r="A5631" s="1">
        <v>6054.0</v>
      </c>
      <c r="B5631" s="3" t="s">
        <v>5453</v>
      </c>
      <c r="C5631" s="3" t="str">
        <f>IFERROR(__xludf.DUMMYFUNCTION("GOOGLETRANSLATE(B5631,""id"",""en"")"),"['promo', 'garbage', 'kin']")</f>
        <v>['promo', 'garbage', 'kin']</v>
      </c>
      <c r="D5631" s="3">
        <v>1.0</v>
      </c>
    </row>
    <row r="5632" ht="15.75" customHeight="1">
      <c r="A5632" s="1">
        <v>6055.0</v>
      </c>
      <c r="B5632" s="3" t="s">
        <v>5454</v>
      </c>
      <c r="C5632" s="3" t="str">
        <f>IFERROR(__xludf.DUMMYFUNCTION("GOOGLETRANSLATE(B5632,""id"",""en"")"),"['promo', 'grew up', 'quality', 'signal', 'network', 'connection', 'internet', 'repaired', 'bad', 'stay', 'remote', 'rural', ' his employees', 'idiot', 'eat', 'salary', 'blind', ""]")</f>
        <v>['promo', 'grew up', 'quality', 'signal', 'network', 'connection', 'internet', 'repaired', 'bad', 'stay', 'remote', 'rural', ' his employees', 'idiot', 'eat', 'salary', 'blind', "]</v>
      </c>
      <c r="D5632" s="3">
        <v>1.0</v>
      </c>
    </row>
    <row r="5633" ht="15.75" customHeight="1">
      <c r="A5633" s="1">
        <v>6056.0</v>
      </c>
      <c r="B5633" s="3" t="s">
        <v>5455</v>
      </c>
      <c r="C5633" s="3" t="str">
        <f>IFERROR(__xludf.DUMMYFUNCTION("GOOGLETRANSLATE(B5633,""id"",""en"")"),"['Practical', '']")</f>
        <v>['Practical', '']</v>
      </c>
      <c r="D5633" s="3">
        <v>4.0</v>
      </c>
    </row>
    <row r="5634" ht="15.75" customHeight="1">
      <c r="A5634" s="1">
        <v>6057.0</v>
      </c>
      <c r="B5634" s="3" t="s">
        <v>5456</v>
      </c>
      <c r="C5634" s="3" t="str">
        <f>IFERROR(__xludf.DUMMYFUNCTION("GOOGLETRANSLATE(B5634,""id"",""en"")"),"['Severe', 'App', 'Crypto', 'semalem', 'no', 'Open', 'Merugi', ""]")</f>
        <v>['Severe', 'App', 'Crypto', 'semalem', 'no', 'Open', 'Merugi', "]</v>
      </c>
      <c r="D5634" s="3">
        <v>1.0</v>
      </c>
    </row>
    <row r="5635" ht="15.75" customHeight="1">
      <c r="A5635" s="1">
        <v>6058.0</v>
      </c>
      <c r="B5635" s="3" t="s">
        <v>5457</v>
      </c>
      <c r="C5635" s="3" t="str">
        <f>IFERROR(__xludf.DUMMYFUNCTION("GOOGLETRANSLATE(B5635,""id"",""en"")"),"['signal', 'replace', 'operator', 'next door', 'use', 'Telkomsel', 'satisfied']")</f>
        <v>['signal', 'replace', 'operator', 'next door', 'use', 'Telkomsel', 'satisfied']</v>
      </c>
      <c r="D5635" s="3">
        <v>1.0</v>
      </c>
    </row>
    <row r="5636" ht="15.75" customHeight="1">
      <c r="A5636" s="1">
        <v>6059.0</v>
      </c>
      <c r="B5636" s="3" t="s">
        <v>5458</v>
      </c>
      <c r="C5636" s="3" t="str">
        <f>IFERROR(__xludf.DUMMYFUNCTION("GOOGLETRANSLATE(B5636,""id"",""en"")"),"['Telkomsel', 'Sousal', 'bapuk', 'knp', 'nggk', 'moved', 'shares']")</f>
        <v>['Telkomsel', 'Sousal', 'bapuk', 'knp', 'nggk', 'moved', 'shares']</v>
      </c>
      <c r="D5636" s="3">
        <v>1.0</v>
      </c>
    </row>
    <row r="5637" ht="15.75" customHeight="1">
      <c r="A5637" s="1">
        <v>6060.0</v>
      </c>
      <c r="B5637" s="3" t="s">
        <v>158</v>
      </c>
      <c r="C5637" s="3" t="str">
        <f>IFERROR(__xludf.DUMMYFUNCTION("GOOGLETRANSLATE(B5637,""id"",""en"")"),"['expensive']")</f>
        <v>['expensive']</v>
      </c>
      <c r="D5637" s="3">
        <v>1.0</v>
      </c>
    </row>
    <row r="5638" ht="15.75" customHeight="1">
      <c r="A5638" s="1">
        <v>6061.0</v>
      </c>
      <c r="B5638" s="3" t="s">
        <v>5459</v>
      </c>
      <c r="C5638" s="3" t="str">
        <f>IFERROR(__xludf.DUMMYFUNCTION("GOOGLETRANSLATE(B5638,""id"",""en"")"),"['Please', 'complaints',' responded ',' purchase ',' package ',' method ',' payment ',' shoope ',' pay ',' waiting ',' clock ',' accept ',' The quota ']")</f>
        <v>['Please', 'complaints',' responded ',' purchase ',' package ',' method ',' payment ',' shoope ',' pay ',' waiting ',' clock ',' accept ',' The quota ']</v>
      </c>
      <c r="D5638" s="3">
        <v>1.0</v>
      </c>
    </row>
    <row r="5639" ht="15.75" customHeight="1">
      <c r="A5639" s="1">
        <v>6062.0</v>
      </c>
      <c r="B5639" s="3" t="s">
        <v>5460</v>
      </c>
      <c r="C5639" s="3" t="str">
        <f>IFERROR(__xludf.DUMMYFUNCTION("GOOGLETRANSLATE(B5639,""id"",""en"")"),"['BERES', 'connection', 'internet', 'Telkomsel', 'ping', 'down', 'open', 'application', 'slow', 'response', 'complaint', 'reply', ' Boot ',' disappointing ',' complaints', 'Change', '']")</f>
        <v>['BERES', 'connection', 'internet', 'Telkomsel', 'ping', 'down', 'open', 'application', 'slow', 'response', 'complaint', 'reply', ' Boot ',' disappointing ',' complaints', 'Change', '']</v>
      </c>
      <c r="D5639" s="3">
        <v>1.0</v>
      </c>
    </row>
    <row r="5640" ht="15.75" customHeight="1">
      <c r="A5640" s="1">
        <v>6063.0</v>
      </c>
      <c r="B5640" s="3" t="s">
        <v>409</v>
      </c>
      <c r="C5640" s="3" t="str">
        <f>IFERROR(__xludf.DUMMYFUNCTION("GOOGLETRANSLATE(B5640,""id"",""en"")"),"['easy']")</f>
        <v>['easy']</v>
      </c>
      <c r="D5640" s="3">
        <v>5.0</v>
      </c>
    </row>
    <row r="5641" ht="15.75" customHeight="1">
      <c r="A5641" s="1">
        <v>6064.0</v>
      </c>
      <c r="B5641" s="3" t="s">
        <v>5461</v>
      </c>
      <c r="C5641" s="3" t="str">
        <f>IFERROR(__xludf.DUMMYFUNCTION("GOOGLETRANSLATE(B5641,""id"",""en"")"),"['expensive', 'ajaa']")</f>
        <v>['expensive', 'ajaa']</v>
      </c>
      <c r="D5641" s="3">
        <v>1.0</v>
      </c>
    </row>
    <row r="5642" ht="15.75" customHeight="1">
      <c r="A5642" s="1">
        <v>6065.0</v>
      </c>
      <c r="B5642" s="3" t="s">
        <v>5462</v>
      </c>
      <c r="C5642" s="3" t="str">
        <f>IFERROR(__xludf.DUMMYFUNCTION("GOOGLETRANSLATE(B5642,""id"",""en"")"),"['Telkomsel', 'disruption', 'contents', 'voucher', 'no', 'emergence', 'sorry', 'system', 'busy', 'that's', 'Please', 'explanation']")</f>
        <v>['Telkomsel', 'disruption', 'contents', 'voucher', 'no', 'emergence', 'sorry', 'system', 'busy', 'that's', 'Please', 'explanation']</v>
      </c>
      <c r="D5642" s="3">
        <v>1.0</v>
      </c>
    </row>
    <row r="5643" ht="15.75" customHeight="1">
      <c r="A5643" s="1">
        <v>6066.0</v>
      </c>
      <c r="B5643" s="3" t="s">
        <v>5463</v>
      </c>
      <c r="C5643" s="3" t="str">
        <f>IFERROR(__xludf.DUMMYFUNCTION("GOOGLETRANSLATE(B5643,""id"",""en"")"),"['buy', 'package', 'already', 'Wait', 'clock', 'enter', 'enter', 'sms',' notification ',' system ',' busy ',' price ',' Package ',' expensive ',' service ',' ']")</f>
        <v>['buy', 'package', 'already', 'Wait', 'clock', 'enter', 'enter', 'sms',' notification ',' system ',' busy ',' price ',' Package ',' expensive ',' service ',' ']</v>
      </c>
      <c r="D5643" s="3">
        <v>1.0</v>
      </c>
    </row>
    <row r="5644" ht="15.75" customHeight="1">
      <c r="A5644" s="1">
        <v>6067.0</v>
      </c>
      <c r="B5644" s="3" t="s">
        <v>5464</v>
      </c>
      <c r="C5644" s="3" t="str">
        <f>IFERROR(__xludf.DUMMYFUNCTION("GOOGLETRANSLATE(B5644,""id"",""en"")"),"['pulse', 'Sumpot']")</f>
        <v>['pulse', 'Sumpot']</v>
      </c>
      <c r="D5644" s="3">
        <v>1.0</v>
      </c>
    </row>
    <row r="5645" ht="15.75" customHeight="1">
      <c r="A5645" s="1">
        <v>6068.0</v>
      </c>
      <c r="B5645" s="3" t="s">
        <v>5465</v>
      </c>
      <c r="C5645" s="3" t="str">
        <f>IFERROR(__xludf.DUMMYFUNCTION("GOOGLETRANSLATE(B5645,""id"",""en"")"),"['promo', 'Telkomsel', 'interesting', '']")</f>
        <v>['promo', 'Telkomsel', 'interesting', '']</v>
      </c>
      <c r="D5645" s="3">
        <v>5.0</v>
      </c>
    </row>
    <row r="5646" ht="15.75" customHeight="1">
      <c r="A5646" s="1">
        <v>6069.0</v>
      </c>
      <c r="B5646" s="3" t="s">
        <v>5466</v>
      </c>
      <c r="C5646" s="3" t="str">
        <f>IFERROR(__xludf.DUMMYFUNCTION("GOOGLETRANSLATE(B5646,""id"",""en"")"),"['The network', 'Allahhh', 'Lemottt', 'ASIII', '']")</f>
        <v>['The network', 'Allahhh', 'Lemottt', 'ASIII', '']</v>
      </c>
      <c r="D5646" s="3">
        <v>1.0</v>
      </c>
    </row>
    <row r="5647" ht="15.75" customHeight="1">
      <c r="A5647" s="1">
        <v>6070.0</v>
      </c>
      <c r="B5647" s="3" t="s">
        <v>5467</v>
      </c>
      <c r="C5647" s="3" t="str">
        <f>IFERROR(__xludf.DUMMYFUNCTION("GOOGLETRANSLATE(B5647,""id"",""en"")"),"['network', 'area', 'district', 'Toba', 'ugly', 'baget', 'please', 'fix', '']")</f>
        <v>['network', 'area', 'district', 'Toba', 'ugly', 'baget', 'please', 'fix', '']</v>
      </c>
      <c r="D5647" s="3">
        <v>1.0</v>
      </c>
    </row>
    <row r="5648" ht="15.75" customHeight="1">
      <c r="A5648" s="1">
        <v>6071.0</v>
      </c>
      <c r="B5648" s="3" t="s">
        <v>5468</v>
      </c>
      <c r="C5648" s="3" t="str">
        <f>IFERROR(__xludf.DUMMYFUNCTION("GOOGLETRANSLATE(B5648,""id"",""en"")"),"['price', '']")</f>
        <v>['price', '']</v>
      </c>
      <c r="D5648" s="3">
        <v>3.0</v>
      </c>
    </row>
    <row r="5649" ht="15.75" customHeight="1">
      <c r="A5649" s="1">
        <v>6072.0</v>
      </c>
      <c r="B5649" s="3" t="s">
        <v>5469</v>
      </c>
      <c r="C5649" s="3" t="str">
        <f>IFERROR(__xludf.DUMMYFUNCTION("GOOGLETRANSLATE(B5649,""id"",""en"")"),"['Lemot', 'simple']")</f>
        <v>['Lemot', 'simple']</v>
      </c>
      <c r="D5649" s="3">
        <v>2.0</v>
      </c>
    </row>
    <row r="5650" ht="15.75" customHeight="1">
      <c r="A5650" s="1">
        <v>6073.0</v>
      </c>
      <c r="B5650" s="3" t="s">
        <v>5470</v>
      </c>
      <c r="C5650" s="3" t="str">
        <f>IFERROR(__xludf.DUMMYFUNCTION("GOOGLETRANSLATE(B5650,""id"",""en"")"),"['signal', 'ilang', 'recover', 'please', 'network', 'lbh', 'repair', 'trimakasih', 'hope', 'telkomsel', 'lbh', 'network', ' Because ',' users', 'Telkomsel']")</f>
        <v>['signal', 'ilang', 'recover', 'please', 'network', 'lbh', 'repair', 'trimakasih', 'hope', 'telkomsel', 'lbh', 'network', ' Because ',' users', 'Telkomsel']</v>
      </c>
      <c r="D5650" s="3">
        <v>1.0</v>
      </c>
    </row>
    <row r="5651" ht="15.75" customHeight="1">
      <c r="A5651" s="1">
        <v>6074.0</v>
      </c>
      <c r="B5651" s="3" t="s">
        <v>5471</v>
      </c>
      <c r="C5651" s="3" t="str">
        <f>IFERROR(__xludf.DUMMYFUNCTION("GOOGLETRANSLATE(B5651,""id"",""en"")"),"['list', 'link', 'valid', 'valid', 'expiration', 'already', 'times', 'Veronika', 'help', 'dizzy']")</f>
        <v>['list', 'link', 'valid', 'valid', 'expiration', 'already', 'times', 'Veronika', 'help', 'dizzy']</v>
      </c>
      <c r="D5651" s="3">
        <v>1.0</v>
      </c>
    </row>
    <row r="5652" ht="15.75" customHeight="1">
      <c r="A5652" s="1">
        <v>6075.0</v>
      </c>
      <c r="B5652" s="3" t="s">
        <v>5472</v>
      </c>
      <c r="C5652" s="3" t="str">
        <f>IFERROR(__xludf.DUMMYFUNCTION("GOOGLETRANSLATE(B5652,""id"",""en"")"),"['Jelaka', 'Sinyala', 'ajj', 'Bags']")</f>
        <v>['Jelaka', 'Sinyala', 'ajj', 'Bags']</v>
      </c>
      <c r="D5652" s="3">
        <v>1.0</v>
      </c>
    </row>
    <row r="5653" ht="15.75" customHeight="1">
      <c r="A5653" s="1">
        <v>6076.0</v>
      </c>
      <c r="B5653" s="3" t="s">
        <v>5473</v>
      </c>
      <c r="C5653" s="3" t="str">
        <f>IFERROR(__xludf.DUMMYFUNCTION("GOOGLETRANSLATE(B5653,""id"",""en"")"),"['Please', 'quality', 'The network', 'repaired', 'ngak', 'according to', 'price', 'already', 'belli', 'expensive', 'quality', 'the network', ' slow']")</f>
        <v>['Please', 'quality', 'The network', 'repaired', 'ngak', 'according to', 'price', 'already', 'belli', 'expensive', 'quality', 'the network', ' slow']</v>
      </c>
      <c r="D5653" s="3">
        <v>1.0</v>
      </c>
    </row>
    <row r="5654" ht="15.75" customHeight="1">
      <c r="A5654" s="1">
        <v>6077.0</v>
      </c>
      <c r="B5654" s="3" t="s">
        <v>5474</v>
      </c>
      <c r="C5654" s="3" t="str">
        <f>IFERROR(__xludf.DUMMYFUNCTION("GOOGLETRANSLATE(B5654,""id"",""en"")"),"['Network', 'Date', 'Nov', 'ugly']")</f>
        <v>['Network', 'Date', 'Nov', 'ugly']</v>
      </c>
      <c r="D5654" s="3">
        <v>2.0</v>
      </c>
    </row>
    <row r="5655" ht="15.75" customHeight="1">
      <c r="A5655" s="1">
        <v>6078.0</v>
      </c>
      <c r="B5655" s="3" t="s">
        <v>5475</v>
      </c>
      <c r="C5655" s="3" t="str">
        <f>IFERROR(__xludf.DUMMYFUNCTION("GOOGLETRANSLATE(B5655,""id"",""en"")"),"['Please', 'Sorry', 'Knp', 'Telkomsel', 'Down', 'Quality', 'Signal', 'ilang', 'Opening', 'Application', 'Nglag', 'Price', ' already ',' expensive ',' quota ',' additional ',' sometimes', 'use', 'use', 'quota', 'tetep', 'quota', 'main', ""]")</f>
        <v>['Please', 'Sorry', 'Knp', 'Telkomsel', 'Down', 'Quality', 'Signal', 'ilang', 'Opening', 'Application', 'Nglag', 'Price', ' already ',' expensive ',' quota ',' additional ',' sometimes', 'use', 'use', 'quota', 'tetep', 'quota', 'main', "]</v>
      </c>
      <c r="D5655" s="3">
        <v>2.0</v>
      </c>
    </row>
    <row r="5656" ht="15.75" customHeight="1">
      <c r="A5656" s="1">
        <v>6080.0</v>
      </c>
      <c r="B5656" s="3" t="s">
        <v>5476</v>
      </c>
      <c r="C5656" s="3" t="str">
        <f>IFERROR(__xludf.DUMMYFUNCTION("GOOGLETRANSLATE(B5656,""id"",""en"")"),"['Gift', 'interesting', 'thank', 'love', ""]")</f>
        <v>['Gift', 'interesting', 'thank', 'love', "]</v>
      </c>
      <c r="D5656" s="3">
        <v>5.0</v>
      </c>
    </row>
    <row r="5657" ht="15.75" customHeight="1">
      <c r="A5657" s="1">
        <v>6081.0</v>
      </c>
      <c r="B5657" s="3" t="s">
        <v>5477</v>
      </c>
      <c r="C5657" s="3" t="str">
        <f>IFERROR(__xludf.DUMMYFUNCTION("GOOGLETRANSLATE(B5657,""id"",""en"")"),"['Operator', 'naughty', 'like', 'stealing', 'money', 'pulse', 'silent', 'silent', 'remaining', 'heart', 'heart', 'operator', ' ORDER ',' Reported ',' Court ',' eradicated ',' MAFIANYA ']")</f>
        <v>['Operator', 'naughty', 'like', 'stealing', 'money', 'pulse', 'silent', 'silent', 'remaining', 'heart', 'heart', 'operator', ' ORDER ',' Reported ',' Court ',' eradicated ',' MAFIANYA ']</v>
      </c>
      <c r="D5657" s="3">
        <v>1.0</v>
      </c>
    </row>
    <row r="5658" ht="15.75" customHeight="1">
      <c r="A5658" s="1">
        <v>6082.0</v>
      </c>
      <c r="B5658" s="3" t="s">
        <v>2320</v>
      </c>
      <c r="C5658" s="3" t="str">
        <f>IFERROR(__xludf.DUMMYFUNCTION("GOOGLETRANSLATE(B5658,""id"",""en"")"),"['easy', 'fast', '']")</f>
        <v>['easy', 'fast', '']</v>
      </c>
      <c r="D5658" s="3">
        <v>5.0</v>
      </c>
    </row>
    <row r="5659" ht="15.75" customHeight="1">
      <c r="A5659" s="1">
        <v>6083.0</v>
      </c>
      <c r="B5659" s="3" t="s">
        <v>5478</v>
      </c>
      <c r="C5659" s="3" t="str">
        <f>IFERROR(__xludf.DUMMYFUNCTION("GOOGLETRANSLATE(B5659,""id"",""en"")"),"['APK', 'good', 'help', 'bnget']")</f>
        <v>['APK', 'good', 'help', 'bnget']</v>
      </c>
      <c r="D5659" s="3">
        <v>5.0</v>
      </c>
    </row>
    <row r="5660" ht="15.75" customHeight="1">
      <c r="A5660" s="1">
        <v>6084.0</v>
      </c>
      <c r="B5660" s="3" t="s">
        <v>5479</v>
      </c>
      <c r="C5660" s="3" t="str">
        <f>IFERROR(__xludf.DUMMYFUNCTION("GOOGLETRANSLATE(B5660,""id"",""en"")"),"['signal', 'chaotic', 'made', 'ngellag', 'road', 'open', 'browser', 'contrived', 'smooth', 'please', 'benerin', 'network', ' Complaints', 'enter', 'already', 'weyy', ""]")</f>
        <v>['signal', 'chaotic', 'made', 'ngellag', 'road', 'open', 'browser', 'contrived', 'smooth', 'please', 'benerin', 'network', ' Complaints', 'enter', 'already', 'weyy', "]</v>
      </c>
      <c r="D5660" s="3">
        <v>1.0</v>
      </c>
    </row>
    <row r="5661" ht="15.75" customHeight="1">
      <c r="A5661" s="1">
        <v>6085.0</v>
      </c>
      <c r="B5661" s="3" t="s">
        <v>5480</v>
      </c>
      <c r="C5661" s="3" t="str">
        <f>IFERROR(__xludf.DUMMYFUNCTION("GOOGLETRANSLATE(B5661,""id"",""en"")"),"['signal', 'kaut', '']")</f>
        <v>['signal', 'kaut', '']</v>
      </c>
      <c r="D5661" s="3">
        <v>5.0</v>
      </c>
    </row>
    <row r="5662" ht="15.75" customHeight="1">
      <c r="A5662" s="1">
        <v>6086.0</v>
      </c>
      <c r="B5662" s="3" t="s">
        <v>409</v>
      </c>
      <c r="C5662" s="3" t="str">
        <f>IFERROR(__xludf.DUMMYFUNCTION("GOOGLETRANSLATE(B5662,""id"",""en"")"),"['easy']")</f>
        <v>['easy']</v>
      </c>
      <c r="D5662" s="3">
        <v>5.0</v>
      </c>
    </row>
    <row r="5663" ht="15.75" customHeight="1">
      <c r="A5663" s="1">
        <v>6088.0</v>
      </c>
      <c r="B5663" s="3" t="s">
        <v>5481</v>
      </c>
      <c r="C5663" s="3" t="str">
        <f>IFERROR(__xludf.DUMMYFUNCTION("GOOGLETRANSLATE(B5663,""id"",""en"")"),"['network', 'slow', 'severe', 'package', 'mahalin', 'network', 'take care', 'buy', 'package', 'expensive', 'network', 'slow', ' Open ',' Google ',' difficult ']")</f>
        <v>['network', 'slow', 'severe', 'package', 'mahalin', 'network', 'take care', 'buy', 'package', 'expensive', 'network', 'slow', ' Open ',' Google ',' difficult ']</v>
      </c>
      <c r="D5663" s="3">
        <v>1.0</v>
      </c>
    </row>
    <row r="5664" ht="15.75" customHeight="1">
      <c r="A5664" s="1">
        <v>6089.0</v>
      </c>
      <c r="B5664" s="3" t="s">
        <v>5482</v>
      </c>
      <c r="C5664" s="3" t="str">
        <f>IFERROR(__xludf.DUMMYFUNCTION("GOOGLETRANSLATE(B5664,""id"",""en"")"),"['signal', 'garbage', 'rotten', '']")</f>
        <v>['signal', 'garbage', 'rotten', '']</v>
      </c>
      <c r="D5664" s="3">
        <v>1.0</v>
      </c>
    </row>
    <row r="5665" ht="15.75" customHeight="1">
      <c r="A5665" s="1">
        <v>6090.0</v>
      </c>
      <c r="B5665" s="3" t="s">
        <v>5483</v>
      </c>
      <c r="C5665" s="3" t="str">
        <f>IFERROR(__xludf.DUMMYFUNCTION("GOOGLETRANSLATE(B5665,""id"",""en"")"),"['Network', 'Where', 'Good', 'Point']")</f>
        <v>['Network', 'Where', 'Good', 'Point']</v>
      </c>
      <c r="D5665" s="3">
        <v>5.0</v>
      </c>
    </row>
    <row r="5666" ht="15.75" customHeight="1">
      <c r="A5666" s="1">
        <v>6091.0</v>
      </c>
      <c r="B5666" s="3" t="s">
        <v>5484</v>
      </c>
      <c r="C5666" s="3" t="str">
        <f>IFERROR(__xludf.DUMMYFUNCTION("GOOGLETRANSLATE(B5666,""id"",""en"")"),"['BINS', 'expensive', 'Doang', 'complaints', 'service', 'Ama', 'bot', 'doang', 'connection', 'Lola', 'it seems', 'here' Telkomsel ',' ugly ']")</f>
        <v>['BINS', 'expensive', 'Doang', 'complaints', 'service', 'Ama', 'bot', 'doang', 'connection', 'Lola', 'it seems', 'here' Telkomsel ',' ugly ']</v>
      </c>
      <c r="D5666" s="3">
        <v>1.0</v>
      </c>
    </row>
    <row r="5667" ht="15.75" customHeight="1">
      <c r="A5667" s="1">
        <v>6092.0</v>
      </c>
      <c r="B5667" s="3" t="s">
        <v>5485</v>
      </c>
      <c r="C5667" s="3" t="str">
        <f>IFERROR(__xludf.DUMMYFUNCTION("GOOGLETRANSLATE(B5667,""id"",""en"")"),"['Package', 'Papua', 'Most expensive', 'Indonesia', 'fair', '']")</f>
        <v>['Package', 'Papua', 'Most expensive', 'Indonesia', 'fair', '']</v>
      </c>
      <c r="D5667" s="3">
        <v>1.0</v>
      </c>
    </row>
    <row r="5668" ht="15.75" customHeight="1">
      <c r="A5668" s="1">
        <v>6093.0</v>
      </c>
      <c r="B5668" s="3" t="s">
        <v>5486</v>
      </c>
      <c r="C5668" s="3" t="str">
        <f>IFERROR(__xludf.DUMMYFUNCTION("GOOGLETRANSLATE(B5668,""id"",""en"")"),"['Geringan', 'loss', 'Job', 'Gara', 'Gara', 'Tod']")</f>
        <v>['Geringan', 'loss', 'Job', 'Gara', 'Gara', 'Tod']</v>
      </c>
      <c r="D5668" s="3">
        <v>1.0</v>
      </c>
    </row>
    <row r="5669" ht="15.75" customHeight="1">
      <c r="A5669" s="1">
        <v>6094.0</v>
      </c>
      <c r="B5669" s="3" t="s">
        <v>5487</v>
      </c>
      <c r="C5669" s="3" t="str">
        <f>IFERROR(__xludf.DUMMYFUNCTION("GOOGLETRANSLATE(B5669,""id"",""en"")"),"['Network', 'mantaaaaaffs']")</f>
        <v>['Network', 'mantaaaaaffs']</v>
      </c>
      <c r="D5669" s="3">
        <v>5.0</v>
      </c>
    </row>
    <row r="5670" ht="15.75" customHeight="1">
      <c r="A5670" s="1">
        <v>6095.0</v>
      </c>
      <c r="B5670" s="3" t="s">
        <v>5488</v>
      </c>
      <c r="C5670" s="3" t="str">
        <f>IFERROR(__xludf.DUMMYFUNCTION("GOOGLETRANSLATE(B5670,""id"",""en"")"),"['times',' buy ',' credit ',' lwat ',' Telkomsel ',' funds', 'truncated', 'credit', 'ngk', 'entered', 'ngk', 'clarity', ' Scrimversion ',' throw ',' Customer ',' fed up ', ""]")</f>
        <v>['times',' buy ',' credit ',' lwat ',' Telkomsel ',' funds', 'truncated', 'credit', 'ngk', 'entered', 'ngk', 'clarity', ' Scrimversion ',' throw ',' Customer ',' fed up ', "]</v>
      </c>
      <c r="D5670" s="3">
        <v>1.0</v>
      </c>
    </row>
    <row r="5671" ht="15.75" customHeight="1">
      <c r="A5671" s="1">
        <v>6096.0</v>
      </c>
      <c r="B5671" s="3" t="s">
        <v>5489</v>
      </c>
      <c r="C5671" s="3" t="str">
        <f>IFERROR(__xludf.DUMMYFUNCTION("GOOGLETRANSLATE(B5671,""id"",""en"")"),"['Hancuuuur', 'network', 'sympathy', 'UDH', 'mainstay', 'last night', 'signal', 'severe']")</f>
        <v>['Hancuuuur', 'network', 'sympathy', 'UDH', 'mainstay', 'last night', 'signal', 'severe']</v>
      </c>
      <c r="D5671" s="3">
        <v>1.0</v>
      </c>
    </row>
    <row r="5672" ht="15.75" customHeight="1">
      <c r="A5672" s="1">
        <v>6097.0</v>
      </c>
      <c r="B5672" s="3" t="s">
        <v>5490</v>
      </c>
      <c r="C5672" s="3" t="str">
        <f>IFERROR(__xludf.DUMMYFUNCTION("GOOGLETRANSLATE(B5672,""id"",""en"")"),"['Useful', 'urgent']")</f>
        <v>['Useful', 'urgent']</v>
      </c>
      <c r="D5672" s="3">
        <v>5.0</v>
      </c>
    </row>
    <row r="5673" ht="15.75" customHeight="1">
      <c r="A5673" s="1">
        <v>6098.0</v>
      </c>
      <c r="B5673" s="3" t="s">
        <v>5491</v>
      </c>
      <c r="C5673" s="3" t="str">
        <f>IFERROR(__xludf.DUMMYFUNCTION("GOOGLETRANSLATE(B5673,""id"",""en"")"),"['', 'here', 'Network', 'Telkomsel', 'bad', 'disappointed', 'user', 'in the year', 'Telkomsel', 'disappointing', 'hope', 'in the future', 'repaired ', 'thank you', '']")</f>
        <v>['', 'here', 'Network', 'Telkomsel', 'bad', 'disappointed', 'user', 'in the year', 'Telkomsel', 'disappointing', 'hope', 'in the future', 'repaired ', 'thank you', '']</v>
      </c>
      <c r="D5673" s="3">
        <v>1.0</v>
      </c>
    </row>
    <row r="5674" ht="15.75" customHeight="1">
      <c r="A5674" s="1">
        <v>6099.0</v>
      </c>
      <c r="B5674" s="3" t="s">
        <v>5492</v>
      </c>
      <c r="C5674" s="3" t="str">
        <f>IFERROR(__xludf.DUMMYFUNCTION("GOOGLETRANSLATE(B5674,""id"",""en"")"),"['signal', 'ilang', 'ilang', 'ngeeleg', 'quota', 'unlimited', 'hope', 'hope', 'good', 'replace', 'card', 'ajhlah']")</f>
        <v>['signal', 'ilang', 'ilang', 'ngeeleg', 'quota', 'unlimited', 'hope', 'hope', 'good', 'replace', 'card', 'ajhlah']</v>
      </c>
      <c r="D5674" s="3">
        <v>1.0</v>
      </c>
    </row>
    <row r="5675" ht="15.75" customHeight="1">
      <c r="A5675" s="1">
        <v>6100.0</v>
      </c>
      <c r="B5675" s="3" t="s">
        <v>5493</v>
      </c>
      <c r="C5675" s="3" t="str">
        <f>IFERROR(__xludf.DUMMYFUNCTION("GOOGLETRANSLATE(B5675,""id"",""en"")"),"['Not bad', 'Sometimes', 'like', 'missing', 'signal', 'area']")</f>
        <v>['Not bad', 'Sometimes', 'like', 'missing', 'signal', 'area']</v>
      </c>
      <c r="D5675" s="3">
        <v>4.0</v>
      </c>
    </row>
    <row r="5676" ht="15.75" customHeight="1">
      <c r="A5676" s="1">
        <v>6101.0</v>
      </c>
      <c r="B5676" s="3" t="s">
        <v>5494</v>
      </c>
      <c r="C5676" s="3" t="str">
        <f>IFERROR(__xludf.DUMMYFUNCTION("GOOGLETRANSLATE(B5676,""id"",""en"")"),"['Switch', 'Points', 'Menu', 'Switch', 'Points']")</f>
        <v>['Switch', 'Points', 'Menu', 'Switch', 'Points']</v>
      </c>
      <c r="D5676" s="3">
        <v>2.0</v>
      </c>
    </row>
    <row r="5677" ht="15.75" customHeight="1">
      <c r="A5677" s="1">
        <v>6103.0</v>
      </c>
      <c r="B5677" s="3" t="s">
        <v>5495</v>
      </c>
      <c r="C5677" s="3" t="str">
        <f>IFERROR(__xludf.DUMMYFUNCTION("GOOGLETRANSLATE(B5677,""id"",""en"")"),"['already', 'a week', 'signal', 'Telkomsel', 'slow', 'Kenceng', 'system', 'network', 'exploded', 'Java', 'west', 'please', ' As soon as possible ',' fixed ',' times', 'disorder', 'signal', ""]")</f>
        <v>['already', 'a week', 'signal', 'Telkomsel', 'slow', 'Kenceng', 'system', 'network', 'exploded', 'Java', 'west', 'please', ' As soon as possible ',' fixed ',' times', 'disorder', 'signal', "]</v>
      </c>
      <c r="D5677" s="3">
        <v>1.0</v>
      </c>
    </row>
    <row r="5678" ht="15.75" customHeight="1">
      <c r="A5678" s="1">
        <v>6104.0</v>
      </c>
      <c r="B5678" s="3" t="s">
        <v>5496</v>
      </c>
      <c r="C5678" s="3" t="str">
        <f>IFERROR(__xludf.DUMMYFUNCTION("GOOGLETRANSLATE(B5678,""id"",""en"")"),"['disappointing', 'buy', 'package', 'quota', 'Telkomsel', 'payment', 'via', 'funds',' transaction ',' success', 'quota', 'enter', ' Reports', 'Wait', 'results',' nil ',' refund ',' money ',' funds', 'bnr', 'responsibility', 'yrs', ""]")</f>
        <v>['disappointing', 'buy', 'package', 'quota', 'Telkomsel', 'payment', 'via', 'funds',' transaction ',' success', 'quota', 'enter', ' Reports', 'Wait', 'results',' nil ',' refund ',' money ',' funds', 'bnr', 'responsibility', 'yrs', "]</v>
      </c>
      <c r="D5678" s="3">
        <v>1.0</v>
      </c>
    </row>
    <row r="5679" ht="15.75" customHeight="1">
      <c r="A5679" s="1">
        <v>6105.0</v>
      </c>
      <c r="B5679" s="3" t="s">
        <v>5497</v>
      </c>
      <c r="C5679" s="3" t="str">
        <f>IFERROR(__xludf.DUMMYFUNCTION("GOOGLETRANSLATE(B5679,""id"",""en"")"),"['destroyed', 'network', 'Telkomsel', 'package', 'expensive', 'all-round', 'slow', ""]")</f>
        <v>['destroyed', 'network', 'Telkomsel', 'package', 'expensive', 'all-round', 'slow', "]</v>
      </c>
      <c r="D5679" s="3">
        <v>1.0</v>
      </c>
    </row>
    <row r="5680" ht="15.75" customHeight="1">
      <c r="A5680" s="1">
        <v>6106.0</v>
      </c>
      <c r="B5680" s="3" t="s">
        <v>5498</v>
      </c>
      <c r="C5680" s="3" t="str">
        <f>IFERROR(__xludf.DUMMYFUNCTION("GOOGLETRANSLATE(B5680,""id"",""en"")"),"['Card', 'buyin']")</f>
        <v>['Card', 'buyin']</v>
      </c>
      <c r="D5680" s="3">
        <v>3.0</v>
      </c>
    </row>
    <row r="5681" ht="15.75" customHeight="1">
      <c r="A5681" s="1">
        <v>6108.0</v>
      </c>
      <c r="B5681" s="3" t="s">
        <v>5499</v>
      </c>
      <c r="C5681" s="3" t="str">
        <f>IFERROR(__xludf.DUMMYFUNCTION("GOOGLETRANSLATE(B5681,""id"",""en"")"),"['Cave', 'Disappointed', 'SMA', 'Telkomsel', 'Scan', 'Voucher', 'Kgak', 'make it', 'MSA', 'HRUS', 'type', 'board', ' ']")</f>
        <v>['Cave', 'Disappointed', 'SMA', 'Telkomsel', 'Scan', 'Voucher', 'Kgak', 'make it', 'MSA', 'HRUS', 'type', 'board', ' ']</v>
      </c>
      <c r="D5681" s="3">
        <v>4.0</v>
      </c>
    </row>
    <row r="5682" ht="15.75" customHeight="1">
      <c r="A5682" s="1">
        <v>6109.0</v>
      </c>
      <c r="B5682" s="3" t="s">
        <v>5500</v>
      </c>
      <c r="C5682" s="3" t="str">
        <f>IFERROR(__xludf.DUMMYFUNCTION("GOOGLETRANSLATE(B5682,""id"",""en"")"),"['company', 'populat', 'calculation', 'profit', 'system', 'zonanization', 'fair', 'sensation', 'specta', 'consumer', 'support', 'spectacular', ' Win ',' Kejangetan ',' ']")</f>
        <v>['company', 'populat', 'calculation', 'profit', 'system', 'zonanization', 'fair', 'sensation', 'specta', 'consumer', 'support', 'spectacular', ' Win ',' Kejangetan ',' ']</v>
      </c>
      <c r="D5682" s="3">
        <v>1.0</v>
      </c>
    </row>
    <row r="5683" ht="15.75" customHeight="1">
      <c r="A5683" s="1">
        <v>6110.0</v>
      </c>
      <c r="B5683" s="3" t="s">
        <v>5501</v>
      </c>
      <c r="C5683" s="3" t="str">
        <f>IFERROR(__xludf.DUMMYFUNCTION("GOOGLETRANSLATE(B5683,""id"",""en"")"),"['Network', 'Busy', 'Network', 'Busy', 'Lelelt', 'Stupid', 'Telkomsel', 'Ngak', 'Layinin', 'Customer', 'Asuuu']")</f>
        <v>['Network', 'Busy', 'Network', 'Busy', 'Lelelt', 'Stupid', 'Telkomsel', 'Ngak', 'Layinin', 'Customer', 'Asuuu']</v>
      </c>
      <c r="D5683" s="3">
        <v>1.0</v>
      </c>
    </row>
    <row r="5684" ht="15.75" customHeight="1">
      <c r="A5684" s="1">
        <v>6111.0</v>
      </c>
      <c r="B5684" s="3" t="s">
        <v>5502</v>
      </c>
      <c r="C5684" s="3" t="str">
        <f>IFERROR(__xludf.DUMMYFUNCTION("GOOGLETRANSLATE(B5684,""id"",""en"")"),"['Feelings', 'How', 'Yesterday', 'Afternoon', 'Open', 'Game', 'Doang', 'Internet', 'Please', 'Benerin']")</f>
        <v>['Feelings', 'How', 'Yesterday', 'Afternoon', 'Open', 'Game', 'Doang', 'Internet', 'Please', 'Benerin']</v>
      </c>
      <c r="D5684" s="3">
        <v>2.0</v>
      </c>
    </row>
    <row r="5685" ht="15.75" customHeight="1">
      <c r="A5685" s="1">
        <v>6112.0</v>
      </c>
      <c r="B5685" s="3" t="s">
        <v>5503</v>
      </c>
      <c r="C5685" s="3" t="str">
        <f>IFERROR(__xludf.DUMMYFUNCTION("GOOGLETRANSLATE(B5685,""id"",""en"")"),"['Buy', 'Package', 'OMG', 'GB', 'Cutting', 'Package', 'Data', 'Enter', 'Wait', 'Wait', 'Clock', 'Clock', ' Contact ',' Response ',' Waiting ',' Continuous', 'Policy', 'Please', 'Help', 'Package', 'OMG', 'GB', 'Expensive', 'Money', 'snack' , 'Enter', 'Pula"&amp;"k', 'Disappointed', 'Telkomsel']")</f>
        <v>['Buy', 'Package', 'OMG', 'GB', 'Cutting', 'Package', 'Data', 'Enter', 'Wait', 'Wait', 'Clock', 'Clock', ' Contact ',' Response ',' Waiting ',' Continuous', 'Policy', 'Please', 'Help', 'Package', 'OMG', 'GB', 'Expensive', 'Money', 'snack' , 'Enter', 'Pulak', 'Disappointed', 'Telkomsel']</v>
      </c>
      <c r="D5685" s="3">
        <v>1.0</v>
      </c>
    </row>
    <row r="5686" ht="15.75" customHeight="1">
      <c r="A5686" s="1">
        <v>6113.0</v>
      </c>
      <c r="B5686" s="3" t="s">
        <v>5504</v>
      </c>
      <c r="C5686" s="3" t="str">
        <f>IFERROR(__xludf.DUMMYFUNCTION("GOOGLETRANSLATE(B5686,""id"",""en"")"),"['Sya', 'Edit', 'Review', 'Mare', 'BBRPA', 'WKTU', 'AND', 'NOW', 'Telkomsel', 'lbih', 'package', 'promo', ' showch ',' internet ',' special ',' price ',' quota ',' tilted ',' cheapux ',' really ',' RbU ',' Thanks', 'provider', 'hope', 'network' , 'Interne"&amp;"tX', 'Area', 'Member', 'Increase', 'LGI', 'Speed', 'Mbps',' JGA ',' LBIH ',' LGI ',' Thanks', 'Again', ' ']")</f>
        <v>['Sya', 'Edit', 'Review', 'Mare', 'BBRPA', 'WKTU', 'AND', 'NOW', 'Telkomsel', 'lbih', 'package', 'promo', ' showch ',' internet ',' special ',' price ',' quota ',' tilted ',' cheapux ',' really ',' RbU ',' Thanks', 'provider', 'hope', 'network' , 'InternetX', 'Area', 'Member', 'Increase', 'LGI', 'Speed', 'Mbps',' JGA ',' LBIH ',' LGI ',' Thanks', 'Again', ' ']</v>
      </c>
      <c r="D5686" s="3">
        <v>4.0</v>
      </c>
    </row>
    <row r="5687" ht="15.75" customHeight="1">
      <c r="A5687" s="1">
        <v>6114.0</v>
      </c>
      <c r="B5687" s="3" t="s">
        <v>5505</v>
      </c>
      <c r="C5687" s="3" t="str">
        <f>IFERROR(__xludf.DUMMYFUNCTION("GOOGLETRANSLATE(B5687,""id"",""en"")"),"['Please', 'The network', 'Fix', 'Jellas',' Jingannya ',' sympathy ',' sympathy ',' UDH ',' Stabilll ',' Planggar ',' sympathy ',' sympathy ',' Simpati ',' UDH ',' Jellek ',' The network ',' Kayak ',' garbage ']")</f>
        <v>['Please', 'The network', 'Fix', 'Jellas',' Jingannya ',' sympathy ',' sympathy ',' UDH ',' Stabilll ',' Planggar ',' sympathy ',' sympathy ',' Simpati ',' UDH ',' Jellek ',' The network ',' Kayak ',' garbage ']</v>
      </c>
      <c r="D5687" s="3">
        <v>1.0</v>
      </c>
    </row>
    <row r="5688" ht="15.75" customHeight="1">
      <c r="A5688" s="1">
        <v>6115.0</v>
      </c>
      <c r="B5688" s="3" t="s">
        <v>5506</v>
      </c>
      <c r="C5688" s="3" t="str">
        <f>IFERROR(__xludf.DUMMYFUNCTION("GOOGLETRANSLATE(B5688,""id"",""en"")"),"['sorry', 'Telkomsel', 'error', 'really', 'yaa', 'download', 'video', 'kb', 'really', 'gara', 'late', 'collect', ' Tasks', 'Masi', 'Masi', 'Remnants',' GB ',' Gini ',' Damaged ',' Telkomsel ']")</f>
        <v>['sorry', 'Telkomsel', 'error', 'really', 'yaa', 'download', 'video', 'kb', 'really', 'gara', 'late', 'collect', ' Tasks', 'Masi', 'Masi', 'Remnants',' GB ',' Gini ',' Damaged ',' Telkomsel ']</v>
      </c>
      <c r="D5688" s="3">
        <v>1.0</v>
      </c>
    </row>
    <row r="5689" ht="15.75" customHeight="1">
      <c r="A5689" s="1">
        <v>6116.0</v>
      </c>
      <c r="B5689" s="3" t="s">
        <v>5507</v>
      </c>
      <c r="C5689" s="3" t="str">
        <f>IFERROR(__xludf.DUMMYFUNCTION("GOOGLETRANSLATE(B5689,""id"",""en"")"),"['Internet', 'fast', 'quota', 'Disney', 'hotstar', 'redundant', 'mending', 'jadiin', 'quota', 'regular', ""]")</f>
        <v>['Internet', 'fast', 'quota', 'Disney', 'hotstar', 'redundant', 'mending', 'jadiin', 'quota', 'regular', "]</v>
      </c>
      <c r="D5689" s="3">
        <v>5.0</v>
      </c>
    </row>
    <row r="5690" ht="15.75" customHeight="1">
      <c r="A5690" s="1">
        <v>6117.0</v>
      </c>
      <c r="B5690" s="3" t="s">
        <v>5508</v>
      </c>
      <c r="C5690" s="3" t="str">
        <f>IFERROR(__xludf.DUMMYFUNCTION("GOOGLETRANSLATE(B5690,""id"",""en"")"),"['', 'contents', 'bot', 'doang', 'help', 'complaints', ""]")</f>
        <v>['', 'contents', 'bot', 'doang', 'help', 'complaints', "]</v>
      </c>
      <c r="D5690" s="3">
        <v>1.0</v>
      </c>
    </row>
    <row r="5691" ht="15.75" customHeight="1">
      <c r="A5691" s="1">
        <v>6118.0</v>
      </c>
      <c r="B5691" s="3" t="s">
        <v>5509</v>
      </c>
      <c r="C5691" s="3" t="str">
        <f>IFERROR(__xludf.DUMMYFUNCTION("GOOGLETRANSLATE(B5691,""id"",""en"")"),"['Open', 'Google', 'appears', '']")</f>
        <v>['Open', 'Google', 'appears', '']</v>
      </c>
      <c r="D5691" s="3">
        <v>1.0</v>
      </c>
    </row>
    <row r="5692" ht="15.75" customHeight="1">
      <c r="A5692" s="1">
        <v>6119.0</v>
      </c>
      <c r="B5692" s="3" t="s">
        <v>5510</v>
      </c>
      <c r="C5692" s="3" t="str">
        <f>IFERROR(__xludf.DUMMYFUNCTION("GOOGLETRANSLATE(B5692,""id"",""en"")"),"['Not bad', 'help']")</f>
        <v>['Not bad', 'help']</v>
      </c>
      <c r="D5692" s="3">
        <v>5.0</v>
      </c>
    </row>
    <row r="5693" ht="15.75" customHeight="1">
      <c r="A5693" s="1">
        <v>6120.0</v>
      </c>
      <c r="B5693" s="3" t="s">
        <v>5511</v>
      </c>
      <c r="C5693" s="3" t="str">
        <f>IFERROR(__xludf.DUMMYFUNCTION("GOOGLETRANSLATE(B5693,""id"",""en"")"),"['destroyed', 'destroyed', 'destroyed', 'destroyed', 'quality', 'network', 'destroyed', 'buy', 'package', 'data', 'money', 'free', ' Bossss', '']")</f>
        <v>['destroyed', 'destroyed', 'destroyed', 'destroyed', 'quality', 'network', 'destroyed', 'buy', 'package', 'data', 'money', 'free', ' Bossss', '']</v>
      </c>
      <c r="D5693" s="3">
        <v>1.0</v>
      </c>
    </row>
    <row r="5694" ht="15.75" customHeight="1">
      <c r="A5694" s="1">
        <v>6121.0</v>
      </c>
      <c r="B5694" s="3" t="s">
        <v>5512</v>
      </c>
      <c r="C5694" s="3" t="str">
        <f>IFERROR(__xludf.DUMMYFUNCTION("GOOGLETRANSLATE(B5694,""id"",""en"")"),"['quota', 'unlimitid', 'youtubenya', 'gaguna', 'want', 'access',' unlimitied ',' youtube ',' quota ',' main ',' turn ',' already ',' quota ',' main ',' quota ',' main ',' quota ',' unlimitied ',' youtubenya ',' access', 'youtube', 'quota', 'main', 'plis',"&amp;"' plane ' , 'wanted', 'save', 'replace', 'card', 'threat', 'gegara', 'money', 'buy', 'quota', 'telkosmerls', '']")</f>
        <v>['quota', 'unlimitid', 'youtubenya', 'gaguna', 'want', 'access',' unlimitied ',' youtube ',' quota ',' main ',' turn ',' already ',' quota ',' main ',' quota ',' main ',' quota ',' unlimitied ',' youtubenya ',' access', 'youtube', 'quota', 'main', 'plis',' plane ' , 'wanted', 'save', 'replace', 'card', 'threat', 'gegara', 'money', 'buy', 'quota', 'telkosmerls', '']</v>
      </c>
      <c r="D5694" s="3">
        <v>1.0</v>
      </c>
    </row>
    <row r="5695" ht="15.75" customHeight="1">
      <c r="A5695" s="1">
        <v>6122.0</v>
      </c>
      <c r="B5695" s="3" t="s">
        <v>2914</v>
      </c>
      <c r="C5695" s="3" t="str">
        <f>IFERROR(__xludf.DUMMYFUNCTION("GOOGLETRANSLATE(B5695,""id"",""en"")"),"['Good', 'help']")</f>
        <v>['Good', 'help']</v>
      </c>
      <c r="D5695" s="3">
        <v>5.0</v>
      </c>
    </row>
    <row r="5696" ht="15.75" customHeight="1">
      <c r="A5696" s="1">
        <v>6123.0</v>
      </c>
      <c r="B5696" s="3" t="s">
        <v>5513</v>
      </c>
      <c r="C5696" s="3" t="str">
        <f>IFERROR(__xludf.DUMMYFUNCTION("GOOGLETRANSLATE(B5696,""id"",""en"")"),"['Thanks', 'data', 'connected', 'computer', 'quota', 'active']")</f>
        <v>['Thanks', 'data', 'connected', 'computer', 'quota', 'active']</v>
      </c>
      <c r="D5696" s="3">
        <v>1.0</v>
      </c>
    </row>
    <row r="5697" ht="15.75" customHeight="1">
      <c r="A5697" s="1">
        <v>6124.0</v>
      </c>
      <c r="B5697" s="3" t="s">
        <v>5514</v>
      </c>
      <c r="C5697" s="3" t="str">
        <f>IFERROR(__xludf.DUMMYFUNCTION("GOOGLETRANSLATE(B5697,""id"",""en"")"),"['Quality', 'KSNI', 'Signal', 'Gajelass', 'Change', 'Indosat']")</f>
        <v>['Quality', 'KSNI', 'Signal', 'Gajelass', 'Change', 'Indosat']</v>
      </c>
      <c r="D5697" s="3">
        <v>1.0</v>
      </c>
    </row>
    <row r="5698" ht="15.75" customHeight="1">
      <c r="A5698" s="1">
        <v>6125.0</v>
      </c>
      <c r="B5698" s="3" t="s">
        <v>5515</v>
      </c>
      <c r="C5698" s="3" t="str">
        <f>IFERROR(__xludf.DUMMYFUNCTION("GOOGLETRANSLATE(B5698,""id"",""en"")"),"['Network', 'Region', 'Troubled', 'PLN', 'Dead', 'Tower', 'Tower', 'Function', 'Signal', 'Internet', 'Lost', 'Steamed', ' Managing Director ',' Telkomtol ',' hope ',' swift ',' reason ',' head ',' bite ',' shark ']")</f>
        <v>['Network', 'Region', 'Troubled', 'PLN', 'Dead', 'Tower', 'Tower', 'Function', 'Signal', 'Internet', 'Lost', 'Steamed', ' Managing Director ',' Telkomtol ',' hope ',' swift ',' reason ',' head ',' bite ',' shark ']</v>
      </c>
      <c r="D5698" s="3">
        <v>1.0</v>
      </c>
    </row>
    <row r="5699" ht="15.75" customHeight="1">
      <c r="A5699" s="1">
        <v>6126.0</v>
      </c>
      <c r="B5699" s="3" t="s">
        <v>5516</v>
      </c>
      <c r="C5699" s="3" t="str">
        <f>IFERROR(__xludf.DUMMYFUNCTION("GOOGLETRANSLATE(B5699,""id"",""en"")"),"['ugly', 'internet', 'slow', 'package', 'quota', 'comparable', 'price', 'kualita', 'nollllll']")</f>
        <v>['ugly', 'internet', 'slow', 'package', 'quota', 'comparable', 'price', 'kualita', 'nollllll']</v>
      </c>
      <c r="D5699" s="3">
        <v>1.0</v>
      </c>
    </row>
    <row r="5700" ht="15.75" customHeight="1">
      <c r="A5700" s="1">
        <v>6127.0</v>
      </c>
      <c r="B5700" s="3" t="s">
        <v>5517</v>
      </c>
      <c r="C5700" s="3" t="str">
        <f>IFERROR(__xludf.DUMMYFUNCTION("GOOGLETRANSLATE(B5700,""id"",""en"")"),"['Star', 'run out', 'data', 'credit', 'decreases',' drained ',' exhausted ',' secure ',' pulse ',' run out ',' package ',' data ',' ']")</f>
        <v>['Star', 'run out', 'data', 'credit', 'decreases',' drained ',' exhausted ',' secure ',' pulse ',' run out ',' package ',' data ',' ']</v>
      </c>
      <c r="D5700" s="3">
        <v>3.0</v>
      </c>
    </row>
    <row r="5701" ht="15.75" customHeight="1">
      <c r="A5701" s="1">
        <v>6128.0</v>
      </c>
      <c r="B5701" s="3" t="s">
        <v>5518</v>
      </c>
      <c r="C5701" s="3" t="str">
        <f>IFERROR(__xludf.DUMMYFUNCTION("GOOGLETRANSLATE(B5701,""id"",""en"")"),"['Mao', 'fill in', 'quota', 'voucher', 'system', 'busy', 'mulu', 'gajelas']")</f>
        <v>['Mao', 'fill in', 'quota', 'voucher', 'system', 'busy', 'mulu', 'gajelas']</v>
      </c>
      <c r="D5701" s="3">
        <v>2.0</v>
      </c>
    </row>
    <row r="5702" ht="15.75" customHeight="1">
      <c r="A5702" s="1">
        <v>6129.0</v>
      </c>
      <c r="B5702" s="3" t="s">
        <v>5519</v>
      </c>
      <c r="C5702" s="3" t="str">
        <f>IFERROR(__xludf.DUMMYFUNCTION("GOOGLETRANSLATE(B5702,""id"",""en"")"),"['Increases', 'Quality', 'Connection', '']")</f>
        <v>['Increases', 'Quality', 'Connection', '']</v>
      </c>
      <c r="D5702" s="3">
        <v>3.0</v>
      </c>
    </row>
    <row r="5703" ht="15.75" customHeight="1">
      <c r="A5703" s="1">
        <v>6130.0</v>
      </c>
      <c r="B5703" s="3" t="s">
        <v>4491</v>
      </c>
      <c r="C5703" s="3" t="str">
        <f>IFERROR(__xludf.DUMMYFUNCTION("GOOGLETRANSLATE(B5703,""id"",""en"")"),"['Steady', 'satisfying']")</f>
        <v>['Steady', 'satisfying']</v>
      </c>
      <c r="D5703" s="3">
        <v>5.0</v>
      </c>
    </row>
    <row r="5704" ht="15.75" customHeight="1">
      <c r="A5704" s="1">
        <v>6131.0</v>
      </c>
      <c r="B5704" s="3" t="s">
        <v>5520</v>
      </c>
      <c r="C5704" s="3" t="str">
        <f>IFERROR(__xludf.DUMMYFUNCTION("GOOGLETRANSLATE(B5704,""id"",""en"")"),"['', 'oath', 'application', 'quota', 'unlimited', 'network', 'rich', 'try']")</f>
        <v>['', 'oath', 'application', 'quota', 'unlimited', 'network', 'rich', 'try']</v>
      </c>
      <c r="D5704" s="3">
        <v>1.0</v>
      </c>
    </row>
    <row r="5705" ht="15.75" customHeight="1">
      <c r="A5705" s="1">
        <v>6132.0</v>
      </c>
      <c r="B5705" s="3" t="s">
        <v>5521</v>
      </c>
      <c r="C5705" s="3" t="str">
        <f>IFERROR(__xludf.DUMMYFUNCTION("GOOGLETRANSLATE(B5705,""id"",""en"")"),"['Price', 'expensive', 'comparable', 'quality']")</f>
        <v>['Price', 'expensive', 'comparable', 'quality']</v>
      </c>
      <c r="D5705" s="3">
        <v>1.0</v>
      </c>
    </row>
    <row r="5706" ht="15.75" customHeight="1">
      <c r="A5706" s="1">
        <v>6134.0</v>
      </c>
      <c r="B5706" s="3" t="s">
        <v>5522</v>
      </c>
      <c r="C5706" s="3" t="str">
        <f>IFERROR(__xludf.DUMMYFUNCTION("GOOGLETRANSLATE(B5706,""id"",""en"")"),"['Network', 'rotten', 'since', 'policy', 'quota', 'Ministry of Education and Culture', 'Paid', 'Threat', 'Sinyal', 'Dusakan', 'travel', 'business',' quota ',' unlimited ',' threat ',' network ',' disgust ',' pke ',' telkampret ',' skrng ']")</f>
        <v>['Network', 'rotten', 'since', 'policy', 'quota', 'Ministry of Education and Culture', 'Paid', 'Threat', 'Sinyal', 'Dusakan', 'travel', 'business',' quota ',' unlimited ',' threat ',' network ',' disgust ',' pke ',' telkampret ',' skrng ']</v>
      </c>
      <c r="D5706" s="3">
        <v>1.0</v>
      </c>
    </row>
    <row r="5707" ht="15.75" customHeight="1">
      <c r="A5707" s="1">
        <v>6135.0</v>
      </c>
      <c r="B5707" s="3" t="s">
        <v>5523</v>
      </c>
      <c r="C5707" s="3" t="str">
        <f>IFERROR(__xludf.DUMMYFUNCTION("GOOGLETRANSLATE(B5707,""id"",""en"")"),"['BBR', 'signal', 'internet', 'blur', '']")</f>
        <v>['BBR', 'signal', 'internet', 'blur', '']</v>
      </c>
      <c r="D5707" s="3">
        <v>2.0</v>
      </c>
    </row>
    <row r="5708" ht="15.75" customHeight="1">
      <c r="A5708" s="1">
        <v>6136.0</v>
      </c>
      <c r="B5708" s="3" t="s">
        <v>5524</v>
      </c>
      <c r="C5708" s="3" t="str">
        <f>IFERROR(__xludf.DUMMYFUNCTION("GOOGLETRANSLATE(B5708,""id"",""en"")"),"['Quality', 'Enhanced']")</f>
        <v>['Quality', 'Enhanced']</v>
      </c>
      <c r="D5708" s="3">
        <v>5.0</v>
      </c>
    </row>
    <row r="5709" ht="15.75" customHeight="1">
      <c r="A5709" s="1">
        <v>6137.0</v>
      </c>
      <c r="B5709" s="3" t="s">
        <v>5525</v>
      </c>
      <c r="C5709" s="3" t="str">
        <f>IFERROR(__xludf.DUMMYFUNCTION("GOOGLETRANSLATE(B5709,""id"",""en"")"),"['network', 'Telkomsel', 'slow', 'quota', 'internet']")</f>
        <v>['network', 'Telkomsel', 'slow', 'quota', 'internet']</v>
      </c>
      <c r="D5709" s="3">
        <v>1.0</v>
      </c>
    </row>
    <row r="5710" ht="15.75" customHeight="1">
      <c r="A5710" s="1">
        <v>6138.0</v>
      </c>
      <c r="B5710" s="3" t="s">
        <v>5526</v>
      </c>
      <c r="C5710" s="3" t="str">
        <f>IFERROR(__xludf.DUMMYFUNCTION("GOOGLETRANSLATE(B5710,""id"",""en"")"),"['Signal', 'Tlkomsel', 'smakin', 'hncur']")</f>
        <v>['Signal', 'Tlkomsel', 'smakin', 'hncur']</v>
      </c>
      <c r="D5710" s="3">
        <v>1.0</v>
      </c>
    </row>
    <row r="5711" ht="15.75" customHeight="1">
      <c r="A5711" s="1">
        <v>6139.0</v>
      </c>
      <c r="B5711" s="3" t="s">
        <v>5527</v>
      </c>
      <c r="C5711" s="3" t="str">
        <f>IFERROR(__xludf.DUMMYFUNCTION("GOOGLETRANSLATE(B5711,""id"",""en"")"),"['The use', 'monetary', 'Gajelas',' Bet ',' GANANIAT ',' Love ',' Cashback ',' Gausah ',' That's How ',' Deh ',' People ',' Kecere ',' Begooo ']")</f>
        <v>['The use', 'monetary', 'Gajelas',' Bet ',' GANANIAT ',' Love ',' Cashback ',' Gausah ',' That's How ',' Deh ',' People ',' Kecere ',' Begooo ']</v>
      </c>
      <c r="D5711" s="3">
        <v>1.0</v>
      </c>
    </row>
    <row r="5712" ht="15.75" customHeight="1">
      <c r="A5712" s="1">
        <v>6140.0</v>
      </c>
      <c r="B5712" s="3" t="s">
        <v>5528</v>
      </c>
      <c r="C5712" s="3" t="str">
        <f>IFERROR(__xludf.DUMMYFUNCTION("GOOGLETRANSLATE(B5712,""id"",""en"")"),"['Application', 'Best', 'check', 'leftover', 'pulse', 'quota', 'quiz', ""]")</f>
        <v>['Application', 'Best', 'check', 'leftover', 'pulse', 'quota', 'quiz', "]</v>
      </c>
      <c r="D5712" s="3">
        <v>1.0</v>
      </c>
    </row>
    <row r="5713" ht="15.75" customHeight="1">
      <c r="A5713" s="1">
        <v>6141.0</v>
      </c>
      <c r="B5713" s="3" t="s">
        <v>5529</v>
      </c>
      <c r="C5713" s="3" t="str">
        <f>IFERROR(__xludf.DUMMYFUNCTION("GOOGLETRANSLATE(B5713,""id"",""en"")"),"['Telkomsel', 'report card', 'red', 'quality', 'internet', 'destroyed', 'quota', 'battery', 'wasteful', 'loading', 'results',' overnight ',' Apilkasi ',' Open ',' Dozens', 'Customer', 'Disappointing', '']")</f>
        <v>['Telkomsel', 'report card', 'red', 'quality', 'internet', 'destroyed', 'quota', 'battery', 'wasteful', 'loading', 'results',' overnight ',' Apilkasi ',' Open ',' Dozens', 'Customer', 'Disappointing', '']</v>
      </c>
      <c r="D5713" s="3">
        <v>1.0</v>
      </c>
    </row>
    <row r="5714" ht="15.75" customHeight="1">
      <c r="A5714" s="1">
        <v>6142.0</v>
      </c>
      <c r="B5714" s="3" t="s">
        <v>5530</v>
      </c>
      <c r="C5714" s="3" t="str">
        <f>IFERROR(__xludf.DUMMYFUNCTION("GOOGLETRANSLATE(B5714,""id"",""en"")"),"['MLM', 'Credit', 'Cutting', 'Package', 'Games',' Package ',' BLM ',' Enter ',' Credit ',' Uda ',' Cut ',' SMS ',' Sorry ',' request ',' process', 'add', 'capacity', 'please', 'return', 'plsa', ""]")</f>
        <v>['MLM', 'Credit', 'Cutting', 'Package', 'Games',' Package ',' BLM ',' Enter ',' Credit ',' Uda ',' Cut ',' SMS ',' Sorry ',' request ',' process', 'add', 'capacity', 'please', 'return', 'plsa', "]</v>
      </c>
      <c r="D5714" s="3">
        <v>1.0</v>
      </c>
    </row>
    <row r="5715" ht="15.75" customHeight="1">
      <c r="A5715" s="1">
        <v>6143.0</v>
      </c>
      <c r="B5715" s="3" t="s">
        <v>5531</v>
      </c>
      <c r="C5715" s="3" t="str">
        <f>IFERROR(__xludf.DUMMYFUNCTION("GOOGLETRANSLATE(B5715,""id"",""en"")"),"['knp', 'package', 'buy', 'pulse', 'scorched', '']")</f>
        <v>['knp', 'package', 'buy', 'pulse', 'scorched', '']</v>
      </c>
      <c r="D5715" s="3">
        <v>1.0</v>
      </c>
    </row>
    <row r="5716" ht="15.75" customHeight="1">
      <c r="A5716" s="1">
        <v>6144.0</v>
      </c>
      <c r="B5716" s="3" t="s">
        <v>5532</v>
      </c>
      <c r="C5716" s="3" t="str">
        <f>IFERROR(__xludf.DUMMYFUNCTION("GOOGLETRANSLATE(B5716,""id"",""en"")"),"['Hopefully', 'Network', 'Telkomsel', 'launch']")</f>
        <v>['Hopefully', 'Network', 'Telkomsel', 'launch']</v>
      </c>
      <c r="D5716" s="3">
        <v>5.0</v>
      </c>
    </row>
    <row r="5717" ht="15.75" customHeight="1">
      <c r="A5717" s="1">
        <v>6145.0</v>
      </c>
      <c r="B5717" s="3" t="s">
        <v>5533</v>
      </c>
      <c r="C5717" s="3" t="str">
        <f>IFERROR(__xludf.DUMMYFUNCTION("GOOGLETRANSLATE(B5717,""id"",""en"")"),"['Taik', 'Telkomsel', 'Sorry', 'system', 'busy', 'Taiklah', 'people', 'buy', 'expensive', 'expensive', 'activated', 'signal', ' slow ',' helljh ',' love ',' star ',' bgus', 'tmbh', '']")</f>
        <v>['Taik', 'Telkomsel', 'Sorry', 'system', 'busy', 'Taiklah', 'people', 'buy', 'expensive', 'expensive', 'activated', 'signal', ' slow ',' helljh ',' love ',' star ',' bgus', 'tmbh', '']</v>
      </c>
      <c r="D5717" s="3">
        <v>1.0</v>
      </c>
    </row>
    <row r="5718" ht="15.75" customHeight="1">
      <c r="A5718" s="1">
        <v>6146.0</v>
      </c>
      <c r="B5718" s="3" t="s">
        <v>5534</v>
      </c>
      <c r="C5718" s="3" t="str">
        <f>IFERROR(__xludf.DUMMYFUNCTION("GOOGLETRANSLATE(B5718,""id"",""en"")"),"['UDH', 'NMBH', 'Bgus', 'ntr', 'ksih', 'bintng']")</f>
        <v>['UDH', 'NMBH', 'Bgus', 'ntr', 'ksih', 'bintng']</v>
      </c>
      <c r="D5718" s="3">
        <v>1.0</v>
      </c>
    </row>
    <row r="5719" ht="15.75" customHeight="1">
      <c r="A5719" s="1">
        <v>6147.0</v>
      </c>
      <c r="B5719" s="3" t="s">
        <v>5535</v>
      </c>
      <c r="C5719" s="3" t="str">
        <f>IFERROR(__xludf.DUMMYFUNCTION("GOOGLETRANSLATE(B5719,""id"",""en"")"),"['love', 'star', 'package', 'data', 'package', 'call', 'expensive', 'expensive', 'love', 'star', 'Telkomsel', 'expensive', ' Please, 'Help', 'Telkomsel', '']")</f>
        <v>['love', 'star', 'package', 'data', 'package', 'call', 'expensive', 'expensive', 'love', 'star', 'Telkomsel', 'expensive', ' Please, 'Help', 'Telkomsel', '']</v>
      </c>
      <c r="D5719" s="3">
        <v>2.0</v>
      </c>
    </row>
    <row r="5720" ht="15.75" customHeight="1">
      <c r="A5720" s="1">
        <v>6149.0</v>
      </c>
      <c r="B5720" s="3" t="s">
        <v>5536</v>
      </c>
      <c r="C5720" s="3" t="str">
        <f>IFERROR(__xludf.DUMMYFUNCTION("GOOGLETRANSLATE(B5720,""id"",""en"")"),"['signal', 'strongest']")</f>
        <v>['signal', 'strongest']</v>
      </c>
      <c r="D5720" s="3">
        <v>5.0</v>
      </c>
    </row>
    <row r="5721" ht="15.75" customHeight="1">
      <c r="A5721" s="1">
        <v>6150.0</v>
      </c>
      <c r="B5721" s="3" t="s">
        <v>5537</v>
      </c>
      <c r="C5721" s="3" t="str">
        <f>IFERROR(__xludf.DUMMYFUNCTION("GOOGLETRANSLATE(B5721,""id"",""en"")"),"['Telkomsel', 'slow', 'really', 'open', 'web', 'difficult']")</f>
        <v>['Telkomsel', 'slow', 'really', 'open', 'web', 'difficult']</v>
      </c>
      <c r="D5721" s="3">
        <v>1.0</v>
      </c>
    </row>
    <row r="5722" ht="15.75" customHeight="1">
      <c r="A5722" s="1">
        <v>6151.0</v>
      </c>
      <c r="B5722" s="3" t="s">
        <v>5538</v>
      </c>
      <c r="C5722" s="3" t="str">
        <f>IFERROR(__xludf.DUMMYFUNCTION("GOOGLETRANSLATE(B5722,""id"",""en"")"),"['Increase']")</f>
        <v>['Increase']</v>
      </c>
      <c r="D5722" s="3">
        <v>5.0</v>
      </c>
    </row>
    <row r="5723" ht="15.75" customHeight="1">
      <c r="A5723" s="1">
        <v>6152.0</v>
      </c>
      <c r="B5723" s="3" t="s">
        <v>5539</v>
      </c>
      <c r="C5723" s="3" t="str">
        <f>IFERROR(__xludf.DUMMYFUNCTION("GOOGLETRANSLATE(B5723,""id"",""en"")"),"['Telkomsel', 'Please', 'Signal', 'The Network', 'Fix', 'Watch', 'Ama', 'Drakor', 'Online', 'Current', 'Turn', 'Game', ' red ',' mulu ',' mean ',' signal ',' see ',' anything ',' mean ',' please ',' application ',' doang ',' fix ',' performance ',' networ"&amp;"k ' , 'Fix', 'Pay', 'Lunas', 'buy', 'quota', 'Please', ""]")</f>
        <v>['Telkomsel', 'Please', 'Signal', 'The Network', 'Fix', 'Watch', 'Ama', 'Drakor', 'Online', 'Current', 'Turn', 'Game', ' red ',' mulu ',' mean ',' signal ',' see ',' anything ',' mean ',' please ',' application ',' doang ',' fix ',' performance ',' network ' , 'Fix', 'Pay', 'Lunas', 'buy', 'quota', 'Please', "]</v>
      </c>
      <c r="D5723" s="3">
        <v>1.0</v>
      </c>
    </row>
    <row r="5724" ht="15.75" customHeight="1">
      <c r="A5724" s="1">
        <v>6153.0</v>
      </c>
      <c r="B5724" s="3" t="s">
        <v>5540</v>
      </c>
      <c r="C5724" s="3" t="str">
        <f>IFERROR(__xludf.DUMMYFUNCTION("GOOGLETRANSLATE(B5724,""id"",""en"")"),"['Woy', 'Telkomsel', 'Yesterday', 'Buy', 'Package', 'Internet', 'Payment', 'Fund', 'Payment', 'Successful', 'Package', 'Enter', ' Already ',' a day ',' enter ',' package ',' report ',' response ',' bot ',' hadehhh ',' already ',' mah ',' network ',' super"&amp;" ',' slow ' , 'package', 'expensive', 'nyolong', 'funds',' woy ',' balikin ',' funds', 'devil', 'emotion', 'yesterday', 'person', 'task', ' already ',' need ',' quota ',' steal ',' funds', 'ngent']")</f>
        <v>['Woy', 'Telkomsel', 'Yesterday', 'Buy', 'Package', 'Internet', 'Payment', 'Fund', 'Payment', 'Successful', 'Package', 'Enter', ' Already ',' a day ',' enter ',' package ',' report ',' response ',' bot ',' hadehhh ',' already ',' mah ',' network ',' super ',' slow ' , 'package', 'expensive', 'nyolong', 'funds',' woy ',' balikin ',' funds', 'devil', 'emotion', 'yesterday', 'person', 'task', ' already ',' need ',' quota ',' steal ',' funds', 'ngent']</v>
      </c>
      <c r="D5724" s="3">
        <v>1.0</v>
      </c>
    </row>
    <row r="5725" ht="15.75" customHeight="1">
      <c r="A5725" s="1">
        <v>6154.0</v>
      </c>
      <c r="B5725" s="3" t="s">
        <v>5541</v>
      </c>
      <c r="C5725" s="3" t="str">
        <f>IFERROR(__xludf.DUMMYFUNCTION("GOOGLETRANSLATE(B5725,""id"",""en"")"),"['sympathy', 'poor', 'package', 'price', 'crazy', 'package', 'internet', 'finished', 'sosmed', 'ngk']")</f>
        <v>['sympathy', 'poor', 'package', 'price', 'crazy', 'package', 'internet', 'finished', 'sosmed', 'ngk']</v>
      </c>
      <c r="D5725" s="3">
        <v>1.0</v>
      </c>
    </row>
    <row r="5726" ht="15.75" customHeight="1">
      <c r="A5726" s="1">
        <v>6155.0</v>
      </c>
      <c r="B5726" s="3" t="s">
        <v>5542</v>
      </c>
      <c r="C5726" s="3" t="str">
        <f>IFERROR(__xludf.DUMMYFUNCTION("GOOGLETRANSLATE(B5726,""id"",""en"")"),"['It's easy', 'buy', 'pulses', 'directly', 'Mbak', 'Veronika', 'Thank you', 'Telkomsel']")</f>
        <v>['It's easy', 'buy', 'pulses', 'directly', 'Mbak', 'Veronika', 'Thank you', 'Telkomsel']</v>
      </c>
      <c r="D5726" s="3">
        <v>5.0</v>
      </c>
    </row>
    <row r="5727" ht="15.75" customHeight="1">
      <c r="A5727" s="1">
        <v>6156.0</v>
      </c>
      <c r="B5727" s="3" t="s">
        <v>5543</v>
      </c>
      <c r="C5727" s="3" t="str">
        <f>IFERROR(__xludf.DUMMYFUNCTION("GOOGLETRANSLATE(B5727,""id"",""en"")"),"['Mantap', 'promo']")</f>
        <v>['Mantap', 'promo']</v>
      </c>
      <c r="D5727" s="3">
        <v>4.0</v>
      </c>
    </row>
    <row r="5728" ht="15.75" customHeight="1">
      <c r="A5728" s="1">
        <v>6157.0</v>
      </c>
      <c r="B5728" s="3" t="s">
        <v>5544</v>
      </c>
      <c r="C5728" s="3" t="str">
        <f>IFERROR(__xludf.DUMMYFUNCTION("GOOGLETRANSLATE(B5728,""id"",""en"")"),"['', 'Telkomsel', 'in the world', 'internet', 'Thank you', 'Telkomsel']")</f>
        <v>['', 'Telkomsel', 'in the world', 'internet', 'Thank you', 'Telkomsel']</v>
      </c>
      <c r="D5728" s="3">
        <v>5.0</v>
      </c>
    </row>
    <row r="5729" ht="15.75" customHeight="1">
      <c r="A5729" s="1">
        <v>6158.0</v>
      </c>
      <c r="B5729" s="3" t="s">
        <v>5545</v>
      </c>
      <c r="C5729" s="3" t="str">
        <f>IFERROR(__xludf.DUMMYFUNCTION("GOOGLETRANSLATE(B5729,""id"",""en"")"),"['like', 'service', 'Telkomsel']")</f>
        <v>['like', 'service', 'Telkomsel']</v>
      </c>
      <c r="D5729" s="3">
        <v>5.0</v>
      </c>
    </row>
    <row r="5730" ht="15.75" customHeight="1">
      <c r="A5730" s="1">
        <v>6159.0</v>
      </c>
      <c r="B5730" s="3" t="s">
        <v>5546</v>
      </c>
      <c r="C5730" s="3" t="str">
        <f>IFERROR(__xludf.DUMMYFUNCTION("GOOGLETRANSLATE(B5730,""id"",""en"")"),"['lie']")</f>
        <v>['lie']</v>
      </c>
      <c r="D5730" s="3">
        <v>5.0</v>
      </c>
    </row>
    <row r="5731" ht="15.75" customHeight="1">
      <c r="A5731" s="1">
        <v>6160.0</v>
      </c>
      <c r="B5731" s="3" t="s">
        <v>5547</v>
      </c>
      <c r="C5731" s="3" t="str">
        <f>IFERROR(__xludf.DUMMYFUNCTION("GOOGLETRANSLATE(B5731,""id"",""en"")"),"['Network', 'poor', 'Seer', 'slow', 'package', 'expensive', 'balanced', 'donk', 'quality', 'quantity']")</f>
        <v>['Network', 'poor', 'Seer', 'slow', 'package', 'expensive', 'balanced', 'donk', 'quality', 'quantity']</v>
      </c>
      <c r="D5731" s="3">
        <v>2.0</v>
      </c>
    </row>
    <row r="5732" ht="15.75" customHeight="1">
      <c r="A5732" s="1">
        <v>6161.0</v>
      </c>
      <c r="B5732" s="3" t="s">
        <v>5548</v>
      </c>
      <c r="C5732" s="3" t="str">
        <f>IFERROR(__xludf.DUMMYFUNCTION("GOOGLETRANSLATE(B5732,""id"",""en"")"),"['Hopefully', 'his business', 'Success', 'Aamiin']")</f>
        <v>['Hopefully', 'his business', 'Success', 'Aamiin']</v>
      </c>
      <c r="D5732" s="3">
        <v>5.0</v>
      </c>
    </row>
    <row r="5733" ht="15.75" customHeight="1">
      <c r="A5733" s="1">
        <v>6162.0</v>
      </c>
      <c r="B5733" s="3" t="s">
        <v>5097</v>
      </c>
      <c r="C5733" s="3" t="str">
        <f>IFERROR(__xludf.DUMMYFUNCTION("GOOGLETRANSLATE(B5733,""id"",""en"")"),"['cool']")</f>
        <v>['cool']</v>
      </c>
      <c r="D5733" s="3">
        <v>5.0</v>
      </c>
    </row>
    <row r="5734" ht="15.75" customHeight="1">
      <c r="A5734" s="1">
        <v>6163.0</v>
      </c>
      <c r="B5734" s="3" t="s">
        <v>5549</v>
      </c>
      <c r="C5734" s="3" t="str">
        <f>IFERROR(__xludf.DUMMYFUNCTION("GOOGLETRANSLATE(B5734,""id"",""en"")"),"['Help', 'Terbimah', 'Kasi', 'Telkomsel', 'Success', '']")</f>
        <v>['Help', 'Terbimah', 'Kasi', 'Telkomsel', 'Success', '']</v>
      </c>
      <c r="D5734" s="3">
        <v>1.0</v>
      </c>
    </row>
    <row r="5735" ht="15.75" customHeight="1">
      <c r="A5735" s="1">
        <v>6164.0</v>
      </c>
      <c r="B5735" s="3" t="s">
        <v>5550</v>
      </c>
      <c r="C5735" s="3" t="str">
        <f>IFERROR(__xludf.DUMMYFUNCTION("GOOGLETRANSLATE(B5735,""id"",""en"")"),"['Paketan', 'Buy', 'Gaada', 'Service', 'Price', 'PEAH']")</f>
        <v>['Paketan', 'Buy', 'Gaada', 'Service', 'Price', 'PEAH']</v>
      </c>
      <c r="D5735" s="3">
        <v>1.0</v>
      </c>
    </row>
    <row r="5736" ht="15.75" customHeight="1">
      <c r="A5736" s="1">
        <v>6165.0</v>
      </c>
      <c r="B5736" s="3" t="s">
        <v>5551</v>
      </c>
      <c r="C5736" s="3" t="str">
        <f>IFERROR(__xludf.DUMMYFUNCTION("GOOGLETRANSLATE(B5736,""id"",""en"")"),"['Telkomsel', 'dev', 'corruption', 'kah', 'maen', 'crypto', 'slow', 'auto', 'change', 'prime', 'rich', 'gini', ' Technicians', 'Telkomsel', 'please', 'repaired', 'as soon as possible', 'Telkomsel', 'handle', 'users',' Telkomsel ',' expenditure ',' JT ',' "&amp;"a month ',' auto ' , 'move', '']")</f>
        <v>['Telkomsel', 'dev', 'corruption', 'kah', 'maen', 'crypto', 'slow', 'auto', 'change', 'prime', 'rich', 'gini', ' Technicians', 'Telkomsel', 'please', 'repaired', 'as soon as possible', 'Telkomsel', 'handle', 'users',' Telkomsel ',' expenditure ',' JT ',' a month ',' auto ' , 'move', '']</v>
      </c>
      <c r="D5736" s="3">
        <v>1.0</v>
      </c>
    </row>
    <row r="5737" ht="15.75" customHeight="1">
      <c r="A5737" s="1">
        <v>6166.0</v>
      </c>
      <c r="B5737" s="3" t="s">
        <v>5552</v>
      </c>
      <c r="C5737" s="3" t="str">
        <f>IFERROR(__xludf.DUMMYFUNCTION("GOOGLETRANSLATE(B5737,""id"",""en"")"),"['disturbance']")</f>
        <v>['disturbance']</v>
      </c>
      <c r="D5737" s="3">
        <v>1.0</v>
      </c>
    </row>
    <row r="5738" ht="15.75" customHeight="1">
      <c r="A5738" s="1">
        <v>6167.0</v>
      </c>
      <c r="B5738" s="3" t="s">
        <v>5553</v>
      </c>
      <c r="C5738" s="3" t="str">
        <f>IFERROR(__xludf.DUMMYFUNCTION("GOOGLETRANSLATE(B5738,""id"",""en"")"),"['Good', 'really', 'app', 'sgt', 'it's easy']")</f>
        <v>['Good', 'really', 'app', 'sgt', 'it's easy']</v>
      </c>
      <c r="D5738" s="3">
        <v>5.0</v>
      </c>
    </row>
    <row r="5739" ht="15.75" customHeight="1">
      <c r="A5739" s="1">
        <v>6168.0</v>
      </c>
      <c r="B5739" s="3" t="s">
        <v>5554</v>
      </c>
      <c r="C5739" s="3" t="str">
        <f>IFERROR(__xludf.DUMMYFUNCTION("GOOGLETRANSLATE(B5739,""id"",""en"")"),"['contents', 'expensive', 'package', 'unlimited', 'add', 'bonus', 'network', 'slow']")</f>
        <v>['contents', 'expensive', 'package', 'unlimited', 'add', 'bonus', 'network', 'slow']</v>
      </c>
      <c r="D5739" s="3">
        <v>1.0</v>
      </c>
    </row>
    <row r="5740" ht="15.75" customHeight="1">
      <c r="A5740" s="1">
        <v>6169.0</v>
      </c>
      <c r="B5740" s="3" t="s">
        <v>5555</v>
      </c>
      <c r="C5740" s="3" t="str">
        <f>IFERROR(__xludf.DUMMYFUNCTION("GOOGLETRANSLATE(B5740,""id"",""en"")"),"['Help', 'Application', 'Telkomsel']")</f>
        <v>['Help', 'Application', 'Telkomsel']</v>
      </c>
      <c r="D5740" s="3">
        <v>5.0</v>
      </c>
    </row>
    <row r="5741" ht="15.75" customHeight="1">
      <c r="A5741" s="1">
        <v>6170.0</v>
      </c>
      <c r="B5741" s="3" t="s">
        <v>5556</v>
      </c>
      <c r="C5741" s="3" t="str">
        <f>IFERROR(__xludf.DUMMYFUNCTION("GOOGLETRANSLATE(B5741,""id"",""en"")"),"['Gacha', 'random', 'random', 'user', 'replace', 'card', 'tetep', 'get', 'package', 'expensive', 'package', 'already', ' Subscriptions', 'buy', 'Dinaikin', 'price', 'sad', 'signal', 'good', 'in the city']")</f>
        <v>['Gacha', 'random', 'random', 'user', 'replace', 'card', 'tetep', 'get', 'package', 'expensive', 'package', 'already', ' Subscriptions', 'buy', 'Dinaikin', 'price', 'sad', 'signal', 'good', 'in the city']</v>
      </c>
      <c r="D5741" s="3">
        <v>1.0</v>
      </c>
    </row>
    <row r="5742" ht="15.75" customHeight="1">
      <c r="A5742" s="1">
        <v>6171.0</v>
      </c>
      <c r="B5742" s="3" t="s">
        <v>5557</v>
      </c>
      <c r="C5742" s="3" t="str">
        <f>IFERROR(__xludf.DUMMYFUNCTION("GOOGLETRANSLATE(B5742,""id"",""en"")"),"['oath', 'disappointed', 'severe', 'Telkomsel', 'price', 'expensive', 'signal', 'ugly', 'draw', 'expensive', 'the juda', 'good', ' ugly ',' money ',' buy ',' package ',' internet ',' that way ',' expensive ',' dikemanain ', ""]")</f>
        <v>['oath', 'disappointed', 'severe', 'Telkomsel', 'price', 'expensive', 'signal', 'ugly', 'draw', 'expensive', 'the juda', 'good', ' ugly ',' money ',' buy ',' package ',' internet ',' that way ',' expensive ',' dikemanain ', "]</v>
      </c>
      <c r="D5742" s="3">
        <v>1.0</v>
      </c>
    </row>
    <row r="5743" ht="15.75" customHeight="1">
      <c r="A5743" s="1">
        <v>6172.0</v>
      </c>
      <c r="B5743" s="3" t="s">
        <v>5558</v>
      </c>
      <c r="C5743" s="3" t="str">
        <f>IFERROR(__xludf.DUMMYFUNCTION("GOOGLETRANSLATE(B5743,""id"",""en"")"),"['slow', 'Loading', 'application', 'open']")</f>
        <v>['slow', 'Loading', 'application', 'open']</v>
      </c>
      <c r="D5743" s="3">
        <v>2.0</v>
      </c>
    </row>
    <row r="5744" ht="15.75" customHeight="1">
      <c r="A5744" s="1">
        <v>6173.0</v>
      </c>
      <c r="B5744" s="3" t="s">
        <v>5559</v>
      </c>
      <c r="C5744" s="3" t="str">
        <f>IFERROR(__xludf.DUMMYFUNCTION("GOOGLETRANSLATE(B5744,""id"",""en"")"),"['disappointing', 'buy', 'package', 'data', 'balance', 'cut', 'quota', 'enter', 'TLP', 'told', 'Wait', 'hours',' BLM ',' Enter ',' DTLP ',' Have ',' Waiting ',' Hour ',' Earned ',' Handing ',' Right ',' Consumer ',' Value ',' Star ',' Rate ' , 'TTP', 'TB'"&amp;", 'comment', 'good', 'pdhl', 'confession', 'disorder', 'buzzer', 'kah', '']")</f>
        <v>['disappointing', 'buy', 'package', 'data', 'balance', 'cut', 'quota', 'enter', 'TLP', 'told', 'Wait', 'hours',' BLM ',' Enter ',' DTLP ',' Have ',' Waiting ',' Hour ',' Earned ',' Handing ',' Right ',' Consumer ',' Value ',' Star ',' Rate ' , 'TTP', 'TB', 'comment', 'good', 'pdhl', 'confession', 'disorder', 'buzzer', 'kah', '']</v>
      </c>
      <c r="D5744" s="3">
        <v>1.0</v>
      </c>
    </row>
    <row r="5745" ht="15.75" customHeight="1">
      <c r="A5745" s="1">
        <v>6174.0</v>
      </c>
      <c r="B5745" s="3" t="s">
        <v>5560</v>
      </c>
      <c r="C5745" s="3" t="str">
        <f>IFERROR(__xludf.DUMMYFUNCTION("GOOGLETRANSLATE(B5745,""id"",""en"")"),"['App', 'MyTelkomsel', 'super', 'slow', 'blame', 'RAM', 'cellphone', 'replace', 'RAM', 'Sebel', ""]")</f>
        <v>['App', 'MyTelkomsel', 'super', 'slow', 'blame', 'RAM', 'cellphone', 'replace', 'RAM', 'Sebel', "]</v>
      </c>
      <c r="D5745" s="3">
        <v>2.0</v>
      </c>
    </row>
    <row r="5746" ht="15.75" customHeight="1">
      <c r="A5746" s="1">
        <v>6176.0</v>
      </c>
      <c r="B5746" s="3" t="s">
        <v>5561</v>
      </c>
      <c r="C5746" s="3" t="str">
        <f>IFERROR(__xludf.DUMMYFUNCTION("GOOGLETRANSLATE(B5746,""id"",""en"")"),"['Telkomsel', 'network', 'Teremot', 'Lost', 'skrg', 'profit', 'list', 'wallet', 'use', 'Telkomsel', 'hadeuh', 'sya', ' replace ',' quota ',' data ',' expensive ',' result ',' zero ']")</f>
        <v>['Telkomsel', 'network', 'Teremot', 'Lost', 'skrg', 'profit', 'list', 'wallet', 'use', 'Telkomsel', 'hadeuh', 'sya', ' replace ',' quota ',' data ',' expensive ',' result ',' zero ']</v>
      </c>
      <c r="D5746" s="3">
        <v>1.0</v>
      </c>
    </row>
    <row r="5747" ht="15.75" customHeight="1">
      <c r="A5747" s="1">
        <v>6177.0</v>
      </c>
      <c r="B5747" s="3" t="s">
        <v>5562</v>
      </c>
      <c r="C5747" s="3" t="str">
        <f>IFERROR(__xludf.DUMMYFUNCTION("GOOGLETRANSLATE(B5747,""id"",""en"")"),"['Supports', 'work', 'education']")</f>
        <v>['Supports', 'work', 'education']</v>
      </c>
      <c r="D5747" s="3">
        <v>5.0</v>
      </c>
    </row>
    <row r="5748" ht="15.75" customHeight="1">
      <c r="A5748" s="1">
        <v>6178.0</v>
      </c>
      <c r="B5748" s="3" t="s">
        <v>5563</v>
      </c>
      <c r="C5748" s="3" t="str">
        <f>IFERROR(__xludf.DUMMYFUNCTION("GOOGLETRANSLATE(B5748,""id"",""en"")"),"['love', 'suggestion', 'pseudo', 'member', 'Telkomsel', 'Mending', 'moved', 'provider', 'Telkomsel', 'price', 'package', 'internet', ' expensive ',' according to ',' quality ',' network ',' rotten ',' cheap ',' slow ',' reasonable ',' price ',' expensive "&amp;"',' signal ',' rot ',' ']")</f>
        <v>['love', 'suggestion', 'pseudo', 'member', 'Telkomsel', 'Mending', 'moved', 'provider', 'Telkomsel', 'price', 'package', 'internet', ' expensive ',' according to ',' quality ',' network ',' rotten ',' cheap ',' slow ',' reasonable ',' price ',' expensive ',' signal ',' rot ',' ']</v>
      </c>
      <c r="D5748" s="3">
        <v>1.0</v>
      </c>
    </row>
    <row r="5749" ht="15.75" customHeight="1">
      <c r="A5749" s="1">
        <v>6179.0</v>
      </c>
      <c r="B5749" s="3" t="s">
        <v>5564</v>
      </c>
      <c r="C5749" s="3" t="str">
        <f>IFERROR(__xludf.DUMMYFUNCTION("GOOGLETRANSLATE(B5749,""id"",""en"")"),"['ask', 'what', 'signal', 'internet', 'KB', 'Please', 'given', 'solution']")</f>
        <v>['ask', 'what', 'signal', 'internet', 'KB', 'Please', 'given', 'solution']</v>
      </c>
      <c r="D5749" s="3">
        <v>2.0</v>
      </c>
    </row>
    <row r="5750" ht="15.75" customHeight="1">
      <c r="A5750" s="1">
        <v>6180.0</v>
      </c>
      <c r="B5750" s="3" t="s">
        <v>5565</v>
      </c>
      <c r="C5750" s="3" t="str">
        <f>IFERROR(__xludf.DUMMYFUNCTION("GOOGLETRANSLATE(B5750,""id"",""en"")"),"['Kek', 'Gini', 'Times', 'Telkomsel', 'Severe', 'Package', 'Eat', 'Credit', 'Kek', 'ppq']")</f>
        <v>['Kek', 'Gini', 'Times', 'Telkomsel', 'Severe', 'Package', 'Eat', 'Credit', 'Kek', 'ppq']</v>
      </c>
      <c r="D5750" s="3">
        <v>1.0</v>
      </c>
    </row>
    <row r="5751" ht="15.75" customHeight="1">
      <c r="A5751" s="1">
        <v>6181.0</v>
      </c>
      <c r="B5751" s="3" t="s">
        <v>5566</v>
      </c>
      <c r="C5751" s="3" t="str">
        <f>IFERROR(__xludf.DUMMYFUNCTION("GOOGLETRANSLATE(B5751,""id"",""en"")"),"['card', 'expensive', 'compared to', 'card', 'pajetash', 'expensive', 'dangan', 'quota']")</f>
        <v>['card', 'expensive', 'compared to', 'card', 'pajetash', 'expensive', 'dangan', 'quota']</v>
      </c>
      <c r="D5751" s="3">
        <v>3.0</v>
      </c>
    </row>
    <row r="5752" ht="15.75" customHeight="1">
      <c r="A5752" s="1">
        <v>6182.0</v>
      </c>
      <c r="B5752" s="3" t="s">
        <v>5567</v>
      </c>
      <c r="C5752" s="3" t="str">
        <f>IFERROR(__xludf.DUMMYFUNCTION("GOOGLETRANSLATE(B5752,""id"",""en"")"),"['easy', 'good', 'useful', 'really', '']")</f>
        <v>['easy', 'good', 'useful', 'really', '']</v>
      </c>
      <c r="D5752" s="3">
        <v>5.0</v>
      </c>
    </row>
    <row r="5753" ht="15.75" customHeight="1">
      <c r="A5753" s="1">
        <v>6183.0</v>
      </c>
      <c r="B5753" s="3" t="s">
        <v>5568</v>
      </c>
      <c r="C5753" s="3" t="str">
        <f>IFERROR(__xludf.DUMMYFUNCTION("GOOGLETRANSLATE(B5753,""id"",""en"")"),"['Severe', 'buy', 'Package', 'Disruption', 'Wait', 'Minutes',' Pas', 'Try', 'Disappointed', 'Play', 'Leet', 'Forced', ' Uni ',' Read ',' complete ']")</f>
        <v>['Severe', 'buy', 'Package', 'Disruption', 'Wait', 'Minutes',' Pas', 'Try', 'Disappointed', 'Play', 'Leet', 'Forced', ' Uni ',' Read ',' complete ']</v>
      </c>
      <c r="D5753" s="3">
        <v>1.0</v>
      </c>
    </row>
    <row r="5754" ht="15.75" customHeight="1">
      <c r="A5754" s="1">
        <v>6184.0</v>
      </c>
      <c r="B5754" s="3" t="s">
        <v>5569</v>
      </c>
      <c r="C5754" s="3" t="str">
        <f>IFERROR(__xludf.DUMMYFUNCTION("GOOGLETRANSLATE(B5754,""id"",""en"")"),"['Facilitates', 'Determining', 'Porih']")</f>
        <v>['Facilitates', 'Determining', 'Porih']</v>
      </c>
      <c r="D5754" s="3">
        <v>5.0</v>
      </c>
    </row>
    <row r="5755" ht="15.75" customHeight="1">
      <c r="A5755" s="1">
        <v>6185.0</v>
      </c>
      <c r="B5755" s="3" t="s">
        <v>5570</v>
      </c>
      <c r="C5755" s="3" t="str">
        <f>IFERROR(__xludf.DUMMYFUNCTION("GOOGLETRANSLATE(B5755,""id"",""en"")"),"['Try', 'yaa', 'kasi', 'star', 'dlu']")</f>
        <v>['Try', 'yaa', 'kasi', 'star', 'dlu']</v>
      </c>
      <c r="D5755" s="3">
        <v>4.0</v>
      </c>
    </row>
    <row r="5756" ht="15.75" customHeight="1">
      <c r="A5756" s="1">
        <v>6186.0</v>
      </c>
      <c r="B5756" s="3" t="s">
        <v>5571</v>
      </c>
      <c r="C5756" s="3" t="str">
        <f>IFERROR(__xludf.DUMMYFUNCTION("GOOGLETRANSLATE(B5756,""id"",""en"")"),"['buy', 'quota', 'games',' get ',' bonus', 'diamons',' right ',' buy ',' dapet ',' diamons', 'link', 'difficult', ' open', '']")</f>
        <v>['buy', 'quota', 'games',' get ',' bonus', 'diamons',' right ',' buy ',' dapet ',' diamons', 'link', 'difficult', ' open', '']</v>
      </c>
      <c r="D5756" s="3">
        <v>1.0</v>
      </c>
    </row>
    <row r="5757" ht="15.75" customHeight="1">
      <c r="A5757" s="1">
        <v>6187.0</v>
      </c>
      <c r="B5757" s="3" t="s">
        <v>5572</v>
      </c>
      <c r="C5757" s="3" t="str">
        <f>IFERROR(__xludf.DUMMYFUNCTION("GOOGLETRANSLATE(B5757,""id"",""en"")"),"['Try', 'Sousal', 'Fix', 'BTS', '']")</f>
        <v>['Try', 'Sousal', 'Fix', 'BTS', '']</v>
      </c>
      <c r="D5757" s="3">
        <v>5.0</v>
      </c>
    </row>
    <row r="5758" ht="15.75" customHeight="1">
      <c r="A5758" s="1">
        <v>6188.0</v>
      </c>
      <c r="B5758" s="3" t="s">
        <v>5573</v>
      </c>
      <c r="C5758" s="3" t="str">
        <f>IFERROR(__xludf.DUMMYFUNCTION("GOOGLETRANSLATE(B5758,""id"",""en"")"),"['admin', 'comment', 'customer', 'use', 'language', 'human', 'package', 'internet', 'bnyk', 'signal', 'bad', 'wear', ' Credit ',' bad ',' signal ',' wear ',' credit ',' comment ',' BNYK ',' Min ',' Action ',' Musti ',' Language ',' admin ',' mudeng ' , ''"&amp;"]")</f>
        <v>['admin', 'comment', 'customer', 'use', 'language', 'human', 'package', 'internet', 'bnyk', 'signal', 'bad', 'wear', ' Credit ',' bad ',' signal ',' wear ',' credit ',' comment ',' BNYK ',' Min ',' Action ',' Musti ',' Language ',' admin ',' mudeng ' , '']</v>
      </c>
      <c r="D5758" s="3">
        <v>1.0</v>
      </c>
    </row>
    <row r="5759" ht="15.75" customHeight="1">
      <c r="A5759" s="1">
        <v>6190.0</v>
      </c>
      <c r="B5759" s="3" t="s">
        <v>5574</v>
      </c>
      <c r="C5759" s="3" t="str">
        <f>IFERROR(__xludf.DUMMYFUNCTION("GOOGLETRANSLATE(B5759,""id"",""en"")"),"['Buy', 'Package', 'Internet', 'Report', 'SRH', 'Wait', 'Clock', 'Balance', 'Cutting', 'Sampe', 'SKR', 'Package', ' Internet ',' accepted ',' disappointed ',' ']")</f>
        <v>['Buy', 'Package', 'Internet', 'Report', 'SRH', 'Wait', 'Clock', 'Balance', 'Cutting', 'Sampe', 'SKR', 'Package', ' Internet ',' accepted ',' disappointed ',' ']</v>
      </c>
      <c r="D5759" s="3">
        <v>1.0</v>
      </c>
    </row>
    <row r="5760" ht="15.75" customHeight="1">
      <c r="A5760" s="1">
        <v>6191.0</v>
      </c>
      <c r="B5760" s="3" t="s">
        <v>5575</v>
      </c>
      <c r="C5760" s="3" t="str">
        <f>IFERROR(__xludf.DUMMYFUNCTION("GOOGLETRANSLATE(B5760,""id"",""en"")"),"['already', 'Telkomsel', 'changed', 'service', 'report', 'email', 'blm', 'bales',' lbh ',' clock ',' stack ',' report ',' LBH ',' Dwake ',' Win ',' expensive ',' Doank ',' mah ',' superior ',' competitor ', ""]")</f>
        <v>['already', 'Telkomsel', 'changed', 'service', 'report', 'email', 'blm', 'bales',' lbh ',' clock ',' stack ',' report ',' LBH ',' Dwake ',' Win ',' expensive ',' Doank ',' mah ',' superior ',' competitor ', "]</v>
      </c>
      <c r="D5760" s="3">
        <v>1.0</v>
      </c>
    </row>
    <row r="5761" ht="15.75" customHeight="1">
      <c r="A5761" s="1">
        <v>6192.0</v>
      </c>
      <c r="B5761" s="3" t="s">
        <v>5576</v>
      </c>
      <c r="C5761" s="3" t="str">
        <f>IFERROR(__xludf.DUMMYFUNCTION("GOOGLETRANSLATE(B5761,""id"",""en"")"),"['', 'Telkomsel', 'application', 'good', 'steady']")</f>
        <v>['', 'Telkomsel', 'application', 'good', 'steady']</v>
      </c>
      <c r="D5761" s="3">
        <v>5.0</v>
      </c>
    </row>
    <row r="5762" ht="15.75" customHeight="1">
      <c r="A5762" s="1">
        <v>6193.0</v>
      </c>
      <c r="B5762" s="3" t="s">
        <v>5577</v>
      </c>
      <c r="C5762" s="3" t="str">
        <f>IFERROR(__xludf.DUMMYFUNCTION("GOOGLETRANSLATE(B5762,""id"",""en"")"),"['quota', 'gada', 'cheap']")</f>
        <v>['quota', 'gada', 'cheap']</v>
      </c>
      <c r="D5762" s="3">
        <v>2.0</v>
      </c>
    </row>
    <row r="5763" ht="15.75" customHeight="1">
      <c r="A5763" s="1">
        <v>6194.0</v>
      </c>
      <c r="B5763" s="3" t="s">
        <v>5578</v>
      </c>
      <c r="C5763" s="3" t="str">
        <f>IFERROR(__xludf.DUMMYFUNCTION("GOOGLETRANSLATE(B5763,""id"",""en"")"),"['', 'Increase', 'promo', '']")</f>
        <v>['', 'Increase', 'promo', '']</v>
      </c>
      <c r="D5763" s="3">
        <v>5.0</v>
      </c>
    </row>
    <row r="5764" ht="15.75" customHeight="1">
      <c r="A5764" s="1">
        <v>6195.0</v>
      </c>
      <c r="B5764" s="3" t="s">
        <v>5579</v>
      </c>
      <c r="C5764" s="3" t="str">
        <f>IFERROR(__xludf.DUMMYFUNCTION("GOOGLETRANSLATE(B5764,""id"",""en"")"),"['Easy', 'Han', 'Mendapt', 'Hadia', 'Banyk', 'Swap', 'Points', 'Sya', 'bissmilah', ""]")</f>
        <v>['Easy', 'Han', 'Mendapt', 'Hadia', 'Banyk', 'Swap', 'Points', 'Sya', 'bissmilah', "]</v>
      </c>
      <c r="D5764" s="3">
        <v>5.0</v>
      </c>
    </row>
    <row r="5765" ht="15.75" customHeight="1">
      <c r="A5765" s="1">
        <v>6196.0</v>
      </c>
      <c r="B5765" s="3" t="s">
        <v>5580</v>
      </c>
      <c r="C5765" s="3" t="str">
        <f>IFERROR(__xludf.DUMMYFUNCTION("GOOGLETRANSLATE(B5765,""id"",""en"")"),"['Application', 'MyTelkomsel', 'Good', '']")</f>
        <v>['Application', 'MyTelkomsel', 'Good', '']</v>
      </c>
      <c r="D5765" s="3">
        <v>5.0</v>
      </c>
    </row>
    <row r="5766" ht="15.75" customHeight="1">
      <c r="A5766" s="1">
        <v>6197.0</v>
      </c>
      <c r="B5766" s="3" t="s">
        <v>5581</v>
      </c>
      <c r="C5766" s="3" t="str">
        <f>IFERROR(__xludf.DUMMYFUNCTION("GOOGLETRANSLATE(B5766,""id"",""en"")"),"['Hopefully', 'Success', 'Slalu']")</f>
        <v>['Hopefully', 'Success', 'Slalu']</v>
      </c>
      <c r="D5766" s="3">
        <v>5.0</v>
      </c>
    </row>
    <row r="5767" ht="15.75" customHeight="1">
      <c r="A5767" s="1">
        <v>6198.0</v>
      </c>
      <c r="B5767" s="3" t="s">
        <v>5582</v>
      </c>
      <c r="C5767" s="3" t="str">
        <f>IFERROR(__xludf.DUMMYFUNCTION("GOOGLETRANSLATE(B5767,""id"",""en"")"),"['', 'maximum', 'make']")</f>
        <v>['', 'maximum', 'make']</v>
      </c>
      <c r="D5767" s="3">
        <v>3.0</v>
      </c>
    </row>
    <row r="5768" ht="15.75" customHeight="1">
      <c r="A5768" s="1">
        <v>6199.0</v>
      </c>
      <c r="B5768" s="3" t="s">
        <v>5583</v>
      </c>
      <c r="C5768" s="3" t="str">
        <f>IFERROR(__xludf.DUMMYFUNCTION("GOOGLETRANSLATE(B5768,""id"",""en"")"),"['Disappointed', 'Package', 'Call', 'Enter', 'Requires', 'Provider']")</f>
        <v>['Disappointed', 'Package', 'Call', 'Enter', 'Requires', 'Provider']</v>
      </c>
      <c r="D5768" s="3">
        <v>1.0</v>
      </c>
    </row>
    <row r="5769" ht="15.75" customHeight="1">
      <c r="A5769" s="1">
        <v>6200.0</v>
      </c>
      <c r="B5769" s="3" t="s">
        <v>5584</v>
      </c>
      <c r="C5769" s="3" t="str">
        <f>IFERROR(__xludf.DUMMYFUNCTION("GOOGLETRANSLATE(B5769,""id"",""en"")"),"['Speed', 'Download', 'quota', 'night', 'destroyed']")</f>
        <v>['Speed', 'Download', 'quota', 'night', 'destroyed']</v>
      </c>
      <c r="D5769" s="3">
        <v>1.0</v>
      </c>
    </row>
    <row r="5770" ht="15.75" customHeight="1">
      <c r="A5770" s="1">
        <v>6201.0</v>
      </c>
      <c r="B5770" s="3" t="s">
        <v>5585</v>
      </c>
      <c r="C5770" s="3" t="str">
        <f>IFERROR(__xludf.DUMMYFUNCTION("GOOGLETRANSLATE(B5770,""id"",""en"")"),"['already', 'data', 'udh', 'msuk', 'sms',' telkomsel ',' udh ',' data ',' then ',' check ',' kterangan ',' has', ' Quota ',' Help ',' Pnjelasan ',' GMNA ',' ']")</f>
        <v>['already', 'data', 'udh', 'msuk', 'sms',' telkomsel ',' udh ',' data ',' then ',' check ',' kterangan ',' has', ' Quota ',' Help ',' Pnjelasan ',' GMNA ',' ']</v>
      </c>
      <c r="D5770" s="3">
        <v>5.0</v>
      </c>
    </row>
    <row r="5771" ht="15.75" customHeight="1">
      <c r="A5771" s="1">
        <v>6202.0</v>
      </c>
      <c r="B5771" s="3" t="s">
        <v>5586</v>
      </c>
      <c r="C5771" s="3" t="str">
        <f>IFERROR(__xludf.DUMMYFUNCTION("GOOGLETRANSLATE(B5771,""id"",""en"")"),"['Sorry', 'love', 'star', 'dizziness',' list ',' Telkomsel ',' difficult ',' really ',' sms', 'late', 'then', 'enter', ' right ',' Regis', 'expires',' ']")</f>
        <v>['Sorry', 'love', 'star', 'dizziness',' list ',' Telkomsel ',' difficult ',' really ',' sms', 'late', 'then', 'enter', ' right ',' Regis', 'expires',' ']</v>
      </c>
      <c r="D5771" s="3">
        <v>1.0</v>
      </c>
    </row>
    <row r="5772" ht="15.75" customHeight="1">
      <c r="A5772" s="1">
        <v>6203.0</v>
      </c>
      <c r="B5772" s="3" t="s">
        <v>5587</v>
      </c>
      <c r="C5772" s="3" t="str">
        <f>IFERROR(__xludf.DUMMYFUNCTION("GOOGLETRANSLATE(B5772,""id"",""en"")"),"['sekrang', 'signal', 'tlkomsel', 'speed', 'internet', 'ugly', 'moved', 'card', 'ugly', 'gni', 'quota', 'bnyk', ' LEGK ',' GNI ',' Browsing ']")</f>
        <v>['sekrang', 'signal', 'tlkomsel', 'speed', 'internet', 'ugly', 'moved', 'card', 'ugly', 'gni', 'quota', 'bnyk', ' LEGK ',' GNI ',' Browsing ']</v>
      </c>
      <c r="D5772" s="3">
        <v>2.0</v>
      </c>
    </row>
    <row r="5773" ht="15.75" customHeight="1">
      <c r="A5773" s="1">
        <v>6204.0</v>
      </c>
      <c r="B5773" s="3" t="s">
        <v>5588</v>
      </c>
      <c r="C5773" s="3" t="str">
        <f>IFERROR(__xludf.DUMMYFUNCTION("GOOGLETRANSLATE(B5773,""id"",""en"")"),"['Night', 'Nov', 'Telkomsel', 'Open', 'Application', 'Fund', 'Please', 'Repaired', 'Boss', ""]")</f>
        <v>['Night', 'Nov', 'Telkomsel', 'Open', 'Application', 'Fund', 'Please', 'Repaired', 'Boss', "]</v>
      </c>
      <c r="D5773" s="3">
        <v>1.0</v>
      </c>
    </row>
    <row r="5774" ht="15.75" customHeight="1">
      <c r="A5774" s="1">
        <v>6205.0</v>
      </c>
      <c r="B5774" s="3" t="s">
        <v>5589</v>
      </c>
      <c r="C5774" s="3" t="str">
        <f>IFERROR(__xludf.DUMMYFUNCTION("GOOGLETRANSLATE(B5774,""id"",""en"")"),"['benefit']")</f>
        <v>['benefit']</v>
      </c>
      <c r="D5774" s="3">
        <v>5.0</v>
      </c>
    </row>
    <row r="5775" ht="15.75" customHeight="1">
      <c r="A5775" s="1">
        <v>6206.0</v>
      </c>
      <c r="B5775" s="3" t="s">
        <v>5590</v>
      </c>
      <c r="C5775" s="3" t="str">
        <f>IFERROR(__xludf.DUMMYFUNCTION("GOOGLETRANSLATE(B5775,""id"",""en"")"),"['Good', 'smooth']")</f>
        <v>['Good', 'smooth']</v>
      </c>
      <c r="D5775" s="3">
        <v>5.0</v>
      </c>
    </row>
    <row r="5776" ht="15.75" customHeight="1">
      <c r="A5776" s="1">
        <v>6207.0</v>
      </c>
      <c r="B5776" s="3" t="s">
        <v>5591</v>
      </c>
      <c r="C5776" s="3" t="str">
        <f>IFERROR(__xludf.DUMMYFUNCTION("GOOGLETRANSLATE(B5776,""id"",""en"")"),"['Contents', 'Data', 'Application', 'Telkomsel', 'Kapok', 'Cut "",' Money ',' Data ',' Enter ',' Mnta ',' Help ',' Robot ',' Skli ',' Operator ',' Have ',' Wait ',' Clock ',' Waiting ',' LGY ',' LGY ',' Wait ',' Lgy ',' Clock ',' Sotta ' , 'Telkomsel', 'a"&amp;"celan', 'rich', 'application', 'child', 'kirnn', 'kapok', 'brblem', 'klng', 'back', 'money', ""]")</f>
        <v>['Contents', 'Data', 'Application', 'Telkomsel', 'Kapok', 'Cut ",' Money ',' Data ',' Enter ',' Mnta ',' Help ',' Robot ',' Skli ',' Operator ',' Have ',' Wait ',' Clock ',' Waiting ',' LGY ',' LGY ',' Wait ',' Lgy ',' Clock ',' Sotta ' , 'Telkomsel', 'acelan', 'rich', 'application', 'child', 'kirnn', 'kapok', 'brblem', 'klng', 'back', 'money', "]</v>
      </c>
      <c r="D5776" s="3">
        <v>1.0</v>
      </c>
    </row>
    <row r="5777" ht="15.75" customHeight="1">
      <c r="A5777" s="1">
        <v>6208.0</v>
      </c>
      <c r="B5777" s="3" t="s">
        <v>5592</v>
      </c>
      <c r="C5777" s="3" t="str">
        <f>IFERROR(__xludf.DUMMYFUNCTION("GOOGLETRANSLATE(B5777,""id"",""en"")"),"['Network', 'Macem', 'GB', 'Taou', 'Dipelek', 'Rich']")</f>
        <v>['Network', 'Macem', 'GB', 'Taou', 'Dipelek', 'Rich']</v>
      </c>
      <c r="D5777" s="3">
        <v>1.0</v>
      </c>
    </row>
    <row r="5778" ht="15.75" customHeight="1">
      <c r="A5778" s="1">
        <v>6209.0</v>
      </c>
      <c r="B5778" s="3" t="s">
        <v>5593</v>
      </c>
      <c r="C5778" s="3" t="str">
        <f>IFERROR(__xludf.DUMMYFUNCTION("GOOGLETRANSLATE(B5778,""id"",""en"")"),"['', 'ajh']")</f>
        <v>['', 'ajh']</v>
      </c>
      <c r="D5778" s="3">
        <v>4.0</v>
      </c>
    </row>
    <row r="5779" ht="15.75" customHeight="1">
      <c r="A5779" s="1">
        <v>6210.0</v>
      </c>
      <c r="B5779" s="3" t="s">
        <v>5594</v>
      </c>
      <c r="C5779" s="3" t="str">
        <f>IFERROR(__xludf.DUMMYFUNCTION("GOOGLETRANSLATE(B5779,""id"",""en"")"),"['expensive', 'package']")</f>
        <v>['expensive', 'package']</v>
      </c>
      <c r="D5779" s="3">
        <v>4.0</v>
      </c>
    </row>
    <row r="5780" ht="15.75" customHeight="1">
      <c r="A5780" s="1">
        <v>6211.0</v>
      </c>
      <c r="B5780" s="3" t="s">
        <v>5595</v>
      </c>
      <c r="C5780" s="3" t="str">
        <f>IFERROR(__xludf.DUMMYFUNCTION("GOOGLETRANSLATE(B5780,""id"",""en"")"),"['Giman', 'Telkomsel', 'Maki', 'here', 'ugly', 'Siyala', 'Lool', 'mita', 'mercy', 'play', 'games',' Sampe ',' Leg ',' Bangat ', ""]")</f>
        <v>['Giman', 'Telkomsel', 'Maki', 'here', 'ugly', 'Siyala', 'Lool', 'mita', 'mercy', 'play', 'games',' Sampe ',' Leg ',' Bangat ', "]</v>
      </c>
      <c r="D5780" s="3">
        <v>1.0</v>
      </c>
    </row>
    <row r="5781" ht="15.75" customHeight="1">
      <c r="A5781" s="1">
        <v>6213.0</v>
      </c>
      <c r="B5781" s="3" t="s">
        <v>5596</v>
      </c>
      <c r="C5781" s="3" t="str">
        <f>IFERROR(__xludf.DUMMYFUNCTION("GOOGLETRANSLATE(B5781,""id"",""en"")"),"['disorder', 'bngst']")</f>
        <v>['disorder', 'bngst']</v>
      </c>
      <c r="D5781" s="3">
        <v>5.0</v>
      </c>
    </row>
    <row r="5782" ht="15.75" customHeight="1">
      <c r="A5782" s="1">
        <v>6214.0</v>
      </c>
      <c r="B5782" s="3" t="s">
        <v>5597</v>
      </c>
      <c r="C5782" s="3" t="str">
        <f>IFERROR(__xludf.DUMMYFUNCTION("GOOGLETRANSLATE(B5782,""id"",""en"")"),"['signal', 'good', 'fix', 'area', 'city', 'ampel', 'signal', 'sometimes', 'lost', 'thank you', ""]")</f>
        <v>['signal', 'good', 'fix', 'area', 'city', 'ampel', 'signal', 'sometimes', 'lost', 'thank you', "]</v>
      </c>
      <c r="D5782" s="3">
        <v>5.0</v>
      </c>
    </row>
    <row r="5783" ht="15.75" customHeight="1">
      <c r="A5783" s="1">
        <v>6215.0</v>
      </c>
      <c r="B5783" s="3" t="s">
        <v>5598</v>
      </c>
      <c r="C5783" s="3" t="str">
        <f>IFERROR(__xludf.DUMMYFUNCTION("GOOGLETRANSLATE(B5783,""id"",""en"")"),"['', 'Telkomsel', 'steady', 'Cool', 'Hopefully', 'In the future', 'Moving', ""]")</f>
        <v>['', 'Telkomsel', 'steady', 'Cool', 'Hopefully', 'In the future', 'Moving', "]</v>
      </c>
      <c r="D5783" s="3">
        <v>5.0</v>
      </c>
    </row>
    <row r="5784" ht="15.75" customHeight="1">
      <c r="A5784" s="1">
        <v>6216.0</v>
      </c>
      <c r="B5784" s="3" t="s">
        <v>5599</v>
      </c>
      <c r="C5784" s="3" t="str">
        <f>IFERROR(__xludf.DUMMYFUNCTION("GOOGLETRANSLATE(B5784,""id"",""en"")"),"['Different', 'price', 'package', 'number', 'number', 'me', 'package', 'expensive', 'subscribe']")</f>
        <v>['Different', 'price', 'package', 'number', 'number', 'me', 'package', 'expensive', 'subscribe']</v>
      </c>
      <c r="D5784" s="3">
        <v>1.0</v>
      </c>
    </row>
    <row r="5785" ht="15.75" customHeight="1">
      <c r="A5785" s="1">
        <v>6217.0</v>
      </c>
      <c r="B5785" s="3" t="s">
        <v>5600</v>
      </c>
      <c r="C5785" s="3" t="str">
        <f>IFERROR(__xludf.DUMMYFUNCTION("GOOGLETRANSLATE(B5785,""id"",""en"")"),"['Fly', 'tariff', 'package', 'infoin', 'sms',' package ',' cheap ',' right ',' packagein ',' price ',' seemed ',' his ad ',' Sometimes', 'Uncomfortable']")</f>
        <v>['Fly', 'tariff', 'package', 'infoin', 'sms',' package ',' cheap ',' right ',' packagein ',' price ',' seemed ',' his ad ',' Sometimes', 'Uncomfortable']</v>
      </c>
      <c r="D5785" s="3">
        <v>1.0</v>
      </c>
    </row>
    <row r="5786" ht="15.75" customHeight="1">
      <c r="A5786" s="1">
        <v>6218.0</v>
      </c>
      <c r="B5786" s="3" t="s">
        <v>5601</v>
      </c>
      <c r="C5786" s="3" t="str">
        <f>IFERROR(__xludf.DUMMYFUNCTION("GOOGLETRANSLATE(B5786,""id"",""en"")"),"['Star', 'AKN', 'Talking', '']")</f>
        <v>['Star', 'AKN', 'Talking', '']</v>
      </c>
      <c r="D5786" s="3">
        <v>4.0</v>
      </c>
    </row>
    <row r="5787" ht="15.75" customHeight="1">
      <c r="A5787" s="1">
        <v>6219.0</v>
      </c>
      <c r="B5787" s="3" t="s">
        <v>5602</v>
      </c>
      <c r="C5787" s="3" t="str">
        <f>IFERROR(__xludf.DUMMYFUNCTION("GOOGLETRANSLATE(B5787,""id"",""en"")"),"['Likes', 'Telokomsel']")</f>
        <v>['Likes', 'Telokomsel']</v>
      </c>
      <c r="D5787" s="3">
        <v>5.0</v>
      </c>
    </row>
    <row r="5788" ht="15.75" customHeight="1">
      <c r="A5788" s="1">
        <v>6220.0</v>
      </c>
      <c r="B5788" s="3" t="s">
        <v>5603</v>
      </c>
      <c r="C5788" s="3" t="str">
        <f>IFERROR(__xludf.DUMMYFUNCTION("GOOGLETRANSLATE(B5788,""id"",""en"")"),"['Steady', 'Maintain']")</f>
        <v>['Steady', 'Maintain']</v>
      </c>
      <c r="D5788" s="3">
        <v>5.0</v>
      </c>
    </row>
    <row r="5789" ht="15.75" customHeight="1">
      <c r="A5789" s="1">
        <v>6221.0</v>
      </c>
      <c r="B5789" s="3" t="s">
        <v>677</v>
      </c>
      <c r="C5789" s="3" t="str">
        <f>IFERROR(__xludf.DUMMYFUNCTION("GOOGLETRANSLATE(B5789,""id"",""en"")"),"['Telkomsel']")</f>
        <v>['Telkomsel']</v>
      </c>
      <c r="D5789" s="3">
        <v>5.0</v>
      </c>
    </row>
    <row r="5790" ht="15.75" customHeight="1">
      <c r="A5790" s="1">
        <v>6222.0</v>
      </c>
      <c r="B5790" s="3" t="s">
        <v>5604</v>
      </c>
      <c r="C5790" s="3" t="str">
        <f>IFERROR(__xludf.DUMMYFUNCTION("GOOGLETRANSLATE(B5790,""id"",""en"")"),"['', 'skepokan', 'pulse', 'put together', 'cheerful', 'clock', 'pulse', 'taken', 'note', 'rates', 'internet', 'non' package ', the' proof ',' Hopefully ',' fast ',' go bankrupt ',' company ',' honest ', ""]")</f>
        <v>['', 'skepokan', 'pulse', 'put together', 'cheerful', 'clock', 'pulse', 'taken', 'note', 'rates', 'internet', 'non' package ', the' proof ',' Hopefully ',' fast ',' go bankrupt ',' company ',' honest ', "]</v>
      </c>
      <c r="D5790" s="3">
        <v>1.0</v>
      </c>
    </row>
    <row r="5791" ht="15.75" customHeight="1">
      <c r="A5791" s="1">
        <v>6224.0</v>
      </c>
      <c r="B5791" s="3" t="s">
        <v>5605</v>
      </c>
      <c r="C5791" s="3" t="str">
        <f>IFERROR(__xludf.DUMMYFUNCTION("GOOGLETRANSLATE(B5791,""id"",""en"")"),"['Thank you', 'listen', 'complaints',' customer ',' information ',' bonus', 'hope', 'enhanced', 'check', 'use', 'data', 'pulses',' Connected ',' tks']")</f>
        <v>['Thank you', 'listen', 'complaints',' customer ',' information ',' bonus', 'hope', 'enhanced', 'check', 'use', 'data', 'pulses',' Connected ',' tks']</v>
      </c>
      <c r="D5791" s="3">
        <v>5.0</v>
      </c>
    </row>
    <row r="5792" ht="15.75" customHeight="1">
      <c r="A5792" s="1">
        <v>6226.0</v>
      </c>
      <c r="B5792" s="3" t="s">
        <v>5606</v>
      </c>
      <c r="C5792" s="3" t="str">
        <f>IFERROR(__xludf.DUMMYFUNCTION("GOOGLETRANSLATE(B5792,""id"",""en"")"),"['choice', 'quota', 'easy', 'card', 'Telkomsel']")</f>
        <v>['choice', 'quota', 'easy', 'card', 'Telkomsel']</v>
      </c>
      <c r="D5792" s="3">
        <v>5.0</v>
      </c>
    </row>
    <row r="5793" ht="15.75" customHeight="1">
      <c r="A5793" s="1">
        <v>6227.0</v>
      </c>
      <c r="B5793" s="3" t="s">
        <v>5607</v>
      </c>
      <c r="C5793" s="3" t="str">
        <f>IFERROR(__xludf.DUMMYFUNCTION("GOOGLETRANSLATE(B5793,""id"",""en"")"),"['oath', 'super', 'disappointed', 'network', 'Telkomsel', 'deteriorated', 'UDH', 'package', 'data', 'expensive', 'the network', 'super', ' slow', '']")</f>
        <v>['oath', 'super', 'disappointed', 'network', 'Telkomsel', 'deteriorated', 'UDH', 'package', 'data', 'expensive', 'the network', 'super', ' slow', '']</v>
      </c>
      <c r="D5793" s="3">
        <v>1.0</v>
      </c>
    </row>
    <row r="5794" ht="15.75" customHeight="1">
      <c r="A5794" s="1">
        <v>6228.0</v>
      </c>
      <c r="B5794" s="3" t="s">
        <v>5608</v>
      </c>
      <c r="C5794" s="3" t="str">
        <f>IFERROR(__xludf.DUMMYFUNCTION("GOOGLETRANSLATE(B5794,""id"",""en"")"),"['promo', 'easy', 'contents', 'pulse', 'payment']")</f>
        <v>['promo', 'easy', 'contents', 'pulse', 'payment']</v>
      </c>
      <c r="D5794" s="3">
        <v>5.0</v>
      </c>
    </row>
    <row r="5795" ht="15.75" customHeight="1">
      <c r="A5795" s="1">
        <v>6229.0</v>
      </c>
      <c r="B5795" s="3" t="s">
        <v>2972</v>
      </c>
      <c r="C5795" s="3" t="str">
        <f>IFERROR(__xludf.DUMMYFUNCTION("GOOGLETRANSLATE(B5795,""id"",""en"")"),"['bad network']")</f>
        <v>['bad network']</v>
      </c>
      <c r="D5795" s="3">
        <v>1.0</v>
      </c>
    </row>
    <row r="5796" ht="15.75" customHeight="1">
      <c r="A5796" s="1">
        <v>6230.0</v>
      </c>
      <c r="B5796" s="3" t="s">
        <v>5609</v>
      </c>
      <c r="C5796" s="3" t="str">
        <f>IFERROR(__xludf.DUMMYFUNCTION("GOOGLETRANSLATE(B5796,""id"",""en"")"),"['Signal', 'Bad', 'Coral', 'Ciledug', 'Tangerang', 'Banten', ""]")</f>
        <v>['Signal', 'Bad', 'Coral', 'Ciledug', 'Tangerang', 'Banten', "]</v>
      </c>
      <c r="D5796" s="3">
        <v>1.0</v>
      </c>
    </row>
    <row r="5797" ht="15.75" customHeight="1">
      <c r="A5797" s="1">
        <v>6231.0</v>
      </c>
      <c r="B5797" s="3" t="s">
        <v>5610</v>
      </c>
      <c r="C5797" s="3" t="str">
        <f>IFERROR(__xludf.DUMMYFUNCTION("GOOGLETRANSLATE(B5797,""id"",""en"")"),"['Good', 'really', 'suggestion', 'network', 'aga', 'good', 'manyin', 'purchase', 'promo', 'quota', 'kak', ""]")</f>
        <v>['Good', 'really', 'suggestion', 'network', 'aga', 'good', 'manyin', 'purchase', 'promo', 'quota', 'kak', "]</v>
      </c>
      <c r="D5797" s="3">
        <v>5.0</v>
      </c>
    </row>
    <row r="5798" ht="15.75" customHeight="1">
      <c r="A5798" s="1">
        <v>6232.0</v>
      </c>
      <c r="B5798" s="3" t="s">
        <v>5611</v>
      </c>
      <c r="C5798" s="3" t="str">
        <f>IFERROR(__xludf.DUMMYFUNCTION("GOOGLETRANSLATE(B5798,""id"",""en"")"),"['Points', 'snack', 'Linkaja', 'jdnya', 'exchange', 'point', 'deh']")</f>
        <v>['Points', 'snack', 'Linkaja', 'jdnya', 'exchange', 'point', 'deh']</v>
      </c>
      <c r="D5798" s="3">
        <v>1.0</v>
      </c>
    </row>
    <row r="5799" ht="15.75" customHeight="1">
      <c r="A5799" s="1">
        <v>6233.0</v>
      </c>
      <c r="B5799" s="3" t="s">
        <v>5612</v>
      </c>
      <c r="C5799" s="3" t="str">
        <f>IFERROR(__xludf.DUMMYFUNCTION("GOOGLETRANSLATE(B5799,""id"",""en"")"),"['buy', 'quota', 'shoppypey', 'enter']")</f>
        <v>['buy', 'quota', 'shoppypey', 'enter']</v>
      </c>
      <c r="D5799" s="3">
        <v>1.0</v>
      </c>
    </row>
    <row r="5800" ht="15.75" customHeight="1">
      <c r="A5800" s="1">
        <v>6234.0</v>
      </c>
      <c r="B5800" s="3" t="s">
        <v>5613</v>
      </c>
      <c r="C5800" s="3" t="str">
        <f>IFERROR(__xludf.DUMMYFUNCTION("GOOGLETRANSLATE(B5800,""id"",""en"")"),"['Easy', 'use', 'simple']")</f>
        <v>['Easy', 'use', 'simple']</v>
      </c>
      <c r="D5800" s="3">
        <v>5.0</v>
      </c>
    </row>
    <row r="5801" ht="15.75" customHeight="1">
      <c r="A5801" s="1">
        <v>6235.0</v>
      </c>
      <c r="B5801" s="3" t="s">
        <v>5614</v>
      </c>
      <c r="C5801" s="3" t="str">
        <f>IFERROR(__xludf.DUMMYFUNCTION("GOOGLETRANSLATE(B5801,""id"",""en"")"),"['Minn', 'Please', 'Dongg', 'Adin', 'Lock', 'Credit', 'Collecting', 'Buy', 'Package', 'Take', 'Kind', 'Lahh', ' quota ',' please ',' minn ',' rich ',' neighbor ',' gituu ',' thnk ',' minn ']")</f>
        <v>['Minn', 'Please', 'Dongg', 'Adin', 'Lock', 'Credit', 'Collecting', 'Buy', 'Package', 'Take', 'Kind', 'Lahh', ' quota ',' please ',' minn ',' rich ',' neighbor ',' gituu ',' thnk ',' minn ']</v>
      </c>
      <c r="D5801" s="3">
        <v>3.0</v>
      </c>
    </row>
    <row r="5802" ht="15.75" customHeight="1">
      <c r="A5802" s="1">
        <v>6236.0</v>
      </c>
      <c r="B5802" s="3" t="s">
        <v>5615</v>
      </c>
      <c r="C5802" s="3" t="str">
        <f>IFERROR(__xludf.DUMMYFUNCTION("GOOGLETRANSLATE(B5802,""id"",""en"")"),"['Credit', 'like', 'Cut', 'Konyen', 'anything', 'quota', 'use', 'operator', 'next door', 'strange', ""]")</f>
        <v>['Credit', 'like', 'Cut', 'Konyen', 'anything', 'quota', 'use', 'operator', 'next door', 'strange', "]</v>
      </c>
      <c r="D5802" s="3">
        <v>1.0</v>
      </c>
    </row>
    <row r="5803" ht="15.75" customHeight="1">
      <c r="A5803" s="1">
        <v>6237.0</v>
      </c>
      <c r="B5803" s="3" t="s">
        <v>5616</v>
      </c>
      <c r="C5803" s="3" t="str">
        <f>IFERROR(__xludf.DUMMYFUNCTION("GOOGLETRANSLATE(B5803,""id"",""en"")"),"['steady', 'applicationx', 'ribet']")</f>
        <v>['steady', 'applicationx', 'ribet']</v>
      </c>
      <c r="D5803" s="3">
        <v>5.0</v>
      </c>
    </row>
    <row r="5804" ht="15.75" customHeight="1">
      <c r="A5804" s="1">
        <v>6238.0</v>
      </c>
      <c r="B5804" s="3" t="s">
        <v>5617</v>
      </c>
      <c r="C5804" s="3" t="str">
        <f>IFERROR(__xludf.DUMMYFUNCTION("GOOGLETRANSLATE(B5804,""id"",""en"")"),"['Bener', 'Bener', 'Price', 'Quota', 'Expensive', 'The Network', 'Kenceng', 'MLH', 'Sometimes',' Lemot ',' Very ',' City ',' the stay ',' BUMN ',' go bankrupt ',' please ',' the network ',' enhanced ',' ']")</f>
        <v>['Bener', 'Bener', 'Price', 'Quota', 'Expensive', 'The Network', 'Kenceng', 'MLH', 'Sometimes',' Lemot ',' Very ',' City ',' the stay ',' BUMN ',' go bankrupt ',' please ',' the network ',' enhanced ',' ']</v>
      </c>
      <c r="D5804" s="3">
        <v>1.0</v>
      </c>
    </row>
    <row r="5805" ht="15.75" customHeight="1">
      <c r="A5805" s="1">
        <v>6239.0</v>
      </c>
      <c r="B5805" s="3" t="s">
        <v>5618</v>
      </c>
      <c r="C5805" s="3" t="str">
        <f>IFERROR(__xludf.DUMMYFUNCTION("GOOGLETRANSLATE(B5805,""id"",""en"")"),"['good', 'package', 'cheap', 'really']")</f>
        <v>['good', 'package', 'cheap', 'really']</v>
      </c>
      <c r="D5805" s="3">
        <v>5.0</v>
      </c>
    </row>
    <row r="5806" ht="15.75" customHeight="1">
      <c r="A5806" s="1">
        <v>6240.0</v>
      </c>
      <c r="B5806" s="3" t="s">
        <v>5619</v>
      </c>
      <c r="C5806" s="3" t="str">
        <f>IFERROR(__xludf.DUMMYFUNCTION("GOOGLETRANSLATE(B5806,""id"",""en"")"),"['Trash', 'Network']")</f>
        <v>['Trash', 'Network']</v>
      </c>
      <c r="D5806" s="3">
        <v>1.0</v>
      </c>
    </row>
    <row r="5807" ht="15.75" customHeight="1">
      <c r="A5807" s="1">
        <v>6241.0</v>
      </c>
      <c r="B5807" s="3" t="s">
        <v>5620</v>
      </c>
      <c r="C5807" s="3" t="str">
        <f>IFERROR(__xludf.DUMMYFUNCTION("GOOGLETRANSLATE(B5807,""id"",""en"")"),"['Operator', 'Good', '']")</f>
        <v>['Operator', 'Good', '']</v>
      </c>
      <c r="D5807" s="3">
        <v>5.0</v>
      </c>
    </row>
    <row r="5808" ht="15.75" customHeight="1">
      <c r="A5808" s="1">
        <v>6242.0</v>
      </c>
      <c r="B5808" s="3" t="s">
        <v>5621</v>
      </c>
      <c r="C5808" s="3" t="str">
        <f>IFERROR(__xludf.DUMMYFUNCTION("GOOGLETRANSLATE(B5808,""id"",""en"")"),"['Telkomsel', 'buy', 'package', 'data', 'expensive', 'tqpi', 'slow', 'network', 'lag', 'haduhhh', 'pinknnnnnnnnnnnnnnnnnnnnnnnnnnnnnnnnnnnnnnnnnnnnnnnnnnnnnnnnnnnnnnnnnnnnnnnnnnnnnnnnnnnnnnnnnnnnnnnnnnnnn")</f>
        <v>['Telkomsel', 'buy', 'package', 'data', 'expensive', 'tqpi', 'slow', 'network', 'lag', 'haduhhh', 'pinknnnnnnnnnnnnnnnnnnnnnnnnnnnnnnnnnnnnnnnnnnnnnnnnnnnnnnnnnnnnnnnnnnnnnnnnnnnnnnnnnnnnnnnnnnnnnnnnnnnnn</v>
      </c>
      <c r="D5808" s="3">
        <v>1.0</v>
      </c>
    </row>
    <row r="5809" ht="15.75" customHeight="1">
      <c r="A5809" s="1">
        <v>6243.0</v>
      </c>
      <c r="B5809" s="3" t="s">
        <v>5622</v>
      </c>
      <c r="C5809" s="3" t="str">
        <f>IFERROR(__xludf.DUMMYFUNCTION("GOOGLETRANSLATE(B5809,""id"",""en"")"),"['Data', 'pulse', 'sucked']")</f>
        <v>['Data', 'pulse', 'sucked']</v>
      </c>
      <c r="D5809" s="3">
        <v>5.0</v>
      </c>
    </row>
    <row r="5810" ht="15.75" customHeight="1">
      <c r="A5810" s="1">
        <v>6244.0</v>
      </c>
      <c r="B5810" s="3" t="s">
        <v>5623</v>
      </c>
      <c r="C5810" s="3" t="str">
        <f>IFERROR(__xludf.DUMMYFUNCTION("GOOGLETRANSLATE(B5810,""id"",""en"")"),"['Good', 'really', 'expensive', 'ampiun', 'blik', 'package', 'internet', 'GB', 'thousand', 'expensive', 'really', 'GB', ' thousand ',' forgiveness']")</f>
        <v>['Good', 'really', 'expensive', 'ampiun', 'blik', 'package', 'internet', 'GB', 'thousand', 'expensive', 'really', 'GB', ' thousand ',' forgiveness']</v>
      </c>
      <c r="D5810" s="3">
        <v>1.0</v>
      </c>
    </row>
    <row r="5811" ht="15.75" customHeight="1">
      <c r="A5811" s="1">
        <v>6246.0</v>
      </c>
      <c r="B5811" s="3" t="s">
        <v>5624</v>
      </c>
      <c r="C5811" s="3" t="str">
        <f>IFERROR(__xludf.DUMMYFUNCTION("GOOGLETRANSLATE(B5811,""id"",""en"")"),"['Points',' Love ',' Prizes', 'Eat', 'High School', 'Jga', 'Telkomnyet', 'Cheating', 'Society', 'Disorders',' then ',' Kli ',' Telkomnyet ',' Setabil ',' signal ',' internet ',' price ',' quota ',' doang ',' expensive ',' damage ',' fix ',' ']")</f>
        <v>['Points',' Love ',' Prizes', 'Eat', 'High School', 'Jga', 'Telkomnyet', 'Cheating', 'Society', 'Disorders',' then ',' Kli ',' Telkomnyet ',' Setabil ',' signal ',' internet ',' price ',' quota ',' doang ',' expensive ',' damage ',' fix ',' ']</v>
      </c>
      <c r="D5811" s="3">
        <v>1.0</v>
      </c>
    </row>
    <row r="5812" ht="15.75" customHeight="1">
      <c r="A5812" s="1">
        <v>6247.0</v>
      </c>
      <c r="B5812" s="3" t="s">
        <v>5625</v>
      </c>
      <c r="C5812" s="3" t="str">
        <f>IFERROR(__xludf.DUMMYFUNCTION("GOOGLETRANSLATE(B5812,""id"",""en"")"),"['Paketan', 'expensive', 'signal', 'stable']")</f>
        <v>['Paketan', 'expensive', 'signal', 'stable']</v>
      </c>
      <c r="D5812" s="3">
        <v>4.0</v>
      </c>
    </row>
    <row r="5813" ht="15.75" customHeight="1">
      <c r="A5813" s="1">
        <v>6248.0</v>
      </c>
      <c r="B5813" s="3" t="s">
        <v>5626</v>
      </c>
      <c r="C5813" s="3" t="str">
        <f>IFERROR(__xludf.DUMMYFUNCTION("GOOGLETRANSLATE(B5813,""id"",""en"")"),"['Tsel', 'promogopay', 'right', 'pay', 'cashback', 'times', 'wkwkwk']")</f>
        <v>['Tsel', 'promogopay', 'right', 'pay', 'cashback', 'times', 'wkwkwk']</v>
      </c>
      <c r="D5813" s="3">
        <v>1.0</v>
      </c>
    </row>
    <row r="5814" ht="15.75" customHeight="1">
      <c r="A5814" s="1">
        <v>6249.0</v>
      </c>
      <c r="B5814" s="3" t="s">
        <v>5627</v>
      </c>
      <c r="C5814" s="3" t="str">
        <f>IFERROR(__xludf.DUMMYFUNCTION("GOOGLETRANSLATE(B5814,""id"",""en"")"),"['updet']")</f>
        <v>['updet']</v>
      </c>
      <c r="D5814" s="3">
        <v>1.0</v>
      </c>
    </row>
    <row r="5815" ht="15.75" customHeight="1">
      <c r="A5815" s="1">
        <v>6250.0</v>
      </c>
      <c r="B5815" s="3" t="s">
        <v>5628</v>
      </c>
      <c r="C5815" s="3" t="str">
        <f>IFERROR(__xludf.DUMMYFUNCTION("GOOGLETRANSLATE(B5815,""id"",""en"")"),"['Credit', 'Reduced', 'Credit', 'Not bad', 'Daily', 'Check', 'Data', 'already', 'Litu', 'Date', 'November', 'Telkomsel', ' open ',' disappointed ',' Telkomsel ',' already ',' kagak ',' install ',' application ',' kombetebel ',' android ',' please ',' fast"&amp;" ',' repay ',' service ' , 'cheating', 'Customer', 'Unistall', '']")</f>
        <v>['Credit', 'Reduced', 'Credit', 'Not bad', 'Daily', 'Check', 'Data', 'already', 'Litu', 'Date', 'November', 'Telkomsel', ' open ',' disappointed ',' Telkomsel ',' already ',' kagak ',' install ',' application ',' kombetebel ',' android ',' please ',' fast ',' repay ',' service ' , 'cheating', 'Customer', 'Unistall', '']</v>
      </c>
      <c r="D5815" s="3">
        <v>1.0</v>
      </c>
    </row>
    <row r="5816" ht="15.75" customHeight="1">
      <c r="A5816" s="1">
        <v>6251.0</v>
      </c>
      <c r="B5816" s="3" t="s">
        <v>5629</v>
      </c>
      <c r="C5816" s="3" t="str">
        <f>IFERROR(__xludf.DUMMYFUNCTION("GOOGLETRANSLATE(B5816,""id"",""en"")"),"['quota', 'lag', 'buy', 'quota', 'GB', 'price', 'open', 'discord', 'rating', 'star', 'love', 'rating']")</f>
        <v>['quota', 'lag', 'buy', 'quota', 'GB', 'price', 'open', 'discord', 'rating', 'star', 'love', 'rating']</v>
      </c>
      <c r="D5816" s="3">
        <v>1.0</v>
      </c>
    </row>
    <row r="5817" ht="15.75" customHeight="1">
      <c r="A5817" s="1">
        <v>6252.0</v>
      </c>
      <c r="B5817" s="3" t="s">
        <v>5630</v>
      </c>
      <c r="C5817" s="3" t="str">
        <f>IFERROR(__xludf.DUMMYFUNCTION("GOOGLETRANSLATE(B5817,""id"",""en"")"),"['Network', 'Good', 'Pondok', 'Gede', 'Bekasi']")</f>
        <v>['Network', 'Good', 'Pondok', 'Gede', 'Bekasi']</v>
      </c>
      <c r="D5817" s="3">
        <v>2.0</v>
      </c>
    </row>
    <row r="5818" ht="15.75" customHeight="1">
      <c r="A5818" s="1">
        <v>6253.0</v>
      </c>
      <c r="B5818" s="3" t="s">
        <v>5631</v>
      </c>
      <c r="C5818" s="3" t="str">
        <f>IFERROR(__xludf.DUMMYFUNCTION("GOOGLETRANSLATE(B5818,""id"",""en"")"),"['down', 'star', 'open', 'application', 'login', 'reset', 'nga', 'open', 'gada', 'updaan', 'app', 'strange']")</f>
        <v>['down', 'star', 'open', 'application', 'login', 'reset', 'nga', 'open', 'gada', 'updaan', 'app', 'strange']</v>
      </c>
      <c r="D5818" s="3">
        <v>2.0</v>
      </c>
    </row>
    <row r="5819" ht="15.75" customHeight="1">
      <c r="A5819" s="1">
        <v>6255.0</v>
      </c>
      <c r="B5819" s="3" t="s">
        <v>5632</v>
      </c>
      <c r="C5819" s="3" t="str">
        <f>IFERROR(__xludf.DUMMYFUNCTION("GOOGLETRANSLATE(B5819,""id"",""en"")"),"['Telkomsel', 'Ksini', 'Severe', 'really', 'Sinyal', 'users',' Telkomsel ',' Pinta ',' Operator ',' Please ',' Increase ',' Quality ',' Donk ',' ']")</f>
        <v>['Telkomsel', 'Ksini', 'Severe', 'really', 'Sinyal', 'users',' Telkomsel ',' Pinta ',' Operator ',' Please ',' Increase ',' Quality ',' Donk ',' ']</v>
      </c>
      <c r="D5819" s="3">
        <v>1.0</v>
      </c>
    </row>
    <row r="5820" ht="15.75" customHeight="1">
      <c r="A5820" s="1">
        <v>6256.0</v>
      </c>
      <c r="B5820" s="3" t="s">
        <v>5633</v>
      </c>
      <c r="C5820" s="3" t="str">
        <f>IFERROR(__xludf.DUMMYFUNCTION("GOOGLETRANSLATE(B5820,""id"",""en"")"),"['experience', 'disruption', 'purchase', 'service', 'application', 'deleted', 'PlayStore', 'technician', 'replaced', 'disappointed', 'ad', 'spam', ' annoying ',' consumer ',' applied ',' impact ',' application ',' input ',' garbage ',' spam ',' open ',' a"&amp;"pplication ']")</f>
        <v>['experience', 'disruption', 'purchase', 'service', 'application', 'deleted', 'PlayStore', 'technician', 'replaced', 'disappointed', 'ad', 'spam', ' annoying ',' consumer ',' applied ',' impact ',' application ',' input ',' garbage ',' spam ',' open ',' application ']</v>
      </c>
      <c r="D5820" s="3">
        <v>1.0</v>
      </c>
    </row>
    <row r="5821" ht="15.75" customHeight="1">
      <c r="A5821" s="1">
        <v>6257.0</v>
      </c>
      <c r="B5821" s="3" t="s">
        <v>5634</v>
      </c>
      <c r="C5821" s="3" t="str">
        <f>IFERROR(__xludf.DUMMYFUNCTION("GOOGLETRANSLATE(B5821,""id"",""en"")"),"['package', 'expensive', 'promo', 'card', '']")</f>
        <v>['package', 'expensive', 'promo', 'card', '']</v>
      </c>
      <c r="D5821" s="3">
        <v>1.0</v>
      </c>
    </row>
    <row r="5822" ht="15.75" customHeight="1">
      <c r="A5822" s="1">
        <v>6258.0</v>
      </c>
      <c r="B5822" s="3" t="s">
        <v>5635</v>
      </c>
      <c r="C5822" s="3" t="str">
        <f>IFERROR(__xludf.DUMMYFUNCTION("GOOGLETRANSLATE(B5822,""id"",""en"")"),"['Hello', 'Telkomsel', 'use', 'Network', 'Telkomsel', 'many years',' service ',' network ',' changed ',' stable ',' smooth ',' streaming ',' Play ',' Game ',' Moba ',' Costs', 'Package', 'Heavy', '']")</f>
        <v>['Hello', 'Telkomsel', 'use', 'Network', 'Telkomsel', 'many years',' service ',' network ',' changed ',' stable ',' smooth ',' streaming ',' Play ',' Game ',' Moba ',' Costs', 'Package', 'Heavy', '']</v>
      </c>
      <c r="D5822" s="3">
        <v>2.0</v>
      </c>
    </row>
    <row r="5823" ht="15.75" customHeight="1">
      <c r="A5823" s="1">
        <v>6259.0</v>
      </c>
      <c r="B5823" s="3" t="s">
        <v>5636</v>
      </c>
      <c r="C5823" s="3" t="str">
        <f>IFERROR(__xludf.DUMMYFUNCTION("GOOGLETRANSLATE(B5823,""id"",""en"")"),"['discount', 'package', 'data', 'cheap', 'expensive', 'that's',' signal ',' bar ',' signal ',' full ',' network ',' class', ' Discounts', 'broken', 'Connect', 'stable', 'connects',' ngawak ',' work ',' superior ',' expensive ']")</f>
        <v>['discount', 'package', 'data', 'cheap', 'expensive', 'that's',' signal ',' bar ',' signal ',' full ',' network ',' class', ' Discounts', 'broken', 'Connect', 'stable', 'connects',' ngawak ',' work ',' superior ',' expensive ']</v>
      </c>
      <c r="D5823" s="3">
        <v>1.0</v>
      </c>
    </row>
    <row r="5824" ht="15.75" customHeight="1">
      <c r="A5824" s="1">
        <v>6260.0</v>
      </c>
      <c r="B5824" s="3" t="s">
        <v>5637</v>
      </c>
      <c r="C5824" s="3" t="str">
        <f>IFERROR(__xludf.DUMMYFUNCTION("GOOGLETRANSLATE(B5824,""id"",""en"")"),"['APK', 'LEGUE', 'Fix', 'Lahi']")</f>
        <v>['APK', 'LEGUE', 'Fix', 'Lahi']</v>
      </c>
      <c r="D5824" s="3">
        <v>1.0</v>
      </c>
    </row>
    <row r="5825" ht="15.75" customHeight="1">
      <c r="A5825" s="1">
        <v>6261.0</v>
      </c>
      <c r="B5825" s="3" t="s">
        <v>5638</v>
      </c>
      <c r="C5825" s="3" t="str">
        <f>IFERROR(__xludf.DUMMYFUNCTION("GOOGLETRANSLATE(B5825,""id"",""en"")"),"['Bagu']")</f>
        <v>['Bagu']</v>
      </c>
      <c r="D5825" s="3">
        <v>5.0</v>
      </c>
    </row>
    <row r="5826" ht="15.75" customHeight="1">
      <c r="A5826" s="1">
        <v>6262.0</v>
      </c>
      <c r="B5826" s="3" t="s">
        <v>5639</v>
      </c>
      <c r="C5826" s="3" t="str">
        <f>IFERROR(__xludf.DUMMYFUNCTION("GOOGLETRANSLATE(B5826,""id"",""en"")"),"['disruption', 'sympathy', 'package', 'data', 'down', 'signal', 'in the area', 'Surabaya', 'west', ""]")</f>
        <v>['disruption', 'sympathy', 'package', 'data', 'down', 'signal', 'in the area', 'Surabaya', 'west', "]</v>
      </c>
      <c r="D5826" s="3">
        <v>4.0</v>
      </c>
    </row>
    <row r="5827" ht="15.75" customHeight="1">
      <c r="A5827" s="1">
        <v>6263.0</v>
      </c>
      <c r="B5827" s="3" t="s">
        <v>5640</v>
      </c>
      <c r="C5827" s="3" t="str">
        <f>IFERROR(__xludf.DUMMYFUNCTION("GOOGLETRANSLATE(B5827,""id"",""en"")"),"['signal', 'severe', 'game', 'online', 'anything', 'love', 'smooth', 'nge', 'game', 'entry', 'application', 'report', ' Application ',' Need ',' Minutes']")</f>
        <v>['signal', 'severe', 'game', 'online', 'anything', 'love', 'smooth', 'nge', 'game', 'entry', 'application', 'report', ' Application ',' Need ',' Minutes']</v>
      </c>
      <c r="D5827" s="3">
        <v>1.0</v>
      </c>
    </row>
    <row r="5828" ht="15.75" customHeight="1">
      <c r="A5828" s="1">
        <v>6264.0</v>
      </c>
      <c r="B5828" s="3" t="s">
        <v>5641</v>
      </c>
      <c r="C5828" s="3" t="str">
        <f>IFERROR(__xludf.DUMMYFUNCTION("GOOGLETRANSLATE(B5828,""id"",""en"")"),"['learning process', '']")</f>
        <v>['learning process', '']</v>
      </c>
      <c r="D5828" s="3">
        <v>1.0</v>
      </c>
    </row>
    <row r="5829" ht="15.75" customHeight="1">
      <c r="A5829" s="1">
        <v>6265.0</v>
      </c>
      <c r="B5829" s="3" t="s">
        <v>5642</v>
      </c>
      <c r="C5829" s="3" t="str">
        <f>IFERROR(__xludf.DUMMYFUNCTION("GOOGLETRANSLATE(B5829,""id"",""en"")"),"['Come', 'slow', 'buy', 'package', 'data', '']")</f>
        <v>['Come', 'slow', 'buy', 'package', 'data', '']</v>
      </c>
      <c r="D5829" s="3">
        <v>1.0</v>
      </c>
    </row>
    <row r="5830" ht="15.75" customHeight="1">
      <c r="A5830" s="1">
        <v>6266.0</v>
      </c>
      <c r="B5830" s="3" t="s">
        <v>5643</v>
      </c>
      <c r="C5830" s="3" t="str">
        <f>IFERROR(__xludf.DUMMYFUNCTION("GOOGLETRANSLATE(B5830,""id"",""en"")"),"['Telkomsel', 'Success']")</f>
        <v>['Telkomsel', 'Success']</v>
      </c>
      <c r="D5830" s="3">
        <v>5.0</v>
      </c>
    </row>
    <row r="5831" ht="15.75" customHeight="1">
      <c r="A5831" s="1">
        <v>6267.0</v>
      </c>
      <c r="B5831" s="3" t="s">
        <v>5644</v>
      </c>
      <c r="C5831" s="3" t="str">
        <f>IFERROR(__xludf.DUMMYFUNCTION("GOOGLETRANSLATE(B5831,""id"",""en"")"),"['Yes', 'makes it easy']")</f>
        <v>['Yes', 'makes it easy']</v>
      </c>
      <c r="D5831" s="3">
        <v>5.0</v>
      </c>
    </row>
    <row r="5832" ht="15.75" customHeight="1">
      <c r="A5832" s="1">
        <v>6268.0</v>
      </c>
      <c r="B5832" s="3" t="s">
        <v>5645</v>
      </c>
      <c r="C5832" s="3" t="str">
        <f>IFERROR(__xludf.DUMMYFUNCTION("GOOGLETRANSLATE(B5832,""id"",""en"")"),"['Service', 'Increase', 'Call', 'oprator']")</f>
        <v>['Service', 'Increase', 'Call', 'oprator']</v>
      </c>
      <c r="D5832" s="3">
        <v>3.0</v>
      </c>
    </row>
    <row r="5833" ht="15.75" customHeight="1">
      <c r="A5833" s="1">
        <v>6269.0</v>
      </c>
      <c r="B5833" s="3" t="s">
        <v>5646</v>
      </c>
      <c r="C5833" s="3" t="str">
        <f>IFERROR(__xludf.DUMMYFUNCTION("GOOGLETRANSLATE(B5833,""id"",""en"")"),"['loan', 'balance', 'pulse', 'rb', 'please', 'increase']")</f>
        <v>['loan', 'balance', 'pulse', 'rb', 'please', 'increase']</v>
      </c>
      <c r="D5833" s="3">
        <v>5.0</v>
      </c>
    </row>
    <row r="5834" ht="15.75" customHeight="1">
      <c r="A5834" s="1">
        <v>6270.0</v>
      </c>
      <c r="B5834" s="3" t="s">
        <v>5647</v>
      </c>
      <c r="C5834" s="3" t="str">
        <f>IFERROR(__xludf.DUMMYFUNCTION("GOOGLETRANSLATE(B5834,""id"",""en"")"),"['Village', 'City', 'Network', 'Burik', 'Telkomsel', 'Closed', 'Roll', 'Mat', 'Expensive', 'Doang', 'Network', 'Burik', ' Season ',' njng ']")</f>
        <v>['Village', 'City', 'Network', 'Burik', 'Telkomsel', 'Closed', 'Roll', 'Mat', 'Expensive', 'Doang', 'Network', 'Burik', ' Season ',' njng ']</v>
      </c>
      <c r="D5834" s="3">
        <v>1.0</v>
      </c>
    </row>
    <row r="5835" ht="15.75" customHeight="1">
      <c r="A5835" s="1">
        <v>6271.0</v>
      </c>
      <c r="B5835" s="3" t="s">
        <v>5648</v>
      </c>
      <c r="C5835" s="3" t="str">
        <f>IFERROR(__xludf.DUMMYFUNCTION("GOOGLETRANSLATE(B5835,""id"",""en"")"),"['What', 'already', 'hours', 'slow', 'stay', 'Jakarta', 'West', 'Severe', ""]")</f>
        <v>['What', 'already', 'hours', 'slow', 'stay', 'Jakarta', 'West', 'Severe', "]</v>
      </c>
      <c r="D5835" s="3">
        <v>1.0</v>
      </c>
    </row>
    <row r="5836" ht="15.75" customHeight="1">
      <c r="A5836" s="1">
        <v>6272.0</v>
      </c>
      <c r="B5836" s="3" t="s">
        <v>5649</v>
      </c>
      <c r="C5836" s="3" t="str">
        <f>IFERROR(__xludf.DUMMYFUNCTION("GOOGLETRANSLATE(B5836,""id"",""en"")"),"['Take', 'money', 'wasteful', 'really', 'buy', 'package', 'pulse', 'nyadar', 'package', 'abis',' pulse ',' take ',' Take it ',' alias', 'loss',' rban ']")</f>
        <v>['Take', 'money', 'wasteful', 'really', 'buy', 'package', 'pulse', 'nyadar', 'package', 'abis',' pulse ',' take ',' Take it ',' alias', 'loss',' rban ']</v>
      </c>
      <c r="D5836" s="3">
        <v>2.0</v>
      </c>
    </row>
    <row r="5837" ht="15.75" customHeight="1">
      <c r="A5837" s="1">
        <v>6273.0</v>
      </c>
      <c r="B5837" s="3" t="s">
        <v>5650</v>
      </c>
      <c r="C5837" s="3" t="str">
        <f>IFERROR(__xludf.DUMMYFUNCTION("GOOGLETRANSLATE(B5837,""id"",""en"")"),"['Good', 'hope', 'user', 'telephone', 'bkn', 'internet', 'package', 'telephone', 'expensive', 'era', 'internet', 'packetan', ' Phone ',' expensive ',' ']")</f>
        <v>['Good', 'hope', 'user', 'telephone', 'bkn', 'internet', 'package', 'telephone', 'expensive', 'era', 'internet', 'packetan', ' Phone ',' expensive ',' ']</v>
      </c>
      <c r="D5837" s="3">
        <v>4.0</v>
      </c>
    </row>
    <row r="5838" ht="15.75" customHeight="1">
      <c r="A5838" s="1">
        <v>6274.0</v>
      </c>
      <c r="B5838" s="3" t="s">
        <v>5651</v>
      </c>
      <c r="C5838" s="3" t="str">
        <f>IFERROR(__xludf.DUMMYFUNCTION("GOOGLETRANSLATE(B5838,""id"",""en"")"),"['Paketan', 'expensive', 'Ryesel', 'Telkomsel', ""]")</f>
        <v>['Paketan', 'expensive', 'Ryesel', 'Telkomsel', "]</v>
      </c>
      <c r="D5838" s="3">
        <v>1.0</v>
      </c>
    </row>
    <row r="5839" ht="15.75" customHeight="1">
      <c r="A5839" s="1">
        <v>6275.0</v>
      </c>
      <c r="B5839" s="3" t="s">
        <v>5240</v>
      </c>
      <c r="C5839" s="3" t="str">
        <f>IFERROR(__xludf.DUMMYFUNCTION("GOOGLETRANSLATE(B5839,""id"",""en"")"),"['try']")</f>
        <v>['try']</v>
      </c>
      <c r="D5839" s="3">
        <v>2.0</v>
      </c>
    </row>
    <row r="5840" ht="15.75" customHeight="1">
      <c r="A5840" s="1">
        <v>6276.0</v>
      </c>
      <c r="B5840" s="3" t="s">
        <v>5652</v>
      </c>
      <c r="C5840" s="3" t="str">
        <f>IFERROR(__xludf.DUMMYFUNCTION("GOOGLETRANSLATE(B5840,""id"",""en"")"),"['Telkomsel', 'Anjjing', 'Network', 'Kayak', 'Taik', 'UDH', 'Package', 'Expensive', 'Network', 'Kayak', 'Taik', 'Live', ' inland ',' already ',' moved ',' card ',' child ',' nation ',' Indonesia ',' troubling ',' Telkomsel ']")</f>
        <v>['Telkomsel', 'Anjjing', 'Network', 'Kayak', 'Taik', 'UDH', 'Package', 'Expensive', 'Network', 'Kayak', 'Taik', 'Live', ' inland ',' already ',' moved ',' card ',' child ',' nation ',' Indonesia ',' troubling ',' Telkomsel ']</v>
      </c>
      <c r="D5840" s="3">
        <v>1.0</v>
      </c>
    </row>
    <row r="5841" ht="15.75" customHeight="1">
      <c r="A5841" s="1">
        <v>6277.0</v>
      </c>
      <c r="B5841" s="3" t="s">
        <v>5653</v>
      </c>
      <c r="C5841" s="3" t="str">
        <f>IFERROR(__xludf.DUMMYFUNCTION("GOOGLETRANSLATE(B5841,""id"",""en"")"),"['', 'may', 'LMA', 'Network', 'might', 'Kaga', 'JLAS', 'expensive', 'Doang', 'slow', 'dead', 'wonder', 'service ',' might ',' Lma ',' may ',' karuan ', ""]")</f>
        <v>['', 'may', 'LMA', 'Network', 'might', 'Kaga', 'JLAS', 'expensive', 'Doang', 'slow', 'dead', 'wonder', 'service ',' might ',' Lma ',' may ',' karuan ', "]</v>
      </c>
      <c r="D5841" s="3">
        <v>1.0</v>
      </c>
    </row>
    <row r="5842" ht="15.75" customHeight="1">
      <c r="A5842" s="1">
        <v>6278.0</v>
      </c>
      <c r="B5842" s="3" t="s">
        <v>5654</v>
      </c>
      <c r="C5842" s="3" t="str">
        <f>IFERROR(__xludf.DUMMYFUNCTION("GOOGLETRANSLATE(B5842,""id"",""en"")"),"['Suitable', 'APL', 'for me', 'Thanks', 'Hold', 'APL']")</f>
        <v>['Suitable', 'APL', 'for me', 'Thanks', 'Hold', 'APL']</v>
      </c>
      <c r="D5842" s="3">
        <v>5.0</v>
      </c>
    </row>
    <row r="5843" ht="15.75" customHeight="1">
      <c r="A5843" s="1">
        <v>6279.0</v>
      </c>
      <c r="B5843" s="3" t="s">
        <v>5655</v>
      </c>
      <c r="C5843" s="3" t="str">
        <f>IFERROR(__xludf.DUMMYFUNCTION("GOOGLETRANSLATE(B5843,""id"",""en"")"),"['satisfied', '']")</f>
        <v>['satisfied', '']</v>
      </c>
      <c r="D5843" s="3">
        <v>5.0</v>
      </c>
    </row>
    <row r="5844" ht="15.75" customHeight="1">
      <c r="A5844" s="1">
        <v>6280.0</v>
      </c>
      <c r="B5844" s="3" t="s">
        <v>5656</v>
      </c>
      <c r="C5844" s="3" t="str">
        <f>IFERROR(__xludf.DUMMYFUNCTION("GOOGLETRANSLATE(B5844,""id"",""en"")"),"['Telkomsel', 'satisfying', 'mending', 'closed', 'ajh', 'already', 'technology', 'developing', 'signal', 'good', 'down', 'Teros',' Download ',' App ',' Wait ',' Clock ',' Dahlah ',' Dead ',' Kek ']")</f>
        <v>['Telkomsel', 'satisfying', 'mending', 'closed', 'ajh', 'already', 'technology', 'developing', 'signal', 'good', 'down', 'Teros',' Download ',' App ',' Wait ',' Clock ',' Dahlah ',' Dead ',' Kek ']</v>
      </c>
      <c r="D5844" s="3">
        <v>1.0</v>
      </c>
    </row>
    <row r="5845" ht="15.75" customHeight="1">
      <c r="A5845" s="1">
        <v>6281.0</v>
      </c>
      <c r="B5845" s="3" t="s">
        <v>5657</v>
      </c>
      <c r="C5845" s="3" t="str">
        <f>IFERROR(__xludf.DUMMYFUNCTION("GOOGLETRANSLATE(B5845,""id"",""en"")"),"['Please help']")</f>
        <v>['Please help']</v>
      </c>
      <c r="D5845" s="3">
        <v>5.0</v>
      </c>
    </row>
    <row r="5846" ht="15.75" customHeight="1">
      <c r="A5846" s="1">
        <v>6282.0</v>
      </c>
      <c r="B5846" s="3" t="s">
        <v>5658</v>
      </c>
      <c r="C5846" s="3" t="str">
        <f>IFERROR(__xludf.DUMMYFUNCTION("GOOGLETRANSLATE(B5846,""id"",""en"")"),"['Sorry', 'Switch', 'Hello', 'Telkomsel', 'Called', 'Telkomsel', 'Menganti', 'Card', 'Hello', 'Katan', 'Sinyal', 'full', ' in fact ',' sinyall ',' bad ',' please ',' back ',' kartuku ',' sympathy ']")</f>
        <v>['Sorry', 'Switch', 'Hello', 'Telkomsel', 'Called', 'Telkomsel', 'Menganti', 'Card', 'Hello', 'Katan', 'Sinyal', 'full', ' in fact ',' sinyall ',' bad ',' please ',' back ',' kartuku ',' sympathy ']</v>
      </c>
      <c r="D5846" s="3">
        <v>1.0</v>
      </c>
    </row>
    <row r="5847" ht="15.75" customHeight="1">
      <c r="A5847" s="1">
        <v>6283.0</v>
      </c>
      <c r="B5847" s="3" t="s">
        <v>5659</v>
      </c>
      <c r="C5847" s="3" t="str">
        <f>IFERROR(__xludf.DUMMYFUNCTION("GOOGLETRANSLATE(B5847,""id"",""en"")"),"['Application', 'failed', 'difficult', 'accessed']")</f>
        <v>['Application', 'failed', 'difficult', 'accessed']</v>
      </c>
      <c r="D5847" s="3">
        <v>1.0</v>
      </c>
    </row>
    <row r="5848" ht="15.75" customHeight="1">
      <c r="A5848" s="1">
        <v>6284.0</v>
      </c>
      <c r="B5848" s="3" t="s">
        <v>5660</v>
      </c>
      <c r="C5848" s="3" t="str">
        <f>IFERROR(__xludf.DUMMYFUNCTION("GOOGLETRANSLATE(B5848,""id"",""en"")"),"['Telkomsel', 'please', 'fix', 'signal', 'signal', 'Telkomsel', 'Bentar', 'Bentar', 'bad', 'difficult', 'signal', 'price', ' package ',' internet ',' condition ',' signal ',' bad ',' please ',' signal ',' telkomsel ',' fix ',' kayak ',' gini ',' thank ','"&amp;" love ' ]")</f>
        <v>['Telkomsel', 'please', 'fix', 'signal', 'signal', 'Telkomsel', 'Bentar', 'Bentar', 'bad', 'difficult', 'signal', 'price', ' package ',' internet ',' condition ',' signal ',' bad ',' please ',' signal ',' telkomsel ',' fix ',' kayak ',' gini ',' thank ',' love ' ]</v>
      </c>
      <c r="D5848" s="3">
        <v>1.0</v>
      </c>
    </row>
    <row r="5849" ht="15.75" customHeight="1">
      <c r="A5849" s="1">
        <v>6285.0</v>
      </c>
      <c r="B5849" s="3" t="s">
        <v>5661</v>
      </c>
      <c r="C5849" s="3" t="str">
        <f>IFERROR(__xludf.DUMMYFUNCTION("GOOGLETRANSLATE(B5849,""id"",""en"")"),"['easy', 'contents', 'quota', '']")</f>
        <v>['easy', 'contents', 'quota', '']</v>
      </c>
      <c r="D5849" s="3">
        <v>5.0</v>
      </c>
    </row>
    <row r="5850" ht="15.75" customHeight="1">
      <c r="A5850" s="1">
        <v>6286.0</v>
      </c>
      <c r="B5850" s="3" t="s">
        <v>5662</v>
      </c>
      <c r="C5850" s="3" t="str">
        <f>IFERROR(__xludf.DUMMYFUNCTION("GOOGLETRANSLATE(B5850,""id"",""en"")"),"['APK', 'Heavy', 'Game', 'Turbo', 'Detect', 'Game']")</f>
        <v>['APK', 'Heavy', 'Game', 'Turbo', 'Detect', 'Game']</v>
      </c>
      <c r="D5850" s="3">
        <v>1.0</v>
      </c>
    </row>
    <row r="5851" ht="15.75" customHeight="1">
      <c r="A5851" s="1">
        <v>6287.0</v>
      </c>
      <c r="B5851" s="3" t="s">
        <v>5663</v>
      </c>
      <c r="C5851" s="3" t="str">
        <f>IFERROR(__xludf.DUMMYFUNCTION("GOOGLETRANSLATE(B5851,""id"",""en"")"),"['expensive', 'doang', 'slow', 'asw']")</f>
        <v>['expensive', 'doang', 'slow', 'asw']</v>
      </c>
      <c r="D5851" s="3">
        <v>1.0</v>
      </c>
    </row>
    <row r="5852" ht="15.75" customHeight="1">
      <c r="A5852" s="1">
        <v>6288.0</v>
      </c>
      <c r="B5852" s="3" t="s">
        <v>5664</v>
      </c>
      <c r="C5852" s="3" t="str">
        <f>IFERROR(__xludf.DUMMYFUNCTION("GOOGLETRANSLATE(B5852,""id"",""en"")"),"['Tsel', 'slow', 'Tsel', 'Uda', 'OK', 'Tomorrow', 'Switch', 'Woii', 'Experience', 'Leet', 'Tomorrow', 'Burna', ' package ',' uda ',' sorted ',' tsel ',' gara ',' gara ',' tsel ',' wisdom ',' sorted ',' uda ',' repent ',' bah ', ""]")</f>
        <v>['Tsel', 'slow', 'Tsel', 'Uda', 'OK', 'Tomorrow', 'Switch', 'Woii', 'Experience', 'Leet', 'Tomorrow', 'Burna', ' package ',' uda ',' sorted ',' tsel ',' gara ',' gara ',' tsel ',' wisdom ',' sorted ',' uda ',' repent ',' bah ', "]</v>
      </c>
      <c r="D5852" s="3">
        <v>1.0</v>
      </c>
    </row>
    <row r="5853" ht="15.75" customHeight="1">
      <c r="A5853" s="1">
        <v>6289.0</v>
      </c>
      <c r="B5853" s="3" t="s">
        <v>5665</v>
      </c>
      <c r="C5853" s="3" t="str">
        <f>IFERROR(__xludf.DUMMYFUNCTION("GOOGLETRANSLATE(B5853,""id"",""en"")"),"['Telkom', 'ugly', 'severe', 'signal', 'trick', 'cok', 'tetep', 'slow', 'already', 'expensive', 'signal', 'ugly', ' Cook ',' Package ',' Data ',' GB ',' Enter ',' Etc. ',' Network ',' Bener ',' Telkom ',' Disappointed ',' No ',' Severe ',' Telkom ' ]")</f>
        <v>['Telkom', 'ugly', 'severe', 'signal', 'trick', 'cok', 'tetep', 'slow', 'already', 'expensive', 'signal', 'ugly', ' Cook ',' Package ',' Data ',' GB ',' Enter ',' Etc. ',' Network ',' Bener ',' Telkom ',' Disappointed ',' No ',' Severe ',' Telkom ' ]</v>
      </c>
      <c r="D5853" s="3">
        <v>1.0</v>
      </c>
    </row>
    <row r="5854" ht="15.75" customHeight="1">
      <c r="A5854" s="1">
        <v>6290.0</v>
      </c>
      <c r="B5854" s="3" t="s">
        <v>5666</v>
      </c>
      <c r="C5854" s="3" t="str">
        <f>IFERROR(__xludf.DUMMYFUNCTION("GOOGLETRANSLATE(B5854,""id"",""en"")"),"['Network', 'Telkomsel', 'Good', '']")</f>
        <v>['Network', 'Telkomsel', 'Good', '']</v>
      </c>
      <c r="D5854" s="3">
        <v>1.0</v>
      </c>
    </row>
    <row r="5855" ht="15.75" customHeight="1">
      <c r="A5855" s="1">
        <v>6291.0</v>
      </c>
      <c r="B5855" s="3" t="s">
        <v>5667</v>
      </c>
      <c r="C5855" s="3" t="str">
        <f>IFERROR(__xludf.DUMMYFUNCTION("GOOGLETRANSLATE(B5855,""id"",""en"")"),"['Severe', 'Telkomsel', 'Sinyal', 'slow', 'Halooo', 'please', 'Diligently', 'Pay', 'Lemot', 'Telkomsel']")</f>
        <v>['Severe', 'Telkomsel', 'Sinyal', 'slow', 'Halooo', 'please', 'Diligently', 'Pay', 'Lemot', 'Telkomsel']</v>
      </c>
      <c r="D5855" s="3">
        <v>2.0</v>
      </c>
    </row>
    <row r="5856" ht="15.75" customHeight="1">
      <c r="A5856" s="1">
        <v>6292.0</v>
      </c>
      <c r="B5856" s="3" t="s">
        <v>5668</v>
      </c>
      <c r="C5856" s="3" t="str">
        <f>IFERROR(__xludf.DUMMYFUNCTION("GOOGLETRANSLATE(B5856,""id"",""en"")"),"['price', 'quota', 'okay', 'quality', 'connection', 'increase', ""]")</f>
        <v>['price', 'quota', 'okay', 'quality', 'connection', 'increase', "]</v>
      </c>
      <c r="D5856" s="3">
        <v>2.0</v>
      </c>
    </row>
    <row r="5857" ht="15.75" customHeight="1">
      <c r="A5857" s="1">
        <v>6293.0</v>
      </c>
      <c r="B5857" s="3" t="s">
        <v>5669</v>
      </c>
      <c r="C5857" s="3" t="str">
        <f>IFERROR(__xludf.DUMMYFUNCTION("GOOGLETRANSLATE(B5857,""id"",""en"")"),"['Okay', 'network', 'convenience', 'payment', '']")</f>
        <v>['Okay', 'network', 'convenience', 'payment', '']</v>
      </c>
      <c r="D5857" s="3">
        <v>5.0</v>
      </c>
    </row>
    <row r="5858" ht="15.75" customHeight="1">
      <c r="A5858" s="1">
        <v>6294.0</v>
      </c>
      <c r="B5858" s="3" t="s">
        <v>5670</v>
      </c>
      <c r="C5858" s="3" t="str">
        <f>IFERROR(__xludf.DUMMYFUNCTION("GOOGLETRANSLATE(B5858,""id"",""en"")"),"['Severe', 'quota', 'sucked', 'pulse']")</f>
        <v>['Severe', 'quota', 'sucked', 'pulse']</v>
      </c>
      <c r="D5858" s="3">
        <v>1.0</v>
      </c>
    </row>
    <row r="5859" ht="15.75" customHeight="1">
      <c r="A5859" s="1">
        <v>6295.0</v>
      </c>
      <c r="B5859" s="3" t="s">
        <v>5671</v>
      </c>
      <c r="C5859" s="3" t="str">
        <f>IFERROR(__xludf.DUMMYFUNCTION("GOOGLETRANSLATE(B5859,""id"",""en"")"),"['TOP', 'Markotop', 'Increase', 'smooth', 'signal', 'wherever', '']")</f>
        <v>['TOP', 'Markotop', 'Increase', 'smooth', 'signal', 'wherever', '']</v>
      </c>
      <c r="D5859" s="3">
        <v>5.0</v>
      </c>
    </row>
    <row r="5860" ht="15.75" customHeight="1">
      <c r="A5860" s="1">
        <v>6296.0</v>
      </c>
      <c r="B5860" s="3" t="s">
        <v>5672</v>
      </c>
      <c r="C5860" s="3" t="str">
        <f>IFERROR(__xludf.DUMMYFUNCTION("GOOGLETRANSLATE(B5860,""id"",""en"")"),"['price', 'package', 'expensive', 'network', 'bad', 'open', 'game', 'kouta', 'already', 'internet', 'slow', 'package', ' expensive ',' taik ']")</f>
        <v>['price', 'package', 'expensive', 'network', 'bad', 'open', 'game', 'kouta', 'already', 'internet', 'slow', 'package', ' expensive ',' taik ']</v>
      </c>
      <c r="D5860" s="3">
        <v>1.0</v>
      </c>
    </row>
    <row r="5861" ht="15.75" customHeight="1">
      <c r="A5861" s="1">
        <v>6297.0</v>
      </c>
      <c r="B5861" s="3" t="s">
        <v>4884</v>
      </c>
      <c r="C5861" s="3" t="str">
        <f>IFERROR(__xludf.DUMMYFUNCTION("GOOGLETRANSLATE(B5861,""id"",""en"")"),"['Paketan', 'expensive']")</f>
        <v>['Paketan', 'expensive']</v>
      </c>
      <c r="D5861" s="3">
        <v>3.0</v>
      </c>
    </row>
    <row r="5862" ht="15.75" customHeight="1">
      <c r="A5862" s="1">
        <v>6298.0</v>
      </c>
      <c r="B5862" s="3" t="s">
        <v>5673</v>
      </c>
      <c r="C5862" s="3" t="str">
        <f>IFERROR(__xludf.DUMMYFUNCTION("GOOGLETRANSLATE(B5862,""id"",""en"")"),"['MLM', 'Signal', 'Severe', 'Lemod']")</f>
        <v>['MLM', 'Signal', 'Severe', 'Lemod']</v>
      </c>
      <c r="D5862" s="3">
        <v>3.0</v>
      </c>
    </row>
    <row r="5863" ht="15.75" customHeight="1">
      <c r="A5863" s="1">
        <v>6299.0</v>
      </c>
      <c r="B5863" s="3" t="s">
        <v>5674</v>
      </c>
      <c r="C5863" s="3" t="str">
        <f>IFERROR(__xludf.DUMMYFUNCTION("GOOGLETRANSLATE(B5863,""id"",""en"")"),"['Ber', 'Manpat']")</f>
        <v>['Ber', 'Manpat']</v>
      </c>
      <c r="D5863" s="3">
        <v>5.0</v>
      </c>
    </row>
    <row r="5864" ht="15.75" customHeight="1">
      <c r="A5864" s="1">
        <v>6300.0</v>
      </c>
      <c r="B5864" s="3" t="s">
        <v>5675</v>
      </c>
      <c r="C5864" s="3" t="str">
        <f>IFERROR(__xludf.DUMMYFUNCTION("GOOGLETRANSLATE(B5864,""id"",""en"")"),"['Migration', 'Hello', 'Telkomsel', 'Love', 'Star']")</f>
        <v>['Migration', 'Hello', 'Telkomsel', 'Love', 'Star']</v>
      </c>
      <c r="D5864" s="3">
        <v>1.0</v>
      </c>
    </row>
    <row r="5865" ht="15.75" customHeight="1">
      <c r="A5865" s="1">
        <v>6301.0</v>
      </c>
      <c r="B5865" s="3" t="s">
        <v>5676</v>
      </c>
      <c r="C5865" s="3" t="str">
        <f>IFERROR(__xludf.DUMMYFUNCTION("GOOGLETRANSLATE(B5865,""id"",""en"")"),"['', 'Star', 'help']")</f>
        <v>['', 'Star', 'help']</v>
      </c>
      <c r="D5865" s="3">
        <v>5.0</v>
      </c>
    </row>
    <row r="5866" ht="15.75" customHeight="1">
      <c r="A5866" s="1">
        <v>6302.0</v>
      </c>
      <c r="B5866" s="3" t="s">
        <v>5677</v>
      </c>
      <c r="C5866" s="3" t="str">
        <f>IFERROR(__xludf.DUMMYFUNCTION("GOOGLETRANSLATE(B5866,""id"",""en"")"),"['Thanks', 'Help', 'Develop', '']")</f>
        <v>['Thanks', 'Help', 'Develop', '']</v>
      </c>
      <c r="D5866" s="3">
        <v>5.0</v>
      </c>
    </row>
    <row r="5867" ht="15.75" customHeight="1">
      <c r="A5867" s="1">
        <v>6303.0</v>
      </c>
      <c r="B5867" s="3" t="s">
        <v>5678</v>
      </c>
      <c r="C5867" s="3" t="str">
        <f>IFERROR(__xludf.DUMMYFUNCTION("GOOGLETRANSLATE(B5867,""id"",""en"")"),"['Woy', 'signal', 'Lined', 'Package', 'Removed']")</f>
        <v>['Woy', 'signal', 'Lined', 'Package', 'Removed']</v>
      </c>
      <c r="D5867" s="3">
        <v>1.0</v>
      </c>
    </row>
    <row r="5868" ht="15.75" customHeight="1">
      <c r="A5868" s="1">
        <v>6304.0</v>
      </c>
      <c r="B5868" s="3" t="s">
        <v>5679</v>
      </c>
      <c r="C5868" s="3" t="str">
        <f>IFERROR(__xludf.DUMMYFUNCTION("GOOGLETRANSLATE(B5868,""id"",""en"")"),"['crazy', 'emang', 'Telkomsel', 'pulse', 'lost', 'lost', 'bonus',' salary ',' big ',' because ',' suck ',' pulses', ' Haram ',' ksh ',' star ',' read ', ""]")</f>
        <v>['crazy', 'emang', 'Telkomsel', 'pulse', 'lost', 'lost', 'bonus',' salary ',' big ',' because ',' suck ',' pulses', ' Haram ',' ksh ',' star ',' read ', "]</v>
      </c>
      <c r="D5868" s="3">
        <v>5.0</v>
      </c>
    </row>
    <row r="5869" ht="15.75" customHeight="1">
      <c r="A5869" s="1">
        <v>6305.0</v>
      </c>
      <c r="B5869" s="3" t="s">
        <v>5680</v>
      </c>
      <c r="C5869" s="3" t="str">
        <f>IFERROR(__xludf.DUMMYFUNCTION("GOOGLETRANSLATE(B5869,""id"",""en"")"),"['slow', 'signal', 'internet']")</f>
        <v>['slow', 'signal', 'internet']</v>
      </c>
      <c r="D5869" s="3">
        <v>5.0</v>
      </c>
    </row>
    <row r="5870" ht="15.75" customHeight="1">
      <c r="A5870" s="1">
        <v>6306.0</v>
      </c>
      <c r="B5870" s="3" t="s">
        <v>5681</v>
      </c>
      <c r="C5870" s="3" t="str">
        <f>IFERROR(__xludf.DUMMYFUNCTION("GOOGLETRANSLATE(B5870,""id"",""en"")"),"['Network', 'ilang', 'ngelag', 'expensive', 'doang', 'ngelag']")</f>
        <v>['Network', 'ilang', 'ngelag', 'expensive', 'doang', 'ngelag']</v>
      </c>
      <c r="D5870" s="3">
        <v>1.0</v>
      </c>
    </row>
    <row r="5871" ht="15.75" customHeight="1">
      <c r="A5871" s="1">
        <v>6307.0</v>
      </c>
      <c r="B5871" s="3" t="s">
        <v>5682</v>
      </c>
      <c r="C5871" s="3" t="str">
        <f>IFERROR(__xludf.DUMMYFUNCTION("GOOGLETRANSLATE(B5871,""id"",""en"")"),"['Telkomsel', 'application', 'Android', 'version', 'Android', 'Android', 'already', 'Download', 'application']")</f>
        <v>['Telkomsel', 'application', 'Android', 'version', 'Android', 'Android', 'already', 'Download', 'application']</v>
      </c>
      <c r="D5871" s="3">
        <v>1.0</v>
      </c>
    </row>
    <row r="5872" ht="15.75" customHeight="1">
      <c r="A5872" s="1">
        <v>6308.0</v>
      </c>
      <c r="B5872" s="3" t="s">
        <v>5683</v>
      </c>
      <c r="C5872" s="3" t="str">
        <f>IFERROR(__xludf.DUMMYFUNCTION("GOOGLETRANSLATE(B5872,""id"",""en"")"),"['Severe', 'Quality', 'Telkomsel', 'Network', 'Stable', 'Service', 'Network', 'ugly']")</f>
        <v>['Severe', 'Quality', 'Telkomsel', 'Network', 'Stable', 'Service', 'Network', 'ugly']</v>
      </c>
      <c r="D5872" s="3">
        <v>1.0</v>
      </c>
    </row>
    <row r="5873" ht="15.75" customHeight="1">
      <c r="A5873" s="1">
        <v>6309.0</v>
      </c>
      <c r="B5873" s="3" t="s">
        <v>5684</v>
      </c>
      <c r="C5873" s="3" t="str">
        <f>IFERROR(__xludf.DUMMYFUNCTION("GOOGLETRANSLATE(B5873,""id"",""en"")"),"['Help', 'Hadia', 'boss']")</f>
        <v>['Help', 'Hadia', 'boss']</v>
      </c>
      <c r="D5873" s="3">
        <v>5.0</v>
      </c>
    </row>
    <row r="5874" ht="15.75" customHeight="1">
      <c r="A5874" s="1">
        <v>6310.0</v>
      </c>
      <c r="B5874" s="3" t="s">
        <v>5685</v>
      </c>
      <c r="C5874" s="3" t="str">
        <f>IFERROR(__xludf.DUMMYFUNCTION("GOOGLETRANSLATE(B5874,""id"",""en"")"),"['Try', 'package', 'free', 'week', 'point', 'collect']")</f>
        <v>['Try', 'package', 'free', 'week', 'point', 'collect']</v>
      </c>
      <c r="D5874" s="3">
        <v>3.0</v>
      </c>
    </row>
    <row r="5875" ht="15.75" customHeight="1">
      <c r="A5875" s="1">
        <v>6311.0</v>
      </c>
      <c r="B5875" s="3" t="s">
        <v>5686</v>
      </c>
      <c r="C5875" s="3" t="str">
        <f>IFERROR(__xludf.DUMMYFUNCTION("GOOGLETRANSLATE(B5875,""id"",""en"")"),"['Leet', 'buy', 'package', 'expensive', 'slow', 'game', 'difficult', 'red', 'troubles']")</f>
        <v>['Leet', 'buy', 'package', 'expensive', 'slow', 'game', 'difficult', 'red', 'troubles']</v>
      </c>
      <c r="D5875" s="3">
        <v>1.0</v>
      </c>
    </row>
    <row r="5876" ht="15.75" customHeight="1">
      <c r="A5876" s="1">
        <v>6312.0</v>
      </c>
      <c r="B5876" s="3" t="s">
        <v>5687</v>
      </c>
      <c r="C5876" s="3" t="str">
        <f>IFERROR(__xludf.DUMMYFUNCTION("GOOGLETRANSLATE(B5876,""id"",""en"")"),"['Help', 'Purchase']")</f>
        <v>['Help', 'Purchase']</v>
      </c>
      <c r="D5876" s="3">
        <v>5.0</v>
      </c>
    </row>
    <row r="5877" ht="15.75" customHeight="1">
      <c r="A5877" s="1">
        <v>6313.0</v>
      </c>
      <c r="B5877" s="3" t="s">
        <v>5688</v>
      </c>
      <c r="C5877" s="3" t="str">
        <f>IFERROR(__xludf.DUMMYFUNCTION("GOOGLETRANSLATE(B5877,""id"",""en"")"),"['thank', 'love', 'Telkomsel', 'gift', 'coupon', 'lottery', 'money', 'millions', 'car', 'motor']")</f>
        <v>['thank', 'love', 'Telkomsel', 'gift', 'coupon', 'lottery', 'money', 'millions', 'car', 'motor']</v>
      </c>
      <c r="D5877" s="3">
        <v>5.0</v>
      </c>
    </row>
    <row r="5878" ht="15.75" customHeight="1">
      <c r="A5878" s="1">
        <v>6314.0</v>
      </c>
      <c r="B5878" s="3" t="s">
        <v>5689</v>
      </c>
      <c r="C5878" s="3" t="str">
        <f>IFERROR(__xludf.DUMMYFUNCTION("GOOGLETRANSLATE(B5878,""id"",""en"")"),"['Synity', 'ugly', 'Telkomsel', 'Rich', 'Katro']")</f>
        <v>['Synity', 'ugly', 'Telkomsel', 'Rich', 'Katro']</v>
      </c>
      <c r="D5878" s="3">
        <v>2.0</v>
      </c>
    </row>
    <row r="5879" ht="15.75" customHeight="1">
      <c r="A5879" s="1">
        <v>6315.0</v>
      </c>
      <c r="B5879" s="3" t="s">
        <v>5690</v>
      </c>
      <c r="C5879" s="3" t="str">
        <f>IFERROR(__xludf.DUMMYFUNCTION("GOOGLETRANSLATE(B5879,""id"",""en"")"),"['Telkomsel', 'anjenkxx', 'signal', 'kayak', 'djemboet', 'thurxs', ""]")</f>
        <v>['Telkomsel', 'anjenkxx', 'signal', 'kayak', 'djemboet', 'thurxs', "]</v>
      </c>
      <c r="D5879" s="3">
        <v>1.0</v>
      </c>
    </row>
    <row r="5880" ht="15.75" customHeight="1">
      <c r="A5880" s="1">
        <v>6316.0</v>
      </c>
      <c r="B5880" s="3" t="s">
        <v>5691</v>
      </c>
      <c r="C5880" s="3" t="str">
        <f>IFERROR(__xludf.DUMMYFUNCTION("GOOGLETRANSLATE(B5880,""id"",""en"")"),"['Good', 'like']")</f>
        <v>['Good', 'like']</v>
      </c>
      <c r="D5880" s="3">
        <v>5.0</v>
      </c>
    </row>
    <row r="5881" ht="15.75" customHeight="1">
      <c r="A5881" s="1">
        <v>6317.0</v>
      </c>
      <c r="B5881" s="3" t="s">
        <v>5692</v>
      </c>
      <c r="C5881" s="3" t="str">
        <f>IFERROR(__xludf.DUMMYFUNCTION("GOOGLETRANSLATE(B5881,""id"",""en"")"),"['rotten', 'signal', 'play', 'game', 'slow', 'signal', 'ilang', 'Nilagan', '']")</f>
        <v>['rotten', 'signal', 'play', 'game', 'slow', 'signal', 'ilang', 'Nilagan', '']</v>
      </c>
      <c r="D5881" s="3">
        <v>1.0</v>
      </c>
    </row>
    <row r="5882" ht="15.75" customHeight="1">
      <c r="A5882" s="1">
        <v>6318.0</v>
      </c>
      <c r="B5882" s="3" t="s">
        <v>5693</v>
      </c>
      <c r="C5882" s="3" t="str">
        <f>IFERROR(__xludf.DUMMYFUNCTION("GOOGLETRANSLATE(B5882,""id"",""en"")"),"['Telkomsel', 'Severe', 'Quality', 'Network', 'Price', 'Package']")</f>
        <v>['Telkomsel', 'Severe', 'Quality', 'Network', 'Price', 'Package']</v>
      </c>
      <c r="D5882" s="3">
        <v>1.0</v>
      </c>
    </row>
    <row r="5883" ht="15.75" customHeight="1">
      <c r="A5883" s="1">
        <v>6319.0</v>
      </c>
      <c r="B5883" s="3" t="s">
        <v>5694</v>
      </c>
      <c r="C5883" s="3" t="str">
        <f>IFERROR(__xludf.DUMMYFUNCTION("GOOGLETRANSLATE(B5883,""id"",""en"")"),"['Here', 'Network', 'Telkomsel', 'Ancur', 'Open', 'Web', 'Hard', 'Forgiveness',' Paketan ',' Expensive ',' NOT ',' Come ',' "", 'Good', 'Indosat', 'skrang']")</f>
        <v>['Here', 'Network', 'Telkomsel', 'Ancur', 'Open', 'Web', 'Hard', 'Forgiveness',' Paketan ',' Expensive ',' NOT ',' Come ',' ", 'Good', 'Indosat', 'skrang']</v>
      </c>
      <c r="D5883" s="3">
        <v>1.0</v>
      </c>
    </row>
    <row r="5884" ht="15.75" customHeight="1">
      <c r="A5884" s="1">
        <v>6320.0</v>
      </c>
      <c r="B5884" s="3" t="s">
        <v>5695</v>
      </c>
      <c r="C5884" s="3" t="str">
        <f>IFERROR(__xludf.DUMMYFUNCTION("GOOGLETRANSLATE(B5884,""id"",""en"")"),"['apk', 'Telkomsel', 'The card', 'Telkomsel', 'slow', 'signal', 'kluar', 'skali', 'expensive', 'gini']")</f>
        <v>['apk', 'Telkomsel', 'The card', 'Telkomsel', 'slow', 'signal', 'kluar', 'skali', 'expensive', 'gini']</v>
      </c>
      <c r="D5884" s="3">
        <v>1.0</v>
      </c>
    </row>
    <row r="5885" ht="15.75" customHeight="1">
      <c r="A5885" s="1">
        <v>6321.0</v>
      </c>
      <c r="B5885" s="3" t="s">
        <v>5696</v>
      </c>
      <c r="C5885" s="3" t="str">
        <f>IFERROR(__xludf.DUMMYFUNCTION("GOOGLETRANSLATE(B5885,""id"",""en"")"),"['Banga', 'jdi', 'owner', 'card', 'telkomsel']")</f>
        <v>['Banga', 'jdi', 'owner', 'card', 'telkomsel']</v>
      </c>
      <c r="D5885" s="3">
        <v>4.0</v>
      </c>
    </row>
    <row r="5886" ht="15.75" customHeight="1">
      <c r="A5886" s="1">
        <v>6322.0</v>
      </c>
      <c r="B5886" s="3" t="s">
        <v>5697</v>
      </c>
      <c r="C5886" s="3" t="str">
        <f>IFERROR(__xludf.DUMMYFUNCTION("GOOGLETRANSLATE(B5886,""id"",""en"")"),"['Mntap', 'Save', 'Kouta']")</f>
        <v>['Mntap', 'Save', 'Kouta']</v>
      </c>
      <c r="D5886" s="3">
        <v>5.0</v>
      </c>
    </row>
    <row r="5887" ht="15.75" customHeight="1">
      <c r="A5887" s="1">
        <v>6323.0</v>
      </c>
      <c r="B5887" s="3" t="s">
        <v>5698</v>
      </c>
      <c r="C5887" s="3" t="str">
        <f>IFERROR(__xludf.DUMMYFUNCTION("GOOGLETRANSLATE(B5887,""id"",""en"")"),"['tekomsel', 'network', 'ngak', 'good', 'please', 'repair', 'network', 'ngak', 'people', 'disappointed', 'package', 'sold', ' cheap ',' turn ',' bought ',' according to ',' application ',' Telkomsel ']")</f>
        <v>['tekomsel', 'network', 'ngak', 'good', 'please', 'repair', 'network', 'ngak', 'people', 'disappointed', 'package', 'sold', ' cheap ',' turn ',' bought ',' according to ',' application ',' Telkomsel ']</v>
      </c>
      <c r="D5887" s="3">
        <v>1.0</v>
      </c>
    </row>
    <row r="5888" ht="15.75" customHeight="1">
      <c r="A5888" s="1">
        <v>6324.0</v>
      </c>
      <c r="B5888" s="3" t="s">
        <v>5699</v>
      </c>
      <c r="C5888" s="3" t="str">
        <f>IFERROR(__xludf.DUMMYFUNCTION("GOOGLETRANSLATE(B5888,""id"",""en"")"),"['night', 'Telkomsel', 'okay', 'worse', 'expensive', 'buy', 'signal', 'muter', '']")</f>
        <v>['night', 'Telkomsel', 'okay', 'worse', 'expensive', 'buy', 'signal', 'muter', '']</v>
      </c>
      <c r="D5888" s="3">
        <v>1.0</v>
      </c>
    </row>
    <row r="5889" ht="15.75" customHeight="1">
      <c r="A5889" s="1">
        <v>6326.0</v>
      </c>
      <c r="B5889" s="3" t="s">
        <v>5700</v>
      </c>
      <c r="C5889" s="3" t="str">
        <f>IFERROR(__xludf.DUMMYFUNCTION("GOOGLETRANSLATE(B5889,""id"",""en"")"),"['hope', 'price']")</f>
        <v>['hope', 'price']</v>
      </c>
      <c r="D5889" s="3">
        <v>5.0</v>
      </c>
    </row>
    <row r="5890" ht="15.75" customHeight="1">
      <c r="A5890" s="1">
        <v>6327.0</v>
      </c>
      <c r="B5890" s="3" t="s">
        <v>5701</v>
      </c>
      <c r="C5890" s="3" t="str">
        <f>IFERROR(__xludf.DUMMYFUNCTION("GOOGLETRANSLATE(B5890,""id"",""en"")"),"['Since', 'Upgrade', 'Card', 'Hello', 'Signal', 'Severe']")</f>
        <v>['Since', 'Upgrade', 'Card', 'Hello', 'Signal', 'Severe']</v>
      </c>
      <c r="D5890" s="3">
        <v>1.0</v>
      </c>
    </row>
    <row r="5891" ht="15.75" customHeight="1">
      <c r="A5891" s="1">
        <v>6328.0</v>
      </c>
      <c r="B5891" s="3" t="s">
        <v>5702</v>
      </c>
      <c r="C5891" s="3" t="str">
        <f>IFERROR(__xludf.DUMMYFUNCTION("GOOGLETRANSLATE(B5891,""id"",""en"")"),"['likes', 'service', 'Telkomsel', 'TOP', '']")</f>
        <v>['likes', 'service', 'Telkomsel', 'TOP', '']</v>
      </c>
      <c r="D5891" s="3">
        <v>5.0</v>
      </c>
    </row>
    <row r="5892" ht="15.75" customHeight="1">
      <c r="A5892" s="1">
        <v>6330.0</v>
      </c>
      <c r="B5892" s="3" t="s">
        <v>5703</v>
      </c>
      <c r="C5892" s="3" t="str">
        <f>IFERROR(__xludf.DUMMYFUNCTION("GOOGLETRANSLATE(B5892,""id"",""en"")"),"['steady', 'doubt', 'untk', 'network', 'where', 'sllu', 'signal', 'good', 'advanced', 'trs', 'Telkomsel', '']")</f>
        <v>['steady', 'doubt', 'untk', 'network', 'where', 'sllu', 'signal', 'good', 'advanced', 'trs', 'Telkomsel', '']</v>
      </c>
      <c r="D5892" s="3">
        <v>5.0</v>
      </c>
    </row>
    <row r="5893" ht="15.75" customHeight="1">
      <c r="A5893" s="1">
        <v>6331.0</v>
      </c>
      <c r="B5893" s="3" t="s">
        <v>5704</v>
      </c>
      <c r="C5893" s="3" t="str">
        <f>IFERROR(__xludf.DUMMYFUNCTION("GOOGLETRANSLATE(B5893,""id"",""en"")"),"['Telkomsel', 'No', 'opponent', 'guaranteed', 'maaaaaaaaannnnttttaaaaaaaapp', '']")</f>
        <v>['Telkomsel', 'No', 'opponent', 'guaranteed', 'maaaaaaaaannnnttttaaaaaaaapp', '']</v>
      </c>
      <c r="D5893" s="3">
        <v>5.0</v>
      </c>
    </row>
    <row r="5894" ht="15.75" customHeight="1">
      <c r="A5894" s="1">
        <v>6332.0</v>
      </c>
      <c r="B5894" s="3" t="s">
        <v>5705</v>
      </c>
      <c r="C5894" s="3" t="str">
        <f>IFERROR(__xludf.DUMMYFUNCTION("GOOGLETRANSLATE(B5894,""id"",""en"")"),"['price', 'expensive', 'network', 'kayak', 'forest']")</f>
        <v>['price', 'expensive', 'network', 'kayak', 'forest']</v>
      </c>
      <c r="D5894" s="3">
        <v>1.0</v>
      </c>
    </row>
    <row r="5895" ht="15.75" customHeight="1">
      <c r="A5895" s="1">
        <v>6333.0</v>
      </c>
      <c r="B5895" s="3" t="s">
        <v>5706</v>
      </c>
      <c r="C5895" s="3" t="str">
        <f>IFERROR(__xludf.DUMMYFUNCTION("GOOGLETRANSLATE(B5895,""id"",""en"")"),"['KNPA', 'Telkomsel', 'egg', 'surfing', 'kyak', 'dlu', 'network', 'slow', 'mnta', 'assistance', 'right', 'tdak', ' pulses', 'borrow', 'package', 'nlfon', 'telkomsel', 'egk', 'klau', 'debt', 'fit', 'fill out', 'pulse', 'direct', 'cut' , '']")</f>
        <v>['KNPA', 'Telkomsel', 'egg', 'surfing', 'kyak', 'dlu', 'network', 'slow', 'mnta', 'assistance', 'right', 'tdak', ' pulses', 'borrow', 'package', 'nlfon', 'telkomsel', 'egk', 'klau', 'debt', 'fit', 'fill out', 'pulse', 'direct', 'cut' , '']</v>
      </c>
      <c r="D5895" s="3">
        <v>2.0</v>
      </c>
    </row>
    <row r="5896" ht="15.75" customHeight="1">
      <c r="A5896" s="1">
        <v>6334.0</v>
      </c>
      <c r="B5896" s="3" t="s">
        <v>5707</v>
      </c>
      <c r="C5896" s="3" t="str">
        <f>IFERROR(__xludf.DUMMYFUNCTION("GOOGLETRANSLATE(B5896,""id"",""en"")"),"['Price', 'Expensive', 'Quality', 'Network', 'Support', 'Ngelag', 'Malem', 'Speed', 'Same', 'KB', 'DTK', 'Open', ' Tiktok ',' smooth ',' Denulted ',' Nge ',' lag ',' wonder ']")</f>
        <v>['Price', 'Expensive', 'Quality', 'Network', 'Support', 'Ngelag', 'Malem', 'Speed', 'Same', 'KB', 'DTK', 'Open', ' Tiktok ',' smooth ',' Denulted ',' Nge ',' lag ',' wonder ']</v>
      </c>
      <c r="D5896" s="3">
        <v>2.0</v>
      </c>
    </row>
    <row r="5897" ht="15.75" customHeight="1">
      <c r="A5897" s="1">
        <v>6335.0</v>
      </c>
      <c r="B5897" s="3" t="s">
        <v>5708</v>
      </c>
      <c r="C5897" s="3" t="str">
        <f>IFERROR(__xludf.DUMMYFUNCTION("GOOGLETRANSLATE(B5897,""id"",""en"")"),"['JLK', 'Kek', 'face', '']")</f>
        <v>['JLK', 'Kek', 'face', '']</v>
      </c>
      <c r="D5897" s="3">
        <v>1.0</v>
      </c>
    </row>
    <row r="5898" ht="15.75" customHeight="1">
      <c r="A5898" s="1">
        <v>6336.0</v>
      </c>
      <c r="B5898" s="3" t="s">
        <v>5709</v>
      </c>
      <c r="C5898" s="3" t="str">
        <f>IFERROR(__xludf.DUMMYFUNCTION("GOOGLETRANSLATE(B5898,""id"",""en"")"),"['Network', 'bad', 'honest', 'disappointed']")</f>
        <v>['Network', 'bad', 'honest', 'disappointed']</v>
      </c>
      <c r="D5898" s="3">
        <v>2.0</v>
      </c>
    </row>
    <row r="5899" ht="15.75" customHeight="1">
      <c r="A5899" s="1">
        <v>6337.0</v>
      </c>
      <c r="B5899" s="3" t="s">
        <v>5710</v>
      </c>
      <c r="C5899" s="3" t="str">
        <f>IFERROR(__xludf.DUMMYFUNCTION("GOOGLETRANSLATE(B5899,""id"",""en"")"),"['expensive', 'Mao', 'Naek', 'Haji', 'Cepet', 'wkwkwk']")</f>
        <v>['expensive', 'Mao', 'Naek', 'Haji', 'Cepet', 'wkwkwk']</v>
      </c>
      <c r="D5899" s="3">
        <v>1.0</v>
      </c>
    </row>
    <row r="5900" ht="15.75" customHeight="1">
      <c r="A5900" s="1">
        <v>6339.0</v>
      </c>
      <c r="B5900" s="3" t="s">
        <v>5711</v>
      </c>
      <c r="C5900" s="3" t="str">
        <f>IFERROR(__xludf.DUMMYFUNCTION("GOOGLETRANSLATE(B5900,""id"",""en"")"),"['Network', 'asw', '']")</f>
        <v>['Network', 'asw', '']</v>
      </c>
      <c r="D5900" s="3">
        <v>1.0</v>
      </c>
    </row>
    <row r="5901" ht="15.75" customHeight="1">
      <c r="A5901" s="1">
        <v>6340.0</v>
      </c>
      <c r="B5901" s="3" t="s">
        <v>5712</v>
      </c>
      <c r="C5901" s="3" t="str">
        <f>IFERROR(__xludf.DUMMYFUNCTION("GOOGLETRANSLATE(B5901,""id"",""en"")"),"['Good', 'practical', 'satisfying']")</f>
        <v>['Good', 'practical', 'satisfying']</v>
      </c>
      <c r="D5901" s="3">
        <v>5.0</v>
      </c>
    </row>
    <row r="5902" ht="15.75" customHeight="1">
      <c r="A5902" s="1">
        <v>6341.0</v>
      </c>
      <c r="B5902" s="3" t="s">
        <v>5713</v>
      </c>
      <c r="C5902" s="3" t="str">
        <f>IFERROR(__xludf.DUMMYFUNCTION("GOOGLETRANSLATE(B5902,""id"",""en"")"),"['Real', 'network', 'ngeleg', 'cave', 'play', 'game', 'network', 'down', 'wait', 'amaps',' pulp ',' really ',' News', 'Join', 'Mapas',' Mampos', 'Stupid', 'Males',' Cave ',' Telkom ',' Already ',' Expensive ',' Quality ',' Mending ',' Mending ' , 'buy', '"&amp;"card', 'pulp', 'cheap', 'expensive', 'pulp', '']")</f>
        <v>['Real', 'network', 'ngeleg', 'cave', 'play', 'game', 'network', 'down', 'wait', 'amaps',' pulp ',' really ',' News', 'Join', 'Mapas',' Mampos', 'Stupid', 'Males',' Cave ',' Telkom ',' Already ',' Expensive ',' Quality ',' Mending ',' Mending ' , 'buy', 'card', 'pulp', 'cheap', 'expensive', 'pulp', '']</v>
      </c>
      <c r="D5902" s="3">
        <v>1.0</v>
      </c>
    </row>
    <row r="5903" ht="15.75" customHeight="1">
      <c r="A5903" s="1">
        <v>6343.0</v>
      </c>
      <c r="B5903" s="3" t="s">
        <v>5714</v>
      </c>
      <c r="C5903" s="3" t="str">
        <f>IFERROR(__xludf.DUMMYFUNCTION("GOOGLETRANSLATE(B5903,""id"",""en"")"),"['Telkomsel', 'healthy', 'here', 'The network', 'ugly', 'good', 'how', 'employees',' work ',' kah ',' eat ',' salary ',' Blind ',' complain ',' network ',' ugly ',' action ',' Telkomsel ',' healthy ',' ']")</f>
        <v>['Telkomsel', 'healthy', 'here', 'The network', 'ugly', 'good', 'how', 'employees',' work ',' kah ',' eat ',' salary ',' Blind ',' complain ',' network ',' ugly ',' action ',' Telkomsel ',' healthy ',' ']</v>
      </c>
      <c r="D5903" s="3">
        <v>1.0</v>
      </c>
    </row>
    <row r="5904" ht="15.75" customHeight="1">
      <c r="A5904" s="1">
        <v>6344.0</v>
      </c>
      <c r="B5904" s="3" t="s">
        <v>5715</v>
      </c>
      <c r="C5904" s="3" t="str">
        <f>IFERROR(__xludf.DUMMYFUNCTION("GOOGLETRANSLATE(B5904,""id"",""en"")"),"['Internet', 'slow', 'gini', 'trs', 'pdhl', 'tariff', 'expensive', '']")</f>
        <v>['Internet', 'slow', 'gini', 'trs', 'pdhl', 'tariff', 'expensive', '']</v>
      </c>
      <c r="D5904" s="3">
        <v>1.0</v>
      </c>
    </row>
    <row r="5905" ht="15.75" customHeight="1">
      <c r="A5905" s="1">
        <v>6345.0</v>
      </c>
      <c r="B5905" s="3" t="s">
        <v>5716</v>
      </c>
      <c r="C5905" s="3" t="str">
        <f>IFERROR(__xludf.DUMMYFUNCTION("GOOGLETRANSLATE(B5905,""id"",""en"")"),"['Help', 'Exchange', 'Points', 'Credit', 'Bgai', 'Mna', 'Dri', 'Try', 'Ngk', 'Meet', ""]")</f>
        <v>['Help', 'Exchange', 'Points', 'Credit', 'Bgai', 'Mna', 'Dri', 'Try', 'Ngk', 'Meet', "]</v>
      </c>
      <c r="D5905" s="3">
        <v>5.0</v>
      </c>
    </row>
    <row r="5906" ht="15.75" customHeight="1">
      <c r="A5906" s="1">
        <v>6346.0</v>
      </c>
      <c r="B5906" s="3" t="s">
        <v>5717</v>
      </c>
      <c r="C5906" s="3" t="str">
        <f>IFERROR(__xludf.DUMMYFUNCTION("GOOGLETRANSLATE(B5906,""id"",""en"")"),"['gmn', 'fill', 'package', 'data', 'apk', 'tlkmsel', 'rb', 'difficult', 'entry', 'nelp', 'tell', 'wait', ' hours', 'afternoon', 'can', 'sms',' package ',' active ',' right ',' turn on ',' package ',' data ',' sumps', 'all', 'pulses' , 'Regular', 'Da'maen'"&amp;"]")</f>
        <v>['gmn', 'fill', 'package', 'data', 'apk', 'tlkmsel', 'rb', 'difficult', 'entry', 'nelp', 'tell', 'wait', ' hours', 'afternoon', 'can', 'sms',' package ',' active ',' right ',' turn on ',' package ',' data ',' sumps', 'all', 'pulses' , 'Regular', 'Da'maen']</v>
      </c>
      <c r="D5906" s="3">
        <v>1.0</v>
      </c>
    </row>
    <row r="5907" ht="15.75" customHeight="1">
      <c r="A5907" s="1">
        <v>6347.0</v>
      </c>
      <c r="B5907" s="3" t="s">
        <v>5718</v>
      </c>
      <c r="C5907" s="3" t="str">
        <f>IFERROR(__xludf.DUMMYFUNCTION("GOOGLETRANSLATE(B5907,""id"",""en"")"),"['customer', 'loyal', 'kirain', 'dpet', 'bonus', 'quota', 'TPI', 'pketnya', 'hadeew', ""]")</f>
        <v>['customer', 'loyal', 'kirain', 'dpet', 'bonus', 'quota', 'TPI', 'pketnya', 'hadeew', "]</v>
      </c>
      <c r="D5907" s="3">
        <v>1.0</v>
      </c>
    </row>
    <row r="5908" ht="15.75" customHeight="1">
      <c r="A5908" s="1">
        <v>6348.0</v>
      </c>
      <c r="B5908" s="3" t="s">
        <v>5719</v>
      </c>
      <c r="C5908" s="3" t="str">
        <f>IFERROR(__xludf.DUMMYFUNCTION("GOOGLETRANSLATE(B5908,""id"",""en"")"),"['TELKOM', 'Kek', 'Ta', 'Bedaa', 'Ama', 'Dluu', 'Disorrow', 'Sihhh']")</f>
        <v>['TELKOM', 'Kek', 'Ta', 'Bedaa', 'Ama', 'Dluu', 'Disorrow', 'Sihhh']</v>
      </c>
      <c r="D5908" s="3">
        <v>1.0</v>
      </c>
    </row>
    <row r="5909" ht="15.75" customHeight="1">
      <c r="A5909" s="1">
        <v>6349.0</v>
      </c>
      <c r="B5909" s="3" t="s">
        <v>5720</v>
      </c>
      <c r="C5909" s="3" t="str">
        <f>IFERROR(__xludf.DUMMYFUNCTION("GOOGLETRANSLATE(B5909,""id"",""en"")"),"['signal', 'jelekkkkkkkkkkkkkkk']")</f>
        <v>['signal', 'jelekkkkkkkkkkkkkkk']</v>
      </c>
      <c r="D5909" s="3">
        <v>1.0</v>
      </c>
    </row>
    <row r="5910" ht="15.75" customHeight="1">
      <c r="A5910" s="1">
        <v>6350.0</v>
      </c>
      <c r="B5910" s="3" t="s">
        <v>5721</v>
      </c>
      <c r="C5910" s="3" t="str">
        <f>IFERROR(__xludf.DUMMYFUNCTION("GOOGLETRANSLATE(B5910,""id"",""en"")"),"['rotten', 'Telkomsel', 'disappointed', 'package', 'expensive', 'network', 'ugly']")</f>
        <v>['rotten', 'Telkomsel', 'disappointed', 'package', 'expensive', 'network', 'ugly']</v>
      </c>
      <c r="D5910" s="3">
        <v>1.0</v>
      </c>
    </row>
    <row r="5911" ht="15.75" customHeight="1">
      <c r="A5911" s="1">
        <v>6351.0</v>
      </c>
      <c r="B5911" s="3" t="s">
        <v>5722</v>
      </c>
      <c r="C5911" s="3" t="str">
        <f>IFERROR(__xludf.DUMMYFUNCTION("GOOGLETRANSLATE(B5911,""id"",""en"")"),"['siiiip', 'ckup', 'help']")</f>
        <v>['siiiip', 'ckup', 'help']</v>
      </c>
      <c r="D5911" s="3">
        <v>5.0</v>
      </c>
    </row>
    <row r="5912" ht="15.75" customHeight="1">
      <c r="A5912" s="1">
        <v>6352.0</v>
      </c>
      <c r="B5912" s="3" t="s">
        <v>5723</v>
      </c>
      <c r="C5912" s="3" t="str">
        <f>IFERROR(__xludf.DUMMYFUNCTION("GOOGLETRANSLATE(B5912,""id"",""en"")"),"['Telkomsel', 'Package', 'GameSmax', 'includes',' Game ',' Free ',' Fire ',' Mobile ',' Legend ',' Arena ',' Valor ',' Shellfire ',' ragnarok ',' right ',' try ',' play ',' game ',' free ',' fire ',' slow ',' signal ',' good ',' kayak ',' right ',' play '"&amp;" , 'mobile', 'Legend', 'signal', 'good', 'mulu', 'please', 'fix', '']")</f>
        <v>['Telkomsel', 'Package', 'GameSmax', 'includes',' Game ',' Free ',' Fire ',' Mobile ',' Legend ',' Arena ',' Valor ',' Shellfire ',' ragnarok ',' right ',' try ',' play ',' game ',' free ',' fire ',' slow ',' signal ',' good ',' kayak ',' right ',' play ' , 'mobile', 'Legend', 'signal', 'good', 'mulu', 'please', 'fix', '']</v>
      </c>
      <c r="D5912" s="3">
        <v>1.0</v>
      </c>
    </row>
    <row r="5913" ht="15.75" customHeight="1">
      <c r="A5913" s="1">
        <v>6353.0</v>
      </c>
      <c r="B5913" s="3" t="s">
        <v>5724</v>
      </c>
      <c r="C5913" s="3" t="str">
        <f>IFERROR(__xludf.DUMMYFUNCTION("GOOGLETRANSLATE(B5913,""id"",""en"")"),"['Package', 'Telkomsel', 'expensive', 'quota', 'fast', 'abis', ""]")</f>
        <v>['Package', 'Telkomsel', 'expensive', 'quota', 'fast', 'abis', "]</v>
      </c>
      <c r="D5913" s="3">
        <v>1.0</v>
      </c>
    </row>
    <row r="5914" ht="15.75" customHeight="1">
      <c r="A5914" s="1">
        <v>6354.0</v>
      </c>
      <c r="B5914" s="3" t="s">
        <v>5725</v>
      </c>
      <c r="C5914" s="3" t="str">
        <f>IFERROR(__xludf.DUMMYFUNCTION("GOOGLETRANSLATE(B5914,""id"",""en"")"),"['signal', 'taik', 'decrease', 'speed', 'signal', 'bad']")</f>
        <v>['signal', 'taik', 'decrease', 'speed', 'signal', 'bad']</v>
      </c>
      <c r="D5914" s="3">
        <v>1.0</v>
      </c>
    </row>
    <row r="5915" ht="15.75" customHeight="1">
      <c r="A5915" s="1">
        <v>6355.0</v>
      </c>
      <c r="B5915" s="3" t="s">
        <v>5726</v>
      </c>
      <c r="C5915" s="3" t="str">
        <f>IFERROR(__xludf.DUMMYFUNCTION("GOOGLETRANSLATE(B5915,""id"",""en"")"),"['', 'please', 'fix', 'signal', 'youtube', 'smooth', 'etc.', 'google', 'game', 'slow', 'padah', 'please', 'fix ',' comfort ',' user ']")</f>
        <v>['', 'please', 'fix', 'signal', 'youtube', 'smooth', 'etc.', 'google', 'game', 'slow', 'padah', 'please', 'fix ',' comfort ',' user ']</v>
      </c>
      <c r="D5915" s="3">
        <v>1.0</v>
      </c>
    </row>
    <row r="5916" ht="15.75" customHeight="1">
      <c r="A5916" s="1">
        <v>6356.0</v>
      </c>
      <c r="B5916" s="3" t="s">
        <v>5727</v>
      </c>
      <c r="C5916" s="3" t="str">
        <f>IFERROR(__xludf.DUMMYFUNCTION("GOOGLETRANSLATE(B5916,""id"",""en"")"),"['Easy', 'buy', 'pulse']")</f>
        <v>['Easy', 'buy', 'pulse']</v>
      </c>
      <c r="D5916" s="3">
        <v>5.0</v>
      </c>
    </row>
    <row r="5917" ht="15.75" customHeight="1">
      <c r="A5917" s="1">
        <v>6357.0</v>
      </c>
      <c r="B5917" s="3" t="s">
        <v>5728</v>
      </c>
      <c r="C5917" s="3" t="str">
        <f>IFERROR(__xludf.DUMMYFUNCTION("GOOGLETRANSLATE(B5917,""id"",""en"")"),"['application', 'defects', 'link', 'access', 'untk', 'enter', 'sent', '']")</f>
        <v>['application', 'defects', 'link', 'access', 'untk', 'enter', 'sent', '']</v>
      </c>
      <c r="D5917" s="3">
        <v>1.0</v>
      </c>
    </row>
    <row r="5918" ht="15.75" customHeight="1">
      <c r="A5918" s="1">
        <v>6358.0</v>
      </c>
      <c r="B5918" s="3" t="s">
        <v>5729</v>
      </c>
      <c r="C5918" s="3" t="str">
        <f>IFERROR(__xludf.DUMMYFUNCTION("GOOGLETRANSLATE(B5918,""id"",""en"")"),"['Success', 'Jaya', 'Telkomsel']")</f>
        <v>['Success', 'Jaya', 'Telkomsel']</v>
      </c>
      <c r="D5918" s="3">
        <v>5.0</v>
      </c>
    </row>
    <row r="5919" ht="15.75" customHeight="1">
      <c r="A5919" s="1">
        <v>6359.0</v>
      </c>
      <c r="B5919" s="3" t="s">
        <v>1308</v>
      </c>
      <c r="C5919" s="3" t="str">
        <f>IFERROR(__xludf.DUMMYFUNCTION("GOOGLETRANSLATE(B5919,""id"",""en"")"),"['Application', 'Help']")</f>
        <v>['Application', 'Help']</v>
      </c>
      <c r="D5919" s="3">
        <v>5.0</v>
      </c>
    </row>
    <row r="5920" ht="15.75" customHeight="1">
      <c r="A5920" s="1">
        <v>6360.0</v>
      </c>
      <c r="B5920" s="3" t="s">
        <v>5730</v>
      </c>
      <c r="C5920" s="3" t="str">
        <f>IFERROR(__xludf.DUMMYFUNCTION("GOOGLETRANSLATE(B5920,""id"",""en"")"),"['child', 'pig', 'package', 'game', 'game', 'asssu']")</f>
        <v>['child', 'pig', 'package', 'game', 'game', 'asssu']</v>
      </c>
      <c r="D5920" s="3">
        <v>1.0</v>
      </c>
    </row>
    <row r="5921" ht="15.75" customHeight="1">
      <c r="A5921" s="1">
        <v>6361.0</v>
      </c>
      <c r="B5921" s="3" t="s">
        <v>5731</v>
      </c>
      <c r="C5921" s="3" t="str">
        <f>IFERROR(__xludf.DUMMYFUNCTION("GOOGLETRANSLATE(B5921,""id"",""en"")"),"['card', 'expensive', 'network', 'call', 'difficult', 'signal', 'break up', 'maen', 'game', 'online', 'difficult', 'klw', ' Value ',' Rate ',' Good ',' Customize ',' Consumers', 'Customize', 'Quality', 'Emotion', 'Cave', 'Love', 'Bintang', 'and then', 'ca"&amp;"ve' , 'sincere', 'krna', 'post', 'klw', 'nge', 'star', 'jls',' card ',' expensive ',' kajol ',' smooth ',' kagak ',' Improve ',' Telkomsel ',' ']")</f>
        <v>['card', 'expensive', 'network', 'call', 'difficult', 'signal', 'break up', 'maen', 'game', 'online', 'difficult', 'klw', ' Value ',' Rate ',' Good ',' Customize ',' Consumers', 'Customize', 'Quality', 'Emotion', 'Cave', 'Love', 'Bintang', 'and then', 'cave' , 'sincere', 'krna', 'post', 'klw', 'nge', 'star', 'jls',' card ',' expensive ',' kajol ',' smooth ',' kagak ',' Improve ',' Telkomsel ',' ']</v>
      </c>
      <c r="D5921" s="3">
        <v>1.0</v>
      </c>
    </row>
    <row r="5922" ht="15.75" customHeight="1">
      <c r="A5922" s="1">
        <v>6362.0</v>
      </c>
      <c r="B5922" s="3" t="s">
        <v>5732</v>
      </c>
      <c r="C5922" s="3" t="str">
        <f>IFERROR(__xludf.DUMMYFUNCTION("GOOGLETRANSLATE(B5922,""id"",""en"")"),"['Telkomsel', 'ugly', 'network', 'internet', 'youtube', 'video', 'streaming', '']")</f>
        <v>['Telkomsel', 'ugly', 'network', 'internet', 'youtube', 'video', 'streaming', '']</v>
      </c>
      <c r="D5922" s="3">
        <v>1.0</v>
      </c>
    </row>
    <row r="5923" ht="15.75" customHeight="1">
      <c r="A5923" s="1">
        <v>6363.0</v>
      </c>
      <c r="B5923" s="3" t="s">
        <v>5733</v>
      </c>
      <c r="C5923" s="3" t="str">
        <f>IFERROR(__xludf.DUMMYFUNCTION("GOOGLETRANSLATE(B5923,""id"",""en"")"),"['Assessment', 'minus', 'love', 'minus', 'network', 'Telkomtol']")</f>
        <v>['Assessment', 'minus', 'love', 'minus', 'network', 'Telkomtol']</v>
      </c>
      <c r="D5923" s="3">
        <v>1.0</v>
      </c>
    </row>
    <row r="5924" ht="15.75" customHeight="1">
      <c r="A5924" s="1">
        <v>6365.0</v>
      </c>
      <c r="B5924" s="3" t="s">
        <v>5734</v>
      </c>
      <c r="C5924" s="3" t="str">
        <f>IFERROR(__xludf.DUMMYFUNCTION("GOOGLETRANSLATE(B5924,""id"",""en"")"),"['Experiencing', 'Disorders', 'Telkomsel', 'Lemot']")</f>
        <v>['Experiencing', 'Disorders', 'Telkomsel', 'Lemot']</v>
      </c>
      <c r="D5924" s="3">
        <v>2.0</v>
      </c>
    </row>
    <row r="5925" ht="15.75" customHeight="1">
      <c r="A5925" s="1">
        <v>6366.0</v>
      </c>
      <c r="B5925" s="3" t="s">
        <v>5735</v>
      </c>
      <c r="C5925" s="3" t="str">
        <f>IFERROR(__xludf.DUMMYFUNCTION("GOOGLETRANSLATE(B5925,""id"",""en"")"),"['', 'Allah', 'Robby', 'Transition', 'Tekomsel', 'Telkomsel', 'Hello', 'Network', 'tangled', 'Bngt', 'Quota', 'Restore', 'Telkomsel ',' Package ',' Restore ',' work ',' mess', '']")</f>
        <v>['', 'Allah', 'Robby', 'Transition', 'Tekomsel', 'Telkomsel', 'Hello', 'Network', 'tangled', 'Bngt', 'Quota', 'Restore', 'Telkomsel ',' Package ',' Restore ',' work ',' mess', '']</v>
      </c>
      <c r="D5925" s="3">
        <v>5.0</v>
      </c>
    </row>
    <row r="5926" ht="15.75" customHeight="1">
      <c r="A5926" s="1">
        <v>6367.0</v>
      </c>
      <c r="B5926" s="3" t="s">
        <v>5736</v>
      </c>
      <c r="C5926" s="3" t="str">
        <f>IFERROR(__xludf.DUMMYFUNCTION("GOOGLETRANSLATE(B5926,""id"",""en"")"),"['Cheap', 'little', 'faket']")</f>
        <v>['Cheap', 'little', 'faket']</v>
      </c>
      <c r="D5926" s="3">
        <v>5.0</v>
      </c>
    </row>
    <row r="5927" ht="15.75" customHeight="1">
      <c r="A5927" s="1">
        <v>6368.0</v>
      </c>
      <c r="B5927" s="3" t="s">
        <v>5737</v>
      </c>
      <c r="C5927" s="3" t="str">
        <f>IFERROR(__xludf.DUMMYFUNCTION("GOOGLETRANSLATE(B5927,""id"",""en"")"),"['Network', 'oath', 'ugly', 'sihhh', 'bite', 'shark', 'cable', 'star', 'kasi', 'star', 'gini', 'auto', ' Move ',' Operator ',' Looks', '']")</f>
        <v>['Network', 'oath', 'ugly', 'sihhh', 'bite', 'shark', 'cable', 'star', 'kasi', 'star', 'gini', 'auto', ' Move ',' Operator ',' Looks', '']</v>
      </c>
      <c r="D5927" s="3">
        <v>1.0</v>
      </c>
    </row>
    <row r="5928" ht="15.75" customHeight="1">
      <c r="A5928" s="1">
        <v>6369.0</v>
      </c>
      <c r="B5928" s="3" t="s">
        <v>5738</v>
      </c>
      <c r="C5928" s="3" t="str">
        <f>IFERROR(__xludf.DUMMYFUNCTION("GOOGLETRANSLATE(B5928,""id"",""en"")"),"['comfortable', 'Telkomsel', 'signal', 'play', 'play', 'dmn', 'good', 'skrg', 'disappointed', 'kmrn', 'buy', 'package', ' Sakti ',' Live ',' Ludes', 'Count', 'Minutes',' Dipake ',' TRS ',' Buy ',' Voucher ',' skrg ',' quota ',' used ']")</f>
        <v>['comfortable', 'Telkomsel', 'signal', 'play', 'play', 'dmn', 'good', 'skrg', 'disappointed', 'kmrn', 'buy', 'package', ' Sakti ',' Live ',' Ludes', 'Count', 'Minutes',' Dipake ',' TRS ',' Buy ',' Voucher ',' skrg ',' quota ',' used ']</v>
      </c>
      <c r="D5928" s="3">
        <v>1.0</v>
      </c>
    </row>
    <row r="5929" ht="15.75" customHeight="1">
      <c r="A5929" s="1">
        <v>6370.0</v>
      </c>
      <c r="B5929" s="3" t="s">
        <v>273</v>
      </c>
      <c r="C5929" s="3" t="str">
        <f>IFERROR(__xludf.DUMMYFUNCTION("GOOGLETRANSLATE(B5929,""id"",""en"")"),"['like']")</f>
        <v>['like']</v>
      </c>
      <c r="D5929" s="3">
        <v>4.0</v>
      </c>
    </row>
    <row r="5930" ht="15.75" customHeight="1">
      <c r="A5930" s="1">
        <v>6372.0</v>
      </c>
      <c r="B5930" s="3" t="s">
        <v>5739</v>
      </c>
      <c r="C5930" s="3" t="str">
        <f>IFERROR(__xludf.DUMMYFUNCTION("GOOGLETRANSLATE(B5930,""id"",""en"")"),"['Internet', 'Kek', 'pig']")</f>
        <v>['Internet', 'Kek', 'pig']</v>
      </c>
      <c r="D5930" s="3">
        <v>1.0</v>
      </c>
    </row>
    <row r="5931" ht="15.75" customHeight="1">
      <c r="A5931" s="1">
        <v>6373.0</v>
      </c>
      <c r="B5931" s="3" t="s">
        <v>5740</v>
      </c>
      <c r="C5931" s="3" t="str">
        <f>IFERROR(__xludf.DUMMYFUNCTION("GOOGLETRANSLATE(B5931,""id"",""en"")"),"['package', 'expensive', 'signal', 'NOT', 'good', 'bapukkkk', 'really', 'severe', 'jakarta', 'signal', 'what', 'area', ' Fixed ',' card ',' Karna ',' Males', 'Change', 'Yaampun', 'Telkomsel', 'asking', 'Network', 'ilang', 'Mulu', ""]")</f>
        <v>['package', 'expensive', 'signal', 'NOT', 'good', 'bapukkkk', 'really', 'severe', 'jakarta', 'signal', 'what', 'area', ' Fixed ',' card ',' Karna ',' Males', 'Change', 'Yaampun', 'Telkomsel', 'asking', 'Network', 'ilang', 'Mulu', "]</v>
      </c>
      <c r="D5931" s="3">
        <v>1.0</v>
      </c>
    </row>
    <row r="5932" ht="15.75" customHeight="1">
      <c r="A5932" s="1">
        <v>6374.0</v>
      </c>
      <c r="B5932" s="3" t="s">
        <v>5741</v>
      </c>
      <c r="C5932" s="3" t="str">
        <f>IFERROR(__xludf.DUMMYFUNCTION("GOOGLETRANSLATE(B5932,""id"",""en"")"),"['users',' Telkomsel ',' Complaints', 'Telkomsel', 'Application', 'MyTelkomsel', 'Connection', 'Stable', 'Change', 'Network', 'Constraints',' Network ',' The speed ',' slow ',' Internet ',' Date ',' Details', 'Data', 'Gamemax', 'People', 'Play', 'Games','"&amp;" Mobile ',' Legends', 'Tengu' ]")</f>
        <v>['users',' Telkomsel ',' Complaints', 'Telkomsel', 'Application', 'MyTelkomsel', 'Connection', 'Stable', 'Change', 'Network', 'Constraints',' Network ',' The speed ',' slow ',' Internet ',' Date ',' Details', 'Data', 'Gamemax', 'People', 'Play', 'Games',' Mobile ',' Legends', 'Tengu' ]</v>
      </c>
      <c r="D5932" s="3">
        <v>1.0</v>
      </c>
    </row>
    <row r="5933" ht="15.75" customHeight="1">
      <c r="A5933" s="1">
        <v>6375.0</v>
      </c>
      <c r="B5933" s="3" t="s">
        <v>5742</v>
      </c>
      <c r="C5933" s="3" t="str">
        <f>IFERROR(__xludf.DUMMYFUNCTION("GOOGLETRANSLATE(B5933,""id"",""en"")"),"['Try', 'good', 'star']")</f>
        <v>['Try', 'good', 'star']</v>
      </c>
      <c r="D5933" s="3">
        <v>4.0</v>
      </c>
    </row>
    <row r="5934" ht="15.75" customHeight="1">
      <c r="A5934" s="1">
        <v>6376.0</v>
      </c>
      <c r="B5934" s="3" t="s">
        <v>5743</v>
      </c>
      <c r="C5934" s="3" t="str">
        <f>IFERROR(__xludf.DUMMYFUNCTION("GOOGLETRANSLATE(B5934,""id"",""en"")"),"['Love', 'Bintang', 'Full', 'Stars',' Update ',' Please ',' Perbulan ',' Optimal ',' Update ',' Version ',' Month ',' Suggestion ',' Say ',' More ',' Please ',' Sorry ',' Thank you ', ""]")</f>
        <v>['Love', 'Bintang', 'Full', 'Stars',' Update ',' Please ',' Perbulan ',' Optimal ',' Update ',' Version ',' Month ',' Suggestion ',' Say ',' More ',' Please ',' Sorry ',' Thank you ', "]</v>
      </c>
      <c r="D5934" s="3">
        <v>5.0</v>
      </c>
    </row>
    <row r="5935" ht="15.75" customHeight="1">
      <c r="A5935" s="1">
        <v>6377.0</v>
      </c>
      <c r="B5935" s="3" t="s">
        <v>5744</v>
      </c>
      <c r="C5935" s="3" t="str">
        <f>IFERROR(__xludf.DUMMYFUNCTION("GOOGLETRANSLATE(B5935,""id"",""en"")"),"['disappointing', 'quality', 'network', 'stable', 'rich', 'package', 'economical', 'customer', 'card', 'hello']")</f>
        <v>['disappointing', 'quality', 'network', 'stable', 'rich', 'package', 'economical', 'customer', 'card', 'hello']</v>
      </c>
      <c r="D5935" s="3">
        <v>2.0</v>
      </c>
    </row>
    <row r="5936" ht="15.75" customHeight="1">
      <c r="A5936" s="1">
        <v>6378.0</v>
      </c>
      <c r="B5936" s="3" t="s">
        <v>5745</v>
      </c>
      <c r="C5936" s="3" t="str">
        <f>IFERROR(__xludf.DUMMYFUNCTION("GOOGLETRANSLATE(B5936,""id"",""en"")"),"['Kayak', 'Taik', 'Open', 'Telkomsel', 'PPQ', 'PPQ', 'Alrik', 'Unag', 'Client', 'Pig', 'then', 'updet', ' Bukak ',' already ',' Network ',' Leet ',' ']")</f>
        <v>['Kayak', 'Taik', 'Open', 'Telkomsel', 'PPQ', 'PPQ', 'Alrik', 'Unag', 'Client', 'Pig', 'then', 'updet', ' Bukak ',' already ',' Network ',' Leet ',' ']</v>
      </c>
      <c r="D5936" s="3">
        <v>1.0</v>
      </c>
    </row>
    <row r="5937" ht="15.75" customHeight="1">
      <c r="A5937" s="1">
        <v>6379.0</v>
      </c>
      <c r="B5937" s="3" t="s">
        <v>5746</v>
      </c>
      <c r="C5937" s="3" t="str">
        <f>IFERROR(__xludf.DUMMYFUNCTION("GOOGLETRANSLATE(B5937,""id"",""en"")"),"['signal', 'bnerin', 'woi', 'pay', 'woi']")</f>
        <v>['signal', 'bnerin', 'woi', 'pay', 'woi']</v>
      </c>
      <c r="D5937" s="3">
        <v>1.0</v>
      </c>
    </row>
    <row r="5938" ht="15.75" customHeight="1">
      <c r="A5938" s="1">
        <v>6380.0</v>
      </c>
      <c r="B5938" s="3" t="s">
        <v>5747</v>
      </c>
      <c r="C5938" s="3" t="str">
        <f>IFERROR(__xludf.DUMMYFUNCTION("GOOGLETRANSLATE(B5938,""id"",""en"")"),"['MBK', 'Mas', 'How', 'Have', 'Enter', 'Imel', 'Please', 'Updated', 'Donggg']")</f>
        <v>['MBK', 'Mas', 'How', 'Have', 'Enter', 'Imel', 'Please', 'Updated', 'Donggg']</v>
      </c>
      <c r="D5938" s="3">
        <v>1.0</v>
      </c>
    </row>
    <row r="5939" ht="15.75" customHeight="1">
      <c r="A5939" s="1">
        <v>6381.0</v>
      </c>
      <c r="B5939" s="3" t="s">
        <v>5748</v>
      </c>
      <c r="C5939" s="3" t="str">
        <f>IFERROR(__xludf.DUMMYFUNCTION("GOOGLETRANSLATE(B5939,""id"",""en"")"),"['response', 'Genah', 'complaints',' transaction ',' success', 'funds',' Cut ',' Package ',' internet ',' buy ',' app ',' Telkomsel ',' Funds', 'Cut', 'Packages',' Internet ',' Nongol ',' Money ',' Sedecated ',' Alms', 'Ngeselin', 'Time', 'Have', 'Wait', "&amp;"'Clock' , 'Woy, woy']")</f>
        <v>['response', 'Genah', 'complaints',' transaction ',' success', 'funds',' Cut ',' Package ',' internet ',' buy ',' app ',' Telkomsel ',' Funds', 'Cut', 'Packages',' Internet ',' Nongol ',' Money ',' Sedecated ',' Alms', 'Ngeselin', 'Time', 'Have', 'Wait', 'Clock' , 'Woy, woy']</v>
      </c>
      <c r="D5939" s="3">
        <v>1.0</v>
      </c>
    </row>
    <row r="5940" ht="15.75" customHeight="1">
      <c r="A5940" s="1">
        <v>6382.0</v>
      </c>
      <c r="B5940" s="3" t="s">
        <v>5749</v>
      </c>
      <c r="C5940" s="3" t="str">
        <f>IFERROR(__xludf.DUMMYFUNCTION("GOOGLETRANSLATE(B5940,""id"",""en"")"),"['Sinyalll', 'ugly', 'abis', 'quotee']")</f>
        <v>['Sinyalll', 'ugly', 'abis', 'quotee']</v>
      </c>
      <c r="D5940" s="3">
        <v>1.0</v>
      </c>
    </row>
    <row r="5941" ht="15.75" customHeight="1">
      <c r="A5941" s="1">
        <v>6383.0</v>
      </c>
      <c r="B5941" s="3" t="s">
        <v>5750</v>
      </c>
      <c r="C5941" s="3" t="str">
        <f>IFERROR(__xludf.DUMMYFUNCTION("GOOGLETRANSLATE(B5941,""id"",""en"")"),"['Telkomyet', 'Bener', 'signal', 'near', 'road', 'toll', 'near', 'Sluntap', 'Sluntap', 'Sluntup', 'rich', 'mother', ' there ',' shy ',' ama ',' provider ',' shame ',' name ',' quality ',' squat ']")</f>
        <v>['Telkomyet', 'Bener', 'signal', 'near', 'road', 'toll', 'near', 'Sluntap', 'Sluntap', 'Sluntup', 'rich', 'mother', ' there ',' shy ',' ama ',' provider ',' shame ',' name ',' quality ',' squat ']</v>
      </c>
      <c r="D5941" s="3">
        <v>1.0</v>
      </c>
    </row>
    <row r="5942" ht="15.75" customHeight="1">
      <c r="A5942" s="1">
        <v>6384.0</v>
      </c>
      <c r="B5942" s="3" t="s">
        <v>5751</v>
      </c>
      <c r="C5942" s="3" t="str">
        <f>IFERROR(__xludf.DUMMYFUNCTION("GOOGLETRANSLATE(B5942,""id"",""en"")"),"['Telkomsel', 'signal', 'strong', 'area', 'Pujorahayu', 'Tubaba', 'Please', 'fix']")</f>
        <v>['Telkomsel', 'signal', 'strong', 'area', 'Pujorahayu', 'Tubaba', 'Please', 'fix']</v>
      </c>
      <c r="D5942" s="3">
        <v>5.0</v>
      </c>
    </row>
    <row r="5943" ht="15.75" customHeight="1">
      <c r="A5943" s="1">
        <v>6385.0</v>
      </c>
      <c r="B5943" s="3" t="s">
        <v>5752</v>
      </c>
      <c r="C5943" s="3" t="str">
        <f>IFERROR(__xludf.DUMMYFUNCTION("GOOGLETRANSLATE(B5943,""id"",""en"")"),"['Network', 'Telkomsel', 'Kayak', 'Pepek', ""]")</f>
        <v>['Network', 'Telkomsel', 'Kayak', 'Pepek', "]</v>
      </c>
      <c r="D5943" s="3">
        <v>1.0</v>
      </c>
    </row>
    <row r="5944" ht="15.75" customHeight="1">
      <c r="A5944" s="1">
        <v>6386.0</v>
      </c>
      <c r="B5944" s="3" t="s">
        <v>5753</v>
      </c>
      <c r="C5944" s="3" t="str">
        <f>IFERROR(__xludf.DUMMYFUNCTION("GOOGLETRANSLATE(B5944,""id"",""en"")"),"['convenience', 'at the same time', 'Genting', 'convenience', 'access', 'purchase', 'package', 'internet', 'need']")</f>
        <v>['convenience', 'at the same time', 'Genting', 'convenience', 'access', 'purchase', 'package', 'internet', 'need']</v>
      </c>
      <c r="D5944" s="3">
        <v>5.0</v>
      </c>
    </row>
    <row r="5945" ht="15.75" customHeight="1">
      <c r="A5945" s="1">
        <v>6387.0</v>
      </c>
      <c r="B5945" s="3" t="s">
        <v>5754</v>
      </c>
      <c r="C5945" s="3" t="str">
        <f>IFERROR(__xludf.DUMMYFUNCTION("GOOGLETRANSLATE(B5945,""id"",""en"")"),"['disappointed', 'signal', 'really', 'really', 'ugly', 'emotion', 'until', 'slammed', 'gegara', 'signal', 'writing', ' Greetings', 'Banyumas',' Java ',' Life ',' City ',' Taste ',' Life ',' Forest ',' Signal ',' ugly ', ""]")</f>
        <v>['disappointed', 'signal', 'really', 'really', 'ugly', 'emotion', 'until', 'slammed', 'gegara', 'signal', 'writing', ' Greetings', 'Banyumas',' Java ',' Life ',' City ',' Taste ',' Life ',' Forest ',' Signal ',' ugly ', "]</v>
      </c>
      <c r="D5945" s="3">
        <v>1.0</v>
      </c>
    </row>
    <row r="5946" ht="15.75" customHeight="1">
      <c r="A5946" s="1">
        <v>6388.0</v>
      </c>
      <c r="B5946" s="3" t="s">
        <v>5755</v>
      </c>
      <c r="C5946" s="3" t="str">
        <f>IFERROR(__xludf.DUMMYFUNCTION("GOOGLETRANSLATE(B5946,""id"",""en"")"),"['quota', 'expensive', 'signal', 'comedy', 'telkom', ""]")</f>
        <v>['quota', 'expensive', 'signal', 'comedy', 'telkom', "]</v>
      </c>
      <c r="D5946" s="3">
        <v>1.0</v>
      </c>
    </row>
    <row r="5947" ht="15.75" customHeight="1">
      <c r="A5947" s="1">
        <v>6390.0</v>
      </c>
      <c r="B5947" s="3" t="s">
        <v>5756</v>
      </c>
      <c r="C5947" s="3" t="str">
        <f>IFERROR(__xludf.DUMMYFUNCTION("GOOGLETRANSLATE(B5947,""id"",""en"")"),"['Telkomsel', 'The network', 'Slow', 'Season', 'may', 'Ksini', 'might', 'JLEK', 'Telkomsel', 'HRGA', 'PKETX', 'Mhal', ' ']")</f>
        <v>['Telkomsel', 'The network', 'Slow', 'Season', 'may', 'Ksini', 'might', 'JLEK', 'Telkomsel', 'HRGA', 'PKETX', 'Mhal', ' ']</v>
      </c>
      <c r="D5947" s="3">
        <v>1.0</v>
      </c>
    </row>
    <row r="5948" ht="15.75" customHeight="1">
      <c r="A5948" s="1">
        <v>6391.0</v>
      </c>
      <c r="B5948" s="3" t="s">
        <v>5757</v>
      </c>
      <c r="C5948" s="3" t="str">
        <f>IFERROR(__xludf.DUMMYFUNCTION("GOOGLETRANSLATE(B5948,""id"",""en"")"),"['signal', 'slow', 'application', 'loading', 'trs',' pngn ',' updated ',' severe ',' signal ',' love ',' loading ',' Telkomsel ',' Buy ',' Data ',' UDH ',' Customer ',' Setia ',' LBH ', ""]")</f>
        <v>['signal', 'slow', 'application', 'loading', 'trs',' pngn ',' updated ',' severe ',' signal ',' love ',' loading ',' Telkomsel ',' Buy ',' Data ',' UDH ',' Customer ',' Setia ',' LBH ', "]</v>
      </c>
      <c r="D5948" s="3">
        <v>1.0</v>
      </c>
    </row>
    <row r="5949" ht="15.75" customHeight="1">
      <c r="A5949" s="1">
        <v>6392.0</v>
      </c>
      <c r="B5949" s="3" t="s">
        <v>5758</v>
      </c>
      <c r="C5949" s="3" t="str">
        <f>IFERROR(__xludf.DUMMYFUNCTION("GOOGLETRANSLATE(B5949,""id"",""en"")"),"['Josshhh', 'Anyway']")</f>
        <v>['Josshhh', 'Anyway']</v>
      </c>
      <c r="D5949" s="3">
        <v>5.0</v>
      </c>
    </row>
    <row r="5950" ht="15.75" customHeight="1">
      <c r="A5950" s="1">
        <v>6393.0</v>
      </c>
      <c r="B5950" s="3" t="s">
        <v>5759</v>
      </c>
      <c r="C5950" s="3" t="str">
        <f>IFERROR(__xludf.DUMMYFUNCTION("GOOGLETRANSLATE(B5950,""id"",""en"")"),"['contents',' pulse ',' package ',' diemin ',' minute ',' otw ',' home ',' right ',' check ',' nyampe ',' home ',' ilang ',' pulses', 'hmm', 'sincere', 'how', 'iklhas',' what ',' please ',' professional ',' Telkomsel ', ""]")</f>
        <v>['contents',' pulse ',' package ',' diemin ',' minute ',' otw ',' home ',' right ',' check ',' nyampe ',' home ',' ilang ',' pulses', 'hmm', 'sincere', 'how', 'iklhas',' what ',' please ',' professional ',' Telkomsel ', "]</v>
      </c>
      <c r="D5950" s="3">
        <v>1.0</v>
      </c>
    </row>
    <row r="5951" ht="15.75" customHeight="1">
      <c r="A5951" s="1">
        <v>6394.0</v>
      </c>
      <c r="B5951" s="3" t="s">
        <v>5760</v>
      </c>
      <c r="C5951" s="3" t="str">
        <f>IFERROR(__xludf.DUMMYFUNCTION("GOOGLETRANSLATE(B5951,""id"",""en"")"),"['gini', 'already', 'buy', 'package', 'unlimited', 'youtube', 'use', 'open', 'youtube', 'out', 'quota', 'main', ' ']")</f>
        <v>['gini', 'already', 'buy', 'package', 'unlimited', 'youtube', 'use', 'open', 'youtube', 'out', 'quota', 'main', ' ']</v>
      </c>
      <c r="D5951" s="3">
        <v>1.0</v>
      </c>
    </row>
    <row r="5952" ht="15.75" customHeight="1">
      <c r="A5952" s="1">
        <v>6395.0</v>
      </c>
      <c r="B5952" s="3" t="s">
        <v>5761</v>
      </c>
      <c r="C5952" s="3" t="str">
        <f>IFERROR(__xludf.DUMMYFUNCTION("GOOGLETRANSLATE(B5952,""id"",""en"")"),"['Please', 'Condition', 'Network', 'Dipelek', 'Pay', 'Expensive', 'Forgiveness', 'Network', 'Moved', 'Dipelek', ""]")</f>
        <v>['Please', 'Condition', 'Network', 'Dipelek', 'Pay', 'Expensive', 'Forgiveness', 'Network', 'Moved', 'Dipelek', "]</v>
      </c>
      <c r="D5952" s="3">
        <v>1.0</v>
      </c>
    </row>
    <row r="5953" ht="15.75" customHeight="1">
      <c r="A5953" s="1">
        <v>6396.0</v>
      </c>
      <c r="B5953" s="3" t="s">
        <v>5762</v>
      </c>
      <c r="C5953" s="3" t="str">
        <f>IFERROR(__xludf.DUMMYFUNCTION("GOOGLETRANSLATE(B5953,""id"",""en"")"),"['Network', 'Region', 'Telkomsel']")</f>
        <v>['Network', 'Region', 'Telkomsel']</v>
      </c>
      <c r="D5953" s="3">
        <v>3.0</v>
      </c>
    </row>
    <row r="5954" ht="15.75" customHeight="1">
      <c r="A5954" s="1">
        <v>6397.0</v>
      </c>
      <c r="B5954" s="3" t="s">
        <v>5763</v>
      </c>
      <c r="C5954" s="3" t="str">
        <f>IFERROR(__xludf.DUMMYFUNCTION("GOOGLETRANSLATE(B5954,""id"",""en"")"),"['Alah', 'network', 'package', 'expensive', 'emang', 'right']")</f>
        <v>['Alah', 'network', 'package', 'expensive', 'emang', 'right']</v>
      </c>
      <c r="D5954" s="3">
        <v>1.0</v>
      </c>
    </row>
    <row r="5955" ht="15.75" customHeight="1">
      <c r="A5955" s="1">
        <v>6398.0</v>
      </c>
      <c r="B5955" s="3" t="s">
        <v>5764</v>
      </c>
      <c r="C5955" s="3" t="str">
        <f>IFERROR(__xludf.DUMMYFUNCTION("GOOGLETRANSLATE(B5955,""id"",""en"")"),"['pulse', 'ilang', 'call', 'live', 'data', 'regret', 'really', 'pakek', 'card', '']")</f>
        <v>['pulse', 'ilang', 'call', 'live', 'data', 'regret', 'really', 'pakek', 'card', '']</v>
      </c>
      <c r="D5955" s="3">
        <v>1.0</v>
      </c>
    </row>
    <row r="5956" ht="15.75" customHeight="1">
      <c r="A5956" s="1">
        <v>6399.0</v>
      </c>
      <c r="B5956" s="3" t="s">
        <v>5765</v>
      </c>
      <c r="C5956" s="3" t="str">
        <f>IFERROR(__xludf.DUMMYFUNCTION("GOOGLETRANSLATE(B5956,""id"",""en"")"),"['Telkomsel', 'steady', '']")</f>
        <v>['Telkomsel', 'steady', '']</v>
      </c>
      <c r="D5956" s="3">
        <v>5.0</v>
      </c>
    </row>
    <row r="5957" ht="15.75" customHeight="1">
      <c r="A5957" s="1">
        <v>6400.0</v>
      </c>
      <c r="B5957" s="3" t="s">
        <v>5766</v>
      </c>
      <c r="C5957" s="3" t="str">
        <f>IFERROR(__xludf.DUMMYFUNCTION("GOOGLETRANSLATE(B5957,""id"",""en"")"),"['', 'Love', 'Bintang', 'Add', 'Hope', 'Telkomsel', ""]")</f>
        <v>['', 'Love', 'Bintang', 'Add', 'Hope', 'Telkomsel', "]</v>
      </c>
      <c r="D5957" s="3">
        <v>3.0</v>
      </c>
    </row>
    <row r="5958" ht="15.75" customHeight="1">
      <c r="A5958" s="1">
        <v>6401.0</v>
      </c>
      <c r="B5958" s="3" t="s">
        <v>5767</v>
      </c>
      <c r="C5958" s="3" t="str">
        <f>IFERROR(__xludf.DUMMYFUNCTION("GOOGLETRANSLATE(B5958,""id"",""en"")"),"['dilapidated', 'signal', 'disappointing', 'customer', 'underestimated', 'customer', 'glory', 'customer']")</f>
        <v>['dilapidated', 'signal', 'disappointing', 'customer', 'underestimated', 'customer', 'glory', 'customer']</v>
      </c>
      <c r="D5958" s="3">
        <v>1.0</v>
      </c>
    </row>
    <row r="5959" ht="15.75" customHeight="1">
      <c r="A5959" s="1">
        <v>6402.0</v>
      </c>
      <c r="B5959" s="3" t="s">
        <v>5768</v>
      </c>
      <c r="C5959" s="3" t="str">
        <f>IFERROR(__xludf.DUMMYFUNCTION("GOOGLETRANSLATE(B5959,""id"",""en"")"),"['solution', 'credit', 'take', 'right', 'contents',' pulse ',' direct ',' buy ',' package ',' internet ',' night ',' bro ',' That's', 'Biarin', 'pulse', 'run out']")</f>
        <v>['solution', 'credit', 'take', 'right', 'contents',' pulse ',' direct ',' buy ',' package ',' internet ',' night ',' bro ',' That's', 'Biarin', 'pulse', 'run out']</v>
      </c>
      <c r="D5959" s="3">
        <v>1.0</v>
      </c>
    </row>
    <row r="5960" ht="15.75" customHeight="1">
      <c r="A5960" s="1">
        <v>6403.0</v>
      </c>
      <c r="B5960" s="3" t="s">
        <v>5769</v>
      </c>
      <c r="C5960" s="3" t="str">
        <f>IFERROR(__xludf.DUMMYFUNCTION("GOOGLETRANSLATE(B5960,""id"",""en"")"),"['application', 'heavy', 'signal', 'ugly']")</f>
        <v>['application', 'heavy', 'signal', 'ugly']</v>
      </c>
      <c r="D5960" s="3">
        <v>1.0</v>
      </c>
    </row>
    <row r="5961" ht="15.75" customHeight="1">
      <c r="A5961" s="1">
        <v>6404.0</v>
      </c>
      <c r="B5961" s="3" t="s">
        <v>5770</v>
      </c>
      <c r="C5961" s="3" t="str">
        <f>IFERROR(__xludf.DUMMYFUNCTION("GOOGLETRANSLATE(B5961,""id"",""en"")"),"['Bagss']")</f>
        <v>['Bagss']</v>
      </c>
      <c r="D5961" s="3">
        <v>5.0</v>
      </c>
    </row>
    <row r="5962" ht="15.75" customHeight="1">
      <c r="A5962" s="1">
        <v>6405.0</v>
      </c>
      <c r="B5962" s="3" t="s">
        <v>5771</v>
      </c>
      <c r="C5962" s="3" t="str">
        <f>IFERROR(__xludf.DUMMYFUNCTION("GOOGLETRANSLATE(B5962,""id"",""en"")"),"['logo', 'doang', 'ugly', 'quality', 'philosophy', 'logo', 'hha']")</f>
        <v>['logo', 'doang', 'ugly', 'quality', 'philosophy', 'logo', 'hha']</v>
      </c>
      <c r="D5962" s="3">
        <v>1.0</v>
      </c>
    </row>
    <row r="5963" ht="15.75" customHeight="1">
      <c r="A5963" s="1">
        <v>6406.0</v>
      </c>
      <c r="B5963" s="3" t="s">
        <v>5772</v>
      </c>
      <c r="C5963" s="3" t="str">
        <f>IFERROR(__xludf.DUMMYFUNCTION("GOOGLETRANSLATE(B5963,""id"",""en"")"),"['Disappointed', 'open', 'Application', 'Ngeeleg', 'APK', 'Stop', 'Untk', 'Enter', 'Home', 'Requires', 'Decent']")</f>
        <v>['Disappointed', 'open', 'Application', 'Ngeeleg', 'APK', 'Stop', 'Untk', 'Enter', 'Home', 'Requires', 'Decent']</v>
      </c>
      <c r="D5963" s="3">
        <v>3.0</v>
      </c>
    </row>
    <row r="5964" ht="15.75" customHeight="1">
      <c r="A5964" s="1">
        <v>6407.0</v>
      </c>
      <c r="B5964" s="3" t="s">
        <v>299</v>
      </c>
      <c r="C5964" s="3" t="str">
        <f>IFERROR(__xludf.DUMMYFUNCTION("GOOGLETRANSLATE(B5964,""id"",""en"")"),"['Price', 'Package', 'Cheap']")</f>
        <v>['Price', 'Package', 'Cheap']</v>
      </c>
      <c r="D5964" s="3">
        <v>4.0</v>
      </c>
    </row>
    <row r="5965" ht="15.75" customHeight="1">
      <c r="A5965" s="1">
        <v>6408.0</v>
      </c>
      <c r="B5965" s="3" t="s">
        <v>5773</v>
      </c>
      <c r="C5965" s="3" t="str">
        <f>IFERROR(__xludf.DUMMYFUNCTION("GOOGLETRANSLATE(B5965,""id"",""en"")"),"['aat', 'proud', 'customer', 'loyal', 'Telkomsel']")</f>
        <v>['aat', 'proud', 'customer', 'loyal', 'Telkomsel']</v>
      </c>
      <c r="D5965" s="3">
        <v>5.0</v>
      </c>
    </row>
    <row r="5966" ht="15.75" customHeight="1">
      <c r="A5966" s="1">
        <v>6409.0</v>
      </c>
      <c r="B5966" s="3" t="s">
        <v>5774</v>
      </c>
      <c r="C5966" s="3" t="str">
        <f>IFERROR(__xludf.DUMMYFUNCTION("GOOGLETRANSLATE(B5966,""id"",""en"")"),"['cheated', 'Marketing', 'Telkomsel', 'contact', 'offer', 'migration', 'card', 'Hallo', 'soul', 'marketing', 'program', 'pour', ' extra ',' quota ',' if ',' after ',' before ',' active ',' internet ',' he ',' mnjawat ',' loud ',' quota ',' unlimited ',' i"&amp;"f ' , 'quota', 'main', 'run out', 'used', 'anything', 'record', 'recorded', 'open', 'application']")</f>
        <v>['cheated', 'Marketing', 'Telkomsel', 'contact', 'offer', 'migration', 'card', 'Hallo', 'soul', 'marketing', 'program', 'pour', ' extra ',' quota ',' if ',' after ',' before ',' active ',' internet ',' he ',' mnjawat ',' loud ',' quota ',' unlimited ',' if ' , 'quota', 'main', 'run out', 'used', 'anything', 'record', 'recorded', 'open', 'application']</v>
      </c>
      <c r="D5966" s="3">
        <v>1.0</v>
      </c>
    </row>
    <row r="5967" ht="15.75" customHeight="1">
      <c r="A5967" s="1">
        <v>6410.0</v>
      </c>
      <c r="B5967" s="3" t="s">
        <v>5775</v>
      </c>
      <c r="C5967" s="3" t="str">
        <f>IFERROR(__xludf.DUMMYFUNCTION("GOOGLETRANSLATE(B5967,""id"",""en"")"),"['Signal', 'down', 'knp', '']")</f>
        <v>['Signal', 'down', 'knp', '']</v>
      </c>
      <c r="D5967" s="3">
        <v>3.0</v>
      </c>
    </row>
    <row r="5968" ht="15.75" customHeight="1">
      <c r="A5968" s="1">
        <v>6411.0</v>
      </c>
      <c r="B5968" s="3" t="s">
        <v>5776</v>
      </c>
      <c r="C5968" s="3" t="str">
        <f>IFERROR(__xludf.DUMMYFUNCTION("GOOGLETRANSLATE(B5968,""id"",""en"")"),"['Please', 'Oerimi', 'Network', 'boss', 'like', 'ganguan', 'napa', ""]")</f>
        <v>['Please', 'Oerimi', 'Network', 'boss', 'like', 'ganguan', 'napa', "]</v>
      </c>
      <c r="D5968" s="3">
        <v>3.0</v>
      </c>
    </row>
    <row r="5969" ht="15.75" customHeight="1">
      <c r="A5969" s="1">
        <v>6412.0</v>
      </c>
      <c r="B5969" s="3" t="s">
        <v>5777</v>
      </c>
      <c r="C5969" s="3" t="str">
        <f>IFERROR(__xludf.DUMMYFUNCTION("GOOGLETRANSLATE(B5969,""id"",""en"")"),"['signal', 'missing', 'please', 'fix', 'region', 'South Jakarta', 'kampung', 'ok', 'ajah', 'city', 'mlh', 'signal', ' Lost ',' Mulu ',' ']")</f>
        <v>['signal', 'missing', 'please', 'fix', 'region', 'South Jakarta', 'kampung', 'ok', 'ajah', 'city', 'mlh', 'signal', ' Lost ',' Mulu ',' ']</v>
      </c>
      <c r="D5969" s="3">
        <v>1.0</v>
      </c>
    </row>
    <row r="5970" ht="15.75" customHeight="1">
      <c r="A5970" s="1">
        <v>6413.0</v>
      </c>
      <c r="B5970" s="3" t="s">
        <v>5778</v>
      </c>
      <c r="C5970" s="3" t="str">
        <f>IFERROR(__xludf.DUMMYFUNCTION("GOOGLETRANSLATE(B5970,""id"",""en"")"),"['Nian "",' Nian ',' SKR ',' Telkomsel ']")</f>
        <v>['Nian ",' Nian ',' SKR ',' Telkomsel ']</v>
      </c>
      <c r="D5970" s="3">
        <v>1.0</v>
      </c>
    </row>
    <row r="5971" ht="15.75" customHeight="1">
      <c r="A5971" s="1">
        <v>6414.0</v>
      </c>
      <c r="B5971" s="3" t="s">
        <v>5779</v>
      </c>
      <c r="C5971" s="3" t="str">
        <f>IFERROR(__xludf.DUMMYFUNCTION("GOOGLETRANSLATE(B5971,""id"",""en"")"),"['update', 'already', 'kyk', 'drink', 'medicine', 'quality', 'nil', 'loading', 'slow', 'bentr', 'error', ""]")</f>
        <v>['update', 'already', 'kyk', 'drink', 'medicine', 'quality', 'nil', 'loading', 'slow', 'bentr', 'error', "]</v>
      </c>
      <c r="D5971" s="3">
        <v>1.0</v>
      </c>
    </row>
    <row r="5972" ht="15.75" customHeight="1">
      <c r="A5972" s="1">
        <v>6415.0</v>
      </c>
      <c r="B5972" s="3" t="s">
        <v>5780</v>
      </c>
      <c r="C5972" s="3" t="str">
        <f>IFERROR(__xludf.DUMMYFUNCTION("GOOGLETRANSLATE(B5972,""id"",""en"")"),"['expensive', 'signal', 'bad', 'company', 'owned', 'state', 'gini', 'hadeh', 'corrupt', 'just', 'outside', 'kang', ' meatball', '']")</f>
        <v>['expensive', 'signal', 'bad', 'company', 'owned', 'state', 'gini', 'hadeh', 'corrupt', 'just', 'outside', 'kang', ' meatball', '']</v>
      </c>
      <c r="D5972" s="3">
        <v>1.0</v>
      </c>
    </row>
    <row r="5973" ht="15.75" customHeight="1">
      <c r="A5973" s="1">
        <v>6416.0</v>
      </c>
      <c r="B5973" s="3" t="s">
        <v>5781</v>
      </c>
      <c r="C5973" s="3" t="str">
        <f>IFERROR(__xludf.DUMMYFUNCTION("GOOGLETRANSLATE(B5973,""id"",""en"")"),"['signal', 'promo', 'funds',' price ',' package ',' buy ',' add ',' expensive ',' pity ',' lecture ',' zoom ',' package ',' Government ',' bln ',' dikasi ',' ']")</f>
        <v>['signal', 'promo', 'funds',' price ',' package ',' buy ',' add ',' expensive ',' pity ',' lecture ',' zoom ',' package ',' Government ',' bln ',' dikasi ',' ']</v>
      </c>
      <c r="D5973" s="3">
        <v>3.0</v>
      </c>
    </row>
    <row r="5974" ht="15.75" customHeight="1">
      <c r="A5974" s="1">
        <v>6417.0</v>
      </c>
      <c r="B5974" s="3" t="s">
        <v>5782</v>
      </c>
      <c r="C5974" s="3" t="str">
        <f>IFERROR(__xludf.DUMMYFUNCTION("GOOGLETRANSLATE(B5974,""id"",""en"")"),"['pulp', 'love', 'price', 'expensive', 'love', 'quality']")</f>
        <v>['pulp', 'love', 'price', 'expensive', 'love', 'quality']</v>
      </c>
      <c r="D5974" s="3">
        <v>1.0</v>
      </c>
    </row>
    <row r="5975" ht="15.75" customHeight="1">
      <c r="A5975" s="1">
        <v>6418.0</v>
      </c>
      <c r="B5975" s="3" t="s">
        <v>5783</v>
      </c>
      <c r="C5975" s="3" t="str">
        <f>IFERROR(__xludf.DUMMYFUNCTION("GOOGLETRANSLATE(B5975,""id"",""en"")"),"['signal', 'user', 'price', 'expensive', 'buy', 'package', 'TPI', 'connection', 'losing', 'indosat']")</f>
        <v>['signal', 'user', 'price', 'expensive', 'buy', 'package', 'TPI', 'connection', 'losing', 'indosat']</v>
      </c>
      <c r="D5975" s="3">
        <v>1.0</v>
      </c>
    </row>
    <row r="5976" ht="15.75" customHeight="1">
      <c r="A5976" s="1">
        <v>6419.0</v>
      </c>
      <c r="B5976" s="3" t="s">
        <v>5784</v>
      </c>
      <c r="C5976" s="3" t="str">
        <f>IFERROR(__xludf.DUMMYFUNCTION("GOOGLETRANSLATE(B5976,""id"",""en"")"),"['Woiiiiiiiii', 'Loe', 'Bring', 'The network', 'SupeeeeEerrrr', 'LemoOottt', '']")</f>
        <v>['Woiiiiiiiii', 'Loe', 'Bring', 'The network', 'SupeeeeEerrrr', 'LemoOottt', '']</v>
      </c>
      <c r="D5976" s="3">
        <v>1.0</v>
      </c>
    </row>
    <row r="5977" ht="15.75" customHeight="1">
      <c r="A5977" s="1">
        <v>6420.0</v>
      </c>
      <c r="B5977" s="3" t="s">
        <v>5785</v>
      </c>
      <c r="C5977" s="3" t="str">
        <f>IFERROR(__xludf.DUMMYFUNCTION("GOOGLETRANSLATE(B5977,""id"",""en"")"),"['Please', 'signal', 'repaired', 'slow', 'woy']")</f>
        <v>['Please', 'signal', 'repaired', 'slow', 'woy']</v>
      </c>
      <c r="D5977" s="3">
        <v>2.0</v>
      </c>
    </row>
    <row r="5978" ht="15.75" customHeight="1">
      <c r="A5978" s="1">
        <v>6421.0</v>
      </c>
      <c r="B5978" s="3" t="s">
        <v>5786</v>
      </c>
      <c r="C5978" s="3" t="str">
        <f>IFERROR(__xludf.DUMMYFUNCTION("GOOGLETRANSLATE(B5978,""id"",""en"")"),"['Hello', 'Telkomsel', 'Dri', 'comment', 'msalah', 'network', 'sampe', 'skarang', 'slow', 'sensitive', 'consumer', 'woe']")</f>
        <v>['Hello', 'Telkomsel', 'Dri', 'comment', 'msalah', 'network', 'sampe', 'skarang', 'slow', 'sensitive', 'consumer', 'woe']</v>
      </c>
      <c r="D5978" s="3">
        <v>1.0</v>
      </c>
    </row>
    <row r="5979" ht="15.75" customHeight="1">
      <c r="A5979" s="1">
        <v>6422.0</v>
      </c>
      <c r="B5979" s="3" t="s">
        <v>5787</v>
      </c>
      <c r="C5979" s="3" t="str">
        <f>IFERROR(__xludf.DUMMYFUNCTION("GOOGLETRANSLATE(B5979,""id"",""en"")"),"['Telkomsel', 'Network', 'Service']")</f>
        <v>['Telkomsel', 'Network', 'Service']</v>
      </c>
      <c r="D5979" s="3">
        <v>5.0</v>
      </c>
    </row>
    <row r="5980" ht="15.75" customHeight="1">
      <c r="A5980" s="1">
        <v>6423.0</v>
      </c>
      <c r="B5980" s="3" t="s">
        <v>5788</v>
      </c>
      <c r="C5980" s="3" t="str">
        <f>IFERROR(__xludf.DUMMYFUNCTION("GOOGLETRANSLATE(B5980,""id"",""en"")"),"['Worst', 'Telkomsel', 'contents',' pulses', 'eaten', 'package', 'internet', 'call', 'strange', 'oath', 'gaje', 'package', ' expensive ',' bad ',' times', 'quality']")</f>
        <v>['Worst', 'Telkomsel', 'contents',' pulses', 'eaten', 'package', 'internet', 'call', 'strange', 'oath', 'gaje', 'package', ' expensive ',' bad ',' times', 'quality']</v>
      </c>
      <c r="D5980" s="3">
        <v>1.0</v>
      </c>
    </row>
    <row r="5981" ht="15.75" customHeight="1">
      <c r="A5981" s="1">
        <v>6425.0</v>
      </c>
      <c r="B5981" s="3" t="s">
        <v>5789</v>
      </c>
      <c r="C5981" s="3" t="str">
        <f>IFERROR(__xludf.DUMMYFUNCTION("GOOGLETRANSLATE(B5981,""id"",""en"")"),"['Dirugikantelkomsel', 'buy', 'pulse', 'rb', 'buy', 'quota', 'the rest', 'rb', 'check', 'uda', 'rb', 'check', ' rb ',' check ',' all ',' purchase ',' subscribe ',' anything ',' buy ',' quota ',' bbrp ',' check ',' rb ',' telkomsel ',' follow ' , 'TTP', 'C"&amp;"hange', 'Fill', 'Credit', 'Remnant', 'RB', 'Use', 'RB', 'Remnant', 'Rb', 'SKR', ' Tredot ',' leftover ',' Rb ',' please ',' policy ',' loss', ""]")</f>
        <v>['Dirugikantelkomsel', 'buy', 'pulse', 'rb', 'buy', 'quota', 'the rest', 'rb', 'check', 'uda', 'rb', 'check', ' rb ',' check ',' all ',' purchase ',' subscribe ',' anything ',' buy ',' quota ',' bbrp ',' check ',' rb ',' telkomsel ',' follow ' , 'TTP', 'Change', 'Fill', 'Credit', 'Remnant', 'RB', 'Use', 'RB', 'Remnant', 'Rb', 'SKR', ' Tredot ',' leftover ',' Rb ',' please ',' policy ',' loss', "]</v>
      </c>
      <c r="D5981" s="3">
        <v>2.0</v>
      </c>
    </row>
    <row r="5982" ht="15.75" customHeight="1">
      <c r="A5982" s="1">
        <v>6426.0</v>
      </c>
      <c r="B5982" s="3" t="s">
        <v>5790</v>
      </c>
      <c r="C5982" s="3" t="str">
        <f>IFERROR(__xludf.DUMMYFUNCTION("GOOGLETRANSLATE(B5982,""id"",""en"")"),"['Gabisa', 'Abis', 'night', 'Msih', 'GB', 'just', 'Yutub', 'apqsih', 'wants', 'already', 'expensive']")</f>
        <v>['Gabisa', 'Abis', 'night', 'Msih', 'GB', 'just', 'Yutub', 'apqsih', 'wants', 'already', 'expensive']</v>
      </c>
      <c r="D5982" s="3">
        <v>1.0</v>
      </c>
    </row>
    <row r="5983" ht="15.75" customHeight="1">
      <c r="A5983" s="1">
        <v>6427.0</v>
      </c>
      <c r="B5983" s="3" t="s">
        <v>5791</v>
      </c>
      <c r="C5983" s="3" t="str">
        <f>IFERROR(__xludf.DUMMYFUNCTION("GOOGLETRANSLATE(B5983,""id"",""en"")"),"['Please', 'Sorry', 'users',' Telkomsel ',' Darling ',' Disappointed ',' Network ',' Stable ',' Region ',' Area ',' City ',' Palembang ',' Please ',' checked ',' address', 'city', 'Palembang', 'kel', 'Gandus',' housing ',' solar ',' nature ',' thank you '"&amp;"]")</f>
        <v>['Please', 'Sorry', 'users',' Telkomsel ',' Darling ',' Disappointed ',' Network ',' Stable ',' Region ',' Area ',' City ',' Palembang ',' Please ',' checked ',' address', 'city', 'Palembang', 'kel', 'Gandus',' housing ',' solar ',' nature ',' thank you ']</v>
      </c>
      <c r="D5983" s="3">
        <v>1.0</v>
      </c>
    </row>
    <row r="5984" ht="15.75" customHeight="1">
      <c r="A5984" s="1">
        <v>6428.0</v>
      </c>
      <c r="B5984" s="3" t="s">
        <v>5792</v>
      </c>
      <c r="C5984" s="3" t="str">
        <f>IFERROR(__xludf.DUMMYFUNCTION("GOOGLETRANSLATE(B5984,""id"",""en"")"),"['Telkomsel', 'Network', 'ugly', 'slow', 'complement', 'told', 'restart', 'he knows',' network ',' ugly ',' restart ',' bkn ',' Weve ',' Network ',' Telkomsel ',' ugly ',' Nkakuin ', ""]")</f>
        <v>['Telkomsel', 'Network', 'ugly', 'slow', 'complement', 'told', 'restart', 'he knows',' network ',' ugly ',' restart ',' bkn ',' Weve ',' Network ',' Telkomsel ',' ugly ',' Nkakuin ', "]</v>
      </c>
      <c r="D5984" s="3">
        <v>1.0</v>
      </c>
    </row>
    <row r="5985" ht="15.75" customHeight="1">
      <c r="A5985" s="1">
        <v>6429.0</v>
      </c>
      <c r="B5985" s="3" t="s">
        <v>5793</v>
      </c>
      <c r="C5985" s="3" t="str">
        <f>IFERROR(__xludf.DUMMYFUNCTION("GOOGLETRANSLATE(B5985,""id"",""en"")"),"['Package', 'cheap']")</f>
        <v>['Package', 'cheap']</v>
      </c>
      <c r="D5985" s="3">
        <v>2.0</v>
      </c>
    </row>
    <row r="5986" ht="15.75" customHeight="1">
      <c r="A5986" s="1">
        <v>6430.0</v>
      </c>
      <c r="B5986" s="3" t="s">
        <v>5794</v>
      </c>
      <c r="C5986" s="3" t="str">
        <f>IFERROR(__xludf.DUMMYFUNCTION("GOOGLETRANSLATE(B5986,""id"",""en"")"),"['expensive', 'NMR', 'card', 'dilapidated', 'bngt', 'stay', 'remote', 'network', 'difficult', 'already', 'card', 'Hello', ' children ',' MHL ',' use ',' slow ',' ']")</f>
        <v>['expensive', 'NMR', 'card', 'dilapidated', 'bngt', 'stay', 'remote', 'network', 'difficult', 'already', 'card', 'Hello', ' children ',' MHL ',' use ',' slow ',' ']</v>
      </c>
      <c r="D5986" s="3">
        <v>1.0</v>
      </c>
    </row>
    <row r="5987" ht="15.75" customHeight="1">
      <c r="A5987" s="1">
        <v>6431.0</v>
      </c>
      <c r="B5987" s="3" t="s">
        <v>5795</v>
      </c>
      <c r="C5987" s="3" t="str">
        <f>IFERROR(__xludf.DUMMYFUNCTION("GOOGLETRANSLATE(B5987,""id"",""en"")"),"['quota', 'main', 'reduced', 'watch', 'youtube', 'quota', 'unlimited', 'youtube', 'sebwlumnya', 'quota', 'main', 'sumps',' Open ',' YouTube ',' Quota ',' Unlimited ',' YouTube ',' Loss', 'Buy', 'Quota', 'Unlimitf', 'YouTube', 'Quota', 'Main', 'Sumpot' , '"&amp;"Open', 'YouTube']")</f>
        <v>['quota', 'main', 'reduced', 'watch', 'youtube', 'quota', 'unlimited', 'youtube', 'sebwlumnya', 'quota', 'main', 'sumps',' Open ',' YouTube ',' Quota ',' Unlimited ',' YouTube ',' Loss', 'Buy', 'Quota', 'Unlimitf', 'YouTube', 'Quota', 'Main', 'Sumpot' , 'Open', 'YouTube']</v>
      </c>
      <c r="D5987" s="3">
        <v>1.0</v>
      </c>
    </row>
    <row r="5988" ht="15.75" customHeight="1">
      <c r="A5988" s="1">
        <v>6432.0</v>
      </c>
      <c r="B5988" s="3" t="s">
        <v>5796</v>
      </c>
      <c r="C5988" s="3" t="str">
        <f>IFERROR(__xludf.DUMMYFUNCTION("GOOGLETRANSLATE(B5988,""id"",""en"")"),"['Main', 'Game', 'lag', 'Telkomsel', 'Severe']")</f>
        <v>['Main', 'Game', 'lag', 'Telkomsel', 'Severe']</v>
      </c>
      <c r="D5988" s="3">
        <v>1.0</v>
      </c>
    </row>
    <row r="5989" ht="15.75" customHeight="1">
      <c r="A5989" s="1">
        <v>6433.0</v>
      </c>
      <c r="B5989" s="3" t="s">
        <v>5797</v>
      </c>
      <c r="C5989" s="3" t="str">
        <f>IFERROR(__xludf.DUMMYFUNCTION("GOOGLETRANSLATE(B5989,""id"",""en"")"),"['Network', 'DPRLuas', 'Paketan', 'expensive']")</f>
        <v>['Network', 'DPRLuas', 'Paketan', 'expensive']</v>
      </c>
      <c r="D5989" s="3">
        <v>2.0</v>
      </c>
    </row>
    <row r="5990" ht="15.75" customHeight="1">
      <c r="A5990" s="1">
        <v>6434.0</v>
      </c>
      <c r="B5990" s="3" t="s">
        <v>5798</v>
      </c>
      <c r="C5990" s="3" t="str">
        <f>IFERROR(__xludf.DUMMYFUNCTION("GOOGLETRANSLATE(B5990,""id"",""en"")"),"['Provider', 'ppq', 'signal', 'seed', 'you', 'drift', 'kite', 'quota', 'expensive', 'expensive', 'get', 'signal', ' Ngilake ',' donk ',' advertise ',' love ',' minus', 'star', 'love', ""]")</f>
        <v>['Provider', 'ppq', 'signal', 'seed', 'you', 'drift', 'kite', 'quota', 'expensive', 'expensive', 'get', 'signal', ' Ngilake ',' donk ',' advertise ',' love ',' minus', 'star', 'love', "]</v>
      </c>
      <c r="D5990" s="3">
        <v>1.0</v>
      </c>
    </row>
    <row r="5991" ht="15.75" customHeight="1">
      <c r="A5991" s="1">
        <v>6435.0</v>
      </c>
      <c r="B5991" s="3" t="s">
        <v>5799</v>
      </c>
      <c r="C5991" s="3" t="str">
        <f>IFERROR(__xludf.DUMMYFUNCTION("GOOGLETRANSLATE(B5991,""id"",""en"")"),"['apk', 'thytyd', 'buy', 'package', 'cellphone', 'research', 'ilang']")</f>
        <v>['apk', 'thytyd', 'buy', 'package', 'cellphone', 'research', 'ilang']</v>
      </c>
      <c r="D5991" s="3">
        <v>1.0</v>
      </c>
    </row>
    <row r="5992" ht="15.75" customHeight="1">
      <c r="A5992" s="1">
        <v>6436.0</v>
      </c>
      <c r="B5992" s="3" t="s">
        <v>5800</v>
      </c>
      <c r="C5992" s="3" t="str">
        <f>IFERROR(__xludf.DUMMYFUNCTION("GOOGLETRANSLATE(B5992,""id"",""en"")"),"['easy', 'access', 'choice', 'data', 'internet']")</f>
        <v>['easy', 'access', 'choice', 'data', 'internet']</v>
      </c>
      <c r="D5992" s="3">
        <v>5.0</v>
      </c>
    </row>
    <row r="5993" ht="15.75" customHeight="1">
      <c r="A5993" s="1">
        <v>6437.0</v>
      </c>
      <c r="B5993" s="3" t="s">
        <v>5801</v>
      </c>
      <c r="C5993" s="3" t="str">
        <f>IFERROR(__xludf.DUMMYFUNCTION("GOOGLETRANSLATE(B5993,""id"",""en"")"),"['', 'Features', 'Safe', 'Credit', 'Credit', 'Sumpot', 'Paketan', 'Out']")</f>
        <v>['', 'Features', 'Safe', 'Credit', 'Credit', 'Sumpot', 'Paketan', 'Out']</v>
      </c>
      <c r="D5993" s="3">
        <v>1.0</v>
      </c>
    </row>
    <row r="5994" ht="15.75" customHeight="1">
      <c r="A5994" s="1">
        <v>6439.0</v>
      </c>
      <c r="B5994" s="3" t="s">
        <v>5802</v>
      </c>
      <c r="C5994" s="3" t="str">
        <f>IFERROR(__xludf.DUMMYFUNCTION("GOOGLETRANSLATE(B5994,""id"",""en"")"),"['Please', 'fix', 'signal', 'here', 'ugly']")</f>
        <v>['Please', 'fix', 'signal', 'here', 'ugly']</v>
      </c>
      <c r="D5994" s="3">
        <v>1.0</v>
      </c>
    </row>
    <row r="5995" ht="15.75" customHeight="1">
      <c r="A5995" s="1">
        <v>6440.0</v>
      </c>
      <c r="B5995" s="3" t="s">
        <v>5803</v>
      </c>
      <c r="C5995" s="3" t="str">
        <f>IFERROR(__xludf.DUMMYFUNCTION("GOOGLETRANSLATE(B5995,""id"",""en"")"),"['Telkomsel', 'Network', 'Error', 'Network', 'Lost', 'Sometimes',' Network ',' Ngelagnya ',' Cook ',' Forgiveness', 'Kalu', 'Maen', ' Game ',' already ',' auto ',' lose ',' please ',' body ',' net ',' ']")</f>
        <v>['Telkomsel', 'Network', 'Error', 'Network', 'Lost', 'Sometimes',' Network ',' Ngelagnya ',' Cook ',' Forgiveness', 'Kalu', 'Maen', ' Game ',' already ',' auto ',' lose ',' please ',' body ',' net ',' ']</v>
      </c>
      <c r="D5995" s="3">
        <v>3.0</v>
      </c>
    </row>
    <row r="5996" ht="15.75" customHeight="1">
      <c r="A5996" s="1">
        <v>6443.0</v>
      </c>
      <c r="B5996" s="3" t="s">
        <v>5804</v>
      </c>
      <c r="C5996" s="3" t="str">
        <f>IFERROR(__xludf.DUMMYFUNCTION("GOOGLETRANSLATE(B5996,""id"",""en"")"),"['Star', 'talk']")</f>
        <v>['Star', 'talk']</v>
      </c>
      <c r="D5996" s="3">
        <v>5.0</v>
      </c>
    </row>
    <row r="5997" ht="15.75" customHeight="1">
      <c r="A5997" s="1">
        <v>6444.0</v>
      </c>
      <c r="B5997" s="3" t="s">
        <v>5805</v>
      </c>
      <c r="C5997" s="3" t="str">
        <f>IFERROR(__xludf.DUMMYFUNCTION("GOOGLETRANSLATE(B5997,""id"",""en"")"),"['BGI', 'BLM', 'Dwload', 'Download', 'Package', 'Expensive', 'Buy', 'Package', 'Game', 'Max', 'Data', 'Nyasiering', ' Dead ',' disappointing ',' ']")</f>
        <v>['BGI', 'BLM', 'Dwload', 'Download', 'Package', 'Expensive', 'Buy', 'Package', 'Game', 'Max', 'Data', 'Nyasiering', ' Dead ',' disappointing ',' ']</v>
      </c>
      <c r="D5997" s="3">
        <v>1.0</v>
      </c>
    </row>
    <row r="5998" ht="15.75" customHeight="1">
      <c r="A5998" s="1">
        <v>6445.0</v>
      </c>
      <c r="B5998" s="3" t="s">
        <v>4622</v>
      </c>
      <c r="C5998" s="3" t="str">
        <f>IFERROR(__xludf.DUMMYFUNCTION("GOOGLETRANSLATE(B5998,""id"",""en"")"),"['Telkomsel', 'easy']")</f>
        <v>['Telkomsel', 'easy']</v>
      </c>
      <c r="D5998" s="3">
        <v>5.0</v>
      </c>
    </row>
    <row r="5999" ht="15.75" customHeight="1">
      <c r="A5999" s="1">
        <v>6446.0</v>
      </c>
      <c r="B5999" s="3" t="s">
        <v>5806</v>
      </c>
      <c r="C5999" s="3" t="str">
        <f>IFERROR(__xludf.DUMMYFUNCTION("GOOGLETRANSLATE(B5999,""id"",""en"")"),"['Speed', 'internet', 'Severe', 'Main', 'Game', 'Suitable']")</f>
        <v>['Speed', 'internet', 'Severe', 'Main', 'Game', 'Suitable']</v>
      </c>
      <c r="D5999" s="3">
        <v>1.0</v>
      </c>
    </row>
    <row r="6000" ht="15.75" customHeight="1">
      <c r="A6000" s="1">
        <v>6447.0</v>
      </c>
      <c r="B6000" s="3" t="s">
        <v>5807</v>
      </c>
      <c r="C6000" s="3" t="str">
        <f>IFERROR(__xludf.DUMMYFUNCTION("GOOGLETRANSLATE(B6000,""id"",""en"")"),"['signal', 'ugly', 'utung', 'use', 'package', 'sympathy', 'signal', 'ugly']")</f>
        <v>['signal', 'ugly', 'utung', 'use', 'package', 'sympathy', 'signal', 'ugly']</v>
      </c>
      <c r="D6000" s="3">
        <v>1.0</v>
      </c>
    </row>
    <row r="6001" ht="15.75" customHeight="1">
      <c r="A6001" s="1">
        <v>6448.0</v>
      </c>
      <c r="B6001" s="3" t="s">
        <v>5808</v>
      </c>
      <c r="C6001" s="3" t="str">
        <f>IFERROR(__xludf.DUMMYFUNCTION("GOOGLETRANSLATE(B6001,""id"",""en"")"),"['satisfied', 'Telkomsel', 'smooth', 'communicating', 'limit', 'family', 'relatives']")</f>
        <v>['satisfied', 'Telkomsel', 'smooth', 'communicating', 'limit', 'family', 'relatives']</v>
      </c>
      <c r="D6001" s="3">
        <v>5.0</v>
      </c>
    </row>
    <row r="6002" ht="15.75" customHeight="1">
      <c r="A6002" s="1">
        <v>6449.0</v>
      </c>
      <c r="B6002" s="3" t="s">
        <v>5809</v>
      </c>
      <c r="C6002" s="3" t="str">
        <f>IFERROR(__xludf.DUMMYFUNCTION("GOOGLETRANSLATE(B6002,""id"",""en"")"),"['Telkomsel', 'bad', 'quality', 'signal', 'network', 'open', 'browser', 'google', 'wait', 'second', 'open', 'suggest', ' Restart ',' Network ',' Stale ',' ']")</f>
        <v>['Telkomsel', 'bad', 'quality', 'signal', 'network', 'open', 'browser', 'google', 'wait', 'second', 'open', 'suggest', ' Restart ',' Network ',' Stale ',' ']</v>
      </c>
      <c r="D6002" s="3">
        <v>1.0</v>
      </c>
    </row>
    <row r="6003" ht="15.75" customHeight="1">
      <c r="A6003" s="1">
        <v>6450.0</v>
      </c>
      <c r="B6003" s="3" t="s">
        <v>5810</v>
      </c>
      <c r="C6003" s="3" t="str">
        <f>IFERROR(__xludf.DUMMYFUNCTION("GOOGLETRANSLATE(B6003,""id"",""en"")"),"['woi', 'signal', 'fix', 'napa', ""]")</f>
        <v>['woi', 'signal', 'fix', 'napa', "]</v>
      </c>
      <c r="D6003" s="3">
        <v>1.0</v>
      </c>
    </row>
    <row r="6004" ht="15.75" customHeight="1">
      <c r="A6004" s="1">
        <v>6451.0</v>
      </c>
      <c r="B6004" s="3" t="s">
        <v>5811</v>
      </c>
      <c r="C6004" s="3" t="str">
        <f>IFERROR(__xludf.DUMMYFUNCTION("GOOGLETRANSLATE(B6004,""id"",""en"")"),"['make it difficult', 'opened', 'slow', 'open', 'exchange', 'point', 'like']")</f>
        <v>['make it difficult', 'opened', 'slow', 'open', 'exchange', 'point', 'like']</v>
      </c>
      <c r="D6004" s="3">
        <v>1.0</v>
      </c>
    </row>
    <row r="6005" ht="15.75" customHeight="1">
      <c r="A6005" s="1">
        <v>6452.0</v>
      </c>
      <c r="B6005" s="3" t="s">
        <v>5812</v>
      </c>
      <c r="C6005" s="3" t="str">
        <f>IFERROR(__xludf.DUMMYFUNCTION("GOOGLETRANSLATE(B6005,""id"",""en"")"),"['Signal', 'Jooss', 'Increase', 'Rich', 'Sudocations', 'Disappointed', 'Cana', 'XXX']")</f>
        <v>['Signal', 'Jooss', 'Increase', 'Rich', 'Sudocations', 'Disappointed', 'Cana', 'XXX']</v>
      </c>
      <c r="D6005" s="3">
        <v>3.0</v>
      </c>
    </row>
    <row r="6006" ht="15.75" customHeight="1">
      <c r="A6006" s="1">
        <v>6453.0</v>
      </c>
      <c r="B6006" s="3" t="s">
        <v>5813</v>
      </c>
      <c r="C6006" s="3" t="str">
        <f>IFERROR(__xludf.DUMMYFUNCTION("GOOGLETRANSLATE(B6006,""id"",""en"")"),"['Severe', 'City', 'Siyala', 'Kayak', 'Ujung', 'Papua', 'dizziness', ""]")</f>
        <v>['Severe', 'City', 'Siyala', 'Kayak', 'Ujung', 'Papua', 'dizziness', "]</v>
      </c>
      <c r="D6006" s="3">
        <v>1.0</v>
      </c>
    </row>
    <row r="6007" ht="15.75" customHeight="1">
      <c r="A6007" s="1">
        <v>6454.0</v>
      </c>
      <c r="B6007" s="3" t="s">
        <v>5814</v>
      </c>
      <c r="C6007" s="3" t="str">
        <f>IFERROR(__xludf.DUMMYFUNCTION("GOOGLETRANSLATE(B6007,""id"",""en"")"),"['Easy', 'Understand', 'Help']")</f>
        <v>['Easy', 'Understand', 'Help']</v>
      </c>
      <c r="D6007" s="3">
        <v>5.0</v>
      </c>
    </row>
    <row r="6008" ht="15.75" customHeight="1">
      <c r="A6008" s="1">
        <v>6455.0</v>
      </c>
      <c r="B6008" s="3" t="s">
        <v>5815</v>
      </c>
      <c r="C6008" s="3" t="str">
        <f>IFERROR(__xludf.DUMMYFUNCTION("GOOGLETRANSLATE(B6008,""id"",""en"")"),"['buy', 'package', 'weekly', 'enter', 'payment', 'succeed', 'what', '']")</f>
        <v>['buy', 'package', 'weekly', 'enter', 'payment', 'succeed', 'what', '']</v>
      </c>
      <c r="D6008" s="3">
        <v>1.0</v>
      </c>
    </row>
    <row r="6009" ht="15.75" customHeight="1">
      <c r="A6009" s="1">
        <v>6456.0</v>
      </c>
      <c r="B6009" s="3" t="s">
        <v>5816</v>
      </c>
      <c r="C6009" s="3" t="str">
        <f>IFERROR(__xludf.DUMMYFUNCTION("GOOGLETRANSLATE(B6009,""id"",""en"")"),"['Help', 'transaction']")</f>
        <v>['Help', 'transaction']</v>
      </c>
      <c r="D6009" s="3">
        <v>5.0</v>
      </c>
    </row>
    <row r="6010" ht="15.75" customHeight="1">
      <c r="A6010" s="1">
        <v>6457.0</v>
      </c>
      <c r="B6010" s="3" t="s">
        <v>5817</v>
      </c>
      <c r="C6010" s="3" t="str">
        <f>IFERROR(__xludf.DUMMYFUNCTION("GOOGLETRANSLATE(B6010,""id"",""en"")"),"['Cheap', 'Package', 'Combo', 'Saktix', 'Addin', 'Nelponx']")</f>
        <v>['Cheap', 'Package', 'Combo', 'Saktix', 'Addin', 'Nelponx']</v>
      </c>
      <c r="D6010" s="3">
        <v>3.0</v>
      </c>
    </row>
    <row r="6011" ht="15.75" customHeight="1">
      <c r="A6011" s="1">
        <v>6458.0</v>
      </c>
      <c r="B6011" s="3" t="s">
        <v>5818</v>
      </c>
      <c r="C6011" s="3" t="str">
        <f>IFERROR(__xludf.DUMMYFUNCTION("GOOGLETRANSLATE(B6011,""id"",""en"")"),"['Telkomsel', 'signal', 'rotten', 'Sya', 'move', 'card']")</f>
        <v>['Telkomsel', 'signal', 'rotten', 'Sya', 'move', 'card']</v>
      </c>
      <c r="D6011" s="3">
        <v>1.0</v>
      </c>
    </row>
    <row r="6012" ht="15.75" customHeight="1">
      <c r="A6012" s="1">
        <v>6459.0</v>
      </c>
      <c r="B6012" s="3" t="s">
        <v>5819</v>
      </c>
      <c r="C6012" s="3" t="str">
        <f>IFERROR(__xludf.DUMMYFUNCTION("GOOGLETRANSLATE(B6012,""id"",""en"")"),"['App', 'good', 'help', ""]")</f>
        <v>['App', 'good', 'help', "]</v>
      </c>
      <c r="D6012" s="3">
        <v>5.0</v>
      </c>
    </row>
    <row r="6013" ht="15.75" customHeight="1">
      <c r="A6013" s="1">
        <v>6460.0</v>
      </c>
      <c r="B6013" s="3" t="s">
        <v>5820</v>
      </c>
      <c r="C6013" s="3" t="str">
        <f>IFERROR(__xludf.DUMMYFUNCTION("GOOGLETRANSLATE(B6013,""id"",""en"")"),"['GMNA', 'Telkomsel', 'Disruption', 'Mulu', 'Data', 'fast', 'HBS']")</f>
        <v>['GMNA', 'Telkomsel', 'Disruption', 'Mulu', 'Data', 'fast', 'HBS']</v>
      </c>
      <c r="D6013" s="3">
        <v>1.0</v>
      </c>
    </row>
    <row r="6014" ht="15.75" customHeight="1">
      <c r="A6014" s="1">
        <v>6461.0</v>
      </c>
      <c r="B6014" s="3" t="s">
        <v>5821</v>
      </c>
      <c r="C6014" s="3" t="str">
        <f>IFERROR(__xludf.DUMMYFUNCTION("GOOGLETRANSLATE(B6014,""id"",""en"")"),"['Bagood', 'surprise']")</f>
        <v>['Bagood', 'surprise']</v>
      </c>
      <c r="D6014" s="3">
        <v>5.0</v>
      </c>
    </row>
    <row r="6015" ht="15.75" customHeight="1">
      <c r="A6015" s="1">
        <v>6462.0</v>
      </c>
      <c r="B6015" s="3" t="s">
        <v>1435</v>
      </c>
      <c r="C6015" s="3" t="str">
        <f>IFERROR(__xludf.DUMMYFUNCTION("GOOGLETRANSLATE(B6015,""id"",""en"")"),"['help', '']")</f>
        <v>['help', '']</v>
      </c>
      <c r="D6015" s="3">
        <v>3.0</v>
      </c>
    </row>
    <row r="6016" ht="15.75" customHeight="1">
      <c r="A6016" s="1">
        <v>6463.0</v>
      </c>
      <c r="B6016" s="3" t="s">
        <v>5822</v>
      </c>
      <c r="C6016" s="3" t="str">
        <f>IFERROR(__xludf.DUMMYFUNCTION("GOOGLETRANSLATE(B6016,""id"",""en"")"),"['lazy', 'telponan', 'use', 'Telkomsel', 'because' signal ',' bad ',' disappointed ',' please ',' signal ',' slow ',' ']")</f>
        <v>['lazy', 'telponan', 'use', 'Telkomsel', 'because' signal ',' bad ',' disappointed ',' please ',' signal ',' slow ',' ']</v>
      </c>
      <c r="D6016" s="3">
        <v>1.0</v>
      </c>
    </row>
    <row r="6017" ht="15.75" customHeight="1">
      <c r="A6017" s="1">
        <v>6464.0</v>
      </c>
      <c r="B6017" s="3" t="s">
        <v>5823</v>
      </c>
      <c r="C6017" s="3" t="str">
        <f>IFERROR(__xludf.DUMMYFUNCTION("GOOGLETRANSLATE(B6017,""id"",""en"")"),"['Telkomsel', 'satisfying', ""]")</f>
        <v>['Telkomsel', 'satisfying', "]</v>
      </c>
      <c r="D6017" s="3">
        <v>5.0</v>
      </c>
    </row>
    <row r="6018" ht="15.75" customHeight="1">
      <c r="A6018" s="1">
        <v>6465.0</v>
      </c>
      <c r="B6018" s="3" t="s">
        <v>5824</v>
      </c>
      <c r="C6018" s="3" t="str">
        <f>IFERROR(__xludf.DUMMYFUNCTION("GOOGLETRANSLATE(B6018,""id"",""en"")"),"['steady', 'application', '']")</f>
        <v>['steady', 'application', '']</v>
      </c>
      <c r="D6018" s="3">
        <v>4.0</v>
      </c>
    </row>
    <row r="6019" ht="15.75" customHeight="1">
      <c r="A6019" s="1">
        <v>6467.0</v>
      </c>
      <c r="B6019" s="3" t="s">
        <v>5825</v>
      </c>
      <c r="C6019" s="3" t="str">
        <f>IFERROR(__xludf.DUMMYFUNCTION("GOOGLETRANSLATE(B6019,""id"",""en"")"),"['Leet', 'bad']")</f>
        <v>['Leet', 'bad']</v>
      </c>
      <c r="D6019" s="3">
        <v>1.0</v>
      </c>
    </row>
    <row r="6020" ht="15.75" customHeight="1">
      <c r="A6020" s="1">
        <v>6468.0</v>
      </c>
      <c r="B6020" s="3" t="s">
        <v>5826</v>
      </c>
      <c r="C6020" s="3" t="str">
        <f>IFERROR(__xludf.DUMMYFUNCTION("GOOGLETRANSLATE(B6020,""id"",""en"")"),"['Disappointed', 'Telkomsel', 'package', 'expensive', 'network', 'gajelas', 'that's', 'bankrupt', 'lahh', 'village', 'network', 'Telkomsel']")</f>
        <v>['Disappointed', 'Telkomsel', 'package', 'expensive', 'network', 'gajelas', 'that's', 'bankrupt', 'lahh', 'village', 'network', 'Telkomsel']</v>
      </c>
      <c r="D6020" s="3">
        <v>1.0</v>
      </c>
    </row>
    <row r="6021" ht="15.75" customHeight="1">
      <c r="A6021" s="1">
        <v>6469.0</v>
      </c>
      <c r="B6021" s="3" t="s">
        <v>5827</v>
      </c>
      <c r="C6021" s="3" t="str">
        <f>IFERROR(__xludf.DUMMYFUNCTION("GOOGLETRANSLATE(B6021,""id"",""en"")"),"['Package', 'Package', 'Internet', 'Credit', 'Out', 'Loss', 'Love', 'Star', 'Delete', 'Playstor']")</f>
        <v>['Package', 'Package', 'Internet', 'Credit', 'Out', 'Loss', 'Love', 'Star', 'Delete', 'Playstor']</v>
      </c>
      <c r="D6021" s="3">
        <v>1.0</v>
      </c>
    </row>
    <row r="6022" ht="15.75" customHeight="1">
      <c r="A6022" s="1">
        <v>6470.0</v>
      </c>
      <c r="B6022" s="3" t="s">
        <v>5828</v>
      </c>
      <c r="C6022" s="3" t="str">
        <f>IFERROR(__xludf.DUMMYFUNCTION("GOOGLETRANSLATE(B6022,""id"",""en"")"),"['Telkomsel', 'Good', 'Rain', 'Aga', 'Lemod']")</f>
        <v>['Telkomsel', 'Good', 'Rain', 'Aga', 'Lemod']</v>
      </c>
      <c r="D6022" s="3">
        <v>5.0</v>
      </c>
    </row>
    <row r="6023" ht="15.75" customHeight="1">
      <c r="A6023" s="1">
        <v>6472.0</v>
      </c>
      <c r="B6023" s="3" t="s">
        <v>5829</v>
      </c>
      <c r="C6023" s="3" t="str">
        <f>IFERROR(__xludf.DUMMYFUNCTION("GOOGLETRANSLATE(B6023,""id"",""en"")"),"['lucky', 'package', 'cheap', '']")</f>
        <v>['lucky', 'package', 'cheap', '']</v>
      </c>
      <c r="D6023" s="3">
        <v>4.0</v>
      </c>
    </row>
    <row r="6024" ht="15.75" customHeight="1">
      <c r="A6024" s="1">
        <v>6473.0</v>
      </c>
      <c r="B6024" s="3" t="s">
        <v>5830</v>
      </c>
      <c r="C6024" s="3" t="str">
        <f>IFERROR(__xludf.DUMMYFUNCTION("GOOGLETRANSLATE(B6024,""id"",""en"")"),"['try', 'hope', 'okay']")</f>
        <v>['try', 'hope', 'okay']</v>
      </c>
      <c r="D6024" s="3">
        <v>3.0</v>
      </c>
    </row>
    <row r="6025" ht="15.75" customHeight="1">
      <c r="A6025" s="1">
        <v>6474.0</v>
      </c>
      <c r="B6025" s="3" t="s">
        <v>5831</v>
      </c>
      <c r="C6025" s="3" t="str">
        <f>IFERROR(__xludf.DUMMYFUNCTION("GOOGLETRANSLATE(B6025,""id"",""en"")"),"['data', 'internet', 'slow', 'eaten', 'pulse', 'package', 'internet', 'expensive', 'severe', 'slow', '']")</f>
        <v>['data', 'internet', 'slow', 'eaten', 'pulse', 'package', 'internet', 'expensive', 'severe', 'slow', '']</v>
      </c>
      <c r="D6025" s="3">
        <v>1.0</v>
      </c>
    </row>
    <row r="6026" ht="15.75" customHeight="1">
      <c r="A6026" s="1">
        <v>6475.0</v>
      </c>
      <c r="B6026" s="3" t="s">
        <v>5832</v>
      </c>
      <c r="C6026" s="3" t="str">
        <f>IFERROR(__xludf.DUMMYFUNCTION("GOOGLETRANSLATE(B6026,""id"",""en"")"),"['application', 'difficult', 'shopping', 'internet', 'disorder', 'system']")</f>
        <v>['application', 'difficult', 'shopping', 'internet', 'disorder', 'system']</v>
      </c>
      <c r="D6026" s="3">
        <v>2.0</v>
      </c>
    </row>
    <row r="6027" ht="15.75" customHeight="1">
      <c r="A6027" s="1">
        <v>6476.0</v>
      </c>
      <c r="B6027" s="3" t="s">
        <v>5833</v>
      </c>
      <c r="C6027" s="3" t="str">
        <f>IFERROR(__xludf.DUMMYFUNCTION("GOOGLETRANSLATE(B6027,""id"",""en"")"),"['Alhamdulillah', 'subscribe', 'Telkomsel', 'obstacles', 'signal', 'wherever', 'hopefully', 'Telkomsel', 'forward', 'in' meeting ',' needs ',' its customers', 'hope', 'chance', 'gift', 'Telkomsel', 'Points',' Aamiin ',' Rabb ', ""]")</f>
        <v>['Alhamdulillah', 'subscribe', 'Telkomsel', 'obstacles', 'signal', 'wherever', 'hopefully', 'Telkomsel', 'forward', 'in' meeting ',' needs ',' its customers', 'hope', 'chance', 'gift', 'Telkomsel', 'Points',' Aamiin ',' Rabb ', "]</v>
      </c>
      <c r="D6027" s="3">
        <v>5.0</v>
      </c>
    </row>
    <row r="6028" ht="15.75" customHeight="1">
      <c r="A6028" s="1">
        <v>6477.0</v>
      </c>
      <c r="B6028" s="3" t="s">
        <v>5834</v>
      </c>
      <c r="C6028" s="3" t="str">
        <f>IFERROR(__xludf.DUMMYFUNCTION("GOOGLETRANSLATE(B6028,""id"",""en"")"),"['sympathy', 'Joss', ""]")</f>
        <v>['sympathy', 'Joss', "]</v>
      </c>
      <c r="D6028" s="3">
        <v>5.0</v>
      </c>
    </row>
    <row r="6029" ht="15.75" customHeight="1">
      <c r="A6029" s="1">
        <v>6478.0</v>
      </c>
      <c r="B6029" s="3" t="s">
        <v>5835</v>
      </c>
      <c r="C6029" s="3" t="str">
        <f>IFERROR(__xludf.DUMMYFUNCTION("GOOGLETRANSLATE(B6029,""id"",""en"")"),"['Network', 'bad', 'package', 'expensive', 'point', 'use', 'byk', 'piece', 'package', 'essence', 'Telkomsel', 'loss',' Sangking ',' Telkomsel ',' Network ',' Provider ',' UDH ',' Change ',' Liat ',' Rating ',' Review ',' Bintang ',' Smua ',' Shy ',' Provi"&amp;"der ' , 'Good', 'chaotic', 'provider', 'laughs', 'laugh out', 'bier', 'replace', 'name', 'jdi', 'Burikcom', 'match']")</f>
        <v>['Network', 'bad', 'package', 'expensive', 'point', 'use', 'byk', 'piece', 'package', 'essence', 'Telkomsel', 'loss',' Sangking ',' Telkomsel ',' Network ',' Provider ',' UDH ',' Change ',' Liat ',' Rating ',' Review ',' Bintang ',' Smua ',' Shy ',' Provider ' , 'Good', 'chaotic', 'provider', 'laughs', 'laugh out', 'bier', 'replace', 'name', 'jdi', 'Burikcom', 'match']</v>
      </c>
      <c r="D6029" s="3">
        <v>1.0</v>
      </c>
    </row>
    <row r="6030" ht="15.75" customHeight="1">
      <c r="A6030" s="1">
        <v>6479.0</v>
      </c>
      <c r="B6030" s="3" t="s">
        <v>5836</v>
      </c>
      <c r="C6030" s="3" t="str">
        <f>IFERROR(__xludf.DUMMYFUNCTION("GOOGLETRANSLATE(B6030,""id"",""en"")"),"['love', 'star', 'kebaca', 'manager', 'Telkomsel', 'President', 'Telkomsel', 'please', 'buy', 'pulse', 'buy', 'package', ' Internet ',' Telkomsel ',' GB ',' thousand ',' SMS ',' enter ',' mobile ',' Telkomsel ',' credit ',' how ',' min ',' please ',' fix "&amp;"' , 'Nipu', 'boss', '']")</f>
        <v>['love', 'star', 'kebaca', 'manager', 'Telkomsel', 'President', 'Telkomsel', 'please', 'buy', 'pulse', 'buy', 'package', ' Internet ',' Telkomsel ',' GB ',' thousand ',' SMS ',' enter ',' mobile ',' Telkomsel ',' credit ',' how ',' min ',' please ',' fix ' , 'Nipu', 'boss', '']</v>
      </c>
      <c r="D6030" s="3">
        <v>5.0</v>
      </c>
    </row>
    <row r="6031" ht="15.75" customHeight="1">
      <c r="A6031" s="1">
        <v>6480.0</v>
      </c>
      <c r="B6031" s="3" t="s">
        <v>5837</v>
      </c>
      <c r="C6031" s="3" t="str">
        <f>IFERROR(__xludf.DUMMYFUNCTION("GOOGLETRANSLATE(B6031,""id"",""en"")"),"['APK', 'teach', 'DFTAR', 'Package', 'Notification', 'Success',' TPI ',' Package ',' Ngak ',' Appears', 'Credit', 'Rampok', ' ']")</f>
        <v>['APK', 'teach', 'DFTAR', 'Package', 'Notification', 'Success',' TPI ',' Package ',' Ngak ',' Appears', 'Credit', 'Rampok', ' ']</v>
      </c>
      <c r="D6031" s="3">
        <v>1.0</v>
      </c>
    </row>
    <row r="6032" ht="15.75" customHeight="1">
      <c r="A6032" s="1">
        <v>6481.0</v>
      </c>
      <c r="B6032" s="3" t="s">
        <v>5838</v>
      </c>
      <c r="C6032" s="3" t="str">
        <f>IFERROR(__xludf.DUMMYFUNCTION("GOOGLETRANSLATE(B6032,""id"",""en"")"),"['card', 'Joosss', 'Best', 'Anyway']")</f>
        <v>['card', 'Joosss', 'Best', 'Anyway']</v>
      </c>
      <c r="D6032" s="3">
        <v>5.0</v>
      </c>
    </row>
    <row r="6033" ht="15.75" customHeight="1">
      <c r="A6033" s="1">
        <v>6482.0</v>
      </c>
      <c r="B6033" s="3" t="s">
        <v>5839</v>
      </c>
      <c r="C6033" s="3" t="str">
        <f>IFERROR(__xludf.DUMMYFUNCTION("GOOGLETRANSLATE(B6033,""id"",""en"")"),"['Signal', 'Strong', 'Stable', 'Watch', 'Video', 'Online', 'Comfortable', '']")</f>
        <v>['Signal', 'Strong', 'Stable', 'Watch', 'Video', 'Online', 'Comfortable', '']</v>
      </c>
      <c r="D6033" s="3">
        <v>2.0</v>
      </c>
    </row>
    <row r="6034" ht="15.75" customHeight="1">
      <c r="A6034" s="1">
        <v>6483.0</v>
      </c>
      <c r="B6034" s="3" t="s">
        <v>5840</v>
      </c>
      <c r="C6034" s="3" t="str">
        <f>IFERROR(__xludf.DUMMYFUNCTION("GOOGLETRANSLATE(B6034,""id"",""en"")"),"['Service', 'slow']")</f>
        <v>['Service', 'slow']</v>
      </c>
      <c r="D6034" s="3">
        <v>1.0</v>
      </c>
    </row>
    <row r="6035" ht="15.75" customHeight="1">
      <c r="A6035" s="1">
        <v>6484.0</v>
      </c>
      <c r="B6035" s="3" t="s">
        <v>5841</v>
      </c>
      <c r="C6035" s="3" t="str">
        <f>IFERROR(__xludf.DUMMYFUNCTION("GOOGLETRANSLATE(B6035,""id"",""en"")"),"['', 'Telkomsel', 'Leading', ""]")</f>
        <v>['', 'Telkomsel', 'Leading', "]</v>
      </c>
      <c r="D6035" s="3">
        <v>5.0</v>
      </c>
    </row>
    <row r="6036" ht="15.75" customHeight="1">
      <c r="A6036" s="1">
        <v>6485.0</v>
      </c>
      <c r="B6036" s="3" t="s">
        <v>5842</v>
      </c>
      <c r="C6036" s="3" t="str">
        <f>IFERROR(__xludf.DUMMYFUNCTION("GOOGLETRANSLATE(B6036,""id"",""en"")"),"['quota', 'expensive', 'internet', 'slow']")</f>
        <v>['quota', 'expensive', 'internet', 'slow']</v>
      </c>
      <c r="D6036" s="3">
        <v>2.0</v>
      </c>
    </row>
    <row r="6037" ht="15.75" customHeight="1">
      <c r="A6037" s="1">
        <v>6486.0</v>
      </c>
      <c r="B6037" s="3" t="s">
        <v>3276</v>
      </c>
      <c r="C6037" s="3" t="str">
        <f>IFERROR(__xludf.DUMMYFUNCTION("GOOGLETRANSLATE(B6037,""id"",""en"")"),"['Jaya', 'Telkomsel']")</f>
        <v>['Jaya', 'Telkomsel']</v>
      </c>
      <c r="D6037" s="3">
        <v>5.0</v>
      </c>
    </row>
    <row r="6038" ht="15.75" customHeight="1">
      <c r="A6038" s="1">
        <v>6487.0</v>
      </c>
      <c r="B6038" s="3" t="s">
        <v>5843</v>
      </c>
      <c r="C6038" s="3" t="str">
        <f>IFERROR(__xludf.DUMMYFUNCTION("GOOGLETRANSLATE(B6038,""id"",""en"")"),"['How', 'package', 'emergency', 'run out', 'yesterday', 'msih', 'please', 'run out']")</f>
        <v>['How', 'package', 'emergency', 'run out', 'yesterday', 'msih', 'please', 'run out']</v>
      </c>
      <c r="D6038" s="3">
        <v>1.0</v>
      </c>
    </row>
    <row r="6039" ht="15.75" customHeight="1">
      <c r="A6039" s="1">
        <v>6488.0</v>
      </c>
      <c r="B6039" s="3" t="s">
        <v>5844</v>
      </c>
      <c r="C6039" s="3" t="str">
        <f>IFERROR(__xludf.DUMMYFUNCTION("GOOGLETRANSLATE(B6039,""id"",""en"")"),"['Love', 'Promo', 'Good']")</f>
        <v>['Love', 'Promo', 'Good']</v>
      </c>
      <c r="D6039" s="3">
        <v>5.0</v>
      </c>
    </row>
    <row r="6040" ht="15.75" customHeight="1">
      <c r="A6040" s="1">
        <v>6489.0</v>
      </c>
      <c r="B6040" s="3" t="s">
        <v>5845</v>
      </c>
      <c r="C6040" s="3" t="str">
        <f>IFERROR(__xludf.DUMMYFUNCTION("GOOGLETRANSLATE(B6040,""id"",""en"")"),"['Increases', 'Network', 'slow', 'fill in', 'quota', 'expensive', 'expensive', 'network', 'ugly', 'darling', 'coakes']")</f>
        <v>['Increases', 'Network', 'slow', 'fill in', 'quota', 'expensive', 'expensive', 'network', 'ugly', 'darling', 'coakes']</v>
      </c>
      <c r="D6040" s="3">
        <v>3.0</v>
      </c>
    </row>
    <row r="6041" ht="15.75" customHeight="1">
      <c r="A6041" s="1">
        <v>6490.0</v>
      </c>
      <c r="B6041" s="3" t="s">
        <v>2197</v>
      </c>
      <c r="C6041" s="3" t="str">
        <f>IFERROR(__xludf.DUMMYFUNCTION("GOOGLETRANSLATE(B6041,""id"",""en"")"),"['Good', 'signal']")</f>
        <v>['Good', 'signal']</v>
      </c>
      <c r="D6041" s="3">
        <v>3.0</v>
      </c>
    </row>
    <row r="6042" ht="15.75" customHeight="1">
      <c r="A6042" s="1">
        <v>6491.0</v>
      </c>
      <c r="B6042" s="3" t="s">
        <v>5846</v>
      </c>
      <c r="C6042" s="3" t="str">
        <f>IFERROR(__xludf.DUMMYFUNCTION("GOOGLETRANSLATE(B6042,""id"",""en"")"),"['Posts', 'unlimited', 'unlimited', 'pig']")</f>
        <v>['Posts', 'unlimited', 'unlimited', 'pig']</v>
      </c>
      <c r="D6042" s="3">
        <v>1.0</v>
      </c>
    </row>
    <row r="6043" ht="15.75" customHeight="1">
      <c r="A6043" s="1">
        <v>6492.0</v>
      </c>
      <c r="B6043" s="3" t="s">
        <v>890</v>
      </c>
      <c r="C6043" s="3" t="str">
        <f>IFERROR(__xludf.DUMMYFUNCTION("GOOGLETRANSLATE(B6043,""id"",""en"")"),"['good', '']")</f>
        <v>['good', '']</v>
      </c>
      <c r="D6043" s="3">
        <v>5.0</v>
      </c>
    </row>
    <row r="6044" ht="15.75" customHeight="1">
      <c r="A6044" s="1">
        <v>6493.0</v>
      </c>
      <c r="B6044" s="3" t="s">
        <v>5847</v>
      </c>
      <c r="C6044" s="3" t="str">
        <f>IFERROR(__xludf.DUMMYFUNCTION("GOOGLETRANSLATE(B6044,""id"",""en"")"),"['Hopefully', 'happiness', 'family', 'Telkomsel', 'Amin']")</f>
        <v>['Hopefully', 'happiness', 'family', 'Telkomsel', 'Amin']</v>
      </c>
      <c r="D6044" s="3">
        <v>5.0</v>
      </c>
    </row>
    <row r="6045" ht="15.75" customHeight="1">
      <c r="A6045" s="1">
        <v>6494.0</v>
      </c>
      <c r="B6045" s="3" t="s">
        <v>5848</v>
      </c>
      <c r="C6045" s="3" t="str">
        <f>IFERROR(__xludf.DUMMYFUNCTION("GOOGLETRANSLATE(B6045,""id"",""en"")"),"['Please', 'Help', 'Admin', 'Region', 'Cilincing', 'Rusun', 'Nagrak', 'Sunday', 'Signal', 'Telkomsel', 'Kacaw', 'Weak', ' DTNG ',' amplifier ',' signal ',' signal ',' weakened ',' really ']")</f>
        <v>['Please', 'Help', 'Admin', 'Region', 'Cilincing', 'Rusun', 'Nagrak', 'Sunday', 'Signal', 'Telkomsel', 'Kacaw', 'Weak', ' DTNG ',' amplifier ',' signal ',' signal ',' weakened ',' really ']</v>
      </c>
      <c r="D6045" s="3">
        <v>2.0</v>
      </c>
    </row>
    <row r="6046" ht="15.75" customHeight="1">
      <c r="A6046" s="1">
        <v>6495.0</v>
      </c>
      <c r="B6046" s="3" t="s">
        <v>5849</v>
      </c>
      <c r="C6046" s="3" t="str">
        <f>IFERROR(__xludf.DUMMYFUNCTION("GOOGLETRANSLATE(B6046,""id"",""en"")"),"['likes',' Telkomsel ',' makes it easy ',' love ',' you ',' Telkomsel ',' btw ',' package ',' internet ',' cheap ',' festive ',' dooong ',' ']")</f>
        <v>['likes',' Telkomsel ',' makes it easy ',' love ',' you ',' Telkomsel ',' btw ',' package ',' internet ',' cheap ',' festive ',' dooong ',' ']</v>
      </c>
      <c r="D6046" s="3">
        <v>5.0</v>
      </c>
    </row>
    <row r="6047" ht="15.75" customHeight="1">
      <c r="A6047" s="1">
        <v>6496.0</v>
      </c>
      <c r="B6047" s="3" t="s">
        <v>5850</v>
      </c>
      <c r="C6047" s="3" t="str">
        <f>IFERROR(__xludf.DUMMYFUNCTION("GOOGLETRANSLATE(B6047,""id"",""en"")"),"['promo', 'Telkomsel', 'Rb', 'GB', 'buy', 'credit', 'buy', 'notif', 'pulse', 'truncated', 'please', 'Telkomsel', ' return ',' pulse ',' fraud ']")</f>
        <v>['promo', 'Telkomsel', 'Rb', 'GB', 'buy', 'credit', 'buy', 'notif', 'pulse', 'truncated', 'please', 'Telkomsel', ' return ',' pulse ',' fraud ']</v>
      </c>
      <c r="D6047" s="3">
        <v>1.0</v>
      </c>
    </row>
    <row r="6048" ht="15.75" customHeight="1">
      <c r="A6048" s="1">
        <v>6497.0</v>
      </c>
      <c r="B6048" s="3" t="s">
        <v>5851</v>
      </c>
      <c r="C6048" s="3" t="str">
        <f>IFERROR(__xludf.DUMMYFUNCTION("GOOGLETRANSLATE(B6048,""id"",""en"")"),"['Severe', 'Telkomsel', 'cave', 'already', 'contents',' pulse ',' exchange ',' kouta ',' already ',' try ',' many ',' times', ' Disappointed ',' cave ',' ']")</f>
        <v>['Severe', 'Telkomsel', 'cave', 'already', 'contents',' pulse ',' exchange ',' kouta ',' already ',' try ',' many ',' times', ' Disappointed ',' cave ',' ']</v>
      </c>
      <c r="D6048" s="3">
        <v>1.0</v>
      </c>
    </row>
    <row r="6049" ht="15.75" customHeight="1">
      <c r="A6049" s="1">
        <v>6498.0</v>
      </c>
      <c r="B6049" s="3" t="s">
        <v>5852</v>
      </c>
      <c r="C6049" s="3" t="str">
        <f>IFERROR(__xludf.DUMMYFUNCTION("GOOGLETRANSLATE(B6049,""id"",""en"")"),"['Error', 'Mulu', 'Applation', 'Telkomsel', 'Price', 'Expensive', 'Signal', 'Slow', 'Packagein', 'Credit', 'Ngak', 'Must', ' price ',' expensive ',' quality ',' best ',' kayak ',' gini ',' ngerugin ',' consumer ',' search ',' luck ',' bad ',' please ',' f"&amp;"ix ' ]")</f>
        <v>['Error', 'Mulu', 'Applation', 'Telkomsel', 'Price', 'Expensive', 'Signal', 'Slow', 'Packagein', 'Credit', 'Ngak', 'Must', ' price ',' expensive ',' quality ',' best ',' kayak ',' gini ',' ngerugin ',' consumer ',' search ',' luck ',' bad ',' please ',' fix ' ]</v>
      </c>
      <c r="D6049" s="3">
        <v>1.0</v>
      </c>
    </row>
    <row r="6050" ht="15.75" customHeight="1">
      <c r="A6050" s="1">
        <v>6499.0</v>
      </c>
      <c r="B6050" s="3" t="s">
        <v>5853</v>
      </c>
      <c r="C6050" s="3" t="str">
        <f>IFERROR(__xludf.DUMMYFUNCTION("GOOGLETRANSLATE(B6050,""id"",""en"")"),"['Service', 'Telkomsel', 'disappointing', 'buy', 'Package', 'Unlimeted', 'You', 'Tube', 'Walking', 'Current']")</f>
        <v>['Service', 'Telkomsel', 'disappointing', 'buy', 'Package', 'Unlimeted', 'You', 'Tube', 'Walking', 'Current']</v>
      </c>
      <c r="D6050" s="3">
        <v>1.0</v>
      </c>
    </row>
    <row r="6051" ht="15.75" customHeight="1">
      <c r="A6051" s="1">
        <v>6500.0</v>
      </c>
      <c r="B6051" s="3" t="s">
        <v>5854</v>
      </c>
      <c r="C6051" s="3" t="str">
        <f>IFERROR(__xludf.DUMMYFUNCTION("GOOGLETRANSLATE(B6051,""id"",""en"")"),"['Not bad', 'signal', 'ugly']")</f>
        <v>['Not bad', 'signal', 'ugly']</v>
      </c>
      <c r="D6051" s="3">
        <v>4.0</v>
      </c>
    </row>
    <row r="6052" ht="15.75" customHeight="1">
      <c r="A6052" s="1">
        <v>6501.0</v>
      </c>
      <c r="B6052" s="3" t="s">
        <v>5855</v>
      </c>
      <c r="C6052" s="3" t="str">
        <f>IFERROR(__xludf.DUMMYFUNCTION("GOOGLETRANSLATE(B6052,""id"",""en"")"),"['Package', 'Combonya', 'expensive', 'fast', 'run out', 'quota', 'sprti']")</f>
        <v>['Package', 'Combonya', 'expensive', 'fast', 'run out', 'quota', 'sprti']</v>
      </c>
      <c r="D6052" s="3">
        <v>1.0</v>
      </c>
    </row>
    <row r="6053" ht="15.75" customHeight="1">
      <c r="A6053" s="1">
        <v>6502.0</v>
      </c>
      <c r="B6053" s="3" t="s">
        <v>5856</v>
      </c>
      <c r="C6053" s="3" t="str">
        <f>IFERROR(__xludf.DUMMYFUNCTION("GOOGLETRANSLATE(B6053,""id"",""en"")"),"['Telkomsel', 'bad', 'its network', 'signal', 'please', 'fix', '']")</f>
        <v>['Telkomsel', 'bad', 'its network', 'signal', 'please', 'fix', '']</v>
      </c>
      <c r="D6053" s="3">
        <v>2.0</v>
      </c>
    </row>
    <row r="6054" ht="15.75" customHeight="1">
      <c r="A6054" s="1">
        <v>6503.0</v>
      </c>
      <c r="B6054" s="3" t="s">
        <v>5857</v>
      </c>
      <c r="C6054" s="3" t="str">
        <f>IFERROR(__xludf.DUMMYFUNCTION("GOOGLETRANSLATE(B6054,""id"",""en"")"),"['Please', 'buy', 'pulse', 'for', 'check', 'MyTelkomsel', 'pulse', 'left', 'he mean', ""]")</f>
        <v>['Please', 'buy', 'pulse', 'for', 'check', 'MyTelkomsel', 'pulse', 'left', 'he mean', "]</v>
      </c>
      <c r="D6054" s="3">
        <v>1.0</v>
      </c>
    </row>
    <row r="6055" ht="15.75" customHeight="1">
      <c r="A6055" s="1">
        <v>6505.0</v>
      </c>
      <c r="B6055" s="3" t="s">
        <v>5858</v>
      </c>
      <c r="C6055" s="3" t="str">
        <f>IFERROR(__xludf.DUMMYFUNCTION("GOOGLETRANSLATE(B6055,""id"",""en"")"),"['Price', 'Quota', 'Ride', 'Mulu', 'Quality', 'Ride', 'Network', 'Internet', 'Peak', 'Bogor', 'Rich', 'Signal', ' Edge ',' Price ',' Network ',' Want ',' Change ',' Card ',' ']")</f>
        <v>['Price', 'Quota', 'Ride', 'Mulu', 'Quality', 'Ride', 'Network', 'Internet', 'Peak', 'Bogor', 'Rich', 'Signal', ' Edge ',' Price ',' Network ',' Want ',' Change ',' Card ',' ']</v>
      </c>
      <c r="D6055" s="3">
        <v>1.0</v>
      </c>
    </row>
    <row r="6056" ht="15.75" customHeight="1">
      <c r="A6056" s="1">
        <v>6506.0</v>
      </c>
      <c r="B6056" s="3" t="s">
        <v>5859</v>
      </c>
      <c r="C6056" s="3" t="str">
        <f>IFERROR(__xludf.DUMMYFUNCTION("GOOGLETRANSLATE(B6056,""id"",""en"")"),"['service', 'serve', 'friendly', 'hope', 'in the future', ""]")</f>
        <v>['service', 'serve', 'friendly', 'hope', 'in the future', "]</v>
      </c>
      <c r="D6056" s="3">
        <v>5.0</v>
      </c>
    </row>
    <row r="6057" ht="15.75" customHeight="1">
      <c r="A6057" s="1">
        <v>6507.0</v>
      </c>
      <c r="B6057" s="3" t="s">
        <v>2291</v>
      </c>
      <c r="C6057" s="3" t="str">
        <f>IFERROR(__xludf.DUMMYFUNCTION("GOOGLETRANSLATE(B6057,""id"",""en"")"),"['Network', 'fix']")</f>
        <v>['Network', 'fix']</v>
      </c>
      <c r="D6057" s="3">
        <v>1.0</v>
      </c>
    </row>
    <row r="6058" ht="15.75" customHeight="1">
      <c r="A6058" s="1">
        <v>6509.0</v>
      </c>
      <c r="B6058" s="3" t="s">
        <v>5860</v>
      </c>
      <c r="C6058" s="3" t="str">
        <f>IFERROR(__xludf.DUMMYFUNCTION("GOOGLETRANSLATE(B6058,""id"",""en"")"),"['thank you', 'signal']")</f>
        <v>['thank you', 'signal']</v>
      </c>
      <c r="D6058" s="3">
        <v>5.0</v>
      </c>
    </row>
    <row r="6059" ht="15.75" customHeight="1">
      <c r="A6059" s="1">
        <v>6510.0</v>
      </c>
      <c r="B6059" s="3" t="s">
        <v>5861</v>
      </c>
      <c r="C6059" s="3" t="str">
        <f>IFERROR(__xludf.DUMMYFUNCTION("GOOGLETRANSLATE(B6059,""id"",""en"")"),"['difficult', 'buy', 'Package', 'MyTelkomsel', 'Disruption', 'Stop', 'Telkomsel', 'Please', 'Telkomsel', 'Propesional']")</f>
        <v>['difficult', 'buy', 'Package', 'MyTelkomsel', 'Disruption', 'Stop', 'Telkomsel', 'Please', 'Telkomsel', 'Propesional']</v>
      </c>
      <c r="D6059" s="3">
        <v>2.0</v>
      </c>
    </row>
    <row r="6060" ht="15.75" customHeight="1">
      <c r="A6060" s="1">
        <v>6511.0</v>
      </c>
      <c r="B6060" s="3" t="s">
        <v>5862</v>
      </c>
      <c r="C6060" s="3" t="str">
        <f>IFERROR(__xludf.DUMMYFUNCTION("GOOGLETRANSLATE(B6060,""id"",""en"")"),"['Lottery', 'Exchange', 'Points', 'Balance', 'Link', 'Ajah']")</f>
        <v>['Lottery', 'Exchange', 'Points', 'Balance', 'Link', 'Ajah']</v>
      </c>
      <c r="D6060" s="3">
        <v>2.0</v>
      </c>
    </row>
    <row r="6061" ht="15.75" customHeight="1">
      <c r="A6061" s="1">
        <v>6512.0</v>
      </c>
      <c r="B6061" s="3" t="s">
        <v>5863</v>
      </c>
      <c r="C6061" s="3" t="str">
        <f>IFERROR(__xludf.DUMMYFUNCTION("GOOGLETRANSLATE(B6061,""id"",""en"")"),"['users',' Telkomsel ',' users', 'Bentar', 'Good', 'ugly', 'quality', 'signal', 'network', 'difficult', 'rain', 'a little', ' ',' leg ',' price ',' expensive ',' believe ',' Telkomsel ',' development ',' user ',' loyal ',' moved ',' card ',' user ',' loya"&amp;"l ' , 'disappointed', '']")</f>
        <v>['users',' Telkomsel ',' users', 'Bentar', 'Good', 'ugly', 'quality', 'signal', 'network', 'difficult', 'rain', 'a little', ' ',' leg ',' price ',' expensive ',' believe ',' Telkomsel ',' development ',' user ',' loyal ',' moved ',' card ',' user ',' loyal ' , 'disappointed', '']</v>
      </c>
      <c r="D6061" s="3">
        <v>1.0</v>
      </c>
    </row>
    <row r="6062" ht="15.75" customHeight="1">
      <c r="A6062" s="1">
        <v>6514.0</v>
      </c>
      <c r="B6062" s="3" t="s">
        <v>5864</v>
      </c>
      <c r="C6062" s="3" t="str">
        <f>IFERROR(__xludf.DUMMYFUNCTION("GOOGLETRANSLATE(B6062,""id"",""en"")"),"['Unlimited', 'intention', 'Kasi', 'Bonus',' Mending ',' Open ',' Application ',' Suggest ',' Leet ',' Severe ',' Position ',' City ',' Telkomsel ',' pay ',' owe ',' work ']")</f>
        <v>['Unlimited', 'intention', 'Kasi', 'Bonus',' Mending ',' Open ',' Application ',' Suggest ',' Leet ',' Severe ',' Position ',' City ',' Telkomsel ',' pay ',' owe ',' work ']</v>
      </c>
      <c r="D6062" s="3">
        <v>1.0</v>
      </c>
    </row>
    <row r="6063" ht="15.75" customHeight="1">
      <c r="A6063" s="1">
        <v>6515.0</v>
      </c>
      <c r="B6063" s="3" t="s">
        <v>5865</v>
      </c>
      <c r="C6063" s="3" t="str">
        <f>IFERROR(__xludf.DUMMYFUNCTION("GOOGLETRANSLATE(B6063,""id"",""en"")"),"['oath', 'network', 'lag', 'really', 'not', 'recommended', 'buy', 'card', 'telkom', 'pulse', 'stolen', 'Hadehh', ' UDH ',' GES ',' Mending ',' Change ',' Card ',' Klean ',' Blood ']")</f>
        <v>['oath', 'network', 'lag', 'really', 'not', 'recommended', 'buy', 'card', 'telkom', 'pulse', 'stolen', 'Hadehh', ' UDH ',' GES ',' Mending ',' Change ',' Card ',' Klean ',' Blood ']</v>
      </c>
      <c r="D6063" s="3">
        <v>1.0</v>
      </c>
    </row>
    <row r="6064" ht="15.75" customHeight="1">
      <c r="A6064" s="1">
        <v>6516.0</v>
      </c>
      <c r="B6064" s="3" t="s">
        <v>5866</v>
      </c>
      <c r="C6064" s="3" t="str">
        <f>IFERROR(__xludf.DUMMYFUNCTION("GOOGLETRANSLATE(B6064,""id"",""en"")"),"['Mantab', 'Except', 'Price', 'Policy', 'Applied']")</f>
        <v>['Mantab', 'Except', 'Price', 'Policy', 'Applied']</v>
      </c>
      <c r="D6064" s="3">
        <v>4.0</v>
      </c>
    </row>
    <row r="6065" ht="15.75" customHeight="1">
      <c r="A6065" s="1">
        <v>6517.0</v>
      </c>
      <c r="B6065" s="3" t="s">
        <v>5867</v>
      </c>
      <c r="C6065" s="3" t="str">
        <f>IFERROR(__xludf.DUMMYFUNCTION("GOOGLETRANSLATE(B6065,""id"",""en"")"),"['Network', 'missing', 'pulse', 'abis', '']")</f>
        <v>['Network', 'missing', 'pulse', 'abis', '']</v>
      </c>
      <c r="D6065" s="3">
        <v>1.0</v>
      </c>
    </row>
    <row r="6066" ht="15.75" customHeight="1">
      <c r="A6066" s="1">
        <v>6518.0</v>
      </c>
      <c r="B6066" s="3" t="s">
        <v>5868</v>
      </c>
      <c r="C6066" s="3" t="str">
        <f>IFERROR(__xludf.DUMMYFUNCTION("GOOGLETRANSLATE(B6066,""id"",""en"")"),"['Speed', 'downhill', 'yaa']")</f>
        <v>['Speed', 'downhill', 'yaa']</v>
      </c>
      <c r="D6066" s="3">
        <v>3.0</v>
      </c>
    </row>
    <row r="6067" ht="15.75" customHeight="1">
      <c r="A6067" s="1">
        <v>6519.0</v>
      </c>
      <c r="B6067" s="3" t="s">
        <v>5869</v>
      </c>
      <c r="C6067" s="3" t="str">
        <f>IFERROR(__xludf.DUMMYFUNCTION("GOOGLETRANSLATE(B6067,""id"",""en"")"),"['Cool', 'fill', 'pulses', 'enter', 'lazy']")</f>
        <v>['Cool', 'fill', 'pulses', 'enter', 'lazy']</v>
      </c>
      <c r="D6067" s="3">
        <v>1.0</v>
      </c>
    </row>
    <row r="6068" ht="15.75" customHeight="1">
      <c r="A6068" s="1">
        <v>6520.0</v>
      </c>
      <c r="B6068" s="3" t="s">
        <v>5870</v>
      </c>
      <c r="C6068" s="3" t="str">
        <f>IFERROR(__xludf.DUMMYFUNCTION("GOOGLETRANSLATE(B6068,""id"",""en"")"),"['promo', 'magnitude', 'boss', '']")</f>
        <v>['promo', 'magnitude', 'boss', '']</v>
      </c>
      <c r="D6068" s="3">
        <v>5.0</v>
      </c>
    </row>
    <row r="6069" ht="15.75" customHeight="1">
      <c r="A6069" s="1">
        <v>6521.0</v>
      </c>
      <c r="B6069" s="3" t="s">
        <v>2180</v>
      </c>
      <c r="C6069" s="3" t="str">
        <f>IFERROR(__xludf.DUMMYFUNCTION("GOOGLETRANSLATE(B6069,""id"",""en"")"),"['Good', 'Network']")</f>
        <v>['Good', 'Network']</v>
      </c>
      <c r="D6069" s="3">
        <v>5.0</v>
      </c>
    </row>
    <row r="6070" ht="15.75" customHeight="1">
      <c r="A6070" s="1">
        <v>6522.0</v>
      </c>
      <c r="B6070" s="3" t="s">
        <v>5871</v>
      </c>
      <c r="C6070" s="3" t="str">
        <f>IFERROR(__xludf.DUMMYFUNCTION("GOOGLETRANSLATE(B6070,""id"",""en"")"),"['Disappointed', 'buy', 'package', 'price', 'Not bad', 'expensive', 'network', 'card', 'support in', 'loss',' cost ',' price ',' Buy ',' Paketan ',' Expensive ',' Use ',' Card ',' Telkomsel ',' Price ',' Affordable ',' Snowing ',' Income ',' Losses', 'Qua"&amp;"lity', 'BERIK' , '']")</f>
        <v>['Disappointed', 'buy', 'package', 'price', 'Not bad', 'expensive', 'network', 'card', 'support in', 'loss',' cost ',' price ',' Buy ',' Paketan ',' Expensive ',' Use ',' Card ',' Telkomsel ',' Price ',' Affordable ',' Snowing ',' Income ',' Losses', 'Quality', 'BERIK' , '']</v>
      </c>
      <c r="D6070" s="3">
        <v>1.0</v>
      </c>
    </row>
    <row r="6071" ht="15.75" customHeight="1">
      <c r="A6071" s="1">
        <v>6524.0</v>
      </c>
      <c r="B6071" s="3" t="s">
        <v>5872</v>
      </c>
      <c r="C6071" s="3" t="str">
        <f>IFERROR(__xludf.DUMMYFUNCTION("GOOGLETRANSLATE(B6071,""id"",""en"")"),"['WOI', 'Fix', 'The application', 'Dego', 'Check', 'Pulse', 'Persusually', 'Direct', 'Option', 'Check', 'Application', ' Loading ',' Mulu ',' WiFi ',' Telkomsel ',' Assistant ',' Menu ',' Check ',' Credit ',' Step ',' Website ',' Meeting ',' Fill ',' Cred"&amp;"it ' , 'Dipake', 'drained', 'Sumpai', 'Kowe', 'worker', 'Telkomsel', 'teapot', 'boss',' sampek ',' employees', 'zinc', 'involved', ' drainage ',' pulses', 'diarrhea', 'age', 'life', ""]")</f>
        <v>['WOI', 'Fix', 'The application', 'Dego', 'Check', 'Pulse', 'Persusually', 'Direct', 'Option', 'Check', 'Application', ' Loading ',' Mulu ',' WiFi ',' Telkomsel ',' Assistant ',' Menu ',' Check ',' Credit ',' Step ',' Website ',' Meeting ',' Fill ',' Credit ' , 'Dipake', 'drained', 'Sumpai', 'Kowe', 'worker', 'Telkomsel', 'teapot', 'boss',' sampek ',' employees', 'zinc', 'involved', ' drainage ',' pulses', 'diarrhea', 'age', 'life', "]</v>
      </c>
      <c r="D6071" s="3">
        <v>1.0</v>
      </c>
    </row>
    <row r="6072" ht="15.75" customHeight="1">
      <c r="A6072" s="1">
        <v>6525.0</v>
      </c>
      <c r="B6072" s="3" t="s">
        <v>5873</v>
      </c>
      <c r="C6072" s="3" t="str">
        <f>IFERROR(__xludf.DUMMYFUNCTION("GOOGLETRANSLATE(B6072,""id"",""en"")"),"['Package', 'combo', 'telponan', 'please', 'raise', 'limit', ""]")</f>
        <v>['Package', 'combo', 'telponan', 'please', 'raise', 'limit', "]</v>
      </c>
      <c r="D6072" s="3">
        <v>3.0</v>
      </c>
    </row>
    <row r="6073" ht="15.75" customHeight="1">
      <c r="A6073" s="1">
        <v>6526.0</v>
      </c>
      <c r="B6073" s="3" t="s">
        <v>5874</v>
      </c>
      <c r="C6073" s="3" t="str">
        <f>IFERROR(__xludf.DUMMYFUNCTION("GOOGLETRANSLATE(B6073,""id"",""en"")"),"['already', 'price', 'ride', 'signal', 'BURIK']")</f>
        <v>['already', 'price', 'ride', 'signal', 'BURIK']</v>
      </c>
      <c r="D6073" s="3">
        <v>1.0</v>
      </c>
    </row>
    <row r="6074" ht="15.75" customHeight="1">
      <c r="A6074" s="1">
        <v>6527.0</v>
      </c>
      <c r="B6074" s="3" t="s">
        <v>3942</v>
      </c>
      <c r="C6074" s="3" t="str">
        <f>IFERROR(__xludf.DUMMYFUNCTION("GOOGLETRANSLATE(B6074,""id"",""en"")"),"['', 'star']")</f>
        <v>['', 'star']</v>
      </c>
      <c r="D6074" s="3">
        <v>4.0</v>
      </c>
    </row>
    <row r="6075" ht="15.75" customHeight="1">
      <c r="A6075" s="1">
        <v>6528.0</v>
      </c>
      <c r="B6075" s="3" t="s">
        <v>5875</v>
      </c>
      <c r="C6075" s="3" t="str">
        <f>IFERROR(__xludf.DUMMYFUNCTION("GOOGLETRANSLATE(B6075,""id"",""en"")"),"['Telkomsel', 'Network', 'Leet', '']")</f>
        <v>['Telkomsel', 'Network', 'Leet', '']</v>
      </c>
      <c r="D6075" s="3">
        <v>1.0</v>
      </c>
    </row>
    <row r="6076" ht="15.75" customHeight="1">
      <c r="A6076" s="1">
        <v>6529.0</v>
      </c>
      <c r="B6076" s="3" t="s">
        <v>5876</v>
      </c>
      <c r="C6076" s="3" t="str">
        <f>IFERROR(__xludf.DUMMYFUNCTION("GOOGLETRANSLATE(B6076,""id"",""en"")"),"['Good', 'informig']")</f>
        <v>['Good', 'informig']</v>
      </c>
      <c r="D6076" s="3">
        <v>5.0</v>
      </c>
    </row>
    <row r="6077" ht="15.75" customHeight="1">
      <c r="A6077" s="1">
        <v>6530.0</v>
      </c>
      <c r="B6077" s="3" t="s">
        <v>5877</v>
      </c>
      <c r="C6077" s="3" t="str">
        <f>IFERROR(__xludf.DUMMYFUNCTION("GOOGLETRANSLATE(B6077,""id"",""en"")"),"['expensive', 'doang', 'pulp']")</f>
        <v>['expensive', 'doang', 'pulp']</v>
      </c>
      <c r="D6077" s="3">
        <v>1.0</v>
      </c>
    </row>
    <row r="6078" ht="15.75" customHeight="1">
      <c r="A6078" s="1">
        <v>6531.0</v>
      </c>
      <c r="B6078" s="3" t="s">
        <v>5878</v>
      </c>
      <c r="C6078" s="3" t="str">
        <f>IFERROR(__xludf.DUMMYFUNCTION("GOOGLETRANSLATE(B6078,""id"",""en"")"),"['hope', 'hopefully', 'get', 'gift']")</f>
        <v>['hope', 'hopefully', 'get', 'gift']</v>
      </c>
      <c r="D6078" s="3">
        <v>5.0</v>
      </c>
    </row>
    <row r="6079" ht="15.75" customHeight="1">
      <c r="A6079" s="1">
        <v>6532.0</v>
      </c>
      <c r="B6079" s="3" t="s">
        <v>5879</v>
      </c>
      <c r="C6079" s="3" t="str">
        <f>IFERROR(__xludf.DUMMYFUNCTION("GOOGLETRANSLATE(B6079,""id"",""en"")"),"['Program', 'interesting']")</f>
        <v>['Program', 'interesting']</v>
      </c>
      <c r="D6079" s="3">
        <v>4.0</v>
      </c>
    </row>
    <row r="6080" ht="15.75" customHeight="1">
      <c r="A6080" s="1">
        <v>6533.0</v>
      </c>
      <c r="B6080" s="3" t="s">
        <v>5880</v>
      </c>
      <c r="C6080" s="3" t="str">
        <f>IFERROR(__xludf.DUMMYFUNCTION("GOOGLETRANSLATE(B6080,""id"",""en"")"),"['disappointing', 'buy', 'quota', 'reason', 'pulse', 'pulses', 'credit', 'run out', 'internet', 'slow', 'really', '']")</f>
        <v>['disappointing', 'buy', 'quota', 'reason', 'pulse', 'pulses', 'credit', 'run out', 'internet', 'slow', 'really', '']</v>
      </c>
      <c r="D6080" s="3">
        <v>1.0</v>
      </c>
    </row>
    <row r="6081" ht="15.75" customHeight="1">
      <c r="A6081" s="1">
        <v>6534.0</v>
      </c>
      <c r="B6081" s="3" t="s">
        <v>5881</v>
      </c>
      <c r="C6081" s="3" t="str">
        <f>IFERROR(__xludf.DUMMYFUNCTION("GOOGLETRANSLATE(B6081,""id"",""en"")"),"['easy', 'buy', 'quota', '']")</f>
        <v>['easy', 'buy', 'quota', '']</v>
      </c>
      <c r="D6081" s="3">
        <v>4.0</v>
      </c>
    </row>
    <row r="6082" ht="15.75" customHeight="1">
      <c r="A6082" s="1">
        <v>6536.0</v>
      </c>
      <c r="B6082" s="3" t="s">
        <v>5882</v>
      </c>
      <c r="C6082" s="3" t="str">
        <f>IFERROR(__xludf.DUMMYFUNCTION("GOOGLETRANSLATE(B6082,""id"",""en"")"),"['Bigss', 'Bangett', 'Likeaa']")</f>
        <v>['Bigss', 'Bangett', 'Likeaa']</v>
      </c>
      <c r="D6082" s="3">
        <v>5.0</v>
      </c>
    </row>
    <row r="6083" ht="15.75" customHeight="1">
      <c r="A6083" s="1">
        <v>6537.0</v>
      </c>
      <c r="B6083" s="3" t="s">
        <v>5883</v>
      </c>
      <c r="C6083" s="3" t="str">
        <f>IFERROR(__xludf.DUMMYFUNCTION("GOOGLETRANSLATE(B6083,""id"",""en"")"),"['Telkomsel', 'Consistent', 'Serving', 'Customer', 'Sumatra', 'Comfortable', 'Network', 'Internet', 'Ancurrrrrr']")</f>
        <v>['Telkomsel', 'Consistent', 'Serving', 'Customer', 'Sumatra', 'Comfortable', 'Network', 'Internet', 'Ancurrrrrr']</v>
      </c>
      <c r="D6083" s="3">
        <v>1.0</v>
      </c>
    </row>
    <row r="6084" ht="15.75" customHeight="1">
      <c r="A6084" s="1">
        <v>6538.0</v>
      </c>
      <c r="B6084" s="3" t="s">
        <v>5884</v>
      </c>
      <c r="C6084" s="3" t="str">
        <f>IFERROR(__xludf.DUMMYFUNCTION("GOOGLETRANSLATE(B6084,""id"",""en"")"),"['signal', 'ugly', 'package', 'expensive', 'signal', 'ugly']")</f>
        <v>['signal', 'ugly', 'package', 'expensive', 'signal', 'ugly']</v>
      </c>
      <c r="D6084" s="3">
        <v>1.0</v>
      </c>
    </row>
    <row r="6085" ht="15.75" customHeight="1">
      <c r="A6085" s="1">
        <v>6539.0</v>
      </c>
      <c r="B6085" s="3" t="s">
        <v>5885</v>
      </c>
      <c r="C6085" s="3" t="str">
        <f>IFERROR(__xludf.DUMMYFUNCTION("GOOGLETRANSLATE(B6085,""id"",""en"")"),"['Help', 'Thanks']")</f>
        <v>['Help', 'Thanks']</v>
      </c>
      <c r="D6085" s="3">
        <v>5.0</v>
      </c>
    </row>
    <row r="6086" ht="15.75" customHeight="1">
      <c r="A6086" s="1">
        <v>6540.0</v>
      </c>
      <c r="B6086" s="3" t="s">
        <v>5886</v>
      </c>
      <c r="C6086" s="3" t="str">
        <f>IFERROR(__xludf.DUMMYFUNCTION("GOOGLETRANSLATE(B6086,""id"",""en"")"),"['Love', 'Bintang', 'Direct', '']")</f>
        <v>['Love', 'Bintang', 'Direct', '']</v>
      </c>
      <c r="D6086" s="3">
        <v>5.0</v>
      </c>
    </row>
    <row r="6087" ht="15.75" customHeight="1">
      <c r="A6087" s="1">
        <v>6541.0</v>
      </c>
      <c r="B6087" s="3" t="s">
        <v>5887</v>
      </c>
      <c r="C6087" s="3" t="str">
        <f>IFERROR(__xludf.DUMMYFUNCTION("GOOGLETRANSLATE(B6087,""id"",""en"")"),"['Main', 'game', 'signal', 'like', 'missing']")</f>
        <v>['Main', 'game', 'signal', 'like', 'missing']</v>
      </c>
      <c r="D6087" s="3">
        <v>1.0</v>
      </c>
    </row>
    <row r="6088" ht="15.75" customHeight="1">
      <c r="A6088" s="1">
        <v>6542.0</v>
      </c>
      <c r="B6088" s="3" t="s">
        <v>4628</v>
      </c>
      <c r="C6088" s="3" t="str">
        <f>IFERROR(__xludf.DUMMYFUNCTION("GOOGLETRANSLATE(B6088,""id"",""en"")"),"['Help', 'pulse', 'quota']")</f>
        <v>['Help', 'pulse', 'quota']</v>
      </c>
      <c r="D6088" s="3">
        <v>5.0</v>
      </c>
    </row>
    <row r="6089" ht="15.75" customHeight="1">
      <c r="A6089" s="1">
        <v>6543.0</v>
      </c>
      <c r="B6089" s="3" t="s">
        <v>5888</v>
      </c>
      <c r="C6089" s="3" t="str">
        <f>IFERROR(__xludf.DUMMYFUNCTION("GOOGLETRANSLATE(B6089,""id"",""en"")"),"['Thank you', 'Support']")</f>
        <v>['Thank you', 'Support']</v>
      </c>
      <c r="D6089" s="3">
        <v>5.0</v>
      </c>
    </row>
    <row r="6090" ht="15.75" customHeight="1">
      <c r="A6090" s="1">
        <v>6544.0</v>
      </c>
      <c r="B6090" s="3" t="s">
        <v>890</v>
      </c>
      <c r="C6090" s="3" t="str">
        <f>IFERROR(__xludf.DUMMYFUNCTION("GOOGLETRANSLATE(B6090,""id"",""en"")"),"['good', '']")</f>
        <v>['good', '']</v>
      </c>
      <c r="D6090" s="3">
        <v>5.0</v>
      </c>
    </row>
    <row r="6091" ht="15.75" customHeight="1">
      <c r="A6091" s="1">
        <v>6545.0</v>
      </c>
      <c r="B6091" s="3" t="s">
        <v>5889</v>
      </c>
      <c r="C6091" s="3" t="str">
        <f>IFERROR(__xludf.DUMMYFUNCTION("GOOGLETRANSLATE(B6091,""id"",""en"")"),"['Kouta', 'durable', 'price', 'affordable', 'signal', 'strong', 'fast', '']")</f>
        <v>['Kouta', 'durable', 'price', 'affordable', 'signal', 'strong', 'fast', '']</v>
      </c>
      <c r="D6091" s="3">
        <v>5.0</v>
      </c>
    </row>
    <row r="6092" ht="15.75" customHeight="1">
      <c r="A6092" s="1">
        <v>6546.0</v>
      </c>
      <c r="B6092" s="3" t="s">
        <v>5890</v>
      </c>
      <c r="C6092" s="3" t="str">
        <f>IFERROR(__xludf.DUMMYFUNCTION("GOOGLETRANSLATE(B6092,""id"",""en"")"),"['cave', 'buy', 'kouta', 'lapse', 'youtube', 'kouta', 'mainly', 'serot', 'wktu', 'watch', 'youtube', 'please', ' repair', '']")</f>
        <v>['cave', 'buy', 'kouta', 'lapse', 'youtube', 'kouta', 'mainly', 'serot', 'wktu', 'watch', 'youtube', 'please', ' repair', '']</v>
      </c>
      <c r="D6092" s="3">
        <v>5.0</v>
      </c>
    </row>
    <row r="6093" ht="15.75" customHeight="1">
      <c r="A6093" s="1">
        <v>6548.0</v>
      </c>
      <c r="B6093" s="3" t="s">
        <v>5891</v>
      </c>
      <c r="C6093" s="3" t="str">
        <f>IFERROR(__xludf.DUMMYFUNCTION("GOOGLETRANSLATE(B6093,""id"",""en"")"),"['Good', 'contents', 'complete']")</f>
        <v>['Good', 'contents', 'complete']</v>
      </c>
      <c r="D6093" s="3">
        <v>5.0</v>
      </c>
    </row>
    <row r="6094" ht="15.75" customHeight="1">
      <c r="A6094" s="1">
        <v>6549.0</v>
      </c>
      <c r="B6094" s="3" t="s">
        <v>5892</v>
      </c>
      <c r="C6094" s="3" t="str">
        <f>IFERROR(__xludf.DUMMYFUNCTION("GOOGLETRANSLATE(B6094,""id"",""en"")"),"['buy', 'package', 'promo', 'RbU', 'GB', 'quota', 'money', 'missing', ""]")</f>
        <v>['buy', 'package', 'promo', 'RbU', 'GB', 'quota', 'money', 'missing', "]</v>
      </c>
      <c r="D6094" s="3">
        <v>1.0</v>
      </c>
    </row>
    <row r="6095" ht="15.75" customHeight="1">
      <c r="A6095" s="1">
        <v>6550.0</v>
      </c>
      <c r="B6095" s="3" t="s">
        <v>2145</v>
      </c>
      <c r="C6095" s="3" t="str">
        <f>IFERROR(__xludf.DUMMYFUNCTION("GOOGLETRANSLATE(B6095,""id"",""en"")"),"['Package', 'Data', 'expensive', '']")</f>
        <v>['Package', 'Data', 'expensive', '']</v>
      </c>
      <c r="D6095" s="3">
        <v>4.0</v>
      </c>
    </row>
    <row r="6096" ht="15.75" customHeight="1">
      <c r="A6096" s="1">
        <v>6551.0</v>
      </c>
      <c r="B6096" s="3" t="s">
        <v>4797</v>
      </c>
      <c r="C6096" s="3" t="str">
        <f>IFERROR(__xludf.DUMMYFUNCTION("GOOGLETRANSLATE(B6096,""id"",""en"")"),"['I hope this helps']")</f>
        <v>['I hope this helps']</v>
      </c>
      <c r="D6096" s="3">
        <v>5.0</v>
      </c>
    </row>
    <row r="6097" ht="15.75" customHeight="1">
      <c r="A6097" s="1">
        <v>6552.0</v>
      </c>
      <c r="B6097" s="3" t="s">
        <v>5893</v>
      </c>
      <c r="C6097" s="3" t="str">
        <f>IFERROR(__xludf.DUMMYFUNCTION("GOOGLETRANSLATE(B6097,""id"",""en"")"),"['', 'Telkomsel', 'best', 'help', 'transaction']")</f>
        <v>['', 'Telkomsel', 'best', 'help', 'transaction']</v>
      </c>
      <c r="D6097" s="3">
        <v>5.0</v>
      </c>
    </row>
    <row r="6098" ht="15.75" customHeight="1">
      <c r="A6098" s="1">
        <v>6553.0</v>
      </c>
      <c r="B6098" s="3" t="s">
        <v>5894</v>
      </c>
      <c r="C6098" s="3" t="str">
        <f>IFERROR(__xludf.DUMMYFUNCTION("GOOGLETRANSLATE(B6098,""id"",""en"")"),"['Sngat', 'bad']")</f>
        <v>['Sngat', 'bad']</v>
      </c>
      <c r="D6098" s="3">
        <v>1.0</v>
      </c>
    </row>
    <row r="6099" ht="15.75" customHeight="1">
      <c r="A6099" s="1">
        <v>6554.0</v>
      </c>
      <c r="B6099" s="3" t="s">
        <v>5895</v>
      </c>
      <c r="C6099" s="3" t="str">
        <f>IFERROR(__xludf.DUMMYFUNCTION("GOOGLETRANSLATE(B6099,""id"",""en"")"),"['Severe', 'Severe', 'Credit', 'Khatas', 'Telkomsel', 'PDHL', 'Package', 'Data', 'Off', 'MAH', 'NAMANY', 'Robbery']")</f>
        <v>['Severe', 'Severe', 'Credit', 'Khatas', 'Telkomsel', 'PDHL', 'Package', 'Data', 'Off', 'MAH', 'NAMANY', 'Robbery']</v>
      </c>
      <c r="D6099" s="3">
        <v>1.0</v>
      </c>
    </row>
    <row r="6100" ht="15.75" customHeight="1">
      <c r="A6100" s="1">
        <v>6555.0</v>
      </c>
      <c r="B6100" s="3" t="s">
        <v>5896</v>
      </c>
      <c r="C6100" s="3" t="str">
        <f>IFERROR(__xludf.DUMMYFUNCTION("GOOGLETRANSLATE(B6100,""id"",""en"")"),"['Telkomsel', 'Ancur', 'bug', 'Jga', 'Disreation', 'miss', 'pls', 'regret', 'aing', 'users', 'Telkomsel', 'now' aing ',' stop ',' Telkomsel ']")</f>
        <v>['Telkomsel', 'Ancur', 'bug', 'Jga', 'Disreation', 'miss', 'pls', 'regret', 'aing', 'users', 'Telkomsel', 'now' aing ',' stop ',' Telkomsel ']</v>
      </c>
      <c r="D6100" s="3">
        <v>1.0</v>
      </c>
    </row>
    <row r="6101" ht="15.75" customHeight="1">
      <c r="A6101" s="1">
        <v>6557.0</v>
      </c>
      <c r="B6101" s="3" t="s">
        <v>5897</v>
      </c>
      <c r="C6101" s="3" t="str">
        <f>IFERROR(__xludf.DUMMYFUNCTION("GOOGLETRANSLATE(B6101,""id"",""en"")"),"['The application', 'easy']")</f>
        <v>['The application', 'easy']</v>
      </c>
      <c r="D6101" s="3">
        <v>5.0</v>
      </c>
    </row>
    <row r="6102" ht="15.75" customHeight="1">
      <c r="A6102" s="1">
        <v>6559.0</v>
      </c>
      <c r="B6102" s="3" t="s">
        <v>5898</v>
      </c>
      <c r="C6102" s="3" t="str">
        <f>IFERROR(__xludf.DUMMYFUNCTION("GOOGLETRANSLATE(B6102,""id"",""en"")"),"['trash', 'kouta', 'doang', 'expensive', 'network', 'ilang', '']")</f>
        <v>['trash', 'kouta', 'doang', 'expensive', 'network', 'ilang', '']</v>
      </c>
      <c r="D6102" s="3">
        <v>1.0</v>
      </c>
    </row>
    <row r="6103" ht="15.75" customHeight="1">
      <c r="A6103" s="1">
        <v>6560.0</v>
      </c>
      <c r="B6103" s="3" t="s">
        <v>5899</v>
      </c>
      <c r="C6103" s="3" t="str">
        <f>IFERROR(__xludf.DUMMYFUNCTION("GOOGLETRANSLATE(B6103,""id"",""en"")"),"['expensive', 'doang', 'difficult', 'signal', 'jakpus', '']")</f>
        <v>['expensive', 'doang', 'difficult', 'signal', 'jakpus', '']</v>
      </c>
      <c r="D6103" s="3">
        <v>2.0</v>
      </c>
    </row>
    <row r="6104" ht="15.75" customHeight="1">
      <c r="A6104" s="1">
        <v>6562.0</v>
      </c>
      <c r="B6104" s="3" t="s">
        <v>5900</v>
      </c>
      <c r="C6104" s="3" t="str">
        <f>IFERROR(__xludf.DUMMYFUNCTION("GOOGLETRANSLATE(B6104,""id"",""en"")"),"['Service', 'Bad', 'Telkomsel', '']")</f>
        <v>['Service', 'Bad', 'Telkomsel', '']</v>
      </c>
      <c r="D6104" s="3">
        <v>1.0</v>
      </c>
    </row>
    <row r="6105" ht="15.75" customHeight="1">
      <c r="A6105" s="1">
        <v>6563.0</v>
      </c>
      <c r="B6105" s="3" t="s">
        <v>5901</v>
      </c>
      <c r="C6105" s="3" t="str">
        <f>IFERROR(__xludf.DUMMYFUNCTION("GOOGLETRANSLATE(B6105,""id"",""en"")"),"['users',' Telkomsel ',' backward ',' Telkomsel ',' network ',' rotten ',' really ',' kouta ',' expensive ',' signal ',' severe ',' blame ',' Customers ',' moved ',' provider ',' quality ',' Telkomsel ',' wasteful ',' signal ',' bad ',' amid "", 'city']")</f>
        <v>['users',' Telkomsel ',' backward ',' Telkomsel ',' network ',' rotten ',' really ',' kouta ',' expensive ',' signal ',' severe ',' blame ',' Customers ',' moved ',' provider ',' quality ',' Telkomsel ',' wasteful ',' signal ',' bad ',' amid ", 'city']</v>
      </c>
      <c r="D6105" s="3">
        <v>1.0</v>
      </c>
    </row>
    <row r="6106" ht="15.75" customHeight="1">
      <c r="A6106" s="1">
        <v>6564.0</v>
      </c>
      <c r="B6106" s="3" t="s">
        <v>5902</v>
      </c>
      <c r="C6106" s="3" t="str">
        <f>IFERROR(__xludf.DUMMYFUNCTION("GOOGLETRANSLATE(B6106,""id"",""en"")"),"['Application', 'Help', 'Cool']")</f>
        <v>['Application', 'Help', 'Cool']</v>
      </c>
      <c r="D6106" s="3">
        <v>5.0</v>
      </c>
    </row>
    <row r="6107" ht="15.75" customHeight="1">
      <c r="A6107" s="1">
        <v>6565.0</v>
      </c>
      <c r="B6107" s="3" t="s">
        <v>5903</v>
      </c>
      <c r="C6107" s="3" t="str">
        <f>IFERROR(__xludf.DUMMYFUNCTION("GOOGLETRANSLATE(B6107,""id"",""en"")"),"['Application', 'Bags']")</f>
        <v>['Application', 'Bags']</v>
      </c>
      <c r="D6107" s="3">
        <v>5.0</v>
      </c>
    </row>
    <row r="6108" ht="15.75" customHeight="1">
      <c r="A6108" s="1">
        <v>6566.0</v>
      </c>
      <c r="B6108" s="3" t="s">
        <v>5904</v>
      </c>
      <c r="C6108" s="3" t="str">
        <f>IFERROR(__xludf.DUMMYFUNCTION("GOOGLETRANSLATE(B6108,""id"",""en"")"),"['Hello', 'Sis',' Yesterday ',' Afternoon ',' Buy ',' Package ',' Price ',' thousand ',' PKET ',' Missing ',' Please ',' Mintak ',' Pnjellasan ']")</f>
        <v>['Hello', 'Sis',' Yesterday ',' Afternoon ',' Buy ',' Package ',' Price ',' thousand ',' PKET ',' Missing ',' Please ',' Mintak ',' Pnjellasan ']</v>
      </c>
      <c r="D6108" s="3">
        <v>2.0</v>
      </c>
    </row>
    <row r="6109" ht="15.75" customHeight="1">
      <c r="A6109" s="1">
        <v>6567.0</v>
      </c>
      <c r="B6109" s="3" t="s">
        <v>5905</v>
      </c>
      <c r="C6109" s="3" t="str">
        <f>IFERROR(__xludf.DUMMYFUNCTION("GOOGLETRANSLATE(B6109,""id"",""en"")"),"['Practical', 'Ribet']")</f>
        <v>['Practical', 'Ribet']</v>
      </c>
      <c r="D6109" s="3">
        <v>5.0</v>
      </c>
    </row>
    <row r="6110" ht="15.75" customHeight="1">
      <c r="A6110" s="1">
        <v>6568.0</v>
      </c>
      <c r="B6110" s="3" t="s">
        <v>5906</v>
      </c>
      <c r="C6110" s="3" t="str">
        <f>IFERROR(__xludf.DUMMYFUNCTION("GOOGLETRANSLATE(B6110,""id"",""en"")"),"['Current', 'internet']")</f>
        <v>['Current', 'internet']</v>
      </c>
      <c r="D6110" s="3">
        <v>5.0</v>
      </c>
    </row>
    <row r="6111" ht="15.75" customHeight="1">
      <c r="A6111" s="1">
        <v>6569.0</v>
      </c>
      <c r="B6111" s="3" t="s">
        <v>5907</v>
      </c>
      <c r="C6111" s="3" t="str">
        <f>IFERROR(__xludf.DUMMYFUNCTION("GOOGLETRANSLATE(B6111,""id"",""en"")"),"['pulse', 'run out', 'contents', 'data', 'pulse', 'main', 'run out', 'disappointed', 'Telkomsel', ""]")</f>
        <v>['pulse', 'run out', 'contents', 'data', 'pulse', 'main', 'run out', 'disappointed', 'Telkomsel', "]</v>
      </c>
      <c r="D6111" s="3">
        <v>1.0</v>
      </c>
    </row>
    <row r="6112" ht="15.75" customHeight="1">
      <c r="A6112" s="1">
        <v>6570.0</v>
      </c>
      <c r="B6112" s="3" t="s">
        <v>5908</v>
      </c>
      <c r="C6112" s="3" t="str">
        <f>IFERROR(__xludf.DUMMYFUNCTION("GOOGLETRANSLATE(B6112,""id"",""en"")"),"['Mantapz', 'Ribet']")</f>
        <v>['Mantapz', 'Ribet']</v>
      </c>
      <c r="D6112" s="3">
        <v>5.0</v>
      </c>
    </row>
    <row r="6113" ht="15.75" customHeight="1">
      <c r="A6113" s="1">
        <v>6571.0</v>
      </c>
      <c r="B6113" s="3" t="s">
        <v>5909</v>
      </c>
      <c r="C6113" s="3" t="str">
        <f>IFERROR(__xludf.DUMMYFUNCTION("GOOGLETRANSLATE(B6113,""id"",""en"")"),"['Disappointed', 'signal', 'stable', 'pulse', 'sumps', 'quota', 'tekom', 'telkom', 'ugly', 'service']")</f>
        <v>['Disappointed', 'signal', 'stable', 'pulse', 'sumps', 'quota', 'tekom', 'telkom', 'ugly', 'service']</v>
      </c>
      <c r="D6113" s="3">
        <v>1.0</v>
      </c>
    </row>
    <row r="6114" ht="15.75" customHeight="1">
      <c r="A6114" s="1">
        <v>6573.0</v>
      </c>
      <c r="B6114" s="3" t="s">
        <v>5910</v>
      </c>
      <c r="C6114" s="3" t="str">
        <f>IFERROR(__xludf.DUMMYFUNCTION("GOOGLETRANSLATE(B6114,""id"",""en"")"),"['quota', 'promo', 'good', 'cmn', 'dri', 'network', 'internet', 'lgi', 'play', 'game', 'cod', 'call', ' Duty ',' connection ',' disconnected ',' network ',' internet ',' Available ',' Xiaomi ',' Poco ',' quota ',' like ',' fill ',' Package ',' Gede ' , ''"&amp;"]")</f>
        <v>['quota', 'promo', 'good', 'cmn', 'dri', 'network', 'internet', 'lgi', 'play', 'game', 'cod', 'call', ' Duty ',' connection ',' disconnected ',' network ',' internet ',' Available ',' Xiaomi ',' Poco ',' quota ',' like ',' fill ',' Package ',' Gede ' , '']</v>
      </c>
      <c r="D6114" s="3">
        <v>3.0</v>
      </c>
    </row>
    <row r="6115" ht="15.75" customHeight="1">
      <c r="A6115" s="1">
        <v>6574.0</v>
      </c>
      <c r="B6115" s="3" t="s">
        <v>5911</v>
      </c>
      <c r="C6115" s="3" t="str">
        <f>IFERROR(__xludf.DUMMYFUNCTION("GOOGLETRANSLATE(B6115,""id"",""en"")"),"['Try', 'yaaa']")</f>
        <v>['Try', 'yaaa']</v>
      </c>
      <c r="D6115" s="3">
        <v>4.0</v>
      </c>
    </row>
    <row r="6116" ht="15.75" customHeight="1">
      <c r="A6116" s="1">
        <v>6575.0</v>
      </c>
      <c r="B6116" s="3" t="s">
        <v>5912</v>
      </c>
      <c r="C6116" s="3" t="str">
        <f>IFERROR(__xludf.DUMMYFUNCTION("GOOGLETRANSLATE(B6116,""id"",""en"")"),"['quota', 'multimedia', 'used', 'speed', 'network', 'move', 'network', 'slow', 'stay']")</f>
        <v>['quota', 'multimedia', 'used', 'speed', 'network', 'move', 'network', 'slow', 'stay']</v>
      </c>
      <c r="D6116" s="3">
        <v>1.0</v>
      </c>
    </row>
    <row r="6117" ht="15.75" customHeight="1">
      <c r="A6117" s="1">
        <v>6576.0</v>
      </c>
      <c r="B6117" s="3" t="s">
        <v>5913</v>
      </c>
      <c r="C6117" s="3" t="str">
        <f>IFERROR(__xludf.DUMMYFUNCTION("GOOGLETRANSLATE(B6117,""id"",""en"")"),"['signal', 'slow', 'how', 'slow', 'signal', 'Telkomsel', 'buy', 'kouta']")</f>
        <v>['signal', 'slow', 'how', 'slow', 'signal', 'Telkomsel', 'buy', 'kouta']</v>
      </c>
      <c r="D6117" s="3">
        <v>1.0</v>
      </c>
    </row>
    <row r="6118" ht="15.75" customHeight="1">
      <c r="A6118" s="1">
        <v>6577.0</v>
      </c>
      <c r="B6118" s="3" t="s">
        <v>5914</v>
      </c>
      <c r="C6118" s="3" t="str">
        <f>IFERROR(__xludf.DUMMYFUNCTION("GOOGLETRANSLATE(B6118,""id"",""en"")"),"['fill in', 'package', 'gamukun', 'package', 'balance', 'sumps', 'apes', ""]")</f>
        <v>['fill in', 'package', 'gamukun', 'package', 'balance', 'sumps', 'apes', "]</v>
      </c>
      <c r="D6118" s="3">
        <v>1.0</v>
      </c>
    </row>
    <row r="6119" ht="15.75" customHeight="1">
      <c r="A6119" s="1">
        <v>6578.0</v>
      </c>
      <c r="B6119" s="3" t="s">
        <v>5915</v>
      </c>
      <c r="C6119" s="3" t="str">
        <f>IFERROR(__xludf.DUMMYFUNCTION("GOOGLETRANSLATE(B6119,""id"",""en"")"),"['advantages',' Telkomsel ',' network ',' always', 'tasty', 'ngellag', 'drawback', 'right', 'trobel', 'corruption', 'steady', 'love', ' star', '']")</f>
        <v>['advantages',' Telkomsel ',' network ',' always', 'tasty', 'ngellag', 'drawback', 'right', 'trobel', 'corruption', 'steady', 'love', ' star', '']</v>
      </c>
      <c r="D6119" s="3">
        <v>5.0</v>
      </c>
    </row>
    <row r="6120" ht="15.75" customHeight="1">
      <c r="A6120" s="1">
        <v>6579.0</v>
      </c>
      <c r="B6120" s="3" t="s">
        <v>5916</v>
      </c>
      <c r="C6120" s="3" t="str">
        <f>IFERROR(__xludf.DUMMYFUNCTION("GOOGLETRANSLATE(B6120,""id"",""en"")"),"['Good', 'Bangat', 'application', 'like', 'guaranteed', 'cheap', 'cheap', 'registration', 'like', 'all']")</f>
        <v>['Good', 'Bangat', 'application', 'like', 'guaranteed', 'cheap', 'cheap', 'registration', 'like', 'all']</v>
      </c>
      <c r="D6120" s="3">
        <v>5.0</v>
      </c>
    </row>
    <row r="6121" ht="15.75" customHeight="1">
      <c r="A6121" s="1">
        <v>6580.0</v>
      </c>
      <c r="B6121" s="3" t="s">
        <v>5917</v>
      </c>
      <c r="C6121" s="3" t="str">
        <f>IFERROR(__xludf.DUMMYFUNCTION("GOOGLETRANSLATE(B6121,""id"",""en"")"),"['balance', 'truncated', 'package', 'active', 'Heeuuh', '']")</f>
        <v>['balance', 'truncated', 'package', 'active', 'Heeuuh', '']</v>
      </c>
      <c r="D6121" s="3">
        <v>1.0</v>
      </c>
    </row>
    <row r="6122" ht="15.75" customHeight="1">
      <c r="A6122" s="1">
        <v>6581.0</v>
      </c>
      <c r="B6122" s="3" t="s">
        <v>5918</v>
      </c>
      <c r="C6122" s="3" t="str">
        <f>IFERROR(__xludf.DUMMYFUNCTION("GOOGLETRANSLATE(B6122,""id"",""en"")"),"['Hold', 'promo', 'purchase', 'quota']")</f>
        <v>['Hold', 'promo', 'purchase', 'quota']</v>
      </c>
      <c r="D6122" s="3">
        <v>4.0</v>
      </c>
    </row>
    <row r="6123" ht="15.75" customHeight="1">
      <c r="A6123" s="1">
        <v>6582.0</v>
      </c>
      <c r="B6123" s="3" t="s">
        <v>5919</v>
      </c>
      <c r="C6123" s="3" t="str">
        <f>IFERROR(__xludf.DUMMYFUNCTION("GOOGLETRANSLATE(B6123,""id"",""en"")"),"['spirit', 'maintenance', 'special', 'area', 'Cilacap', 'West', 'progress',' network ',' Telkomsel ',' Provider ',' Telkomsel ',' Joss', ' network ',' price ',' comparable ',' quality ']")</f>
        <v>['spirit', 'maintenance', 'special', 'area', 'Cilacap', 'West', 'progress',' network ',' Telkomsel ',' Provider ',' Telkomsel ',' Joss', ' network ',' price ',' comparable ',' quality ']</v>
      </c>
      <c r="D6123" s="3">
        <v>5.0</v>
      </c>
    </row>
    <row r="6124" ht="15.75" customHeight="1">
      <c r="A6124" s="1">
        <v>6583.0</v>
      </c>
      <c r="B6124" s="3" t="s">
        <v>5920</v>
      </c>
      <c r="C6124" s="3" t="str">
        <f>IFERROR(__xludf.DUMMYFUNCTION("GOOGLETRANSLATE(B6124,""id"",""en"")"),"['Download', 'Download', 'Error', 'Open']")</f>
        <v>['Download', 'Download', 'Error', 'Open']</v>
      </c>
      <c r="D6124" s="3">
        <v>5.0</v>
      </c>
    </row>
    <row r="6125" ht="15.75" customHeight="1">
      <c r="A6125" s="1">
        <v>6584.0</v>
      </c>
      <c r="B6125" s="3" t="s">
        <v>5921</v>
      </c>
      <c r="C6125" s="3" t="str">
        <f>IFERROR(__xludf.DUMMYFUNCTION("GOOGLETRANSLATE(B6125,""id"",""en"")"),"['Woy', 'AJG', 'Nge', 'prank', 'JGAN', 'Rich', 'That's',' Bangsattt ',' Credit ',' Price ',' Gabisa ',' Cave ',' buy ',' ajg ',' cave ',' already ',' buy ',' pulse ',' eman ',' idiot ',' abis', 'vain', 'hope', 'fast', 'dead' , 'AJGGG', 'GOBLOKKKKKKK']")</f>
        <v>['Woy', 'AJG', 'Nge', 'prank', 'JGAN', 'Rich', 'That's',' Bangsattt ',' Credit ',' Price ',' Gabisa ',' Cave ',' buy ',' ajg ',' cave ',' already ',' buy ',' pulse ',' eman ',' idiot ',' abis', 'vain', 'hope', 'fast', 'dead' , 'AJGGG', 'GOBLOKKKKKKK']</v>
      </c>
      <c r="D6125" s="3">
        <v>1.0</v>
      </c>
    </row>
    <row r="6126" ht="15.75" customHeight="1">
      <c r="A6126" s="1">
        <v>6585.0</v>
      </c>
      <c r="B6126" s="3" t="s">
        <v>911</v>
      </c>
      <c r="C6126" s="3" t="str">
        <f>IFERROR(__xludf.DUMMYFUNCTION("GOOGLETRANSLATE(B6126,""id"",""en"")"),"['Loading']")</f>
        <v>['Loading']</v>
      </c>
      <c r="D6126" s="3">
        <v>3.0</v>
      </c>
    </row>
    <row r="6127" ht="15.75" customHeight="1">
      <c r="A6127" s="1">
        <v>6586.0</v>
      </c>
      <c r="B6127" s="3" t="s">
        <v>5922</v>
      </c>
      <c r="C6127" s="3" t="str">
        <f>IFERROR(__xludf.DUMMYFUNCTION("GOOGLETRANSLATE(B6127,""id"",""en"")"),"['', 'Lov', 'Telkomsel', 'customers',' loyal ',' in ',' Telkomsel ',' request ',' please ',' response ',' complaint ',' complaint ',' user ',' Telkomsel ',' Telkomsel ',' advanced ',' consumers', 'customers',' customers', 'Telkomsel', '']")</f>
        <v>['', 'Lov', 'Telkomsel', 'customers',' loyal ',' in ',' Telkomsel ',' request ',' please ',' response ',' complaint ',' complaint ',' user ',' Telkomsel ',' Telkomsel ',' advanced ',' consumers', 'customers',' customers', 'Telkomsel', '']</v>
      </c>
      <c r="D6127" s="3">
        <v>5.0</v>
      </c>
    </row>
    <row r="6128" ht="15.75" customHeight="1">
      <c r="A6128" s="1">
        <v>6587.0</v>
      </c>
      <c r="B6128" s="3" t="s">
        <v>5923</v>
      </c>
      <c r="C6128" s="3" t="str">
        <f>IFERROR(__xludf.DUMMYFUNCTION("GOOGLETRANSLATE(B6128,""id"",""en"")"),"['Help', 'use', 'application']")</f>
        <v>['Help', 'use', 'application']</v>
      </c>
      <c r="D6128" s="3">
        <v>5.0</v>
      </c>
    </row>
    <row r="6129" ht="15.75" customHeight="1">
      <c r="A6129" s="1">
        <v>6588.0</v>
      </c>
      <c r="B6129" s="3" t="s">
        <v>5924</v>
      </c>
      <c r="C6129" s="3" t="str">
        <f>IFERROR(__xludf.DUMMYFUNCTION("GOOGLETRANSLATE(B6129,""id"",""en"")"),"['signal', 'Telkomsel', 'Leet', 'Times']")</f>
        <v>['signal', 'Telkomsel', 'Leet', 'Times']</v>
      </c>
      <c r="D6129" s="3">
        <v>1.0</v>
      </c>
    </row>
    <row r="6130" ht="15.75" customHeight="1">
      <c r="A6130" s="1">
        <v>6589.0</v>
      </c>
      <c r="B6130" s="3" t="s">
        <v>5925</v>
      </c>
      <c r="C6130" s="3" t="str">
        <f>IFERROR(__xludf.DUMMYFUNCTION("GOOGLETRANSLATE(B6130,""id"",""en"")"),"['Nda', 'Aada', 'Promo', 'Gosha']")</f>
        <v>['Nda', 'Aada', 'Promo', 'Gosha']</v>
      </c>
      <c r="D6130" s="3">
        <v>5.0</v>
      </c>
    </row>
    <row r="6131" ht="15.75" customHeight="1">
      <c r="A6131" s="1">
        <v>6590.0</v>
      </c>
      <c r="B6131" s="3" t="s">
        <v>5926</v>
      </c>
      <c r="C6131" s="3" t="str">
        <f>IFERROR(__xludf.DUMMYFUNCTION("GOOGLETRANSLATE(B6131,""id"",""en"")"),"['Telkomsel', 'Tipu', 'GB', 'Out', 'Kayak', '']")</f>
        <v>['Telkomsel', 'Tipu', 'GB', 'Out', 'Kayak', '']</v>
      </c>
      <c r="D6131" s="3">
        <v>5.0</v>
      </c>
    </row>
    <row r="6132" ht="15.75" customHeight="1">
      <c r="A6132" s="1">
        <v>6591.0</v>
      </c>
      <c r="B6132" s="3" t="s">
        <v>5927</v>
      </c>
      <c r="C6132" s="3" t="str">
        <f>IFERROR(__xludf.DUMMYFUNCTION("GOOGLETRANSLATE(B6132,""id"",""en"")"),"['Win', 'Telkomsel', 'Points', 'Program', 'Telkomsel', 'Points', ""]")</f>
        <v>['Win', 'Telkomsel', 'Points', 'Program', 'Telkomsel', 'Points', "]</v>
      </c>
      <c r="D6132" s="3">
        <v>1.0</v>
      </c>
    </row>
    <row r="6133" ht="15.75" customHeight="1">
      <c r="A6133" s="1">
        <v>6592.0</v>
      </c>
      <c r="B6133" s="3" t="s">
        <v>5928</v>
      </c>
      <c r="C6133" s="3" t="str">
        <f>IFERROR(__xludf.DUMMYFUNCTION("GOOGLETRANSLATE(B6133,""id"",""en"")"),"['buy', 'quota', 'YouTube', 'gaka', 'dipake', '']")</f>
        <v>['buy', 'quota', 'YouTube', 'gaka', 'dipake', '']</v>
      </c>
      <c r="D6133" s="3">
        <v>1.0</v>
      </c>
    </row>
    <row r="6134" ht="15.75" customHeight="1">
      <c r="A6134" s="1">
        <v>6593.0</v>
      </c>
      <c r="B6134" s="3" t="s">
        <v>5929</v>
      </c>
      <c r="C6134" s="3" t="str">
        <f>IFERROR(__xludf.DUMMYFUNCTION("GOOGLETRANSLATE(B6134,""id"",""en"")"),"['skrng', 'network', 'Telkomsel', 'ugly', 'please', 'repaired', 'good', 'network']")</f>
        <v>['skrng', 'network', 'Telkomsel', 'ugly', 'please', 'repaired', 'good', 'network']</v>
      </c>
      <c r="D6134" s="3">
        <v>4.0</v>
      </c>
    </row>
    <row r="6135" ht="15.75" customHeight="1">
      <c r="A6135" s="1">
        <v>6595.0</v>
      </c>
      <c r="B6135" s="3" t="s">
        <v>5930</v>
      </c>
      <c r="C6135" s="3" t="str">
        <f>IFERROR(__xludf.DUMMYFUNCTION("GOOGLETRANSLATE(B6135,""id"",""en"")"),"['Good', 'bright']")</f>
        <v>['Good', 'bright']</v>
      </c>
      <c r="D6135" s="3">
        <v>5.0</v>
      </c>
    </row>
    <row r="6136" ht="15.75" customHeight="1">
      <c r="A6136" s="1">
        <v>6596.0</v>
      </c>
      <c r="B6136" s="3" t="s">
        <v>5931</v>
      </c>
      <c r="C6136" s="3" t="str">
        <f>IFERROR(__xludf.DUMMYFUNCTION("GOOGLETRANSLATE(B6136,""id"",""en"")"),"['Signal', 'Telkomsel', 'BURIK']")</f>
        <v>['Signal', 'Telkomsel', 'BURIK']</v>
      </c>
      <c r="D6136" s="3">
        <v>1.0</v>
      </c>
    </row>
    <row r="6137" ht="15.75" customHeight="1">
      <c r="A6137" s="1">
        <v>6597.0</v>
      </c>
      <c r="B6137" s="3" t="s">
        <v>5932</v>
      </c>
      <c r="C6137" s="3" t="str">
        <f>IFERROR(__xludf.DUMMYFUNCTION("GOOGLETRANSLATE(B6137,""id"",""en"")"),"['Sangangat', 'Satisfied', 'Telkomsel', 'Mantap', 'Telkomsel']")</f>
        <v>['Sangangat', 'Satisfied', 'Telkomsel', 'Mantap', 'Telkomsel']</v>
      </c>
      <c r="D6137" s="3">
        <v>5.0</v>
      </c>
    </row>
    <row r="6138" ht="15.75" customHeight="1">
      <c r="A6138" s="1">
        <v>6598.0</v>
      </c>
      <c r="B6138" s="3" t="s">
        <v>5933</v>
      </c>
      <c r="C6138" s="3" t="str">
        <f>IFERROR(__xludf.DUMMYFUNCTION("GOOGLETRANSLATE(B6138,""id"",""en"")"),"['slow', 'sometimes', 'sometimes']")</f>
        <v>['slow', 'sometimes', 'sometimes']</v>
      </c>
      <c r="D6138" s="3">
        <v>5.0</v>
      </c>
    </row>
    <row r="6139" ht="15.75" customHeight="1">
      <c r="A6139" s="1">
        <v>6599.0</v>
      </c>
      <c r="B6139" s="3" t="s">
        <v>5934</v>
      </c>
      <c r="C6139" s="3" t="str">
        <f>IFERROR(__xludf.DUMMYFUNCTION("GOOGLETRANSLATE(B6139,""id"",""en"")"),"['Astaghfirullah', 'Sampe', 'KPN', 'Telkomsel', 'Rich', 'Gini', 'Sinyal', 'user', 'loyal', 'Telkomsel', 'patient', 'what', ' Rich ',' Gini ',' Loss', 'Switch', 'Move', 'Operator', 'Please', 'Fix', 'Udh', 'Abis',' Sabar ',' Thanks', 'Th' , 'Telkomsel', 'Me"&amp;"nding', 'Change', '']")</f>
        <v>['Astaghfirullah', 'Sampe', 'KPN', 'Telkomsel', 'Rich', 'Gini', 'Sinyal', 'user', 'loyal', 'Telkomsel', 'patient', 'what', ' Rich ',' Gini ',' Loss', 'Switch', 'Move', 'Operator', 'Please', 'Fix', 'Udh', 'Abis',' Sabar ',' Thanks', 'Th' , 'Telkomsel', 'Mending', 'Change', '']</v>
      </c>
      <c r="D6139" s="3">
        <v>1.0</v>
      </c>
    </row>
    <row r="6140" ht="15.75" customHeight="1">
      <c r="A6140" s="1">
        <v>6600.0</v>
      </c>
      <c r="B6140" s="3" t="s">
        <v>5935</v>
      </c>
      <c r="C6140" s="3" t="str">
        <f>IFERROR(__xludf.DUMMYFUNCTION("GOOGLETRANSLATE(B6140,""id"",""en"")"),"['card', 'expensive', 'really', 'price', 'package', 'internet', 'card', 'friend', 'cheap', 'cheap', 'price', 'package', ' Keapasih ',' Telkomsel ']")</f>
        <v>['card', 'expensive', 'really', 'price', 'package', 'internet', 'card', 'friend', 'cheap', 'cheap', 'price', 'package', ' Keapasih ',' Telkomsel ']</v>
      </c>
      <c r="D6140" s="3">
        <v>1.0</v>
      </c>
    </row>
    <row r="6141" ht="15.75" customHeight="1">
      <c r="A6141" s="1">
        <v>6601.0</v>
      </c>
      <c r="B6141" s="3" t="s">
        <v>5936</v>
      </c>
      <c r="C6141" s="3" t="str">
        <f>IFERROR(__xludf.DUMMYFUNCTION("GOOGLETRANSLATE(B6141,""id"",""en"")"),"['Thanks', 'Telkomsel', 'responsive', 'easy', 'help']")</f>
        <v>['Thanks', 'Telkomsel', 'responsive', 'easy', 'help']</v>
      </c>
      <c r="D6141" s="3">
        <v>4.0</v>
      </c>
    </row>
    <row r="6142" ht="15.75" customHeight="1">
      <c r="A6142" s="1">
        <v>6602.0</v>
      </c>
      <c r="B6142" s="3" t="s">
        <v>5937</v>
      </c>
      <c r="C6142" s="3" t="str">
        <f>IFERROR(__xludf.DUMMYFUNCTION("GOOGLETRANSLATE(B6142,""id"",""en"")"),"['Login', 'Facebook', '']")</f>
        <v>['Login', 'Facebook', '']</v>
      </c>
      <c r="D6142" s="3">
        <v>2.0</v>
      </c>
    </row>
    <row r="6143" ht="15.75" customHeight="1">
      <c r="A6143" s="1">
        <v>6603.0</v>
      </c>
      <c r="B6143" s="3" t="s">
        <v>5938</v>
      </c>
      <c r="C6143" s="3" t="str">
        <f>IFERROR(__xludf.DUMMYFUNCTION("GOOGLETRANSLATE(B6143,""id"",""en"")"),"['Thank God', 'Aplicasi', 'Help', 'Thank', 'Love']")</f>
        <v>['Thank God', 'Aplicasi', 'Help', 'Thank', 'Love']</v>
      </c>
      <c r="D6143" s="3">
        <v>5.0</v>
      </c>
    </row>
    <row r="6144" ht="15.75" customHeight="1">
      <c r="A6144" s="1">
        <v>6604.0</v>
      </c>
      <c r="B6144" s="3" t="s">
        <v>5939</v>
      </c>
      <c r="C6144" s="3" t="str">
        <f>IFERROR(__xludf.DUMMYFUNCTION("GOOGLETRANSLATE(B6144,""id"",""en"")"),"['forgiveness', 'fast', 'really', 'abis', '']")</f>
        <v>['forgiveness', 'fast', 'really', 'abis', '']</v>
      </c>
      <c r="D6144" s="3">
        <v>1.0</v>
      </c>
    </row>
    <row r="6145" ht="15.75" customHeight="1">
      <c r="A6145" s="1">
        <v>6605.0</v>
      </c>
      <c r="B6145" s="3" t="s">
        <v>5940</v>
      </c>
      <c r="C6145" s="3" t="str">
        <f>IFERROR(__xludf.DUMMYFUNCTION("GOOGLETRANSLATE(B6145,""id"",""en"")"),"['Network', 'best', 'wherever', 'network', 'Telkomsel', 'thank you', 'Telkomsel', 'hope', 'dpn', 'package', 'quota', 'cheap', ' Users', '']")</f>
        <v>['Network', 'best', 'wherever', 'network', 'Telkomsel', 'thank you', 'Telkomsel', 'hope', 'dpn', 'package', 'quota', 'cheap', ' Users', '']</v>
      </c>
      <c r="D6145" s="3">
        <v>5.0</v>
      </c>
    </row>
    <row r="6146" ht="15.75" customHeight="1">
      <c r="A6146" s="1">
        <v>6606.0</v>
      </c>
      <c r="B6146" s="3" t="s">
        <v>5941</v>
      </c>
      <c r="C6146" s="3" t="str">
        <f>IFERROR(__xludf.DUMMYFUNCTION("GOOGLETRANSLATE(B6146,""id"",""en"")"),"['apk', 'taik', 'update', 'update', 'open']")</f>
        <v>['apk', 'taik', 'update', 'update', 'open']</v>
      </c>
      <c r="D6146" s="3">
        <v>1.0</v>
      </c>
    </row>
    <row r="6147" ht="15.75" customHeight="1">
      <c r="A6147" s="1">
        <v>6607.0</v>
      </c>
      <c r="B6147" s="3" t="s">
        <v>5942</v>
      </c>
      <c r="C6147" s="3" t="str">
        <f>IFERROR(__xludf.DUMMYFUNCTION("GOOGLETRANSLATE(B6147,""id"",""en"")"),"['signal', 'fix']")</f>
        <v>['signal', 'fix']</v>
      </c>
      <c r="D6147" s="3">
        <v>1.0</v>
      </c>
    </row>
    <row r="6148" ht="15.75" customHeight="1">
      <c r="A6148" s="1">
        <v>6608.0</v>
      </c>
      <c r="B6148" s="3" t="s">
        <v>5943</v>
      </c>
      <c r="C6148" s="3" t="str">
        <f>IFERROR(__xludf.DUMMYFUNCTION("GOOGLETRANSLATE(B6148,""id"",""en"")"),"['Good', 'TPI', 'Satisfied', 'Sometimes', 'Network', 'Burik', 'ugly']")</f>
        <v>['Good', 'TPI', 'Satisfied', 'Sometimes', 'Network', 'Burik', 'ugly']</v>
      </c>
      <c r="D6148" s="3">
        <v>4.0</v>
      </c>
    </row>
    <row r="6149" ht="15.75" customHeight="1">
      <c r="A6149" s="1">
        <v>6609.0</v>
      </c>
      <c r="B6149" s="3" t="s">
        <v>5944</v>
      </c>
      <c r="C6149" s="3" t="str">
        <f>IFERROR(__xludf.DUMMYFUNCTION("GOOGLETRANSLATE(B6149,""id"",""en"")"),"['Quota', 'Combo', 'Sakti', 'Max', 'GB', 'Enter', 'Sampe', 'Balance', 'Shopee', 'Pay', 'Cutting']")</f>
        <v>['Quota', 'Combo', 'Sakti', 'Max', 'GB', 'Enter', 'Sampe', 'Balance', 'Shopee', 'Pay', 'Cutting']</v>
      </c>
      <c r="D6149" s="3">
        <v>1.0</v>
      </c>
    </row>
    <row r="6150" ht="15.75" customHeight="1">
      <c r="A6150" s="1">
        <v>6610.0</v>
      </c>
      <c r="B6150" s="3" t="s">
        <v>5945</v>
      </c>
      <c r="C6150" s="3" t="str">
        <f>IFERROR(__xludf.DUMMYFUNCTION("GOOGLETRANSLATE(B6150,""id"",""en"")"),"['Min', 'Please', 'Quota', 'Watch', 'Local', 'Total', 'Shame', 'Gemana', 'Manchester', 'Watch', 'Application', 'Paid', ' Please, 'Min', 'Delete', 'Quota', 'Watch', 'Local', 'Kepakeeeeee', 'Mimin']")</f>
        <v>['Min', 'Please', 'Quota', 'Watch', 'Local', 'Total', 'Shame', 'Gemana', 'Manchester', 'Watch', 'Application', 'Paid', ' Please, 'Min', 'Delete', 'Quota', 'Watch', 'Local', 'Kepakeeeeee', 'Mimin']</v>
      </c>
      <c r="D6150" s="3">
        <v>5.0</v>
      </c>
    </row>
    <row r="6151" ht="15.75" customHeight="1">
      <c r="A6151" s="1">
        <v>6611.0</v>
      </c>
      <c r="B6151" s="3" t="s">
        <v>5946</v>
      </c>
      <c r="C6151" s="3" t="str">
        <f>IFERROR(__xludf.DUMMYFUNCTION("GOOGLETRANSLATE(B6151,""id"",""en"")"),"['quota', 'GB', 'message', 'buy', 'package', 'emergency', 'check', 'Telkomsel', 'package', 'emergency', 'gini', 'Telkomsel', ' Buy ',' Emergency ',' Emergency ',' Quota ',' Strange ',' Genesis', 'Pertamakali', 'Disappointed', 'Disappointed', 'Original', '"&amp;"Customer', 'loyal', 'Telkomsel' , 'Saranin', 'ilangin', 'features', 'package', 'emergency', 'events', 'rich', 'gini', ""]")</f>
        <v>['quota', 'GB', 'message', 'buy', 'package', 'emergency', 'check', 'Telkomsel', 'package', 'emergency', 'gini', 'Telkomsel', ' Buy ',' Emergency ',' Emergency ',' Quota ',' Strange ',' Genesis', 'Pertamakali', 'Disappointed', 'Disappointed', 'Original', 'Customer', 'loyal', 'Telkomsel' , 'Saranin', 'ilangin', 'features', 'package', 'emergency', 'events', 'rich', 'gini', "]</v>
      </c>
      <c r="D6151" s="3">
        <v>1.0</v>
      </c>
    </row>
    <row r="6152" ht="15.75" customHeight="1">
      <c r="A6152" s="1">
        <v>6612.0</v>
      </c>
      <c r="B6152" s="3" t="s">
        <v>5947</v>
      </c>
      <c r="C6152" s="3" t="str">
        <f>IFERROR(__xludf.DUMMYFUNCTION("GOOGLETRANSLATE(B6152,""id"",""en"")"),"['Hello', 'buy', 'promo', 'GB', 'times',' network ',' pulse ',' used ',' sms', 'mean', 'kak', 'please', ' ']")</f>
        <v>['Hello', 'buy', 'promo', 'GB', 'times',' network ',' pulse ',' used ',' sms', 'mean', 'kak', 'please', ' ']</v>
      </c>
      <c r="D6152" s="3">
        <v>1.0</v>
      </c>
    </row>
    <row r="6153" ht="15.75" customHeight="1">
      <c r="A6153" s="1">
        <v>6613.0</v>
      </c>
      <c r="B6153" s="3" t="s">
        <v>5948</v>
      </c>
      <c r="C6153" s="3" t="str">
        <f>IFERROR(__xludf.DUMMYFUNCTION("GOOGLETRANSLATE(B6153,""id"",""en"")"),"['Help', 'Trima', 'Love', 'Telkomsel']")</f>
        <v>['Help', 'Trima', 'Love', 'Telkomsel']</v>
      </c>
      <c r="D6153" s="3">
        <v>5.0</v>
      </c>
    </row>
    <row r="6154" ht="15.75" customHeight="1">
      <c r="A6154" s="1">
        <v>6614.0</v>
      </c>
      <c r="B6154" s="3" t="s">
        <v>5949</v>
      </c>
      <c r="C6154" s="3" t="str">
        <f>IFERROR(__xludf.DUMMYFUNCTION("GOOGLETRANSLATE(B6154,""id"",""en"")"),"['upset', 'application', 'UDH', 'Tipu', 'buy', 'package', 'data', 'entry', 'complain', 'wait', 'udh', 'balance', ' Buy ',' Package ',' Need ',' Have ',' Wait ',' Clock ',' People ',' Requires', 'Recomend', 'Application']")</f>
        <v>['upset', 'application', 'UDH', 'Tipu', 'buy', 'package', 'data', 'entry', 'complain', 'wait', 'udh', 'balance', ' Buy ',' Package ',' Need ',' Have ',' Wait ',' Clock ',' People ',' Requires', 'Recomend', 'Application']</v>
      </c>
      <c r="D6154" s="3">
        <v>1.0</v>
      </c>
    </row>
    <row r="6155" ht="15.75" customHeight="1">
      <c r="A6155" s="1">
        <v>6615.0</v>
      </c>
      <c r="B6155" s="3" t="s">
        <v>5950</v>
      </c>
      <c r="C6155" s="3" t="str">
        <f>IFERROR(__xludf.DUMMYFUNCTION("GOOGLETRANSLATE(B6155,""id"",""en"")"),"['Service', 'Good', 'Thank you', 'Telkomsel']")</f>
        <v>['Service', 'Good', 'Thank you', 'Telkomsel']</v>
      </c>
      <c r="D6155" s="3">
        <v>5.0</v>
      </c>
    </row>
    <row r="6156" ht="15.75" customHeight="1">
      <c r="A6156" s="1">
        <v>6616.0</v>
      </c>
      <c r="B6156" s="3" t="s">
        <v>5951</v>
      </c>
      <c r="C6156" s="3" t="str">
        <f>IFERROR(__xludf.DUMMYFUNCTION("GOOGLETRANSLATE(B6156,""id"",""en"")"),"['Yahya', 'Age', 'steady']")</f>
        <v>['Yahya', 'Age', 'steady']</v>
      </c>
      <c r="D6156" s="3">
        <v>4.0</v>
      </c>
    </row>
    <row r="6157" ht="15.75" customHeight="1">
      <c r="A6157" s="1">
        <v>6617.0</v>
      </c>
      <c r="B6157" s="3" t="s">
        <v>5952</v>
      </c>
      <c r="C6157" s="3" t="str">
        <f>IFERROR(__xludf.DUMMYFUNCTION("GOOGLETRANSLATE(B6157,""id"",""en"")"),"['Paketan', 'expensive', '']")</f>
        <v>['Paketan', 'expensive', '']</v>
      </c>
      <c r="D6157" s="3">
        <v>4.0</v>
      </c>
    </row>
    <row r="6158" ht="15.75" customHeight="1">
      <c r="A6158" s="1">
        <v>6618.0</v>
      </c>
      <c r="B6158" s="3" t="s">
        <v>5953</v>
      </c>
      <c r="C6158" s="3" t="str">
        <f>IFERROR(__xludf.DUMMYFUNCTION("GOOGLETRANSLATE(B6158,""id"",""en"")"),"['Hopefully', 'depanya', 'lag', 'reduced']")</f>
        <v>['Hopefully', 'depanya', 'lag', 'reduced']</v>
      </c>
      <c r="D6158" s="3">
        <v>5.0</v>
      </c>
    </row>
    <row r="6159" ht="15.75" customHeight="1">
      <c r="A6159" s="1">
        <v>6619.0</v>
      </c>
      <c r="B6159" s="3" t="s">
        <v>5954</v>
      </c>
      <c r="C6159" s="3" t="str">
        <f>IFERROR(__xludf.DUMMYFUNCTION("GOOGLETRANSLATE(B6159,""id"",""en"")"),"['pulse', 'ilang', 'turn', 'fill', 'enter', '']")</f>
        <v>['pulse', 'ilang', 'turn', 'fill', 'enter', '']</v>
      </c>
      <c r="D6159" s="3">
        <v>1.0</v>
      </c>
    </row>
    <row r="6160" ht="15.75" customHeight="1">
      <c r="A6160" s="1">
        <v>6620.0</v>
      </c>
      <c r="B6160" s="3" t="s">
        <v>5955</v>
      </c>
      <c r="C6160" s="3" t="str">
        <f>IFERROR(__xludf.DUMMYFUNCTION("GOOGLETRANSLATE(B6160,""id"",""en"")"),"['Since', 'Telkomsel', 'LGI', 'Name', 'Network', 'Leet', 'Disruption', 'Thanks', 'Telkomsel']")</f>
        <v>['Since', 'Telkomsel', 'LGI', 'Name', 'Network', 'Leet', 'Disruption', 'Thanks', 'Telkomsel']</v>
      </c>
      <c r="D6160" s="3">
        <v>5.0</v>
      </c>
    </row>
    <row r="6161" ht="15.75" customHeight="1">
      <c r="A6161" s="1">
        <v>6621.0</v>
      </c>
      <c r="B6161" s="3" t="s">
        <v>5956</v>
      </c>
      <c r="C6161" s="3" t="str">
        <f>IFERROR(__xludf.DUMMYFUNCTION("GOOGLETRANSLATE(B6161,""id"",""en"")"),"['Cashback', 'Gopay', 'enter', '']")</f>
        <v>['Cashback', 'Gopay', 'enter', '']</v>
      </c>
      <c r="D6161" s="3">
        <v>1.0</v>
      </c>
    </row>
    <row r="6162" ht="15.75" customHeight="1">
      <c r="A6162" s="1">
        <v>6622.0</v>
      </c>
      <c r="B6162" s="3" t="s">
        <v>5957</v>
      </c>
      <c r="C6162" s="3" t="str">
        <f>IFERROR(__xludf.DUMMYFUNCTION("GOOGLETRANSLATE(B6162,""id"",""en"")"),"['Package', 'Data', 'enter', 'enter', 'already', 'times',' purchase ',' transaction ',' already ',' success', 'package', 'data', ' enter']")</f>
        <v>['Package', 'Data', 'enter', 'enter', 'already', 'times',' purchase ',' transaction ',' already ',' success', 'package', 'data', ' enter']</v>
      </c>
      <c r="D6162" s="3">
        <v>2.0</v>
      </c>
    </row>
    <row r="6163" ht="15.75" customHeight="1">
      <c r="A6163" s="1">
        <v>6623.0</v>
      </c>
      <c r="B6163" s="3" t="s">
        <v>5958</v>
      </c>
      <c r="C6163" s="3" t="str">
        <f>IFERROR(__xludf.DUMMYFUNCTION("GOOGLETRANSLATE(B6163,""id"",""en"")"),"['Good', 'help', 'trimaksh', 'Attention', '']")</f>
        <v>['Good', 'help', 'trimaksh', 'Attention', '']</v>
      </c>
      <c r="D6163" s="3">
        <v>5.0</v>
      </c>
    </row>
    <row r="6164" ht="15.75" customHeight="1">
      <c r="A6164" s="1">
        <v>6624.0</v>
      </c>
      <c r="B6164" s="3" t="s">
        <v>286</v>
      </c>
      <c r="C6164" s="3" t="str">
        <f>IFERROR(__xludf.DUMMYFUNCTION("GOOGLETRANSLATE(B6164,""id"",""en"")"),"['good']")</f>
        <v>['good']</v>
      </c>
      <c r="D6164" s="3">
        <v>3.0</v>
      </c>
    </row>
    <row r="6165" ht="15.75" customHeight="1">
      <c r="A6165" s="1">
        <v>6625.0</v>
      </c>
      <c r="B6165" s="3" t="s">
        <v>5959</v>
      </c>
      <c r="C6165" s="3" t="str">
        <f>IFERROR(__xludf.DUMMYFUNCTION("GOOGLETRANSLATE(B6165,""id"",""en"")"),"['', 'Suggestions', 'PackageData', 'Unlimated', 'Max', 'GB', 'Eliminate', 'Help', 'Thank you', 'Success', ""]")</f>
        <v>['', 'Suggestions', 'PackageData', 'Unlimated', 'Max', 'GB', 'Eliminate', 'Help', 'Thank you', 'Success', "]</v>
      </c>
      <c r="D6165" s="3">
        <v>5.0</v>
      </c>
    </row>
    <row r="6166" ht="15.75" customHeight="1">
      <c r="A6166" s="1">
        <v>6626.0</v>
      </c>
      <c r="B6166" s="3" t="s">
        <v>5960</v>
      </c>
      <c r="C6166" s="3" t="str">
        <f>IFERROR(__xludf.DUMMYFUNCTION("GOOGLETRANSLATE(B6166,""id"",""en"")"),"['', 'ISO', 'enter']")</f>
        <v>['', 'ISO', 'enter']</v>
      </c>
      <c r="D6166" s="3">
        <v>1.0</v>
      </c>
    </row>
    <row r="6167" ht="15.75" customHeight="1">
      <c r="A6167" s="1">
        <v>6627.0</v>
      </c>
      <c r="B6167" s="3" t="s">
        <v>5961</v>
      </c>
      <c r="C6167" s="3" t="str">
        <f>IFERROR(__xludf.DUMMYFUNCTION("GOOGLETRANSLATE(B6167,""id"",""en"")"),"['application', 'Telkomsel', 'buy', 'package', 'data', 'disorder']")</f>
        <v>['application', 'Telkomsel', 'buy', 'package', 'data', 'disorder']</v>
      </c>
      <c r="D6167" s="3">
        <v>3.0</v>
      </c>
    </row>
    <row r="6168" ht="15.75" customHeight="1">
      <c r="A6168" s="1">
        <v>6628.0</v>
      </c>
      <c r="B6168" s="3" t="s">
        <v>5962</v>
      </c>
      <c r="C6168" s="3" t="str">
        <f>IFERROR(__xludf.DUMMYFUNCTION("GOOGLETRANSLATE(B6168,""id"",""en"")"),"['User', 'Application', 'Telkomsel', 'Good', 'Ribet', 'Difficult', 'Registration', ""]")</f>
        <v>['User', 'Application', 'Telkomsel', 'Good', 'Ribet', 'Difficult', 'Registration', "]</v>
      </c>
      <c r="D6168" s="3">
        <v>1.0</v>
      </c>
    </row>
    <row r="6169" ht="15.75" customHeight="1">
      <c r="A6169" s="1">
        <v>6629.0</v>
      </c>
      <c r="B6169" s="3" t="s">
        <v>5963</v>
      </c>
      <c r="C6169" s="3" t="str">
        <f>IFERROR(__xludf.DUMMYFUNCTION("GOOGLETRANSLATE(B6169,""id"",""en"")"),"['Paketan', 'Doang', 'expensive', 'signal', 'rotten', 'ngk', 'karuan']")</f>
        <v>['Paketan', 'Doang', 'expensive', 'signal', 'rotten', 'ngk', 'karuan']</v>
      </c>
      <c r="D6169" s="3">
        <v>1.0</v>
      </c>
    </row>
    <row r="6170" ht="15.75" customHeight="1">
      <c r="A6170" s="1">
        <v>6630.0</v>
      </c>
      <c r="B6170" s="3" t="s">
        <v>5964</v>
      </c>
      <c r="C6170" s="3" t="str">
        <f>IFERROR(__xludf.DUMMYFUNCTION("GOOGLETRANSLATE(B6170,""id"",""en"")"),"['Sorry', 'Sorry', 'buy', 'Package', 'GB', 'RB', 'Writing', 'Record', 'appears',' transaction ',' process', 'Wait', ' Enter ',' in ',' quota ',' morning ',' noon ',' buy ',' quota ',' GB ',' RB ',' directly ',' enter ',' quota ',' quota ' , 'GB', 'Sorry',"&amp;" 'Sorry', 'Give', 'Promo', 'Customer', 'Sincerely', 'Pelangement', 'Berih', 'Over', 'Card', 'Danpidak', ' Telkomsel ',' please ',' gubrisjgndiamsaja ']")</f>
        <v>['Sorry', 'Sorry', 'buy', 'Package', 'GB', 'RB', 'Writing', 'Record', 'appears',' transaction ',' process', 'Wait', ' Enter ',' in ',' quota ',' morning ',' noon ',' buy ',' quota ',' GB ',' RB ',' directly ',' enter ',' quota ',' quota ' , 'GB', 'Sorry', 'Sorry', 'Give', 'Promo', 'Customer', 'Sincerely', 'Pelangement', 'Berih', 'Over', 'Card', 'Danpidak', ' Telkomsel ',' please ',' gubrisjgndiamsaja ']</v>
      </c>
      <c r="D6170" s="3">
        <v>1.0</v>
      </c>
    </row>
    <row r="6171" ht="15.75" customHeight="1">
      <c r="A6171" s="1">
        <v>6631.0</v>
      </c>
      <c r="B6171" s="3" t="s">
        <v>5965</v>
      </c>
      <c r="C6171" s="3" t="str">
        <f>IFERROR(__xludf.DUMMYFUNCTION("GOOGLETRANSLATE(B6171,""id"",""en"")"),"['ugly', 'really', 'the application', 'then', 'bbrpa', 'error']")</f>
        <v>['ugly', 'really', 'the application', 'then', 'bbrpa', 'error']</v>
      </c>
      <c r="D6171" s="3">
        <v>1.0</v>
      </c>
    </row>
    <row r="6172" ht="15.75" customHeight="1">
      <c r="A6172" s="1">
        <v>6632.0</v>
      </c>
      <c r="B6172" s="3" t="s">
        <v>5966</v>
      </c>
      <c r="C6172" s="3" t="str">
        <f>IFERROR(__xludf.DUMMYFUNCTION("GOOGLETRANSLATE(B6172,""id"",""en"")"),"['Leave', 'Bintang', 'Talk']")</f>
        <v>['Leave', 'Bintang', 'Talk']</v>
      </c>
      <c r="D6172" s="3">
        <v>4.0</v>
      </c>
    </row>
    <row r="6173" ht="15.75" customHeight="1">
      <c r="A6173" s="1">
        <v>6633.0</v>
      </c>
      <c r="B6173" s="3" t="s">
        <v>2700</v>
      </c>
      <c r="C6173" s="3" t="str">
        <f>IFERROR(__xludf.DUMMYFUNCTION("GOOGLETRANSLATE(B6173,""id"",""en"")"),"['easy', 'use']")</f>
        <v>['easy', 'use']</v>
      </c>
      <c r="D6173" s="3">
        <v>5.0</v>
      </c>
    </row>
    <row r="6174" ht="15.75" customHeight="1">
      <c r="A6174" s="1">
        <v>6634.0</v>
      </c>
      <c r="B6174" s="3" t="s">
        <v>5967</v>
      </c>
      <c r="C6174" s="3" t="str">
        <f>IFERROR(__xludf.DUMMYFUNCTION("GOOGLETRANSLATE(B6174,""id"",""en"")"),"['fill in', 'package', 'via', 'Telkomsel', 'morning', 'Sampe', 'entry', 'transaction', 'success', 'how', 'urgent']")</f>
        <v>['fill in', 'package', 'via', 'Telkomsel', 'morning', 'Sampe', 'entry', 'transaction', 'success', 'how', 'urgent']</v>
      </c>
      <c r="D6174" s="3">
        <v>1.0</v>
      </c>
    </row>
    <row r="6175" ht="15.75" customHeight="1">
      <c r="A6175" s="1">
        <v>6636.0</v>
      </c>
      <c r="B6175" s="3" t="s">
        <v>5968</v>
      </c>
      <c r="C6175" s="3" t="str">
        <f>IFERROR(__xludf.DUMMYFUNCTION("GOOGLETRANSLATE(B6175,""id"",""en"")"),"['Claim', 'Hadian', 'Ceck', 'Blum', 'Claimed', 'Reward', 'Blum', 'Receive', 'Notif', 'I mean', 'application', ' signal ',' broken ',' thief ',' pulse ',' Telkomsel ',' bad ',' responsibility ',' acts', 'criminal', 'fraud']")</f>
        <v>['Claim', 'Hadian', 'Ceck', 'Blum', 'Claimed', 'Reward', 'Blum', 'Receive', 'Notif', 'I mean', 'application', ' signal ',' broken ',' thief ',' pulse ',' Telkomsel ',' bad ',' responsibility ',' acts', 'criminal', 'fraud']</v>
      </c>
      <c r="D6175" s="3">
        <v>1.0</v>
      </c>
    </row>
    <row r="6176" ht="15.75" customHeight="1">
      <c r="A6176" s="1">
        <v>6637.0</v>
      </c>
      <c r="B6176" s="3" t="s">
        <v>5969</v>
      </c>
      <c r="C6176" s="3" t="str">
        <f>IFERROR(__xludf.DUMMYFUNCTION("GOOGLETRANSLATE(B6176,""id"",""en"")"),"['Apply', 'Love', '']")</f>
        <v>['Apply', 'Love', '']</v>
      </c>
      <c r="D6176" s="3">
        <v>5.0</v>
      </c>
    </row>
    <row r="6177" ht="15.75" customHeight="1">
      <c r="A6177" s="1">
        <v>6639.0</v>
      </c>
      <c r="B6177" s="3" t="s">
        <v>5970</v>
      </c>
      <c r="C6177" s="3" t="str">
        <f>IFERROR(__xludf.DUMMYFUNCTION("GOOGLETRANSLATE(B6177,""id"",""en"")"),"['Network', 'fair', 'stable', 'depends', 'area', 'rare', 'drop', ""]")</f>
        <v>['Network', 'fair', 'stable', 'depends', 'area', 'rare', 'drop', "]</v>
      </c>
      <c r="D6177" s="3">
        <v>2.0</v>
      </c>
    </row>
    <row r="6178" ht="15.75" customHeight="1">
      <c r="A6178" s="1">
        <v>6641.0</v>
      </c>
      <c r="B6178" s="3" t="s">
        <v>5971</v>
      </c>
      <c r="C6178" s="3" t="str">
        <f>IFERROR(__xludf.DUMMYFUNCTION("GOOGLETRANSLATE(B6178,""id"",""en"")"),"['hope', 'use', 'check', 'pulse', 'ofline']")</f>
        <v>['hope', 'use', 'check', 'pulse', 'ofline']</v>
      </c>
      <c r="D6178" s="3">
        <v>5.0</v>
      </c>
    </row>
    <row r="6179" ht="15.75" customHeight="1">
      <c r="A6179" s="1">
        <v>6642.0</v>
      </c>
      <c r="B6179" s="3" t="s">
        <v>5972</v>
      </c>
      <c r="C6179" s="3" t="str">
        <f>IFERROR(__xludf.DUMMYFUNCTION("GOOGLETRANSLATE(B6179,""id"",""en"")"),"['Tekomsel', 'Enggk', 'expensive', 'The network', 'muter', 'Mulu', 'expensive', 'ekk', 'network', 'smooth']")</f>
        <v>['Tekomsel', 'Enggk', 'expensive', 'The network', 'muter', 'Mulu', 'expensive', 'ekk', 'network', 'smooth']</v>
      </c>
      <c r="D6179" s="3">
        <v>1.0</v>
      </c>
    </row>
    <row r="6180" ht="15.75" customHeight="1">
      <c r="A6180" s="1">
        <v>6643.0</v>
      </c>
      <c r="B6180" s="3" t="s">
        <v>5973</v>
      </c>
      <c r="C6180" s="3" t="str">
        <f>IFERROR(__xludf.DUMMYFUNCTION("GOOGLETRANSLATE(B6180,""id"",""en"")"),"['DPAT', 'Gift']")</f>
        <v>['DPAT', 'Gift']</v>
      </c>
      <c r="D6180" s="3">
        <v>5.0</v>
      </c>
    </row>
    <row r="6181" ht="15.75" customHeight="1">
      <c r="A6181" s="1">
        <v>6644.0</v>
      </c>
      <c r="B6181" s="3" t="s">
        <v>5974</v>
      </c>
      <c r="C6181" s="3" t="str">
        <f>IFERROR(__xludf.DUMMYFUNCTION("GOOGLETRANSLATE(B6181,""id"",""en"")"),"['Come', 'ugly', 'price', 'package', 'data', 'expensive', 'quality', 'network', 'ugly', 'really', 'stable', 'disappointing', ' ']")</f>
        <v>['Come', 'ugly', 'price', 'package', 'data', 'expensive', 'quality', 'network', 'ugly', 'really', 'stable', 'disappointing', ' ']</v>
      </c>
      <c r="D6181" s="3">
        <v>1.0</v>
      </c>
    </row>
    <row r="6182" ht="15.75" customHeight="1">
      <c r="A6182" s="1">
        <v>6645.0</v>
      </c>
      <c r="B6182" s="3" t="s">
        <v>5975</v>
      </c>
      <c r="C6182" s="3" t="str">
        <f>IFERROR(__xludf.DUMMYFUNCTION("GOOGLETRANSLATE(B6182,""id"",""en"")"),"['min', 'please', 'signal', 'good', 'sick', 'nutmeg', 'signal', 'gabisa', 'play', 'game', 'telkom', 'skarang', ' ugly ',' signal ']")</f>
        <v>['min', 'please', 'signal', 'good', 'sick', 'nutmeg', 'signal', 'gabisa', 'play', 'game', 'telkom', 'skarang', ' ugly ',' signal ']</v>
      </c>
      <c r="D6182" s="3">
        <v>1.0</v>
      </c>
    </row>
    <row r="6183" ht="15.75" customHeight="1">
      <c r="A6183" s="1">
        <v>6646.0</v>
      </c>
      <c r="B6183" s="3" t="s">
        <v>5976</v>
      </c>
      <c r="C6183" s="3" t="str">
        <f>IFERROR(__xludf.DUMMYFUNCTION("GOOGLETRANSLATE(B6183,""id"",""en"")"),"['The', 'Beach', 'Information', 'Manpaat', 'Download', 'Download', 'Play', 'Google']")</f>
        <v>['The', 'Beach', 'Information', 'Manpaat', 'Download', 'Download', 'Play', 'Google']</v>
      </c>
      <c r="D6183" s="3">
        <v>5.0</v>
      </c>
    </row>
    <row r="6184" ht="15.75" customHeight="1">
      <c r="A6184" s="1">
        <v>6647.0</v>
      </c>
      <c r="B6184" s="3" t="s">
        <v>5977</v>
      </c>
      <c r="C6184" s="3" t="str">
        <f>IFERROR(__xludf.DUMMYFUNCTION("GOOGLETRANSLATE(B6184,""id"",""en"")"),"['promo', 'on', 'kepa', 'see', 'emang', 'good', '']")</f>
        <v>['promo', 'on', 'kepa', 'see', 'emang', 'good', '']</v>
      </c>
      <c r="D6184" s="3">
        <v>5.0</v>
      </c>
    </row>
    <row r="6185" ht="15.75" customHeight="1">
      <c r="A6185" s="1">
        <v>6648.0</v>
      </c>
      <c r="B6185" s="3" t="s">
        <v>5978</v>
      </c>
      <c r="C6185" s="3" t="str">
        <f>IFERROR(__xludf.DUMMYFUNCTION("GOOGLETRANSLATE(B6185,""id"",""en"")"),"['Quality', 'signal', 'garbage']")</f>
        <v>['Quality', 'signal', 'garbage']</v>
      </c>
      <c r="D6185" s="3">
        <v>1.0</v>
      </c>
    </row>
    <row r="6186" ht="15.75" customHeight="1">
      <c r="A6186" s="1">
        <v>6649.0</v>
      </c>
      <c r="B6186" s="3" t="s">
        <v>5979</v>
      </c>
      <c r="C6186" s="3" t="str">
        <f>IFERROR(__xludf.DUMMYFUNCTION("GOOGLETRANSLATE(B6186,""id"",""en"")"),"['Good', 'application', 'mencetah']")</f>
        <v>['Good', 'application', 'mencetah']</v>
      </c>
      <c r="D6186" s="3">
        <v>5.0</v>
      </c>
    </row>
    <row r="6187" ht="15.75" customHeight="1">
      <c r="A6187" s="1">
        <v>6651.0</v>
      </c>
      <c r="B6187" s="3" t="s">
        <v>5980</v>
      </c>
      <c r="C6187" s="3" t="str">
        <f>IFERROR(__xludf.DUMMYFUNCTION("GOOGLETRANSLATE(B6187,""id"",""en"")"),"['access', 'internet', 'fast']")</f>
        <v>['access', 'internet', 'fast']</v>
      </c>
      <c r="D6187" s="3">
        <v>5.0</v>
      </c>
    </row>
    <row r="6188" ht="15.75" customHeight="1">
      <c r="A6188" s="1">
        <v>6652.0</v>
      </c>
      <c r="B6188" s="3" t="s">
        <v>5981</v>
      </c>
      <c r="C6188" s="3" t="str">
        <f>IFERROR(__xludf.DUMMYFUNCTION("GOOGLETRANSLATE(B6188,""id"",""en"")"),"['Satisfied', 'Mksh', 'Telkomsel', '']")</f>
        <v>['Satisfied', 'Mksh', 'Telkomsel', '']</v>
      </c>
      <c r="D6188" s="3">
        <v>4.0</v>
      </c>
    </row>
    <row r="6189" ht="15.75" customHeight="1">
      <c r="A6189" s="1">
        <v>6653.0</v>
      </c>
      <c r="B6189" s="3" t="s">
        <v>5982</v>
      </c>
      <c r="C6189" s="3" t="str">
        <f>IFERROR(__xludf.DUMMYFUNCTION("GOOGLETRANSLATE(B6189,""id"",""en"")"),"['Telkomsel', 'Network', 'Good', '']")</f>
        <v>['Telkomsel', 'Network', 'Good', '']</v>
      </c>
      <c r="D6189" s="3">
        <v>1.0</v>
      </c>
    </row>
    <row r="6190" ht="15.75" customHeight="1">
      <c r="A6190" s="1">
        <v>6654.0</v>
      </c>
      <c r="B6190" s="3" t="s">
        <v>5983</v>
      </c>
      <c r="C6190" s="3" t="str">
        <f>IFERROR(__xludf.DUMMYFUNCTION("GOOGLETRANSLATE(B6190,""id"",""en"")"),"['Telkomsel', 'times', 'electricity', 'go out', 'signal', 'down', 'package', 'expensive', 'service', ""]")</f>
        <v>['Telkomsel', 'times', 'electricity', 'go out', 'signal', 'down', 'package', 'expensive', 'service', "]</v>
      </c>
      <c r="D6190" s="3">
        <v>1.0</v>
      </c>
    </row>
    <row r="6191" ht="15.75" customHeight="1">
      <c r="A6191" s="1">
        <v>6655.0</v>
      </c>
      <c r="B6191" s="3" t="s">
        <v>5984</v>
      </c>
      <c r="C6191" s="3" t="str">
        <f>IFERROR(__xludf.DUMMYFUNCTION("GOOGLETRANSLATE(B6191,""id"",""en"")"),"['Good', 'easy', '']")</f>
        <v>['Good', 'easy', '']</v>
      </c>
      <c r="D6191" s="3">
        <v>5.0</v>
      </c>
    </row>
    <row r="6192" ht="15.75" customHeight="1">
      <c r="A6192" s="1">
        <v>6656.0</v>
      </c>
      <c r="B6192" s="3" t="s">
        <v>5985</v>
      </c>
      <c r="C6192" s="3" t="str">
        <f>IFERROR(__xludf.DUMMYFUNCTION("GOOGLETRANSLATE(B6192,""id"",""en"")"),"['Credit', 'Out', 'Fill', 'Tomorrow', 'Credit', 'Telkomsel', 'Eat', 'Pulse', 'Please', 'Fix']")</f>
        <v>['Credit', 'Out', 'Fill', 'Tomorrow', 'Credit', 'Telkomsel', 'Eat', 'Pulse', 'Please', 'Fix']</v>
      </c>
      <c r="D6192" s="3">
        <v>1.0</v>
      </c>
    </row>
    <row r="6193" ht="15.75" customHeight="1">
      <c r="A6193" s="1">
        <v>6657.0</v>
      </c>
      <c r="B6193" s="3" t="s">
        <v>5986</v>
      </c>
      <c r="C6193" s="3" t="str">
        <f>IFERROR(__xludf.DUMMYFUNCTION("GOOGLETRANSLATE(B6193,""id"",""en"")"),"['Blm', 'PHITE']")</f>
        <v>['Blm', 'PHITE']</v>
      </c>
      <c r="D6193" s="3">
        <v>3.0</v>
      </c>
    </row>
    <row r="6194" ht="15.75" customHeight="1">
      <c r="A6194" s="1">
        <v>6658.0</v>
      </c>
      <c r="B6194" s="3" t="s">
        <v>5987</v>
      </c>
      <c r="C6194" s="3" t="str">
        <f>IFERROR(__xludf.DUMMYFUNCTION("GOOGLETRANSLATE(B6194,""id"",""en"")"),"['activation', 'package', 'internet', 'spend', 'wait', 'hope', 'overcome']")</f>
        <v>['activation', 'package', 'internet', 'spend', 'wait', 'hope', 'overcome']</v>
      </c>
      <c r="D6194" s="3">
        <v>3.0</v>
      </c>
    </row>
    <row r="6195" ht="15.75" customHeight="1">
      <c r="A6195" s="1">
        <v>6659.0</v>
      </c>
      <c r="B6195" s="3" t="s">
        <v>5988</v>
      </c>
      <c r="C6195" s="3" t="str">
        <f>IFERROR(__xludf.DUMMYFUNCTION("GOOGLETRANSLATE(B6195,""id"",""en"")"),"['Service', 'Network', 'satisfying']")</f>
        <v>['Service', 'Network', 'satisfying']</v>
      </c>
      <c r="D6195" s="3">
        <v>5.0</v>
      </c>
    </row>
    <row r="6196" ht="15.75" customHeight="1">
      <c r="A6196" s="1">
        <v>6661.0</v>
      </c>
      <c r="B6196" s="3" t="s">
        <v>5989</v>
      </c>
      <c r="C6196" s="3" t="str">
        <f>IFERROR(__xludf.DUMMYFUNCTION("GOOGLETRANSLATE(B6196,""id"",""en"")"),"['Signal', 'boss', 'Cokkk', 'Tollog', 'Tikikkiiii', 'Package', 'expensive', 'TPI', 'Network', 'rotatekk']")</f>
        <v>['Signal', 'boss', 'Cokkk', 'Tollog', 'Tikikkiiii', 'Package', 'expensive', 'TPI', 'Network', 'rotatekk']</v>
      </c>
      <c r="D6196" s="3">
        <v>1.0</v>
      </c>
    </row>
    <row r="6197" ht="15.75" customHeight="1">
      <c r="A6197" s="1">
        <v>6662.0</v>
      </c>
      <c r="B6197" s="3" t="s">
        <v>5990</v>
      </c>
      <c r="C6197" s="3" t="str">
        <f>IFERROR(__xludf.DUMMYFUNCTION("GOOGLETRANSLATE(B6197,""id"",""en"")"),"['Multimedia', 'use', 'Mass', 'EXS', 'THN', '']")</f>
        <v>['Multimedia', 'use', 'Mass', 'EXS', 'THN', '']</v>
      </c>
      <c r="D6197" s="3">
        <v>1.0</v>
      </c>
    </row>
    <row r="6198" ht="15.75" customHeight="1">
      <c r="A6198" s="1">
        <v>6663.0</v>
      </c>
      <c r="B6198" s="3" t="s">
        <v>5991</v>
      </c>
      <c r="C6198" s="3" t="str">
        <f>IFERROR(__xludf.DUMMYFUNCTION("GOOGLETRANSLATE(B6198,""id"",""en"")"),"['signal', 'missing']")</f>
        <v>['signal', 'missing']</v>
      </c>
      <c r="D6198" s="3">
        <v>1.0</v>
      </c>
    </row>
    <row r="6199" ht="15.75" customHeight="1">
      <c r="A6199" s="1">
        <v>6664.0</v>
      </c>
      <c r="B6199" s="3" t="s">
        <v>5992</v>
      </c>
      <c r="C6199" s="3" t="str">
        <f>IFERROR(__xludf.DUMMYFUNCTION("GOOGLETRANSLATE(B6199,""id"",""en"")"),"['Register', 'SMS', 'Slow', 'Sound', 'Dlm', 'Conversation', 'Disconnected', 'Disconnect', 'Stable', ""]")</f>
        <v>['Register', 'SMS', 'Slow', 'Sound', 'Dlm', 'Conversation', 'Disconnected', 'Disconnect', 'Stable', "]</v>
      </c>
      <c r="D6199" s="3">
        <v>4.0</v>
      </c>
    </row>
    <row r="6200" ht="15.75" customHeight="1">
      <c r="A6200" s="1">
        <v>6666.0</v>
      </c>
      <c r="B6200" s="3" t="s">
        <v>5993</v>
      </c>
      <c r="C6200" s="3" t="str">
        <f>IFERROR(__xludf.DUMMYFUNCTION("GOOGLETRANSLATE(B6200,""id"",""en"")"),"['Operator', 'dilapidated', 'right', 'spends',' pulse ',' person ',' doang ',' usually ',' paketan ',' pulse ',' abis', 'pmna', ' signal ',' skrg ',' already ',' difficult ',' ilang ',' trs', 'dsar', 'win', 'expensive', 'doang', 'telkomsel']")</f>
        <v>['Operator', 'dilapidated', 'right', 'spends',' pulse ',' person ',' doang ',' usually ',' paketan ',' pulse ',' abis', 'pmna', ' signal ',' skrg ',' already ',' difficult ',' ilang ',' trs', 'dsar', 'win', 'expensive', 'doang', 'telkomsel']</v>
      </c>
      <c r="D6200" s="3">
        <v>1.0</v>
      </c>
    </row>
    <row r="6201" ht="15.75" customHeight="1">
      <c r="A6201" s="1">
        <v>6668.0</v>
      </c>
      <c r="B6201" s="3" t="s">
        <v>5994</v>
      </c>
      <c r="C6201" s="3" t="str">
        <f>IFERROR(__xludf.DUMMYFUNCTION("GOOGLETRANSLATE(B6201,""id"",""en"")"),"['', 'buy', 'quota', 'combo', 'max', 'via', 'MyTelkomsel', 'payment', 'shopeepay', 'skrang', 'quota', 'tdak', 'entered ',' PDHAL ',' Fund ',' SDAH ',' Cut ',' SDAH ',' Try ',' Chat ',' Via ',' Application ',' WhatsApp ',' Gera ',' directed ', 'Robot', '']")</f>
        <v>['', 'buy', 'quota', 'combo', 'max', 'via', 'MyTelkomsel', 'payment', 'shopeepay', 'skrang', 'quota', 'tdak', 'entered ',' PDHAL ',' Fund ',' SDAH ',' Cut ',' SDAH ',' Try ',' Chat ',' Via ',' Application ',' WhatsApp ',' Gera ',' directed ', 'Robot', '']</v>
      </c>
      <c r="D6201" s="3">
        <v>1.0</v>
      </c>
    </row>
    <row r="6202" ht="15.75" customHeight="1">
      <c r="A6202" s="1">
        <v>6669.0</v>
      </c>
      <c r="B6202" s="3" t="s">
        <v>5995</v>
      </c>
      <c r="C6202" s="3" t="str">
        <f>IFERROR(__xludf.DUMMYFUNCTION("GOOGLETRANSLATE(B6202,""id"",""en"")"),"['Paketan', 'entry', 'balance', 'already', 'chair', 'price', 'package', 'expensive', 'network', 'disorder', 'disappointing']")</f>
        <v>['Paketan', 'entry', 'balance', 'already', 'chair', 'price', 'package', 'expensive', 'network', 'disorder', 'disappointing']</v>
      </c>
      <c r="D6202" s="3">
        <v>1.0</v>
      </c>
    </row>
    <row r="6203" ht="15.75" customHeight="1">
      <c r="A6203" s="1">
        <v>6670.0</v>
      </c>
      <c r="B6203" s="3" t="s">
        <v>5996</v>
      </c>
      <c r="C6203" s="3" t="str">
        <f>IFERROR(__xludf.DUMMYFUNCTION("GOOGLETRANSLATE(B6203,""id"",""en"")"),"['Price', 'package', 'expensive', 'connection', 'stable', 'price', 'suits',' quality ',' data ',' leak ',' fraud ',' data ',' private ',' person ',' Telkomsel ',' play ',' pst ']")</f>
        <v>['Price', 'package', 'expensive', 'connection', 'stable', 'price', 'suits',' quality ',' data ',' leak ',' fraud ',' data ',' private ',' person ',' Telkomsel ',' play ',' pst ']</v>
      </c>
      <c r="D6203" s="3">
        <v>1.0</v>
      </c>
    </row>
    <row r="6204" ht="15.75" customHeight="1">
      <c r="A6204" s="1">
        <v>6671.0</v>
      </c>
      <c r="B6204" s="3" t="s">
        <v>5997</v>
      </c>
      <c r="C6204" s="3" t="str">
        <f>IFERROR(__xludf.DUMMYFUNCTION("GOOGLETRANSLATE(B6204,""id"",""en"")"),"['signal', 'strong', 'price', 'friendly']")</f>
        <v>['signal', 'strong', 'price', 'friendly']</v>
      </c>
      <c r="D6204" s="3">
        <v>5.0</v>
      </c>
    </row>
    <row r="6205" ht="15.75" customHeight="1">
      <c r="A6205" s="1">
        <v>6672.0</v>
      </c>
      <c r="B6205" s="3" t="s">
        <v>5998</v>
      </c>
      <c r="C6205" s="3" t="str">
        <f>IFERROR(__xludf.DUMMYFUNCTION("GOOGLETRANSLATE(B6205,""id"",""en"")"),"['Network', 'Good', 'Bintang', 'Duku']")</f>
        <v>['Network', 'Good', 'Bintang', 'Duku']</v>
      </c>
      <c r="D6205" s="3">
        <v>3.0</v>
      </c>
    </row>
    <row r="6206" ht="15.75" customHeight="1">
      <c r="A6206" s="1">
        <v>6673.0</v>
      </c>
      <c r="B6206" s="3" t="s">
        <v>5999</v>
      </c>
      <c r="C6206" s="3" t="str">
        <f>IFERROR(__xludf.DUMMYFUNCTION("GOOGLETRANSLATE(B6206,""id"",""en"")"),"['package', 'internet', 'expensive', 'expensive']")</f>
        <v>['package', 'internet', 'expensive', 'expensive']</v>
      </c>
      <c r="D6206" s="3">
        <v>2.0</v>
      </c>
    </row>
    <row r="6207" ht="15.75" customHeight="1">
      <c r="A6207" s="1">
        <v>6674.0</v>
      </c>
      <c r="B6207" s="3" t="s">
        <v>6000</v>
      </c>
      <c r="C6207" s="3" t="str">
        <f>IFERROR(__xludf.DUMMYFUNCTION("GOOGLETRANSLATE(B6207,""id"",""en"")"),"['Koyo', 'Signal', 'Neng', 'Bandarlampung', 'tempek']")</f>
        <v>['Koyo', 'Signal', 'Neng', 'Bandarlampung', 'tempek']</v>
      </c>
      <c r="D6207" s="3">
        <v>1.0</v>
      </c>
    </row>
    <row r="6208" ht="15.75" customHeight="1">
      <c r="A6208" s="1">
        <v>6675.0</v>
      </c>
      <c r="B6208" s="3" t="s">
        <v>6001</v>
      </c>
      <c r="C6208" s="3" t="str">
        <f>IFERROR(__xludf.DUMMYFUNCTION("GOOGLETRANSLATE(B6208,""id"",""en"")"),"['Start', 'signal', 'area']")</f>
        <v>['Start', 'signal', 'area']</v>
      </c>
      <c r="D6208" s="3">
        <v>1.0</v>
      </c>
    </row>
    <row r="6209" ht="15.75" customHeight="1">
      <c r="A6209" s="1">
        <v>6676.0</v>
      </c>
      <c r="B6209" s="3" t="s">
        <v>6002</v>
      </c>
      <c r="C6209" s="3" t="str">
        <f>IFERROR(__xludf.DUMMYFUNCTION("GOOGLETRANSLATE(B6209,""id"",""en"")"),"['Constrained', 'Purchase', 'Package', 'Data', 'Call', 'Update', 'Disorders',' Disruption ',' System ',' Buy ',' Package ',' Data ',' Package ',' Call ']")</f>
        <v>['Constrained', 'Purchase', 'Package', 'Data', 'Call', 'Update', 'Disorders',' Disruption ',' System ',' Buy ',' Package ',' Data ',' Package ',' Call ']</v>
      </c>
      <c r="D6209" s="3">
        <v>4.0</v>
      </c>
    </row>
    <row r="6210" ht="15.75" customHeight="1">
      <c r="A6210" s="1">
        <v>6677.0</v>
      </c>
      <c r="B6210" s="3" t="s">
        <v>6003</v>
      </c>
      <c r="C6210" s="3" t="str">
        <f>IFERROR(__xludf.DUMMYFUNCTION("GOOGLETRANSLATE(B6210,""id"",""en"")"),"['lottery prize']")</f>
        <v>['lottery prize']</v>
      </c>
      <c r="D6210" s="3">
        <v>5.0</v>
      </c>
    </row>
    <row r="6211" ht="15.75" customHeight="1">
      <c r="A6211" s="1">
        <v>6678.0</v>
      </c>
      <c r="B6211" s="3" t="s">
        <v>6004</v>
      </c>
      <c r="C6211" s="3" t="str">
        <f>IFERROR(__xludf.DUMMYFUNCTION("GOOGLETRANSLATE(B6211,""id"",""en"")"),"['Application', 'Tipu', 'Tipu', 'Daily', 'Check', 'Udh', 'Claim', 'Quota', 'Out', 'Credit', 'DLU', 'Not bad', ' rb ',' abis', 'bwt', 'buy', 'package', 'pulse', 'run out', 'dluan', 'fak']")</f>
        <v>['Application', 'Tipu', 'Tipu', 'Daily', 'Check', 'Udh', 'Claim', 'Quota', 'Out', 'Credit', 'DLU', 'Not bad', ' rb ',' abis', 'bwt', 'buy', 'package', 'pulse', 'run out', 'dluan', 'fak']</v>
      </c>
      <c r="D6211" s="3">
        <v>1.0</v>
      </c>
    </row>
    <row r="6212" ht="15.75" customHeight="1">
      <c r="A6212" s="1">
        <v>6679.0</v>
      </c>
      <c r="B6212" s="3" t="s">
        <v>6005</v>
      </c>
      <c r="C6212" s="3" t="str">
        <f>IFERROR(__xludf.DUMMYFUNCTION("GOOGLETRANSLATE(B6212,""id"",""en"")"),"['Help', 'Thanks', 'Telkomsel']")</f>
        <v>['Help', 'Thanks', 'Telkomsel']</v>
      </c>
      <c r="D6212" s="3">
        <v>5.0</v>
      </c>
    </row>
    <row r="6213" ht="15.75" customHeight="1">
      <c r="A6213" s="1">
        <v>6680.0</v>
      </c>
      <c r="B6213" s="3" t="s">
        <v>6006</v>
      </c>
      <c r="C6213" s="3" t="str">
        <f>IFERROR(__xludf.DUMMYFUNCTION("GOOGLETRANSLATE(B6213,""id"",""en"")"),"['', 'The', 'Best', 'suggestion', 'please', 'restrictions',' use ',' credit ',' key ',' pulse ',' data ',' pulse ',' Terpotpng ',' Kare ',' data ',' run out ']")</f>
        <v>['', 'The', 'Best', 'suggestion', 'please', 'restrictions',' use ',' credit ',' key ',' pulse ',' data ',' pulse ',' Terpotpng ',' Kare ',' data ',' run out ']</v>
      </c>
      <c r="D6213" s="3">
        <v>5.0</v>
      </c>
    </row>
    <row r="6214" ht="15.75" customHeight="1">
      <c r="A6214" s="1">
        <v>6681.0</v>
      </c>
      <c r="B6214" s="3" t="s">
        <v>6007</v>
      </c>
      <c r="C6214" s="3" t="str">
        <f>IFERROR(__xludf.DUMMYFUNCTION("GOOGLETRANSLATE(B6214,""id"",""en"")"),"['Network', 'good', 'NGK', 'LEG', 'MNA']")</f>
        <v>['Network', 'good', 'NGK', 'LEG', 'MNA']</v>
      </c>
      <c r="D6214" s="3">
        <v>5.0</v>
      </c>
    </row>
    <row r="6215" ht="15.75" customHeight="1">
      <c r="A6215" s="1">
        <v>6683.0</v>
      </c>
      <c r="B6215" s="3" t="s">
        <v>6008</v>
      </c>
      <c r="C6215" s="3" t="str">
        <f>IFERROR(__xludf.DUMMYFUNCTION("GOOGLETRANSLATE(B6215,""id"",""en"")"),"['The application', 'ugly', 'Bangat']")</f>
        <v>['The application', 'ugly', 'Bangat']</v>
      </c>
      <c r="D6215" s="3">
        <v>1.0</v>
      </c>
    </row>
    <row r="6216" ht="15.75" customHeight="1">
      <c r="A6216" s="1">
        <v>6686.0</v>
      </c>
      <c r="B6216" s="3" t="s">
        <v>6009</v>
      </c>
      <c r="C6216" s="3" t="str">
        <f>IFERROR(__xludf.DUMMYFUNCTION("GOOGLETRANSLATE(B6216,""id"",""en"")"),"['Apps', 'bikessssssss']")</f>
        <v>['Apps', 'bikessssssss']</v>
      </c>
      <c r="D6216" s="3">
        <v>5.0</v>
      </c>
    </row>
    <row r="6217" ht="15.75" customHeight="1">
      <c r="A6217" s="1">
        <v>6687.0</v>
      </c>
      <c r="B6217" s="3" t="s">
        <v>6010</v>
      </c>
      <c r="C6217" s="3" t="str">
        <f>IFERROR(__xludf.DUMMYFUNCTION("GOOGLETRANSLATE(B6217,""id"",""en"")"),"['Love', 'Bintang', 'Network', 'Telkomsel', 'Lemot']")</f>
        <v>['Love', 'Bintang', 'Network', 'Telkomsel', 'Lemot']</v>
      </c>
      <c r="D6217" s="3">
        <v>2.0</v>
      </c>
    </row>
    <row r="6218" ht="15.75" customHeight="1">
      <c r="A6218" s="1">
        <v>6688.0</v>
      </c>
      <c r="B6218" s="3" t="s">
        <v>6011</v>
      </c>
      <c r="C6218" s="3" t="str">
        <f>IFERROR(__xludf.DUMMYFUNCTION("GOOGLETRANSLATE(B6218,""id"",""en"")"),"['Thank you', 'Telkomsel', 'promo', 'help', ""]")</f>
        <v>['Thank you', 'Telkomsel', 'promo', 'help', "]</v>
      </c>
      <c r="D6218" s="3">
        <v>4.0</v>
      </c>
    </row>
    <row r="6219" ht="15.75" customHeight="1">
      <c r="A6219" s="1">
        <v>6689.0</v>
      </c>
      <c r="B6219" s="3" t="s">
        <v>6012</v>
      </c>
      <c r="C6219" s="3" t="str">
        <f>IFERROR(__xludf.DUMMYFUNCTION("GOOGLETRANSLATE(B6219,""id"",""en"")"),"['Telkomsel', 'good', 'uda', 'mash', 'melted', 'chariver', 'package', '']")</f>
        <v>['Telkomsel', 'good', 'uda', 'mash', 'melted', 'chariver', 'package', '']</v>
      </c>
      <c r="D6219" s="3">
        <v>1.0</v>
      </c>
    </row>
    <row r="6220" ht="15.75" customHeight="1">
      <c r="A6220" s="1">
        <v>6690.0</v>
      </c>
      <c r="B6220" s="3" t="s">
        <v>6013</v>
      </c>
      <c r="C6220" s="3" t="str">
        <f>IFERROR(__xludf.DUMMYFUNCTION("GOOGLETRANSLATE(B6220,""id"",""en"")"),"['Helpful', 'really', 'please', 'promo', 'manyin']")</f>
        <v>['Helpful', 'really', 'please', 'promo', 'manyin']</v>
      </c>
      <c r="D6220" s="3">
        <v>5.0</v>
      </c>
    </row>
    <row r="6221" ht="15.75" customHeight="1">
      <c r="A6221" s="1">
        <v>6691.0</v>
      </c>
      <c r="B6221" s="3" t="s">
        <v>6014</v>
      </c>
      <c r="C6221" s="3" t="str">
        <f>IFERROR(__xludf.DUMMYFUNCTION("GOOGLETRANSLATE(B6221,""id"",""en"")"),"['Package', 'data', 'nyampe', 'week', 'telkomsel', 'ngentod', ""]")</f>
        <v>['Package', 'data', 'nyampe', 'week', 'telkomsel', 'ngentod', "]</v>
      </c>
      <c r="D6221" s="3">
        <v>1.0</v>
      </c>
    </row>
    <row r="6222" ht="15.75" customHeight="1">
      <c r="A6222" s="1">
        <v>6692.0</v>
      </c>
      <c r="B6222" s="3" t="s">
        <v>6015</v>
      </c>
      <c r="C6222" s="3" t="str">
        <f>IFERROR(__xludf.DUMMYFUNCTION("GOOGLETRANSLATE(B6222,""id"",""en"")"),"['easy', 'buy', 'pulse', 'tasty', 'choice', 'good', 'easy', 'search', 'package']")</f>
        <v>['easy', 'buy', 'pulse', 'tasty', 'choice', 'good', 'easy', 'search', 'package']</v>
      </c>
      <c r="D6222" s="3">
        <v>5.0</v>
      </c>
    </row>
    <row r="6223" ht="15.75" customHeight="1">
      <c r="A6223" s="1">
        <v>6693.0</v>
      </c>
      <c r="B6223" s="3" t="s">
        <v>6016</v>
      </c>
      <c r="C6223" s="3" t="str">
        <f>IFERROR(__xludf.DUMMYFUNCTION("GOOGLETRANSLATE(B6223,""id"",""en"")"),"['Credit', 'like', 'missing', 'missing']")</f>
        <v>['Credit', 'like', 'missing', 'missing']</v>
      </c>
      <c r="D6223" s="3">
        <v>1.0</v>
      </c>
    </row>
    <row r="6224" ht="15.75" customHeight="1">
      <c r="A6224" s="1">
        <v>6694.0</v>
      </c>
      <c r="B6224" s="3" t="s">
        <v>6017</v>
      </c>
      <c r="C6224" s="3" t="str">
        <f>IFERROR(__xludf.DUMMYFUNCTION("GOOGLETRANSLATE(B6224,""id"",""en"")"),"['Sukakkk', 'easy', 'trouble', 'ngecekk', 'nyahhhh']")</f>
        <v>['Sukakkk', 'easy', 'trouble', 'ngecekk', 'nyahhhh']</v>
      </c>
      <c r="D6224" s="3">
        <v>5.0</v>
      </c>
    </row>
    <row r="6225" ht="15.75" customHeight="1">
      <c r="A6225" s="1">
        <v>6695.0</v>
      </c>
      <c r="B6225" s="3" t="s">
        <v>6018</v>
      </c>
      <c r="C6225" s="3" t="str">
        <f>IFERROR(__xludf.DUMMYFUNCTION("GOOGLETRANSLATE(B6225,""id"",""en"")"),"['Help', 'steady', 'just']")</f>
        <v>['Help', 'steady', 'just']</v>
      </c>
      <c r="D6225" s="3">
        <v>5.0</v>
      </c>
    </row>
    <row r="6226" ht="15.75" customHeight="1">
      <c r="A6226" s="1">
        <v>6696.0</v>
      </c>
      <c r="B6226" s="3" t="s">
        <v>6019</v>
      </c>
      <c r="C6226" s="3" t="str">
        <f>IFERROR(__xludf.DUMMYFUNCTION("GOOGLETRANSLATE(B6226,""id"",""en"")"),"['Dbuka', 'Abis',' already ',' Dbuka ',' Tomorrow ',' Blank ',' White ',' HRUS ',' Clear ',' Data ',' DBuka ',' heavy ',' gjisa ',' walking ',' signal ',' makadian ']")</f>
        <v>['Dbuka', 'Abis',' already ',' Dbuka ',' Tomorrow ',' Blank ',' White ',' HRUS ',' Clear ',' Data ',' DBuka ',' heavy ',' gjisa ',' walking ',' signal ',' makadian ']</v>
      </c>
      <c r="D6226" s="3">
        <v>2.0</v>
      </c>
    </row>
    <row r="6227" ht="15.75" customHeight="1">
      <c r="A6227" s="1">
        <v>6698.0</v>
      </c>
      <c r="B6227" s="3" t="s">
        <v>6020</v>
      </c>
      <c r="C6227" s="3" t="str">
        <f>IFERROR(__xludf.DUMMYFUNCTION("GOOGLETRANSLATE(B6227,""id"",""en"")"),"['thank', 'love', 'package', 'promo', 'economical', 'pocked']")</f>
        <v>['thank', 'love', 'package', 'promo', 'economical', 'pocked']</v>
      </c>
      <c r="D6227" s="3">
        <v>5.0</v>
      </c>
    </row>
    <row r="6228" ht="15.75" customHeight="1">
      <c r="A6228" s="1">
        <v>6699.0</v>
      </c>
      <c r="B6228" s="3" t="s">
        <v>6021</v>
      </c>
      <c r="C6228" s="3" t="str">
        <f>IFERROR(__xludf.DUMMYFUNCTION("GOOGLETRANSLATE(B6228,""id"",""en"")"),"['Package', 'Internet', 'enter', 'Credit', 'Cut', 'Remnant', 'Credit', 'Lost', 'Pekah', 'Telkomsel', 'ugly', 'Service']")</f>
        <v>['Package', 'Internet', 'enter', 'Credit', 'Cut', 'Remnant', 'Credit', 'Lost', 'Pekah', 'Telkomsel', 'ugly', 'Service']</v>
      </c>
      <c r="D6228" s="3">
        <v>1.0</v>
      </c>
    </row>
    <row r="6229" ht="15.75" customHeight="1">
      <c r="A6229" s="1">
        <v>6700.0</v>
      </c>
      <c r="B6229" s="3" t="s">
        <v>6022</v>
      </c>
      <c r="C6229" s="3" t="str">
        <f>IFERROR(__xludf.DUMMYFUNCTION("GOOGLETRANSLATE(B6229,""id"",""en"")"),"['expensive', 'error', 'star']")</f>
        <v>['expensive', 'error', 'star']</v>
      </c>
      <c r="D6229" s="3">
        <v>4.0</v>
      </c>
    </row>
    <row r="6230" ht="15.75" customHeight="1">
      <c r="A6230" s="1">
        <v>6701.0</v>
      </c>
      <c r="B6230" s="3" t="s">
        <v>6023</v>
      </c>
      <c r="C6230" s="3" t="str">
        <f>IFERROR(__xludf.DUMMYFUNCTION("GOOGLETRANSLATE(B6230,""id"",""en"")"),"['Notif', 'reminder', 'bill', 'via', 'telephone', 'exactly', 'pinjol', 'customer', 'loyal', 'pay', 'remind', 'date', ' crazy']")</f>
        <v>['Notif', 'reminder', 'bill', 'via', 'telephone', 'exactly', 'pinjol', 'customer', 'loyal', 'pay', 'remind', 'date', ' crazy']</v>
      </c>
      <c r="D6230" s="3">
        <v>1.0</v>
      </c>
    </row>
    <row r="6231" ht="15.75" customHeight="1">
      <c r="A6231" s="1">
        <v>6702.0</v>
      </c>
      <c r="B6231" s="3" t="s">
        <v>6024</v>
      </c>
      <c r="C6231" s="3" t="str">
        <f>IFERROR(__xludf.DUMMYFUNCTION("GOOGLETRANSLATE(B6231,""id"",""en"")"),"['Activate', 'Telkomsel', 'List', 'Winner', 'Coupon', 'Lottery', 'Establish),' STLH ',' Followed ',' KLH ',' DFTR ',' winner ',' fair ',' fraud ',' jwb ',' himself ',' ']")</f>
        <v>['Activate', 'Telkomsel', 'List', 'Winner', 'Coupon', 'Lottery', 'Establish),' STLH ',' Followed ',' KLH ',' DFTR ',' winner ',' fair ',' fraud ',' jwb ',' himself ',' ']</v>
      </c>
      <c r="D6231" s="3">
        <v>4.0</v>
      </c>
    </row>
    <row r="6232" ht="15.75" customHeight="1">
      <c r="A6232" s="1">
        <v>6703.0</v>
      </c>
      <c r="B6232" s="3" t="s">
        <v>6025</v>
      </c>
      <c r="C6232" s="3" t="str">
        <f>IFERROR(__xludf.DUMMYFUNCTION("GOOGLETRANSLATE(B6232,""id"",""en"")"),"['Ngga', 'obstacles', 'Jos']")</f>
        <v>['Ngga', 'obstacles', 'Jos']</v>
      </c>
      <c r="D6232" s="3">
        <v>5.0</v>
      </c>
    </row>
    <row r="6233" ht="15.75" customHeight="1">
      <c r="A6233" s="1">
        <v>6704.0</v>
      </c>
      <c r="B6233" s="3" t="s">
        <v>6026</v>
      </c>
      <c r="C6233" s="3" t="str">
        <f>IFERROR(__xludf.DUMMYFUNCTION("GOOGLETRANSLATE(B6233,""id"",""en"")"),"['', 'update', 'update', 'ngin']")</f>
        <v>['', 'update', 'update', 'ngin']</v>
      </c>
      <c r="D6233" s="3">
        <v>1.0</v>
      </c>
    </row>
    <row r="6234" ht="15.75" customHeight="1">
      <c r="A6234" s="1">
        <v>6705.0</v>
      </c>
      <c r="B6234" s="3" t="s">
        <v>6027</v>
      </c>
      <c r="C6234" s="3" t="str">
        <f>IFERROR(__xludf.DUMMYFUNCTION("GOOGLETRANSLATE(B6234,""id"",""en"")"),"['Ksini', 'Telkomsel', 'mejakel', 'pulse', 'sucked', 'pdahal', 'already', 'Matiin', 'data', 'expensive', 'sleep', 'buy', ' Credit ',' Sumpot ']")</f>
        <v>['Ksini', 'Telkomsel', 'mejakel', 'pulse', 'sucked', 'pdahal', 'already', 'Matiin', 'data', 'expensive', 'sleep', 'buy', ' Credit ',' Sumpot ']</v>
      </c>
      <c r="D6234" s="3">
        <v>1.0</v>
      </c>
    </row>
    <row r="6235" ht="15.75" customHeight="1">
      <c r="A6235" s="1">
        <v>6706.0</v>
      </c>
      <c r="B6235" s="3" t="s">
        <v>6028</v>
      </c>
      <c r="C6235" s="3" t="str">
        <f>IFERROR(__xludf.DUMMYFUNCTION("GOOGLETRANSLATE(B6235,""id"",""en"")"),"['card', 'help', 'communication', 'family']")</f>
        <v>['card', 'help', 'communication', 'family']</v>
      </c>
      <c r="D6235" s="3">
        <v>5.0</v>
      </c>
    </row>
    <row r="6236" ht="15.75" customHeight="1">
      <c r="A6236" s="1">
        <v>6707.0</v>
      </c>
      <c r="B6236" s="3" t="s">
        <v>6029</v>
      </c>
      <c r="C6236" s="3" t="str">
        <f>IFERROR(__xludf.DUMMYFUNCTION("GOOGLETRANSLATE(B6236,""id"",""en"")"),"['Help', 'Thank "",' Kasi ',' Telkomsel ']")</f>
        <v>['Help', 'Thank ",' Kasi ',' Telkomsel ']</v>
      </c>
      <c r="D6236" s="3">
        <v>5.0</v>
      </c>
    </row>
    <row r="6237" ht="15.75" customHeight="1">
      <c r="A6237" s="1">
        <v>6709.0</v>
      </c>
      <c r="B6237" s="3" t="s">
        <v>6030</v>
      </c>
      <c r="C6237" s="3" t="str">
        <f>IFERROR(__xludf.DUMMYFUNCTION("GOOGLETRANSLATE(B6237,""id"",""en"")"),"['NGIS', 'Credit', 'Mbanking', 'Clock', 'Sampe', 'Kaga', 'Enter', 'Enter', 'KOQ', 'Kagaa', 'Danta', 'Telkomsel', ' long time ']")</f>
        <v>['NGIS', 'Credit', 'Mbanking', 'Clock', 'Sampe', 'Kaga', 'Enter', 'Enter', 'KOQ', 'Kagaa', 'Danta', 'Telkomsel', ' long time ']</v>
      </c>
      <c r="D6237" s="3">
        <v>1.0</v>
      </c>
    </row>
    <row r="6238" ht="15.75" customHeight="1">
      <c r="A6238" s="1">
        <v>6710.0</v>
      </c>
      <c r="B6238" s="3" t="s">
        <v>6031</v>
      </c>
      <c r="C6238" s="3" t="str">
        <f>IFERROR(__xludf.DUMMYFUNCTION("GOOGLETRANSLATE(B6238,""id"",""en"")"),"['Cave', 'Laggggg', 'Ciokkkkk']")</f>
        <v>['Cave', 'Laggggg', 'Ciokkkkk']</v>
      </c>
      <c r="D6238" s="3">
        <v>1.0</v>
      </c>
    </row>
    <row r="6239" ht="15.75" customHeight="1">
      <c r="A6239" s="1">
        <v>6712.0</v>
      </c>
      <c r="B6239" s="3" t="s">
        <v>2620</v>
      </c>
      <c r="C6239" s="3" t="str">
        <f>IFERROR(__xludf.DUMMYFUNCTION("GOOGLETRANSLATE(B6239,""id"",""en"")"),"Of course")</f>
        <v>Of course</v>
      </c>
      <c r="D6239" s="3">
        <v>2.0</v>
      </c>
    </row>
    <row r="6240" ht="15.75" customHeight="1">
      <c r="A6240" s="1">
        <v>6713.0</v>
      </c>
      <c r="B6240" s="3" t="s">
        <v>6032</v>
      </c>
      <c r="C6240" s="3" t="str">
        <f>IFERROR(__xludf.DUMMYFUNCTION("GOOGLETRANSLATE(B6240,""id"",""en"")"),"['Good', 'purchase', 'quota', 'expensive', 'expensive']")</f>
        <v>['Good', 'purchase', 'quota', 'expensive', 'expensive']</v>
      </c>
      <c r="D6240" s="3">
        <v>5.0</v>
      </c>
    </row>
    <row r="6241" ht="15.75" customHeight="1">
      <c r="A6241" s="1">
        <v>6714.0</v>
      </c>
      <c r="B6241" s="3" t="s">
        <v>6033</v>
      </c>
      <c r="C6241" s="3" t="str">
        <f>IFERROR(__xludf.DUMMYFUNCTION("GOOGLETRANSLATE(B6241,""id"",""en"")"),"['', 'already', 'pay', 'wifiiii', 'wifii', 'jelekkkkkkkkkkkkk', 'emotion']")</f>
        <v>['', 'already', 'pay', 'wifiiii', 'wifii', 'jelekkkkkkkkkkkkk', 'emotion']</v>
      </c>
      <c r="D6241" s="3">
        <v>1.0</v>
      </c>
    </row>
    <row r="6242" ht="15.75" customHeight="1">
      <c r="A6242" s="1">
        <v>6715.0</v>
      </c>
      <c r="B6242" s="3" t="s">
        <v>6034</v>
      </c>
      <c r="C6242" s="3" t="str">
        <f>IFERROR(__xludf.DUMMYFUNCTION("GOOGLETRANSLATE(B6242,""id"",""en"")"),"['', 'like', 'baget']")</f>
        <v>['', 'like', 'baget']</v>
      </c>
      <c r="D6242" s="3">
        <v>5.0</v>
      </c>
    </row>
    <row r="6243" ht="15.75" customHeight="1">
      <c r="A6243" s="1">
        <v>6717.0</v>
      </c>
      <c r="B6243" s="3" t="s">
        <v>6035</v>
      </c>
      <c r="C6243" s="3" t="str">
        <f>IFERROR(__xludf.DUMMYFUNCTION("GOOGLETRANSLATE(B6243,""id"",""en"")"),"['Surprise', 'Chance', 'Dreamed']")</f>
        <v>['Surprise', 'Chance', 'Dreamed']</v>
      </c>
      <c r="D6243" s="3">
        <v>5.0</v>
      </c>
    </row>
    <row r="6244" ht="15.75" customHeight="1">
      <c r="A6244" s="1">
        <v>6718.0</v>
      </c>
      <c r="B6244" s="3" t="s">
        <v>6036</v>
      </c>
      <c r="C6244" s="3" t="str">
        <f>IFERROR(__xludf.DUMMYFUNCTION("GOOGLETRANSLATE(B6244,""id"",""en"")"),"['signal', 'slow', 'knp']")</f>
        <v>['signal', 'slow', 'knp']</v>
      </c>
      <c r="D6244" s="3">
        <v>5.0</v>
      </c>
    </row>
    <row r="6245" ht="15.75" customHeight="1">
      <c r="A6245" s="1">
        <v>6719.0</v>
      </c>
      <c r="B6245" s="3" t="s">
        <v>6037</v>
      </c>
      <c r="C6245" s="3" t="str">
        <f>IFERROR(__xludf.DUMMYFUNCTION("GOOGLETRANSLATE(B6245,""id"",""en"")"),"['help', 'makes it easy', 'recharge', 'quota', 'pulse']")</f>
        <v>['help', 'makes it easy', 'recharge', 'quota', 'pulse']</v>
      </c>
      <c r="D6245" s="3">
        <v>5.0</v>
      </c>
    </row>
    <row r="6246" ht="15.75" customHeight="1">
      <c r="A6246" s="1">
        <v>6720.0</v>
      </c>
      <c r="B6246" s="3" t="s">
        <v>6038</v>
      </c>
      <c r="C6246" s="3" t="str">
        <f>IFERROR(__xludf.DUMMYFUNCTION("GOOGLETRANSLATE(B6246,""id"",""en"")"),"['Kouta', 'abis', 'suck', 'kouta', 'unlimited', 'youtube', 'suck', 'kouta', 'main', 'strange', 'Telkomsel']")</f>
        <v>['Kouta', 'abis', 'suck', 'kouta', 'unlimited', 'youtube', 'suck', 'kouta', 'main', 'strange', 'Telkomsel']</v>
      </c>
      <c r="D6246" s="3">
        <v>1.0</v>
      </c>
    </row>
    <row r="6247" ht="15.75" customHeight="1">
      <c r="A6247" s="1">
        <v>6721.0</v>
      </c>
      <c r="B6247" s="3" t="s">
        <v>6039</v>
      </c>
      <c r="C6247" s="3" t="str">
        <f>IFERROR(__xludf.DUMMYFUNCTION("GOOGLETRANSLATE(B6247,""id"",""en"")"),"['Aflication', 'Record', 'really', 'because' easy ',' process ',' fast ',' success ',' Telkomsel ',' message ',' network ',' hope ',' front ',' good ',' territory ',' Kalimantan ',' east ',' because ',' inland ',' thank ',' love ']")</f>
        <v>['Aflication', 'Record', 'really', 'because' easy ',' process ',' fast ',' success ',' Telkomsel ',' message ',' network ',' hope ',' front ',' good ',' territory ',' Kalimantan ',' east ',' because ',' inland ',' thank ',' love ']</v>
      </c>
      <c r="D6247" s="3">
        <v>5.0</v>
      </c>
    </row>
    <row r="6248" ht="15.75" customHeight="1">
      <c r="A6248" s="1">
        <v>6722.0</v>
      </c>
      <c r="B6248" s="3" t="s">
        <v>6040</v>
      </c>
      <c r="C6248" s="3" t="str">
        <f>IFERROR(__xludf.DUMMYFUNCTION("GOOGLETRANSLATE(B6248,""id"",""en"")"),"['Safe', 'trusted']")</f>
        <v>['Safe', 'trusted']</v>
      </c>
      <c r="D6248" s="3">
        <v>5.0</v>
      </c>
    </row>
    <row r="6249" ht="15.75" customHeight="1">
      <c r="A6249" s="1">
        <v>6723.0</v>
      </c>
      <c r="B6249" s="3" t="s">
        <v>6041</v>
      </c>
      <c r="C6249" s="3" t="str">
        <f>IFERROR(__xludf.DUMMYFUNCTION("GOOGLETRANSLATE(B6249,""id"",""en"")"),"['steady', 'easy', 'transaction', 'joss']")</f>
        <v>['steady', 'easy', 'transaction', 'joss']</v>
      </c>
      <c r="D6249" s="3">
        <v>5.0</v>
      </c>
    </row>
    <row r="6250" ht="15.75" customHeight="1">
      <c r="A6250" s="1">
        <v>6724.0</v>
      </c>
      <c r="B6250" s="3" t="s">
        <v>6042</v>
      </c>
      <c r="C6250" s="3" t="str">
        <f>IFERROR(__xludf.DUMMYFUNCTION("GOOGLETRANSLATE(B6250,""id"",""en"")"),"['Out', 'update', 'opened']")</f>
        <v>['Out', 'update', 'opened']</v>
      </c>
      <c r="D6250" s="3">
        <v>1.0</v>
      </c>
    </row>
    <row r="6251" ht="15.75" customHeight="1">
      <c r="A6251" s="1">
        <v>6725.0</v>
      </c>
      <c r="B6251" s="3" t="s">
        <v>6043</v>
      </c>
      <c r="C6251" s="3" t="str">
        <f>IFERROR(__xludf.DUMMYFUNCTION("GOOGLETRANSLATE(B6251,""id"",""en"")"),"['Trima', 'Love', 'Telkomsel', 'Combo', 'Sakti', 'already']")</f>
        <v>['Trima', 'Love', 'Telkomsel', 'Combo', 'Sakti', 'already']</v>
      </c>
      <c r="D6251" s="3">
        <v>5.0</v>
      </c>
    </row>
    <row r="6252" ht="15.75" customHeight="1">
      <c r="A6252" s="1">
        <v>6726.0</v>
      </c>
      <c r="B6252" s="3" t="s">
        <v>6044</v>
      </c>
      <c r="C6252" s="3" t="str">
        <f>IFERROR(__xludf.DUMMYFUNCTION("GOOGLETRANSLATE(B6252,""id"",""en"")"),"['Telkomsel', 'gmna', 'buy', 'package', 'internet', 'gabisa', 'error', 'times',' rich ',' gini ',' otw ',' replace ',' Providers', 'hilarious',' really ',' buy ',' package ',' gabisa ',' ']")</f>
        <v>['Telkomsel', 'gmna', 'buy', 'package', 'internet', 'gabisa', 'error', 'times',' rich ',' gini ',' otw ',' replace ',' Providers', 'hilarious',' really ',' buy ',' package ',' gabisa ',' ']</v>
      </c>
      <c r="D6252" s="3">
        <v>1.0</v>
      </c>
    </row>
    <row r="6253" ht="15.75" customHeight="1">
      <c r="A6253" s="1">
        <v>6727.0</v>
      </c>
      <c r="B6253" s="3" t="s">
        <v>6045</v>
      </c>
      <c r="C6253" s="3" t="str">
        <f>IFERROR(__xludf.DUMMYFUNCTION("GOOGLETRANSLATE(B6253,""id"",""en"")"),"['Claim', 'quota', 'GB', 'Check', 'Daily', 'Credit', 'Points',' Cutting ',' Quota ',' Enter ',' Auto ',' Move ',' Change ',' Operator ']")</f>
        <v>['Claim', 'quota', 'GB', 'Check', 'Daily', 'Credit', 'Points',' Cutting ',' Quota ',' Enter ',' Auto ',' Move ',' Change ',' Operator ']</v>
      </c>
      <c r="D6253" s="3">
        <v>1.0</v>
      </c>
    </row>
    <row r="6254" ht="15.75" customHeight="1">
      <c r="A6254" s="1">
        <v>6728.0</v>
      </c>
      <c r="B6254" s="3" t="s">
        <v>6046</v>
      </c>
      <c r="C6254" s="3" t="str">
        <f>IFERROR(__xludf.DUMMYFUNCTION("GOOGLETRANSLATE(B6254,""id"",""en"")"),"['Lower', 'Price', 'Paketan', '']")</f>
        <v>['Lower', 'Price', 'Paketan', '']</v>
      </c>
      <c r="D6254" s="3">
        <v>5.0</v>
      </c>
    </row>
    <row r="6255" ht="15.75" customHeight="1">
      <c r="A6255" s="1">
        <v>6729.0</v>
      </c>
      <c r="B6255" s="3" t="s">
        <v>6047</v>
      </c>
      <c r="C6255" s="3" t="str">
        <f>IFERROR(__xludf.DUMMYFUNCTION("GOOGLETRANSLATE(B6255,""id"",""en"")"),"['Telkomsel', 'Young']")</f>
        <v>['Telkomsel', 'Young']</v>
      </c>
      <c r="D6255" s="3">
        <v>5.0</v>
      </c>
    </row>
    <row r="6256" ht="15.75" customHeight="1">
      <c r="A6256" s="1">
        <v>6730.0</v>
      </c>
      <c r="B6256" s="3" t="s">
        <v>6048</v>
      </c>
      <c r="C6256" s="3" t="str">
        <f>IFERROR(__xludf.DUMMYFUNCTION("GOOGLETRANSLATE(B6256,""id"",""en"")"),"['buy', 'pulse']")</f>
        <v>['buy', 'pulse']</v>
      </c>
      <c r="D6256" s="3">
        <v>5.0</v>
      </c>
    </row>
    <row r="6257" ht="15.75" customHeight="1">
      <c r="A6257" s="1">
        <v>6731.0</v>
      </c>
      <c r="B6257" s="3" t="s">
        <v>6049</v>
      </c>
      <c r="C6257" s="3" t="str">
        <f>IFERROR(__xludf.DUMMYFUNCTION("GOOGLETRANSLATE(B6257,""id"",""en"")"),"['Already', 'Good', 'Stay', 'Increase', 'Good', '']")</f>
        <v>['Already', 'Good', 'Stay', 'Increase', 'Good', '']</v>
      </c>
      <c r="D6257" s="3">
        <v>5.0</v>
      </c>
    </row>
    <row r="6258" ht="15.75" customHeight="1">
      <c r="A6258" s="1">
        <v>6732.0</v>
      </c>
      <c r="B6258" s="3" t="s">
        <v>6050</v>
      </c>
      <c r="C6258" s="3" t="str">
        <f>IFERROR(__xludf.DUMMYFUNCTION("GOOGLETRANSLATE(B6258,""id"",""en"")"),"['slow', 'right', 'open', 'the application', '']")</f>
        <v>['slow', 'right', 'open', 'the application', '']</v>
      </c>
      <c r="D6258" s="3">
        <v>2.0</v>
      </c>
    </row>
    <row r="6259" ht="15.75" customHeight="1">
      <c r="A6259" s="1">
        <v>6733.0</v>
      </c>
      <c r="B6259" s="3" t="s">
        <v>6051</v>
      </c>
      <c r="C6259" s="3" t="str">
        <f>IFERROR(__xludf.DUMMYFUNCTION("GOOGLETRANSLATE(B6259,""id"",""en"")"),"['Promo', 'Package', 'Increase']")</f>
        <v>['Promo', 'Package', 'Increase']</v>
      </c>
      <c r="D6259" s="3">
        <v>5.0</v>
      </c>
    </row>
    <row r="6260" ht="15.75" customHeight="1">
      <c r="A6260" s="1">
        <v>6735.0</v>
      </c>
      <c r="B6260" s="3" t="s">
        <v>6052</v>
      </c>
      <c r="C6260" s="3" t="str">
        <f>IFERROR(__xludf.DUMMYFUNCTION("GOOGLETRANSLATE(B6260,""id"",""en"")"),"['Alhamdulillah', 'Price', 'Package', 'Internet', 'Telkomsel', 'Down', 'Hopefully', 'In the future', 'extensive', 'network', 'honest', 'Kampung', ' Page ',' Telkomsel ',' and then ',' Sinyal ',' Full ',' Thank you ']")</f>
        <v>['Alhamdulillah', 'Price', 'Package', 'Internet', 'Telkomsel', 'Down', 'Hopefully', 'In the future', 'extensive', 'network', 'honest', 'Kampung', ' Page ',' Telkomsel ',' and then ',' Sinyal ',' Full ',' Thank you ']</v>
      </c>
      <c r="D6260" s="3">
        <v>4.0</v>
      </c>
    </row>
    <row r="6261" ht="15.75" customHeight="1">
      <c r="A6261" s="1">
        <v>6736.0</v>
      </c>
      <c r="B6261" s="3" t="s">
        <v>6053</v>
      </c>
      <c r="C6261" s="3" t="str">
        <f>IFERROR(__xludf.DUMMYFUNCTION("GOOGLETRANSLATE(B6261,""id"",""en"")"),"['Package', 'Internet', 'Combo', 'Sakti', 'Expensive', 'Price', 'Area', 'Kalimantan', 'East', ""]")</f>
        <v>['Package', 'Internet', 'Combo', 'Sakti', 'Expensive', 'Price', 'Area', 'Kalimantan', 'East', "]</v>
      </c>
      <c r="D6261" s="3">
        <v>1.0</v>
      </c>
    </row>
    <row r="6262" ht="15.75" customHeight="1">
      <c r="A6262" s="1">
        <v>6737.0</v>
      </c>
      <c r="B6262" s="3" t="s">
        <v>6054</v>
      </c>
      <c r="C6262" s="3" t="str">
        <f>IFERROR(__xludf.DUMMYFUNCTION("GOOGLETRANSLATE(B6262,""id"",""en"")"),"['Network', 'Internet', 'Telkomsel', 'stable', '']")</f>
        <v>['Network', 'Internet', 'Telkomsel', 'stable', '']</v>
      </c>
      <c r="D6262" s="3">
        <v>4.0</v>
      </c>
    </row>
    <row r="6263" ht="15.75" customHeight="1">
      <c r="A6263" s="1">
        <v>6738.0</v>
      </c>
      <c r="B6263" s="3" t="s">
        <v>6055</v>
      </c>
      <c r="C6263" s="3" t="str">
        <f>IFERROR(__xludf.DUMMYFUNCTION("GOOGLETRANSLATE(B6263,""id"",""en"")"),"['makes it easy', 'bangetttt', ""]")</f>
        <v>['makes it easy', 'bangetttt', "]</v>
      </c>
      <c r="D6263" s="3">
        <v>5.0</v>
      </c>
    </row>
    <row r="6264" ht="15.75" customHeight="1">
      <c r="A6264" s="1">
        <v>6739.0</v>
      </c>
      <c r="B6264" s="3" t="s">
        <v>6056</v>
      </c>
      <c r="C6264" s="3" t="str">
        <f>IFERROR(__xludf.DUMMYFUNCTION("GOOGLETRANSLATE(B6264,""id"",""en"")"),"['Telkomsel', 'strange', 'already', 'signal', 'telattttt', 'price', 'package', 'combo', 'magic', 'max', 'GB', 'price', ' thousand ',' Telkomsel ',' sekrang ',' poor ',' ane ',' kasik ',' star ',' telkomsel ',' price ',' package ',' combo ',' sakti ',' ']")</f>
        <v>['Telkomsel', 'strange', 'already', 'signal', 'telattttt', 'price', 'package', 'combo', 'magic', 'max', 'GB', 'price', ' thousand ',' Telkomsel ',' sekrang ',' poor ',' ane ',' kasik ',' star ',' telkomsel ',' price ',' package ',' combo ',' sakti ',' ']</v>
      </c>
      <c r="D6264" s="3">
        <v>1.0</v>
      </c>
    </row>
    <row r="6265" ht="15.75" customHeight="1">
      <c r="A6265" s="1">
        <v>6740.0</v>
      </c>
      <c r="B6265" s="3" t="s">
        <v>6057</v>
      </c>
      <c r="C6265" s="3" t="str">
        <f>IFERROR(__xludf.DUMMYFUNCTION("GOOGLETRANSLATE(B6265,""id"",""en"")"),"['buy', 'package', 'data', 'balance', 'cut', 'package', 'data', 'enter']")</f>
        <v>['buy', 'package', 'data', 'balance', 'cut', 'package', 'data', 'enter']</v>
      </c>
      <c r="D6265" s="3">
        <v>1.0</v>
      </c>
    </row>
    <row r="6266" ht="15.75" customHeight="1">
      <c r="A6266" s="1">
        <v>6741.0</v>
      </c>
      <c r="B6266" s="3" t="s">
        <v>6058</v>
      </c>
      <c r="C6266" s="3" t="str">
        <f>IFERROR(__xludf.DUMMYFUNCTION("GOOGLETRANSLATE(B6266,""id"",""en"")"),"['Please', 'The network', 'repaired', 'payment', 'Kouta', 'expensive']")</f>
        <v>['Please', 'The network', 'repaired', 'payment', 'Kouta', 'expensive']</v>
      </c>
      <c r="D6266" s="3">
        <v>2.0</v>
      </c>
    </row>
    <row r="6267" ht="15.75" customHeight="1">
      <c r="A6267" s="1">
        <v>6742.0</v>
      </c>
      <c r="B6267" s="3" t="s">
        <v>6059</v>
      </c>
      <c r="C6267" s="3" t="str">
        <f>IFERROR(__xludf.DUMMYFUNCTION("GOOGLETRANSLATE(B6267,""id"",""en"")"),"['Loading', 'application']")</f>
        <v>['Loading', 'application']</v>
      </c>
      <c r="D6267" s="3">
        <v>1.0</v>
      </c>
    </row>
    <row r="6268" ht="15.75" customHeight="1">
      <c r="A6268" s="1">
        <v>6743.0</v>
      </c>
      <c r="B6268" s="3" t="s">
        <v>6060</v>
      </c>
      <c r="C6268" s="3" t="str">
        <f>IFERROR(__xludf.DUMMYFUNCTION("GOOGLETRANSLATE(B6268,""id"",""en"")"),"['umpteenth', 'time', 'buy', 'package', 'send', 'gift', 'payment', 'app', 'linkaja', 'data', 'quota', 'enter', ' Transactions', 'SUCCESS', '']")</f>
        <v>['umpteenth', 'time', 'buy', 'package', 'send', 'gift', 'payment', 'app', 'linkaja', 'data', 'quota', 'enter', ' Transactions', 'SUCCESS', '']</v>
      </c>
      <c r="D6268" s="3">
        <v>1.0</v>
      </c>
    </row>
    <row r="6269" ht="15.75" customHeight="1">
      <c r="A6269" s="1">
        <v>6744.0</v>
      </c>
      <c r="B6269" s="3" t="s">
        <v>6061</v>
      </c>
      <c r="C6269" s="3" t="str">
        <f>IFERROR(__xludf.DUMMYFUNCTION("GOOGLETRANSLATE(B6269,""id"",""en"")"),"['customer', '']")</f>
        <v>['customer', '']</v>
      </c>
      <c r="D6269" s="3">
        <v>5.0</v>
      </c>
    </row>
    <row r="6270" ht="15.75" customHeight="1">
      <c r="A6270" s="1">
        <v>6745.0</v>
      </c>
      <c r="B6270" s="3" t="s">
        <v>6062</v>
      </c>
      <c r="C6270" s="3" t="str">
        <f>IFERROR(__xludf.DUMMYFUNCTION("GOOGLETRANSLATE(B6270,""id"",""en"")"),"['Telkomsel', 'choice', '']")</f>
        <v>['Telkomsel', 'choice', '']</v>
      </c>
      <c r="D6270" s="3">
        <v>5.0</v>
      </c>
    </row>
    <row r="6271" ht="15.75" customHeight="1">
      <c r="A6271" s="1">
        <v>6746.0</v>
      </c>
      <c r="B6271" s="3" t="s">
        <v>6063</v>
      </c>
      <c r="C6271" s="3" t="str">
        <f>IFERROR(__xludf.DUMMYFUNCTION("GOOGLETRANSLATE(B6271,""id"",""en"")"),"['application', 'good', 'really', 'easy', 'buy', 'package', 'data', 'Telkomsel', 'promo', ""]")</f>
        <v>['application', 'good', 'really', 'easy', 'buy', 'package', 'data', 'Telkomsel', 'promo', "]</v>
      </c>
      <c r="D6271" s="3">
        <v>5.0</v>
      </c>
    </row>
    <row r="6272" ht="15.75" customHeight="1">
      <c r="A6272" s="1">
        <v>6747.0</v>
      </c>
      <c r="B6272" s="3" t="s">
        <v>6064</v>
      </c>
      <c r="C6272" s="3" t="str">
        <f>IFERROR(__xludf.DUMMYFUNCTION("GOOGLETRANSLATE(B6272,""id"",""en"")"),"['Review', 'deleted', 'Telkomsel', 'repeated', 'times',' pulses', 'run out', 'total', 'zero', 'rupiah', 'wifi', 'setting', ' network ',' automatic ',' guaranteed ',' pulse ',' zero ',' rupiah ',' hadeehhh ',' response ',' telkomsel ',' oat ',' beg ',' mim"&amp;"in ' , 'Sad', 'pulse', 'brother', 'truncated', 'kaco', 'really', 'hahaha', '']")</f>
        <v>['Review', 'deleted', 'Telkomsel', 'repeated', 'times',' pulses', 'run out', 'total', 'zero', 'rupiah', 'wifi', 'setting', ' network ',' automatic ',' guaranteed ',' pulse ',' zero ',' rupiah ',' hadeehhh ',' response ',' telkomsel ',' oat ',' beg ',' mimin ' , 'Sad', 'pulse', 'brother', 'truncated', 'kaco', 'really', 'hahaha', '']</v>
      </c>
      <c r="D6272" s="3">
        <v>1.0</v>
      </c>
    </row>
    <row r="6273" ht="15.75" customHeight="1">
      <c r="A6273" s="1">
        <v>6748.0</v>
      </c>
      <c r="B6273" s="3" t="s">
        <v>6065</v>
      </c>
      <c r="C6273" s="3" t="str">
        <f>IFERROR(__xludf.DUMMYFUNCTION("GOOGLETRANSLATE(B6273,""id"",""en"")"),"['Steady', 'staple', 'Telkomsel']")</f>
        <v>['Steady', 'staple', 'Telkomsel']</v>
      </c>
      <c r="D6273" s="3">
        <v>5.0</v>
      </c>
    </row>
    <row r="6274" ht="15.75" customHeight="1">
      <c r="A6274" s="1">
        <v>6749.0</v>
      </c>
      <c r="B6274" s="3" t="s">
        <v>6066</v>
      </c>
      <c r="C6274" s="3" t="str">
        <f>IFERROR(__xludf.DUMMYFUNCTION("GOOGLETRANSLATE(B6274,""id"",""en"")"),"['quota', 'stealth', 'buy', 'pulse', 'buy', 'quota', 'promo', 'right', 'buy', 'quota', 'lost', 'promo', ' MKSUD ',' Woy ',' VAIN ',' '']")</f>
        <v>['quota', 'stealth', 'buy', 'pulse', 'buy', 'quota', 'promo', 'right', 'buy', 'quota', 'lost', 'promo', ' MKSUD ',' Woy ',' VAIN ',' '']</v>
      </c>
      <c r="D6274" s="3">
        <v>1.0</v>
      </c>
    </row>
    <row r="6275" ht="15.75" customHeight="1">
      <c r="A6275" s="1">
        <v>6750.0</v>
      </c>
      <c r="B6275" s="3" t="s">
        <v>6067</v>
      </c>
      <c r="C6275" s="3" t="str">
        <f>IFERROR(__xludf.DUMMYFUNCTION("GOOGLETRANSLATE(B6275,""id"",""en"")"),"['hope', 'gift']")</f>
        <v>['hope', 'gift']</v>
      </c>
      <c r="D6275" s="3">
        <v>4.0</v>
      </c>
    </row>
    <row r="6276" ht="15.75" customHeight="1">
      <c r="A6276" s="1">
        <v>6751.0</v>
      </c>
      <c r="B6276" s="3" t="s">
        <v>6068</v>
      </c>
      <c r="C6276" s="3" t="str">
        <f>IFERROR(__xludf.DUMMYFUNCTION("GOOGLETRANSLATE(B6276,""id"",""en"")"),"['Event', 'voucher', 'Daily', 'checkin', 'Considered', 'Dipke', 'int', 'liedure', 'customer', 'poor', ""]")</f>
        <v>['Event', 'voucher', 'Daily', 'checkin', 'Considered', 'Dipke', 'int', 'liedure', 'customer', 'poor', "]</v>
      </c>
      <c r="D6276" s="3">
        <v>1.0</v>
      </c>
    </row>
    <row r="6277" ht="15.75" customHeight="1">
      <c r="A6277" s="1">
        <v>6752.0</v>
      </c>
      <c r="B6277" s="3" t="s">
        <v>6069</v>
      </c>
      <c r="C6277" s="3" t="str">
        <f>IFERROR(__xludf.DUMMYFUNCTION("GOOGLETRANSLATE(B6277,""id"",""en"")"),"['Talikin', 'Money', 'Anjeeng', 'UDH', 'Process',' Payment ',' Balance ',' UDH ',' Shocker ',' Package ',' Yng ',' Buy ',' Belom ',' appears', 'JGA', 'Provider', 'Robber', 'People', 'Emotion', 'LGI', 'Application', 'Rich', 'Taeq', 'Load', 'Trus' , 'Hang',"&amp;" 'nie', 'apps', 'application', 'rotten', 'yng', 'jga', 'until', 'that way', ""]")</f>
        <v>['Talikin', 'Money', 'Anjeeng', 'UDH', 'Process',' Payment ',' Balance ',' UDH ',' Shocker ',' Package ',' Yng ',' Buy ',' Belom ',' appears', 'JGA', 'Provider', 'Robber', 'People', 'Emotion', 'LGI', 'Application', 'Rich', 'Taeq', 'Load', 'Trus' , 'Hang', 'nie', 'apps', 'application', 'rotten', 'yng', 'jga', 'until', 'that way', "]</v>
      </c>
      <c r="D6277" s="3">
        <v>1.0</v>
      </c>
    </row>
    <row r="6278" ht="15.75" customHeight="1">
      <c r="A6278" s="1">
        <v>6753.0</v>
      </c>
      <c r="B6278" s="3" t="s">
        <v>6070</v>
      </c>
      <c r="C6278" s="3" t="str">
        <f>IFERROR(__xludf.DUMMYFUNCTION("GOOGLETRANSLATE(B6278,""id"",""en"")"),"['Telkomsel', 'steal', 'balance', 'transaction', 'succeed', 'quota', 'nil', 'heart', 'palman', 'signal', 'slow', 'severe', ' Dichat ',' DIELP ',' comment ',' full ',' steal ',' balance ',' coins', ""]")</f>
        <v>['Telkomsel', 'steal', 'balance', 'transaction', 'succeed', 'quota', 'nil', 'heart', 'palman', 'signal', 'slow', 'severe', ' Dichat ',' DIELP ',' comment ',' full ',' steal ',' balance ',' coins', "]</v>
      </c>
      <c r="D6278" s="3">
        <v>1.0</v>
      </c>
    </row>
    <row r="6279" ht="15.75" customHeight="1">
      <c r="A6279" s="1">
        <v>6754.0</v>
      </c>
      <c r="B6279" s="3" t="s">
        <v>6071</v>
      </c>
      <c r="C6279" s="3" t="str">
        <f>IFERROR(__xludf.DUMMYFUNCTION("GOOGLETRANSLATE(B6279,""id"",""en"")"),"['Maap', 'Lower', 'Bintang', 'Service', 'Come', 'Bad', 'Payment', 'Quota', 'Failed', 'Credit', 'Emergency', 'Reliable', ' ']")</f>
        <v>['Maap', 'Lower', 'Bintang', 'Service', 'Come', 'Bad', 'Payment', 'Quota', 'Failed', 'Credit', 'Emergency', 'Reliable', ' ']</v>
      </c>
      <c r="D6279" s="3">
        <v>1.0</v>
      </c>
    </row>
    <row r="6280" ht="15.75" customHeight="1">
      <c r="A6280" s="1">
        <v>6755.0</v>
      </c>
      <c r="B6280" s="3" t="s">
        <v>6072</v>
      </c>
      <c r="C6280" s="3" t="str">
        <f>IFERROR(__xludf.DUMMYFUNCTION("GOOGLETRANSLATE(B6280,""id"",""en"")"),"['free', 'buy', 'package', 'quota', 'buy', 'package', 'mytelkomsel', 'pay', 'linkaja', 'balance', 'truncated', 'package', ' active ',' chat ',' operator ',' tidqk ',' response ',' emang ',' admin ',' alert ',' clock ',' ']")</f>
        <v>['free', 'buy', 'package', 'quota', 'buy', 'package', 'mytelkomsel', 'pay', 'linkaja', 'balance', 'truncated', 'package', ' active ',' chat ',' operator ',' tidqk ',' response ',' emang ',' admin ',' alert ',' clock ',' ']</v>
      </c>
      <c r="D6280" s="3">
        <v>1.0</v>
      </c>
    </row>
    <row r="6281" ht="15.75" customHeight="1">
      <c r="A6281" s="1">
        <v>6756.0</v>
      </c>
      <c r="B6281" s="3" t="s">
        <v>6073</v>
      </c>
      <c r="C6281" s="3" t="str">
        <f>IFERROR(__xludf.DUMMYFUNCTION("GOOGLETRANSLATE(B6281,""id"",""en"")"),"['Paketannya', 'Granish']")</f>
        <v>['Paketannya', 'Granish']</v>
      </c>
      <c r="D6281" s="3">
        <v>5.0</v>
      </c>
    </row>
    <row r="6282" ht="15.75" customHeight="1">
      <c r="A6282" s="1">
        <v>6757.0</v>
      </c>
      <c r="B6282" s="3" t="s">
        <v>6074</v>
      </c>
      <c r="C6282" s="3" t="str">
        <f>IFERROR(__xludf.DUMMYFUNCTION("GOOGLETRANSLATE(B6282,""id"",""en"")"),"['Service', 'satisfying']")</f>
        <v>['Service', 'satisfying']</v>
      </c>
      <c r="D6282" s="3">
        <v>1.0</v>
      </c>
    </row>
    <row r="6283" ht="15.75" customHeight="1">
      <c r="A6283" s="1">
        <v>6758.0</v>
      </c>
      <c r="B6283" s="3" t="s">
        <v>6075</v>
      </c>
      <c r="C6283" s="3" t="str">
        <f>IFERROR(__xludf.DUMMYFUNCTION("GOOGLETRANSLATE(B6283,""id"",""en"")"),"['Date', 'October', 'Apikasih', 'Telkomsel', 'ugly', 'because of', 'Payment', 'Purchase', 'Peket', 'Payment', 'Success',' Package ',' the quota ',' entry ',' please ',' repaired ',' bintan ',' fox ',' package ',' entry ',' trimakasih ',' buy ',' package '"&amp;",' easy ',' quota ' , 'Enter', 'enter', 'purchase', 'SUCCESS']")</f>
        <v>['Date', 'October', 'Apikasih', 'Telkomsel', 'ugly', 'because of', 'Payment', 'Purchase', 'Peket', 'Payment', 'Success',' Package ',' the quota ',' entry ',' please ',' repaired ',' bintan ',' fox ',' package ',' entry ',' trimakasih ',' buy ',' package ',' easy ',' quota ' , 'Enter', 'enter', 'purchase', 'SUCCESS']</v>
      </c>
      <c r="D6283" s="3">
        <v>1.0</v>
      </c>
    </row>
    <row r="6284" ht="15.75" customHeight="1">
      <c r="A6284" s="1">
        <v>6759.0</v>
      </c>
      <c r="B6284" s="3" t="s">
        <v>6076</v>
      </c>
      <c r="C6284" s="3" t="str">
        <f>IFERROR(__xludf.DUMMYFUNCTION("GOOGLETRANSLATE(B6284,""id"",""en"")"),"['Response', 'Customer', 'Slow', 'Response', 'Error']")</f>
        <v>['Response', 'Customer', 'Slow', 'Response', 'Error']</v>
      </c>
      <c r="D6284" s="3">
        <v>2.0</v>
      </c>
    </row>
    <row r="6285" ht="15.75" customHeight="1">
      <c r="A6285" s="1">
        <v>6760.0</v>
      </c>
      <c r="B6285" s="3" t="s">
        <v>6077</v>
      </c>
      <c r="C6285" s="3" t="str">
        <f>IFERROR(__xludf.DUMMYFUNCTION("GOOGLETRANSLATE(B6285,""id"",""en"")"),"['buy', 'PKET', 'On', '']")</f>
        <v>['buy', 'PKET', 'On', '']</v>
      </c>
      <c r="D6285" s="3">
        <v>1.0</v>
      </c>
    </row>
    <row r="6286" ht="15.75" customHeight="1">
      <c r="A6286" s="1">
        <v>6761.0</v>
      </c>
      <c r="B6286" s="3" t="s">
        <v>6078</v>
      </c>
      <c r="C6286" s="3" t="str">
        <f>IFERROR(__xludf.DUMMYFUNCTION("GOOGLETRANSLATE(B6286,""id"",""en"")"),"['Application', 'Kere', 'Bangeeeettt']")</f>
        <v>['Application', 'Kere', 'Bangeeeettt']</v>
      </c>
      <c r="D6286" s="3">
        <v>5.0</v>
      </c>
    </row>
    <row r="6287" ht="15.75" customHeight="1">
      <c r="A6287" s="1">
        <v>6762.0</v>
      </c>
      <c r="B6287" s="3" t="s">
        <v>6079</v>
      </c>
      <c r="C6287" s="3" t="str">
        <f>IFERROR(__xludf.DUMMYFUNCTION("GOOGLETRANSLATE(B6287,""id"",""en"")"),"['Posts', 'printed', 'just', 'Maan', 'error', 'system', 'Install', 'reset', 'ttp']")</f>
        <v>['Posts', 'printed', 'just', 'Maan', 'error', 'system', 'Install', 'reset', 'ttp']</v>
      </c>
      <c r="D6287" s="3">
        <v>1.0</v>
      </c>
    </row>
    <row r="6288" ht="15.75" customHeight="1">
      <c r="A6288" s="1">
        <v>6763.0</v>
      </c>
      <c r="B6288" s="3" t="s">
        <v>6080</v>
      </c>
      <c r="C6288" s="3" t="str">
        <f>IFERROR(__xludf.DUMMYFUNCTION("GOOGLETRANSLATE(B6288,""id"",""en"")"),"['down', 'star', 'buy', 'package', 'enter', 'writing', 'success',' bot ',' veronika ',' min ',' dibales', 'yaudah', ' Tempel ',' min ',' repeat ',' enter ',' ']")</f>
        <v>['down', 'star', 'buy', 'package', 'enter', 'writing', 'success',' bot ',' veronika ',' min ',' dibales', 'yaudah', ' Tempel ',' min ',' repeat ',' enter ',' ']</v>
      </c>
      <c r="D6288" s="3">
        <v>2.0</v>
      </c>
    </row>
    <row r="6289" ht="15.75" customHeight="1">
      <c r="A6289" s="1">
        <v>6764.0</v>
      </c>
      <c r="B6289" s="3" t="s">
        <v>6081</v>
      </c>
      <c r="C6289" s="3" t="str">
        <f>IFERROR(__xludf.DUMMYFUNCTION("GOOGLETRANSLATE(B6289,""id"",""en"")"),"['Network', 'Pekalongan', 'West', 'difficult', 'really', 'please', 'fix']")</f>
        <v>['Network', 'Pekalongan', 'West', 'difficult', 'really', 'please', 'fix']</v>
      </c>
      <c r="D6289" s="3">
        <v>3.0</v>
      </c>
    </row>
    <row r="6290" ht="15.75" customHeight="1">
      <c r="A6290" s="1">
        <v>6765.0</v>
      </c>
      <c r="B6290" s="3" t="s">
        <v>6082</v>
      </c>
      <c r="C6290" s="3" t="str">
        <f>IFERROR(__xludf.DUMMYFUNCTION("GOOGLETRANSLATE(B6290,""id"",""en"")"),"['Thank God', 'Help', 'Applicationbu']")</f>
        <v>['Thank God', 'Help', 'Applicationbu']</v>
      </c>
      <c r="D6290" s="3">
        <v>5.0</v>
      </c>
    </row>
    <row r="6291" ht="15.75" customHeight="1">
      <c r="A6291" s="1">
        <v>6766.0</v>
      </c>
      <c r="B6291" s="3" t="s">
        <v>6083</v>
      </c>
      <c r="C6291" s="3" t="str">
        <f>IFERROR(__xludf.DUMMYFUNCTION("GOOGLETRANSLATE(B6291,""id"",""en"")"),"['Paketannya', 'expensive', 'expensive', 'already', 'buy', 'subscribe', 'card', 'cheap', 'cheap', 'card', 'stingy']")</f>
        <v>['Paketannya', 'expensive', 'expensive', 'already', 'buy', 'subscribe', 'card', 'cheap', 'cheap', 'card', 'stingy']</v>
      </c>
      <c r="D6291" s="3">
        <v>2.0</v>
      </c>
    </row>
    <row r="6292" ht="15.75" customHeight="1">
      <c r="A6292" s="1">
        <v>6767.0</v>
      </c>
      <c r="B6292" s="3" t="s">
        <v>6084</v>
      </c>
      <c r="C6292" s="3" t="str">
        <f>IFERROR(__xludf.DUMMYFUNCTION("GOOGLETRANSLATE(B6292,""id"",""en"")"),"['buy', 'quota', 'payment', 'use', 'gopay', 'pay', 'gopay', 'truncated', 'quota', 'enter', 'ask', 'Veronika', ' Kamfret ',' ']")</f>
        <v>['buy', 'quota', 'payment', 'use', 'gopay', 'pay', 'gopay', 'truncated', 'quota', 'enter', 'ask', 'Veronika', ' Kamfret ',' ']</v>
      </c>
      <c r="D6292" s="3">
        <v>1.0</v>
      </c>
    </row>
    <row r="6293" ht="15.75" customHeight="1">
      <c r="A6293" s="1">
        <v>6768.0</v>
      </c>
      <c r="B6293" s="3" t="s">
        <v>6085</v>
      </c>
      <c r="C6293" s="3" t="str">
        <f>IFERROR(__xludf.DUMMYFUNCTION("GOOGLETRANSLATE(B6293,""id"",""en"")"),"['buy', 'quota', 'process']")</f>
        <v>['buy', 'quota', 'process']</v>
      </c>
      <c r="D6293" s="3">
        <v>1.0</v>
      </c>
    </row>
    <row r="6294" ht="15.75" customHeight="1">
      <c r="A6294" s="1">
        <v>6769.0</v>
      </c>
      <c r="B6294" s="3" t="s">
        <v>6086</v>
      </c>
      <c r="C6294" s="3" t="str">
        <f>IFERROR(__xludf.DUMMYFUNCTION("GOOGLETRANSLATE(B6294,""id"",""en"")"),"['Telkomsel', 'freak', 'bngt', 'already', 'tried', 'contents',' package ',' leftover ',' pulse ',' rb ',' sent ',' solution ',' admin ',' telksomsel ',' hope ',' fast ',' fix ',' thank you ']")</f>
        <v>['Telkomsel', 'freak', 'bngt', 'already', 'tried', 'contents',' package ',' leftover ',' pulse ',' rb ',' sent ',' solution ',' admin ',' telksomsel ',' hope ',' fast ',' fix ',' thank you ']</v>
      </c>
      <c r="D6294" s="3">
        <v>1.0</v>
      </c>
    </row>
    <row r="6295" ht="15.75" customHeight="1">
      <c r="A6295" s="1">
        <v>6770.0</v>
      </c>
      <c r="B6295" s="3" t="s">
        <v>6087</v>
      </c>
      <c r="C6295" s="3" t="str">
        <f>IFERROR(__xludf.DUMMYFUNCTION("GOOGLETRANSLATE(B6295,""id"",""en"")"),"['knp', 'buy', 'data', 'enter', 'enter']")</f>
        <v>['knp', 'buy', 'data', 'enter', 'enter']</v>
      </c>
      <c r="D6295" s="3">
        <v>5.0</v>
      </c>
    </row>
    <row r="6296" ht="15.75" customHeight="1">
      <c r="A6296" s="1">
        <v>6771.0</v>
      </c>
      <c r="B6296" s="3" t="s">
        <v>6088</v>
      </c>
      <c r="C6296" s="3" t="str">
        <f>IFERROR(__xludf.DUMMYFUNCTION("GOOGLETRANSLATE(B6296,""id"",""en"")"),"['Knp', 'Package', 'YouTub', 'Active', 'Contents', 'History', 'STAX', 'Application', 'Gopay']")</f>
        <v>['Knp', 'Package', 'YouTub', 'Active', 'Contents', 'History', 'STAX', 'Application', 'Gopay']</v>
      </c>
      <c r="D6296" s="3">
        <v>1.0</v>
      </c>
    </row>
    <row r="6297" ht="15.75" customHeight="1">
      <c r="A6297" s="1">
        <v>6772.0</v>
      </c>
      <c r="B6297" s="3" t="s">
        <v>6089</v>
      </c>
      <c r="C6297" s="3" t="str">
        <f>IFERROR(__xludf.DUMMYFUNCTION("GOOGLETRANSLATE(B6297,""id"",""en"")"),"['It hurts',' Pakek ',' Telkomsel ',' Credit ',' Sumpot ',' Entering ',' Voucher ',' Physical ',' Failed ',' Try ',' Plus', 'Charging', ' Vouchers', 'telephone', 'SMS', 'Application', 'Telkomsel']")</f>
        <v>['It hurts',' Pakek ',' Telkomsel ',' Credit ',' Sumpot ',' Entering ',' Voucher ',' Physical ',' Failed ',' Try ',' Plus', 'Charging', ' Vouchers', 'telephone', 'SMS', 'Application', 'Telkomsel']</v>
      </c>
      <c r="D6297" s="3">
        <v>1.0</v>
      </c>
    </row>
    <row r="6298" ht="15.75" customHeight="1">
      <c r="A6298" s="1">
        <v>6773.0</v>
      </c>
      <c r="B6298" s="3" t="s">
        <v>6090</v>
      </c>
      <c r="C6298" s="3" t="str">
        <f>IFERROR(__xludf.DUMMYFUNCTION("GOOGLETRANSLATE(B6298,""id"",""en"")"),"['Take', 'free']")</f>
        <v>['Take', 'free']</v>
      </c>
      <c r="D6298" s="3">
        <v>4.0</v>
      </c>
    </row>
    <row r="6299" ht="15.75" customHeight="1">
      <c r="A6299" s="1">
        <v>6774.0</v>
      </c>
      <c r="B6299" s="3" t="s">
        <v>6091</v>
      </c>
      <c r="C6299" s="3" t="str">
        <f>IFERROR(__xludf.DUMMYFUNCTION("GOOGLETRANSLATE(B6299,""id"",""en"")"),"['card', 'expensive', 'BURIK']")</f>
        <v>['card', 'expensive', 'BURIK']</v>
      </c>
      <c r="D6299" s="3">
        <v>5.0</v>
      </c>
    </row>
    <row r="6300" ht="15.75" customHeight="1">
      <c r="A6300" s="1">
        <v>6775.0</v>
      </c>
      <c r="B6300" s="3" t="s">
        <v>6092</v>
      </c>
      <c r="C6300" s="3" t="str">
        <f>IFERROR(__xludf.DUMMYFUNCTION("GOOGLETRANSLATE(B6300,""id"",""en"")"),"['Min', 'buy', 'package', 'pulse', ""]")</f>
        <v>['Min', 'buy', 'package', 'pulse', "]</v>
      </c>
      <c r="D6300" s="3">
        <v>5.0</v>
      </c>
    </row>
    <row r="6301" ht="15.75" customHeight="1">
      <c r="A6301" s="1">
        <v>6776.0</v>
      </c>
      <c r="B6301" s="3" t="s">
        <v>6093</v>
      </c>
      <c r="C6301" s="3" t="str">
        <f>IFERROR(__xludf.DUMMYFUNCTION("GOOGLETRANSLATE(B6301,""id"",""en"")"),"['Min', 'quota', 'cave', 'enter', 'right', 'transaction', 'writing', 'payment', 'success',' directly ',' enter ',' quota ',' mah ',' kagak ',' entry ']")</f>
        <v>['Min', 'quota', 'cave', 'enter', 'right', 'transaction', 'writing', 'payment', 'success',' directly ',' enter ',' quota ',' mah ',' kagak ',' entry ']</v>
      </c>
      <c r="D6301" s="3">
        <v>1.0</v>
      </c>
    </row>
    <row r="6302" ht="15.75" customHeight="1">
      <c r="A6302" s="1">
        <v>6777.0</v>
      </c>
      <c r="B6302" s="3" t="s">
        <v>6094</v>
      </c>
      <c r="C6302" s="3" t="str">
        <f>IFERROR(__xludf.DUMMYFUNCTION("GOOGLETRANSLATE(B6302,""id"",""en"")"),"['balance', 'then']")</f>
        <v>['balance', 'then']</v>
      </c>
      <c r="D6302" s="3">
        <v>1.0</v>
      </c>
    </row>
    <row r="6303" ht="15.75" customHeight="1">
      <c r="A6303" s="1">
        <v>6778.0</v>
      </c>
      <c r="B6303" s="3" t="s">
        <v>6095</v>
      </c>
      <c r="C6303" s="3" t="str">
        <f>IFERROR(__xludf.DUMMYFUNCTION("GOOGLETRANSLATE(B6303,""id"",""en"")"),"['transaction', 'purchase', 'quota', 'malem', 'tomorrow', 'morning', 'already', 'purchase', 'already', 'finished', 'package', 'active', ' active']")</f>
        <v>['transaction', 'purchase', 'quota', 'malem', 'tomorrow', 'morning', 'already', 'purchase', 'already', 'finished', 'package', 'active', ' active']</v>
      </c>
      <c r="D6303" s="3">
        <v>1.0</v>
      </c>
    </row>
    <row r="6304" ht="15.75" customHeight="1">
      <c r="A6304" s="1">
        <v>6779.0</v>
      </c>
      <c r="B6304" s="3" t="s">
        <v>6096</v>
      </c>
      <c r="C6304" s="3" t="str">
        <f>IFERROR(__xludf.DUMMYFUNCTION("GOOGLETRANSLATE(B6304,""id"",""en"")"),"['Application', 'Yng', 'Bkin', 'Hang', 'then', 'apps', 'burden', 'Bkin', 'heavy']")</f>
        <v>['Application', 'Yng', 'Bkin', 'Hang', 'then', 'apps', 'burden', 'Bkin', 'heavy']</v>
      </c>
      <c r="D6304" s="3">
        <v>1.0</v>
      </c>
    </row>
    <row r="6305" ht="15.75" customHeight="1">
      <c r="A6305" s="1">
        <v>6780.0</v>
      </c>
      <c r="B6305" s="3" t="s">
        <v>6097</v>
      </c>
      <c r="C6305" s="3" t="str">
        <f>IFERROR(__xludf.DUMMYFUNCTION("GOOGLETRANSLATE(B6305,""id"",""en"")"),"['buy', 'quota', 'process', 'until', 'sumps', 'pulses', 'what']]")</f>
        <v>['buy', 'quota', 'process', 'until', 'sumps', 'pulses', 'what']]</v>
      </c>
      <c r="D6305" s="3">
        <v>1.0</v>
      </c>
    </row>
    <row r="6306" ht="15.75" customHeight="1">
      <c r="A6306" s="1">
        <v>6781.0</v>
      </c>
      <c r="B6306" s="3" t="s">
        <v>6098</v>
      </c>
      <c r="C6306" s="3" t="str">
        <f>IFERROR(__xludf.DUMMYFUNCTION("GOOGLETRANSLATE(B6306,""id"",""en"")"),"['Purchase', 'Package', 'Confirmed', '']")</f>
        <v>['Purchase', 'Package', 'Confirmed', '']</v>
      </c>
      <c r="D6306" s="3">
        <v>1.0</v>
      </c>
    </row>
    <row r="6307" ht="15.75" customHeight="1">
      <c r="A6307" s="1">
        <v>6782.0</v>
      </c>
      <c r="B6307" s="3" t="s">
        <v>6099</v>
      </c>
      <c r="C6307" s="3" t="str">
        <f>IFERROR(__xludf.DUMMYFUNCTION("GOOGLETRANSLATE(B6307,""id"",""en"")"),"['makes it easier', 'package', 'balance', 'pulse', 'data']")</f>
        <v>['makes it easier', 'package', 'balance', 'pulse', 'data']</v>
      </c>
      <c r="D6307" s="3">
        <v>5.0</v>
      </c>
    </row>
    <row r="6308" ht="15.75" customHeight="1">
      <c r="A6308" s="1">
        <v>6783.0</v>
      </c>
      <c r="B6308" s="3" t="s">
        <v>6100</v>
      </c>
      <c r="C6308" s="3" t="str">
        <f>IFERROR(__xludf.DUMMYFUNCTION("GOOGLETRANSLATE(B6308,""id"",""en"")"),"['Severe', 'really', 'Telkomsel', 'Sinyal', 'Bogor', 'Like', 'ilang', 'right', 'Rain', 'Hadeuhhh', 'Increases',' Sinyal ',' Select ',' Telkomsel ',' tissue ',' fast ',' quota ',' expensive ',' signal ',' fast ',' quota ',' expensive ',' signal ',' chau ',"&amp;"' hadeuh ' , '']")</f>
        <v>['Severe', 'really', 'Telkomsel', 'Sinyal', 'Bogor', 'Like', 'ilang', 'right', 'Rain', 'Hadeuhhh', 'Increases',' Sinyal ',' Select ',' Telkomsel ',' tissue ',' fast ',' quota ',' expensive ',' signal ',' fast ',' quota ',' expensive ',' signal ',' chau ',' hadeuh ' , '']</v>
      </c>
      <c r="D6308" s="3">
        <v>1.0</v>
      </c>
    </row>
    <row r="6309" ht="15.75" customHeight="1">
      <c r="A6309" s="1">
        <v>6784.0</v>
      </c>
      <c r="B6309" s="3" t="s">
        <v>6101</v>
      </c>
      <c r="C6309" s="3" t="str">
        <f>IFERROR(__xludf.DUMMYFUNCTION("GOOGLETRANSLATE(B6309,""id"",""en"")"),"['sory', 'application', 'difficult', 'really', 'accessible', 'disruption', 'system', 'internet', 'smooth', 'open', 'application', 'smooth']")</f>
        <v>['sory', 'application', 'difficult', 'really', 'accessible', 'disruption', 'system', 'internet', 'smooth', 'open', 'application', 'smooth']</v>
      </c>
      <c r="D6309" s="3">
        <v>2.0</v>
      </c>
    </row>
    <row r="6310" ht="15.75" customHeight="1">
      <c r="A6310" s="1">
        <v>6785.0</v>
      </c>
      <c r="B6310" s="3" t="s">
        <v>6102</v>
      </c>
      <c r="C6310" s="3" t="str">
        <f>IFERROR(__xludf.DUMMYFUNCTION("GOOGLETRANSLATE(B6310,""id"",""en"")"),"['pulse', 'thousand', 'buy', 'package', 'appears',' status', 'payment', 'process',' package ',' buy ',' visits', 'active', ' quota ',' have ',' times', 'Please', 'fix', 'service', 'Telkomsel', 'person', 'line', 'work', 'burdened']")</f>
        <v>['pulse', 'thousand', 'buy', 'package', 'appears',' status', 'payment', 'process',' package ',' buy ',' visits', 'active', ' quota ',' have ',' times', 'Please', 'fix', 'service', 'Telkomsel', 'person', 'line', 'work', 'burdened']</v>
      </c>
      <c r="D6310" s="3">
        <v>1.0</v>
      </c>
    </row>
    <row r="6311" ht="15.75" customHeight="1">
      <c r="A6311" s="1">
        <v>6786.0</v>
      </c>
      <c r="B6311" s="3" t="s">
        <v>6103</v>
      </c>
      <c r="C6311" s="3" t="str">
        <f>IFERROR(__xludf.DUMMYFUNCTION("GOOGLETRANSLATE(B6311,""id"",""en"")"),"['App', 'idiot', 'ngebug', 'contents', 'internet', 'enter', 'enter']")</f>
        <v>['App', 'idiot', 'ngebug', 'contents', 'internet', 'enter', 'enter']</v>
      </c>
      <c r="D6311" s="3">
        <v>1.0</v>
      </c>
    </row>
    <row r="6312" ht="15.75" customHeight="1">
      <c r="A6312" s="1">
        <v>6787.0</v>
      </c>
      <c r="B6312" s="3" t="s">
        <v>6104</v>
      </c>
      <c r="C6312" s="3" t="str">
        <f>IFERROR(__xludf.DUMMYFUNCTION("GOOGLETRANSLATE(B6312,""id"",""en"")"),"['pulse', 'stay', 'sms',' non ',' package ',' pdhl ',' open ',' application ',' anything ',' severe ',' woiiii ',' buy ',' Paketan ',' Masuukk ',' Crazyaaa ',' Telkomsel ', ""]")</f>
        <v>['pulse', 'stay', 'sms',' non ',' package ',' pdhl ',' open ',' application ',' anything ',' severe ',' woiiii ',' buy ',' Paketan ',' Masuukk ',' Crazyaaa ',' Telkomsel ', "]</v>
      </c>
      <c r="D6312" s="3">
        <v>1.0</v>
      </c>
    </row>
    <row r="6313" ht="15.75" customHeight="1">
      <c r="A6313" s="1">
        <v>6788.0</v>
      </c>
      <c r="B6313" s="3" t="s">
        <v>6105</v>
      </c>
      <c r="C6313" s="3" t="str">
        <f>IFERROR(__xludf.DUMMYFUNCTION("GOOGLETRANSLATE(B6313,""id"",""en"")"),"['Network', 'Good', 'LBH', 'Promo', 'Combo', 'Sakti']")</f>
        <v>['Network', 'Good', 'LBH', 'Promo', 'Combo', 'Sakti']</v>
      </c>
      <c r="D6313" s="3">
        <v>5.0</v>
      </c>
    </row>
    <row r="6314" ht="15.75" customHeight="1">
      <c r="A6314" s="1">
        <v>6789.0</v>
      </c>
      <c r="B6314" s="3" t="s">
        <v>6106</v>
      </c>
      <c r="C6314" s="3" t="str">
        <f>IFERROR(__xludf.DUMMYFUNCTION("GOOGLETRANSLATE(B6314,""id"",""en"")"),"['Good', 'developing']")</f>
        <v>['Good', 'developing']</v>
      </c>
      <c r="D6314" s="3">
        <v>5.0</v>
      </c>
    </row>
    <row r="6315" ht="15.75" customHeight="1">
      <c r="A6315" s="1">
        <v>6790.0</v>
      </c>
      <c r="B6315" s="3" t="s">
        <v>6107</v>
      </c>
      <c r="C6315" s="3" t="str">
        <f>IFERROR(__xludf.DUMMYFUNCTION("GOOGLETRANSLATE(B6315,""id"",""en"")"),"['Star', 'because', 'Nongol', 'ugly', 'ugly', 'comment', '']")</f>
        <v>['Star', 'because', 'Nongol', 'ugly', 'ugly', 'comment', '']</v>
      </c>
      <c r="D6315" s="3">
        <v>1.0</v>
      </c>
    </row>
    <row r="6316" ht="15.75" customHeight="1">
      <c r="A6316" s="1">
        <v>6791.0</v>
      </c>
      <c r="B6316" s="3" t="s">
        <v>6108</v>
      </c>
      <c r="C6316" s="3" t="str">
        <f>IFERROR(__xludf.DUMMYFUNCTION("GOOGLETRANSLATE(B6316,""id"",""en"")"),"['Love', 'star', 'nnti', 'klu', 'God willing', 'win', 'lottery', 'love', 'star', 'aamiin']")</f>
        <v>['Love', 'star', 'nnti', 'klu', 'God willing', 'win', 'lottery', 'love', 'star', 'aamiin']</v>
      </c>
      <c r="D6316" s="3">
        <v>3.0</v>
      </c>
    </row>
    <row r="6317" ht="15.75" customHeight="1">
      <c r="A6317" s="1">
        <v>6792.0</v>
      </c>
      <c r="B6317" s="3" t="s">
        <v>6109</v>
      </c>
      <c r="C6317" s="3" t="str">
        <f>IFERROR(__xludf.DUMMYFUNCTION("GOOGLETRANSLATE(B6317,""id"",""en"")"),"['buy', 'quota', 'until', 'Tetep', '']")</f>
        <v>['buy', 'quota', 'until', 'Tetep', '']</v>
      </c>
      <c r="D6317" s="3">
        <v>1.0</v>
      </c>
    </row>
    <row r="6318" ht="15.75" customHeight="1">
      <c r="A6318" s="1">
        <v>6793.0</v>
      </c>
      <c r="B6318" s="3" t="s">
        <v>6110</v>
      </c>
      <c r="C6318" s="3" t="str">
        <f>IFERROR(__xludf.DUMMYFUNCTION("GOOGLETRANSLATE(B6318,""id"",""en"")"),"['admin', 'sick', 'buy', 'package', 'blum', 'entered', 'what', 'sihhh']")</f>
        <v>['admin', 'sick', 'buy', 'package', 'blum', 'entered', 'what', 'sihhh']</v>
      </c>
      <c r="D6318" s="3">
        <v>1.0</v>
      </c>
    </row>
    <row r="6319" ht="15.75" customHeight="1">
      <c r="A6319" s="1">
        <v>6794.0</v>
      </c>
      <c r="B6319" s="3" t="s">
        <v>6111</v>
      </c>
      <c r="C6319" s="3" t="str">
        <f>IFERROR(__xludf.DUMMYFUNCTION("GOOGLETRANSLATE(B6319,""id"",""en"")"),"['Network', 'City', 'Troubled', 'Telkomsel', 'Network', 'internet', 'Fix', 'Review', 'star', 'fast', 'handled']")</f>
        <v>['Network', 'City', 'Troubled', 'Telkomsel', 'Network', 'internet', 'Fix', 'Review', 'star', 'fast', 'handled']</v>
      </c>
      <c r="D6319" s="3">
        <v>1.0</v>
      </c>
    </row>
    <row r="6320" ht="15.75" customHeight="1">
      <c r="A6320" s="1">
        <v>6795.0</v>
      </c>
      <c r="B6320" s="3" t="s">
        <v>6112</v>
      </c>
      <c r="C6320" s="3" t="str">
        <f>IFERROR(__xludf.DUMMYFUNCTION("GOOGLETRANSLATE(B6320,""id"",""en"")"),"['Robber', 'pulse', 'pulse', 'buy', 'promo', 'GB', 'package', 'dtg', 'pulse', 'main', 'mnding', 'moved', ' Provider ',' Next to ',' Bye ',' Telkomnyet ']")</f>
        <v>['Robber', 'pulse', 'pulse', 'buy', 'promo', 'GB', 'package', 'dtg', 'pulse', 'main', 'mnding', 'moved', ' Provider ',' Next to ',' Bye ',' Telkomnyet ']</v>
      </c>
      <c r="D6320" s="3">
        <v>1.0</v>
      </c>
    </row>
    <row r="6321" ht="15.75" customHeight="1">
      <c r="A6321" s="1">
        <v>6796.0</v>
      </c>
      <c r="B6321" s="3" t="s">
        <v>6113</v>
      </c>
      <c r="C6321" s="3" t="str">
        <f>IFERROR(__xludf.DUMMYFUNCTION("GOOGLETRANSLATE(B6321,""id"",""en"")"),"['Saldi', 'suck', 'enter']")</f>
        <v>['Saldi', 'suck', 'enter']</v>
      </c>
      <c r="D6321" s="3">
        <v>1.0</v>
      </c>
    </row>
    <row r="6322" ht="15.75" customHeight="1">
      <c r="A6322" s="1">
        <v>6797.0</v>
      </c>
      <c r="B6322" s="3" t="s">
        <v>6114</v>
      </c>
      <c r="C6322" s="3" t="str">
        <f>IFERROR(__xludf.DUMMYFUNCTION("GOOGLETRANSLATE(B6322,""id"",""en"")"),"['Males', 'Error']")</f>
        <v>['Males', 'Error']</v>
      </c>
      <c r="D6322" s="3">
        <v>1.0</v>
      </c>
    </row>
    <row r="6323" ht="15.75" customHeight="1">
      <c r="A6323" s="1">
        <v>6798.0</v>
      </c>
      <c r="B6323" s="3" t="s">
        <v>6115</v>
      </c>
      <c r="C6323" s="3" t="str">
        <f>IFERROR(__xludf.DUMMYFUNCTION("GOOGLETRANSLATE(B6323,""id"",""en"")"),"['bad', 'service', 'buy', 'package', 'lgsg', 'auto', 'active', 'delay', 'ampe', 'clock', 'pulse', 'buy', ' Package ',' Sumpot ',' Sampe ',' ']")</f>
        <v>['bad', 'service', 'buy', 'package', 'lgsg', 'auto', 'active', 'delay', 'ampe', 'clock', 'pulse', 'buy', ' Package ',' Sumpot ',' Sampe ',' ']</v>
      </c>
      <c r="D6323" s="3">
        <v>1.0</v>
      </c>
    </row>
    <row r="6324" ht="15.75" customHeight="1">
      <c r="A6324" s="1">
        <v>6799.0</v>
      </c>
      <c r="B6324" s="3" t="s">
        <v>6116</v>
      </c>
      <c r="C6324" s="3" t="str">
        <f>IFERROR(__xludf.DUMMYFUNCTION("GOOGLETRANSLATE(B6324,""id"",""en"")"),"['Bug']")</f>
        <v>['Bug']</v>
      </c>
      <c r="D6324" s="3">
        <v>1.0</v>
      </c>
    </row>
    <row r="6325" ht="15.75" customHeight="1">
      <c r="A6325" s="1">
        <v>6800.0</v>
      </c>
      <c r="B6325" s="3" t="s">
        <v>6117</v>
      </c>
      <c r="C6325" s="3" t="str">
        <f>IFERROR(__xludf.DUMMYFUNCTION("GOOGLETRANSLATE(B6325,""id"",""en"")"),"['APK', 'LAKNAT', 'ISI', 'Credit', 'APK', 'UDH', 'Cave', 'Pay', 'Virtual', 'Account', 'Credit', 'Enter', ' Buy ',' Pulse ',' RB ',' Disappointed ',' APK ',' Mending ',' Delete ',' APK ',' Play ',' Store ',' App ',' Store ',' Application ' , 'rubbish']")</f>
        <v>['APK', 'LAKNAT', 'ISI', 'Credit', 'APK', 'UDH', 'Cave', 'Pay', 'Virtual', 'Account', 'Credit', 'Enter', ' Buy ',' Pulse ',' RB ',' Disappointed ',' APK ',' Mending ',' Delete ',' APK ',' Play ',' Store ',' App ',' Store ',' Application ' , 'rubbish']</v>
      </c>
      <c r="D6325" s="3">
        <v>1.0</v>
      </c>
    </row>
    <row r="6326" ht="15.75" customHeight="1">
      <c r="A6326" s="1">
        <v>6801.0</v>
      </c>
      <c r="B6326" s="3" t="s">
        <v>6118</v>
      </c>
      <c r="C6326" s="3" t="str">
        <f>IFERROR(__xludf.DUMMYFUNCTION("GOOGLETRANSLATE(B6326,""id"",""en"")"),"['transaction', 'package', 'data', 'enter', 'enter']]")</f>
        <v>['transaction', 'package', 'data', 'enter', 'enter']]</v>
      </c>
      <c r="D6326" s="3">
        <v>2.0</v>
      </c>
    </row>
    <row r="6327" ht="15.75" customHeight="1">
      <c r="A6327" s="1">
        <v>6802.0</v>
      </c>
      <c r="B6327" s="3" t="s">
        <v>6119</v>
      </c>
      <c r="C6327" s="3" t="str">
        <f>IFERROR(__xludf.DUMMYFUNCTION("GOOGLETRANSLATE(B6327,""id"",""en"")"),"['slow', 'packagein', 'internet', 'good', 'version', '']")</f>
        <v>['slow', 'packagein', 'internet', 'good', 'version', '']</v>
      </c>
      <c r="D6327" s="3">
        <v>1.0</v>
      </c>
    </row>
    <row r="6328" ht="15.75" customHeight="1">
      <c r="A6328" s="1">
        <v>6803.0</v>
      </c>
      <c r="B6328" s="3" t="s">
        <v>6120</v>
      </c>
      <c r="C6328" s="3" t="str">
        <f>IFERROR(__xludf.DUMMYFUNCTION("GOOGLETRANSLATE(B6328,""id"",""en"")"),"['Good', 'really', 'the application', '']")</f>
        <v>['Good', 'really', 'the application', '']</v>
      </c>
      <c r="D6328" s="3">
        <v>4.0</v>
      </c>
    </row>
    <row r="6329" ht="15.75" customHeight="1">
      <c r="A6329" s="1">
        <v>6804.0</v>
      </c>
      <c r="B6329" s="3" t="s">
        <v>3074</v>
      </c>
      <c r="C6329" s="3" t="str">
        <f>IFERROR(__xludf.DUMMYFUNCTION("GOOGLETRANSLATE(B6329,""id"",""en"")"),"['disappointing']")</f>
        <v>['disappointing']</v>
      </c>
      <c r="D6329" s="3">
        <v>1.0</v>
      </c>
    </row>
    <row r="6330" ht="15.75" customHeight="1">
      <c r="A6330" s="1">
        <v>6805.0</v>
      </c>
      <c r="B6330" s="3" t="s">
        <v>6121</v>
      </c>
      <c r="C6330" s="3" t="str">
        <f>IFERROR(__xludf.DUMMYFUNCTION("GOOGLETRANSLATE(B6330,""id"",""en"")"),"['Please', 'Install', 'Android', '']")</f>
        <v>['Please', 'Install', 'Android', '']</v>
      </c>
      <c r="D6330" s="3">
        <v>1.0</v>
      </c>
    </row>
    <row r="6331" ht="15.75" customHeight="1">
      <c r="A6331" s="1">
        <v>6806.0</v>
      </c>
      <c r="B6331" s="3" t="s">
        <v>6122</v>
      </c>
      <c r="C6331" s="3" t="str">
        <f>IFERROR(__xludf.DUMMYFUNCTION("GOOGLETRANSLATE(B6331,""id"",""en"")"),"['', 'Telkomsil', 'ugly', 'uda', 'expensive', 'slow']")</f>
        <v>['', 'Telkomsil', 'ugly', 'uda', 'expensive', 'slow']</v>
      </c>
      <c r="D6331" s="3">
        <v>1.0</v>
      </c>
    </row>
    <row r="6332" ht="15.75" customHeight="1">
      <c r="A6332" s="1">
        <v>6807.0</v>
      </c>
      <c r="B6332" s="3" t="s">
        <v>6123</v>
      </c>
      <c r="C6332" s="3" t="str">
        <f>IFERROR(__xludf.DUMMYFUNCTION("GOOGLETRANSLATE(B6332,""id"",""en"")"),"['Telkosel', 'Register', 'Package', 'Kombo', 'Sakti', 'Package', 'Value', 'Pulse', 'Sumpot', 'Register', 'Package', 'Please', ' Review ',' Males', 'Pakek', 'Telkom']")</f>
        <v>['Telkosel', 'Register', 'Package', 'Kombo', 'Sakti', 'Package', 'Value', 'Pulse', 'Sumpot', 'Register', 'Package', 'Please', ' Review ',' Males', 'Pakek', 'Telkom']</v>
      </c>
      <c r="D6332" s="3">
        <v>1.0</v>
      </c>
    </row>
    <row r="6333" ht="15.75" customHeight="1">
      <c r="A6333" s="1">
        <v>6808.0</v>
      </c>
      <c r="B6333" s="3" t="s">
        <v>6124</v>
      </c>
      <c r="C6333" s="3" t="str">
        <f>IFERROR(__xludf.DUMMYFUNCTION("GOOGLETRANSLATE(B6333,""id"",""en"")"),"['halah', 'I', 'The goal', 'moved', 'Telkomsel', 'I', 'Pakek', 'Telkomsel', 'Gini', 'signal', 'BURIK', 'KNP']")</f>
        <v>['halah', 'I', 'The goal', 'moved', 'Telkomsel', 'I', 'Pakek', 'Telkomsel', 'Gini', 'signal', 'BURIK', 'KNP']</v>
      </c>
      <c r="D6333" s="3">
        <v>1.0</v>
      </c>
    </row>
    <row r="6334" ht="15.75" customHeight="1">
      <c r="A6334" s="1">
        <v>6809.0</v>
      </c>
      <c r="B6334" s="3" t="s">
        <v>6125</v>
      </c>
      <c r="C6334" s="3" t="str">
        <f>IFERROR(__xludf.DUMMYFUNCTION("GOOGLETRANSLATE(B6334,""id"",""en"")"),"['buy', 'package', 'times', 'enter', 'damaged', 'kah', 'my apk', '']")</f>
        <v>['buy', 'package', 'times', 'enter', 'damaged', 'kah', 'my apk', '']</v>
      </c>
      <c r="D6334" s="3">
        <v>1.0</v>
      </c>
    </row>
    <row r="6335" ht="15.75" customHeight="1">
      <c r="A6335" s="1">
        <v>6811.0</v>
      </c>
      <c r="B6335" s="3" t="s">
        <v>1284</v>
      </c>
      <c r="C6335" s="3" t="str">
        <f>IFERROR(__xludf.DUMMYFUNCTION("GOOGLETRANSLATE(B6335,""id"",""en"")"),"['Telkomsel', 'steady']")</f>
        <v>['Telkomsel', 'steady']</v>
      </c>
      <c r="D6335" s="3">
        <v>4.0</v>
      </c>
    </row>
    <row r="6336" ht="15.75" customHeight="1">
      <c r="A6336" s="1">
        <v>6812.0</v>
      </c>
      <c r="B6336" s="3" t="s">
        <v>6126</v>
      </c>
      <c r="C6336" s="3" t="str">
        <f>IFERROR(__xludf.DUMMYFUNCTION("GOOGLETRANSLATE(B6336,""id"",""en"")"),"['Look', 'Bintang', 'Insyallah', 'front', 'Sya', 'love', 'star']")</f>
        <v>['Look', 'Bintang', 'Insyallah', 'front', 'Sya', 'love', 'star']</v>
      </c>
      <c r="D6336" s="3">
        <v>3.0</v>
      </c>
    </row>
    <row r="6337" ht="15.75" customHeight="1">
      <c r="A6337" s="1">
        <v>6813.0</v>
      </c>
      <c r="B6337" s="3" t="s">
        <v>6127</v>
      </c>
      <c r="C6337" s="3" t="str">
        <f>IFERROR(__xludf.DUMMYFUNCTION("GOOGLETRANSLATE(B6337,""id"",""en"")"),"['Helpful', 'thank you']")</f>
        <v>['Helpful', 'thank you']</v>
      </c>
      <c r="D6337" s="3">
        <v>5.0</v>
      </c>
    </row>
    <row r="6338" ht="15.75" customHeight="1">
      <c r="A6338" s="1">
        <v>6814.0</v>
      </c>
      <c r="B6338" s="3" t="s">
        <v>6128</v>
      </c>
      <c r="C6338" s="3" t="str">
        <f>IFERROR(__xludf.DUMMYFUNCTION("GOOGLETRANSLATE(B6338,""id"",""en"")"),"['buy', 'package', 'data', 'times', 'package', 'data', 'enter', 'pay', ""]")</f>
        <v>['buy', 'package', 'data', 'times', 'package', 'data', 'enter', 'pay', "]</v>
      </c>
      <c r="D6338" s="3">
        <v>1.0</v>
      </c>
    </row>
    <row r="6339" ht="15.75" customHeight="1">
      <c r="A6339" s="1">
        <v>6815.0</v>
      </c>
      <c r="B6339" s="3" t="s">
        <v>6129</v>
      </c>
      <c r="C6339" s="3" t="str">
        <f>IFERROR(__xludf.DUMMYFUNCTION("GOOGLETRANSLATE(B6339,""id"",""en"")"),"['network', 'slow', 'package', 'doang', 'expensive', 'user', 'Telkomsel', 'moved', 'network']")</f>
        <v>['network', 'slow', 'package', 'doang', 'expensive', 'user', 'Telkomsel', 'moved', 'network']</v>
      </c>
      <c r="D6339" s="3">
        <v>1.0</v>
      </c>
    </row>
    <row r="6340" ht="15.75" customHeight="1">
      <c r="A6340" s="1">
        <v>6816.0</v>
      </c>
      <c r="B6340" s="3" t="s">
        <v>6130</v>
      </c>
      <c r="C6340" s="3" t="str">
        <f>IFERROR(__xludf.DUMMYFUNCTION("GOOGLETRANSLATE(B6340,""id"",""en"")"),"['Please', 'yaaa', 'buy', 'package', 'combo', 'sakti', 'unlimited', 'pulse', 'sufficient', 'strange', 'emang']")</f>
        <v>['Please', 'yaaa', 'buy', 'package', 'combo', 'sakti', 'unlimited', 'pulse', 'sufficient', 'strange', 'emang']</v>
      </c>
      <c r="D6340" s="3">
        <v>1.0</v>
      </c>
    </row>
    <row r="6341" ht="15.75" customHeight="1">
      <c r="A6341" s="1">
        <v>6817.0</v>
      </c>
      <c r="B6341" s="3" t="s">
        <v>6131</v>
      </c>
      <c r="C6341" s="3" t="str">
        <f>IFERROR(__xludf.DUMMYFUNCTION("GOOGLETRANSLATE(B6341,""id"",""en"")"),"['Sudh', 'billion', 'bills',' Hello ',' TPI ',' quota ',' used ',' aka ',' zero ',' how ',' goodness', 'Deehhhhh', ' ']")</f>
        <v>['Sudh', 'billion', 'bills',' Hello ',' TPI ',' quota ',' used ',' aka ',' zero ',' how ',' goodness', 'Deehhhhh', ' ']</v>
      </c>
      <c r="D6341" s="3">
        <v>2.0</v>
      </c>
    </row>
    <row r="6342" ht="15.75" customHeight="1">
      <c r="A6342" s="1">
        <v>6818.0</v>
      </c>
      <c r="B6342" s="3" t="s">
        <v>6132</v>
      </c>
      <c r="C6342" s="3" t="str">
        <f>IFERROR(__xludf.DUMMYFUNCTION("GOOGLETRANSLATE(B6342,""id"",""en"")"),"['like', 'price']")</f>
        <v>['like', 'price']</v>
      </c>
      <c r="D6342" s="3">
        <v>2.0</v>
      </c>
    </row>
    <row r="6343" ht="15.75" customHeight="1">
      <c r="A6343" s="1">
        <v>6819.0</v>
      </c>
      <c r="B6343" s="3" t="s">
        <v>6133</v>
      </c>
      <c r="C6343" s="3" t="str">
        <f>IFERROR(__xludf.DUMMYFUNCTION("GOOGLETRANSLATE(B6343,""id"",""en"")"),"['Help', 'cheap']")</f>
        <v>['Help', 'cheap']</v>
      </c>
      <c r="D6343" s="3">
        <v>5.0</v>
      </c>
    </row>
    <row r="6344" ht="15.75" customHeight="1">
      <c r="A6344" s="1">
        <v>6820.0</v>
      </c>
      <c r="B6344" s="3" t="s">
        <v>6134</v>
      </c>
      <c r="C6344" s="3" t="str">
        <f>IFERROR(__xludf.DUMMYFUNCTION("GOOGLETRANSLATE(B6344,""id"",""en"")"),"['Please', 'Increase', 'Quality', 'Network', 'Telkomsel', 'Village', 'Review', 'Kec', 'Maro', 'Sebo', 'Ulu', 'Kab', ' Batang ',' Prov ',' Jambi ',' Tower ',' Good ',' Network ',' ']")</f>
        <v>['Please', 'Increase', 'Quality', 'Network', 'Telkomsel', 'Village', 'Review', 'Kec', 'Maro', 'Sebo', 'Ulu', 'Kab', ' Batang ',' Prov ',' Jambi ',' Tower ',' Good ',' Network ',' ']</v>
      </c>
      <c r="D6344" s="3">
        <v>5.0</v>
      </c>
    </row>
    <row r="6345" ht="15.75" customHeight="1">
      <c r="A6345" s="1">
        <v>6821.0</v>
      </c>
      <c r="B6345" s="3" t="s">
        <v>6135</v>
      </c>
      <c r="C6345" s="3" t="str">
        <f>IFERROR(__xludf.DUMMYFUNCTION("GOOGLETRANSLATE(B6345,""id"",""en"")"),"['Network', 'easy', 'price', 'package', 'expensive']")</f>
        <v>['Network', 'easy', 'price', 'package', 'expensive']</v>
      </c>
      <c r="D6345" s="3">
        <v>4.0</v>
      </c>
    </row>
    <row r="6346" ht="15.75" customHeight="1">
      <c r="A6346" s="1">
        <v>6822.0</v>
      </c>
      <c r="B6346" s="3" t="s">
        <v>6136</v>
      </c>
      <c r="C6346" s="3" t="str">
        <f>IFERROR(__xludf.DUMMYFUNCTION("GOOGLETRANSLATE(B6346,""id"",""en"")"),"['Min', 'min', 'pay', 'Bayat', 'hope', 'improvement', 'system', 'udh', 'times',' transaction ',' process', 'pulse', ' Cut ',' Credit ',' Cut ',' Hope ',' Transaction ',' Cpt ']")</f>
        <v>['Min', 'min', 'pay', 'Bayat', 'hope', 'improvement', 'system', 'udh', 'times',' transaction ',' process', 'pulse', ' Cut ',' Credit ',' Cut ',' Hope ',' Transaction ',' Cpt ']</v>
      </c>
      <c r="D6346" s="3">
        <v>1.0</v>
      </c>
    </row>
    <row r="6347" ht="15.75" customHeight="1">
      <c r="A6347" s="1">
        <v>6823.0</v>
      </c>
      <c r="B6347" s="3" t="s">
        <v>6137</v>
      </c>
      <c r="C6347" s="3" t="str">
        <f>IFERROR(__xludf.DUMMYFUNCTION("GOOGLETRANSLATE(B6347,""id"",""en"")"),"['Network', 'stable', 'bro']")</f>
        <v>['Network', 'stable', 'bro']</v>
      </c>
      <c r="D6347" s="3">
        <v>2.0</v>
      </c>
    </row>
    <row r="6348" ht="15.75" customHeight="1">
      <c r="A6348" s="1">
        <v>6824.0</v>
      </c>
      <c r="B6348" s="3" t="s">
        <v>6138</v>
      </c>
      <c r="C6348" s="3" t="str">
        <f>IFERROR(__xludf.DUMMYFUNCTION("GOOGLETRANSLATE(B6348,""id"",""en"")"),"['Purchase', 'peket', 'via', 'pulse', 'slow', 'entry', 'sometimes', 'fast', 'enter', 'cut', 'pulse', ""]")</f>
        <v>['Purchase', 'peket', 'via', 'pulse', 'slow', 'entry', 'sometimes', 'fast', 'enter', 'cut', 'pulse', "]</v>
      </c>
      <c r="D6348" s="3">
        <v>1.0</v>
      </c>
    </row>
    <row r="6349" ht="15.75" customHeight="1">
      <c r="A6349" s="1">
        <v>6825.0</v>
      </c>
      <c r="B6349" s="3" t="s">
        <v>6139</v>
      </c>
      <c r="C6349" s="3" t="str">
        <f>IFERROR(__xludf.DUMMYFUNCTION("GOOGLETRANSLATE(B6349,""id"",""en"")"),"['Please', 'Plus',' Customer ',' Service ',' Service ',' Help ',' Desk ',' Disappointing ',' Customer ',' Harmed ',' Application ',' Complex ',' Bugs', 'buy', 'package', 'data', 'enter', '']")</f>
        <v>['Please', 'Plus',' Customer ',' Service ',' Service ',' Help ',' Desk ',' Disappointing ',' Customer ',' Harmed ',' Application ',' Complex ',' Bugs', 'buy', 'package', 'data', 'enter', '']</v>
      </c>
      <c r="D6349" s="3">
        <v>1.0</v>
      </c>
    </row>
    <row r="6350" ht="15.75" customHeight="1">
      <c r="A6350" s="1">
        <v>6826.0</v>
      </c>
      <c r="B6350" s="3" t="s">
        <v>6140</v>
      </c>
      <c r="C6350" s="3" t="str">
        <f>IFERROR(__xludf.DUMMYFUNCTION("GOOGLETRANSLATE(B6350,""id"",""en"")"),"['thank', 'love', 'Karna', 'MyTelkomsel', 'Sangat', 'cheap', 'package', 'data']")</f>
        <v>['thank', 'love', 'Karna', 'MyTelkomsel', 'Sangat', 'cheap', 'package', 'data']</v>
      </c>
      <c r="D6350" s="3">
        <v>5.0</v>
      </c>
    </row>
    <row r="6351" ht="15.75" customHeight="1">
      <c r="A6351" s="1">
        <v>6827.0</v>
      </c>
      <c r="B6351" s="3" t="s">
        <v>6141</v>
      </c>
      <c r="C6351" s="3" t="str">
        <f>IFERROR(__xludf.DUMMYFUNCTION("GOOGLETRANSLATE(B6351,""id"",""en"")"),"['signal', 'Jeli', 'it's eager', 'sya', 'buy', 'kouta', 'telkomsel', 'ssh', 'expensive', 'signal', 'cheic', 'slow', ' Melululu ']")</f>
        <v>['signal', 'Jeli', 'it's eager', 'sya', 'buy', 'kouta', 'telkomsel', 'ssh', 'expensive', 'signal', 'cheic', 'slow', ' Melululu ']</v>
      </c>
      <c r="D6351" s="3">
        <v>1.0</v>
      </c>
    </row>
    <row r="6352" ht="15.75" customHeight="1">
      <c r="A6352" s="1">
        <v>6828.0</v>
      </c>
      <c r="B6352" s="3" t="s">
        <v>6142</v>
      </c>
      <c r="C6352" s="3" t="str">
        <f>IFERROR(__xludf.DUMMYFUNCTION("GOOGLETRANSLATE(B6352,""id"",""en"")"),"['Good', 'signal', 'klu', 'package', 'data', 'cheap', '']")</f>
        <v>['Good', 'signal', 'klu', 'package', 'data', 'cheap', '']</v>
      </c>
      <c r="D6352" s="3">
        <v>5.0</v>
      </c>
    </row>
    <row r="6353" ht="15.75" customHeight="1">
      <c r="A6353" s="1">
        <v>6829.0</v>
      </c>
      <c r="B6353" s="3" t="s">
        <v>6143</v>
      </c>
      <c r="C6353" s="3" t="str">
        <f>IFERROR(__xludf.DUMMYFUNCTION("GOOGLETRANSLATE(B6353,""id"",""en"")"),"['pulse', 'quota', 'fast', 'ending', 'just', 'receipt', 'notif', 'Telkomsel', 'signal', 'stable', 'difference', 'pre', ' Pay ',' Post ',' Pay ', ""]")</f>
        <v>['pulse', 'quota', 'fast', 'ending', 'just', 'receipt', 'notif', 'Telkomsel', 'signal', 'stable', 'difference', 'pre', ' Pay ',' Post ',' Pay ', "]</v>
      </c>
      <c r="D6353" s="3">
        <v>4.0</v>
      </c>
    </row>
    <row r="6354" ht="15.75" customHeight="1">
      <c r="A6354" s="1">
        <v>6830.0</v>
      </c>
      <c r="B6354" s="3" t="s">
        <v>6144</v>
      </c>
      <c r="C6354" s="3" t="str">
        <f>IFERROR(__xludf.DUMMYFUNCTION("GOOGLETRANSLATE(B6354,""id"",""en"")"),"['', 'good', 'discon', 'package', 'comball']")</f>
        <v>['', 'good', 'discon', 'package', 'comball']</v>
      </c>
      <c r="D6354" s="3">
        <v>5.0</v>
      </c>
    </row>
    <row r="6355" ht="15.75" customHeight="1">
      <c r="A6355" s="1">
        <v>6831.0</v>
      </c>
      <c r="B6355" s="3" t="s">
        <v>6145</v>
      </c>
      <c r="C6355" s="3" t="str">
        <f>IFERROR(__xludf.DUMMYFUNCTION("GOOGLETRANSLATE(B6355,""id"",""en"")"),"['buy', 'quota', 'night', 'GB', 'price', 'credit', 'Rp', 'enter', 'enter', 'take', 'quota', 'check', ' Notif ',' Kaga ',' quota ',' internet ',' check ',' Telkomsel ',' cheats', '']")</f>
        <v>['buy', 'quota', 'night', 'GB', 'price', 'credit', 'Rp', 'enter', 'enter', 'take', 'quota', 'check', ' Notif ',' Kaga ',' quota ',' internet ',' check ',' Telkomsel ',' cheats', '']</v>
      </c>
      <c r="D6355" s="3">
        <v>1.0</v>
      </c>
    </row>
    <row r="6356" ht="15.75" customHeight="1">
      <c r="A6356" s="1">
        <v>6832.0</v>
      </c>
      <c r="B6356" s="3" t="s">
        <v>6146</v>
      </c>
      <c r="C6356" s="3" t="str">
        <f>IFERROR(__xludf.DUMMYFUNCTION("GOOGLETRANSLATE(B6356,""id"",""en"")"),"['Choice', 'Package', 'Data', 'Not bad', 'Cheap']")</f>
        <v>['Choice', 'Package', 'Data', 'Not bad', 'Cheap']</v>
      </c>
      <c r="D6356" s="3">
        <v>5.0</v>
      </c>
    </row>
    <row r="6357" ht="15.75" customHeight="1">
      <c r="A6357" s="1">
        <v>6833.0</v>
      </c>
      <c r="B6357" s="3" t="s">
        <v>6147</v>
      </c>
      <c r="C6357" s="3" t="str">
        <f>IFERROR(__xludf.DUMMYFUNCTION("GOOGLETRANSLATE(B6357,""id"",""en"")"),"['make', 'the application', 'hope', 'mare']")</f>
        <v>['make', 'the application', 'hope', 'mare']</v>
      </c>
      <c r="D6357" s="3">
        <v>3.0</v>
      </c>
    </row>
    <row r="6358" ht="15.75" customHeight="1">
      <c r="A6358" s="1">
        <v>6834.0</v>
      </c>
      <c r="B6358" s="3" t="s">
        <v>6148</v>
      </c>
      <c r="C6358" s="3" t="str">
        <f>IFERROR(__xludf.DUMMYFUNCTION("GOOGLETRANSLATE(B6358,""id"",""en"")"),"['buy', 'package', 'repeat', 'times', 'method', 'balance', 'drained', 'quota', 'entered', 'none', ""]")</f>
        <v>['buy', 'package', 'repeat', 'times', 'method', 'balance', 'drained', 'quota', 'entered', 'none', "]</v>
      </c>
      <c r="D6358" s="3">
        <v>1.0</v>
      </c>
    </row>
    <row r="6359" ht="15.75" customHeight="1">
      <c r="A6359" s="1">
        <v>6836.0</v>
      </c>
      <c r="B6359" s="3" t="s">
        <v>843</v>
      </c>
      <c r="C6359" s="3" t="str">
        <f>IFERROR(__xludf.DUMMYFUNCTION("GOOGLETRANSLATE(B6359,""id"",""en"")"),"['Help', 'Good']")</f>
        <v>['Help', 'Good']</v>
      </c>
      <c r="D6359" s="3">
        <v>5.0</v>
      </c>
    </row>
    <row r="6360" ht="15.75" customHeight="1">
      <c r="A6360" s="1">
        <v>6837.0</v>
      </c>
      <c r="B6360" s="3" t="s">
        <v>6149</v>
      </c>
      <c r="C6360" s="3" t="str">
        <f>IFERROR(__xludf.DUMMYFUNCTION("GOOGLETRANSLATE(B6360,""id"",""en"")"),"['', 'star', '']")</f>
        <v>['', 'star', '']</v>
      </c>
      <c r="D6360" s="3">
        <v>3.0</v>
      </c>
    </row>
    <row r="6361" ht="15.75" customHeight="1">
      <c r="A6361" s="1">
        <v>6838.0</v>
      </c>
      <c r="B6361" s="3" t="s">
        <v>6150</v>
      </c>
      <c r="C6361" s="3" t="str">
        <f>IFERROR(__xludf.DUMMYFUNCTION("GOOGLETRANSLATE(B6361,""id"",""en"")"),"['Deceived', 'disappointed', 'right', 'buy', 'package', 'promo', 'missing', 'right', 'already', 'buy', 'pulse']")</f>
        <v>['Deceived', 'disappointed', 'right', 'buy', 'package', 'promo', 'missing', 'right', 'already', 'buy', 'pulse']</v>
      </c>
      <c r="D6361" s="3">
        <v>2.0</v>
      </c>
    </row>
    <row r="6362" ht="15.75" customHeight="1">
      <c r="A6362" s="1">
        <v>6839.0</v>
      </c>
      <c r="B6362" s="3" t="s">
        <v>6151</v>
      </c>
      <c r="C6362" s="3" t="str">
        <f>IFERROR(__xludf.DUMMYFUNCTION("GOOGLETRANSLATE(B6362,""id"",""en"")"),"['Lottery']")</f>
        <v>['Lottery']</v>
      </c>
      <c r="D6362" s="3">
        <v>5.0</v>
      </c>
    </row>
    <row r="6363" ht="15.75" customHeight="1">
      <c r="A6363" s="1">
        <v>6840.0</v>
      </c>
      <c r="B6363" s="3" t="s">
        <v>6152</v>
      </c>
      <c r="C6363" s="3" t="str">
        <f>IFERROR(__xludf.DUMMYFUNCTION("GOOGLETRANSLATE(B6363,""id"",""en"")"),"['Good', 'Hopefully', 'Helpful', 'People', '']")</f>
        <v>['Good', 'Hopefully', 'Helpful', 'People', '']</v>
      </c>
      <c r="D6363" s="3">
        <v>5.0</v>
      </c>
    </row>
    <row r="6364" ht="15.75" customHeight="1">
      <c r="A6364" s="1">
        <v>6841.0</v>
      </c>
      <c r="B6364" s="3" t="s">
        <v>6153</v>
      </c>
      <c r="C6364" s="3" t="str">
        <f>IFERROR(__xludf.DUMMYFUNCTION("GOOGLETRANSLATE(B6364,""id"",""en"")"),"['', 'open']")</f>
        <v>['', 'open']</v>
      </c>
      <c r="D6364" s="3">
        <v>1.0</v>
      </c>
    </row>
    <row r="6365" ht="15.75" customHeight="1">
      <c r="A6365" s="1">
        <v>6842.0</v>
      </c>
      <c r="B6365" s="3" t="s">
        <v>6154</v>
      </c>
      <c r="C6365" s="3" t="str">
        <f>IFERROR(__xludf.DUMMYFUNCTION("GOOGLETRANSLATE(B6365,""id"",""en"")"),"['accept', 'SMS', 'right', 'Login', 'lol']")</f>
        <v>['accept', 'SMS', 'right', 'Login', 'lol']</v>
      </c>
      <c r="D6365" s="3">
        <v>1.0</v>
      </c>
    </row>
    <row r="6366" ht="15.75" customHeight="1">
      <c r="A6366" s="1">
        <v>6843.0</v>
      </c>
      <c r="B6366" s="3" t="s">
        <v>6155</v>
      </c>
      <c r="C6366" s="3" t="str">
        <f>IFERROR(__xludf.DUMMYFUNCTION("GOOGLETRANSLATE(B6366,""id"",""en"")"),"['change', 'Telkomsel', 'package', 'internet', 'run out', 'direct', 'suck', 'pulse', 'regular', 'contents',' pulses', 'directly', ' run out ',' in a moment ',' learned ',' operator ',' package ',' internet ',' run out ',' stop ',' automatic ',' robp ',' p"&amp;"ulse ',' regular ',' detrimental ' , 'Kastamer', 'rich', 'value', 'star', 'manipulative', 'ksh', 'comment','yak ',' love ',' star ',' value ',' suspect']")</f>
        <v>['change', 'Telkomsel', 'package', 'internet', 'run out', 'direct', 'suck', 'pulse', 'regular', 'contents',' pulses', 'directly', ' run out ',' in a moment ',' learned ',' operator ',' package ',' internet ',' run out ',' stop ',' automatic ',' robp ',' pulse ',' regular ',' detrimental ' , 'Kastamer', 'rich', 'value', 'star', 'manipulative', 'ksh', 'comment','yak ',' love ',' star ',' value ',' suspect']</v>
      </c>
      <c r="D6366" s="3">
        <v>1.0</v>
      </c>
    </row>
    <row r="6367" ht="15.75" customHeight="1">
      <c r="A6367" s="1">
        <v>6844.0</v>
      </c>
      <c r="B6367" s="3" t="s">
        <v>6156</v>
      </c>
      <c r="C6367" s="3" t="str">
        <f>IFERROR(__xludf.DUMMYFUNCTION("GOOGLETRANSLATE(B6367,""id"",""en"")"),"['user', 'star']")</f>
        <v>['user', 'star']</v>
      </c>
      <c r="D6367" s="3">
        <v>3.0</v>
      </c>
    </row>
    <row r="6368" ht="15.75" customHeight="1">
      <c r="A6368" s="1">
        <v>6845.0</v>
      </c>
      <c r="B6368" s="3" t="s">
        <v>6157</v>
      </c>
      <c r="C6368" s="3" t="str">
        <f>IFERROR(__xludf.DUMMYFUNCTION("GOOGLETRANSLATE(B6368,""id"",""en"")"),"['Likekapikasimy', 'Telkomsel']")</f>
        <v>['Likekapikasimy', 'Telkomsel']</v>
      </c>
      <c r="D6368" s="3">
        <v>2.0</v>
      </c>
    </row>
    <row r="6369" ht="15.75" customHeight="1">
      <c r="A6369" s="1">
        <v>6846.0</v>
      </c>
      <c r="B6369" s="3" t="s">
        <v>6158</v>
      </c>
      <c r="C6369" s="3" t="str">
        <f>IFERROR(__xludf.DUMMYFUNCTION("GOOGLETRANSLATE(B6369,""id"",""en"")"),"['Disappointment', 'Thun', 'Telkomsel', 'Banayak', 'raises',' disappointment ',' package ',' expensive ',' network ',' error ',' speed ',' his web ',' Network ',' Kenceng ', ""]")</f>
        <v>['Disappointment', 'Thun', 'Telkomsel', 'Banayak', 'raises',' disappointment ',' package ',' expensive ',' network ',' error ',' speed ',' his web ',' Network ',' Kenceng ', "]</v>
      </c>
      <c r="D6369" s="3">
        <v>2.0</v>
      </c>
    </row>
    <row r="6370" ht="15.75" customHeight="1">
      <c r="A6370" s="1">
        <v>6847.0</v>
      </c>
      <c r="B6370" s="3" t="s">
        <v>6159</v>
      </c>
      <c r="C6370" s="3" t="str">
        <f>IFERROR(__xludf.DUMMYFUNCTION("GOOGLETRANSLATE(B6370,""id"",""en"")"),"['Telkomsel', 'Glooms', 'pketan']")</f>
        <v>['Telkomsel', 'Glooms', 'pketan']</v>
      </c>
      <c r="D6370" s="3">
        <v>5.0</v>
      </c>
    </row>
    <row r="6371" ht="15.75" customHeight="1">
      <c r="A6371" s="1">
        <v>6848.0</v>
      </c>
      <c r="B6371" s="3" t="s">
        <v>6160</v>
      </c>
      <c r="C6371" s="3" t="str">
        <f>IFERROR(__xludf.DUMMYFUNCTION("GOOGLETRANSLATE(B6371,""id"",""en"")"),"['Alhamdulillah', 'package', 'my favorite', 'Available', 'Thank you', 'Telkomsel', ""]")</f>
        <v>['Alhamdulillah', 'package', 'my favorite', 'Available', 'Thank you', 'Telkomsel', "]</v>
      </c>
      <c r="D6371" s="3">
        <v>5.0</v>
      </c>
    </row>
    <row r="6372" ht="15.75" customHeight="1">
      <c r="A6372" s="1">
        <v>6851.0</v>
      </c>
      <c r="B6372" s="3" t="s">
        <v>6161</v>
      </c>
      <c r="C6372" s="3" t="str">
        <f>IFERROR(__xludf.DUMMYFUNCTION("GOOGLETRANSLATE(B6372,""id"",""en"")"),"['Sagat', 'good', 'help', ""]")</f>
        <v>['Sagat', 'good', 'help', "]</v>
      </c>
      <c r="D6372" s="3">
        <v>5.0</v>
      </c>
    </row>
    <row r="6373" ht="15.75" customHeight="1">
      <c r="A6373" s="1">
        <v>6852.0</v>
      </c>
      <c r="B6373" s="3" t="s">
        <v>6162</v>
      </c>
      <c r="C6373" s="3" t="str">
        <f>IFERROR(__xludf.DUMMYFUNCTION("GOOGLETRANSLATE(B6373,""id"",""en"")"),"['thank', 'love', 'application', 'help', 'check', 'data']")</f>
        <v>['thank', 'love', 'application', 'help', 'check', 'data']</v>
      </c>
      <c r="D6373" s="3">
        <v>4.0</v>
      </c>
    </row>
    <row r="6374" ht="15.75" customHeight="1">
      <c r="A6374" s="1">
        <v>6853.0</v>
      </c>
      <c r="B6374" s="3" t="s">
        <v>6163</v>
      </c>
      <c r="C6374" s="3" t="str">
        <f>IFERROR(__xludf.DUMMYFUNCTION("GOOGLETRANSLATE(B6374,""id"",""en"")"),"['Satisfying', 'Thank you', ""]")</f>
        <v>['Satisfying', 'Thank you', "]</v>
      </c>
      <c r="D6374" s="3">
        <v>5.0</v>
      </c>
    </row>
    <row r="6375" ht="15.75" customHeight="1">
      <c r="A6375" s="1">
        <v>6854.0</v>
      </c>
      <c r="B6375" s="3" t="s">
        <v>6164</v>
      </c>
      <c r="C6375" s="3" t="str">
        <f>IFERROR(__xludf.DUMMYFUNCTION("GOOGLETRANSLATE(B6375,""id"",""en"")"),"['Cherangan', 'petrified']")</f>
        <v>['Cherangan', 'petrified']</v>
      </c>
      <c r="D6375" s="3">
        <v>5.0</v>
      </c>
    </row>
    <row r="6376" ht="15.75" customHeight="1">
      <c r="A6376" s="1">
        <v>6855.0</v>
      </c>
      <c r="B6376" s="3" t="s">
        <v>6165</v>
      </c>
      <c r="C6376" s="3" t="str">
        <f>IFERROR(__xludf.DUMMYFUNCTION("GOOGLETRANSLATE(B6376,""id"",""en"")"),"['service', 'maximum']")</f>
        <v>['service', 'maximum']</v>
      </c>
      <c r="D6376" s="3">
        <v>1.0</v>
      </c>
    </row>
    <row r="6377" ht="15.75" customHeight="1">
      <c r="A6377" s="1">
        <v>6856.0</v>
      </c>
      <c r="B6377" s="3" t="s">
        <v>6166</v>
      </c>
      <c r="C6377" s="3" t="str">
        <f>IFERROR(__xludf.DUMMYFUNCTION("GOOGLETRANSLATE(B6377,""id"",""en"")"),"['Severe', 'Telkomsel', 'balance', 'pulse', 'suck', 'until', 'dry']")</f>
        <v>['Severe', 'Telkomsel', 'balance', 'pulse', 'suck', 'until', 'dry']</v>
      </c>
      <c r="D6377" s="3">
        <v>1.0</v>
      </c>
    </row>
    <row r="6378" ht="15.75" customHeight="1">
      <c r="A6378" s="1">
        <v>6858.0</v>
      </c>
      <c r="B6378" s="3" t="s">
        <v>6167</v>
      </c>
      <c r="C6378" s="3" t="str">
        <f>IFERROR(__xludf.DUMMYFUNCTION("GOOGLETRANSLATE(B6378,""id"",""en"")"),"['Mksiiih', 'Telkomsel', 'satisfied', 'dngn', 'application']")</f>
        <v>['Mksiiih', 'Telkomsel', 'satisfied', 'dngn', 'application']</v>
      </c>
      <c r="D6378" s="3">
        <v>5.0</v>
      </c>
    </row>
    <row r="6379" ht="15.75" customHeight="1">
      <c r="A6379" s="1">
        <v>6860.0</v>
      </c>
      <c r="B6379" s="3" t="s">
        <v>6168</v>
      </c>
      <c r="C6379" s="3" t="str">
        <f>IFERROR(__xludf.DUMMYFUNCTION("GOOGLETRANSLATE(B6379,""id"",""en"")"),"['Please', 'level', 'Peforma', 'choice', 'package', 'internet']")</f>
        <v>['Please', 'level', 'Peforma', 'choice', 'package', 'internet']</v>
      </c>
      <c r="D6379" s="3">
        <v>1.0</v>
      </c>
    </row>
    <row r="6380" ht="15.75" customHeight="1">
      <c r="A6380" s="1">
        <v>6861.0</v>
      </c>
      <c r="B6380" s="3" t="s">
        <v>6169</v>
      </c>
      <c r="C6380" s="3" t="str">
        <f>IFERROR(__xludf.DUMMYFUNCTION("GOOGLETRANSLATE(B6380,""id"",""en"")"),"['Help', 'happy', 'promo', 'Thanks', 'Telkomsel']")</f>
        <v>['Help', 'happy', 'promo', 'Thanks', 'Telkomsel']</v>
      </c>
      <c r="D6380" s="3">
        <v>5.0</v>
      </c>
    </row>
    <row r="6381" ht="15.75" customHeight="1">
      <c r="A6381" s="1">
        <v>6862.0</v>
      </c>
      <c r="B6381" s="3" t="s">
        <v>6170</v>
      </c>
      <c r="C6381" s="3" t="str">
        <f>IFERROR(__xludf.DUMMYFUNCTION("GOOGLETRANSLATE(B6381,""id"",""en"")"),"['Please', 'Telkomsel', 'Can', 'Orng', 'Emotion', 'Gara', 'Network', 'Lemot', 'Buy', 'Network', 'Nambah', 'Sin', ' Gara ',' Jing ']")</f>
        <v>['Please', 'Telkomsel', 'Can', 'Orng', 'Emotion', 'Gara', 'Network', 'Lemot', 'Buy', 'Network', 'Nambah', 'Sin', ' Gara ',' Jing ']</v>
      </c>
      <c r="D6381" s="3">
        <v>1.0</v>
      </c>
    </row>
    <row r="6382" ht="15.75" customHeight="1">
      <c r="A6382" s="1">
        <v>6863.0</v>
      </c>
      <c r="B6382" s="3" t="s">
        <v>6171</v>
      </c>
      <c r="C6382" s="3" t="str">
        <f>IFERROR(__xludf.DUMMYFUNCTION("GOOGLETRANSLATE(B6382,""id"",""en"")"),"['Telkomsel', 'stupid', 'network', 'teach']")</f>
        <v>['Telkomsel', 'stupid', 'network', 'teach']</v>
      </c>
      <c r="D6382" s="3">
        <v>1.0</v>
      </c>
    </row>
    <row r="6383" ht="15.75" customHeight="1">
      <c r="A6383" s="1">
        <v>6864.0</v>
      </c>
      <c r="B6383" s="3" t="s">
        <v>6172</v>
      </c>
      <c r="C6383" s="3" t="str">
        <f>IFERROR(__xludf.DUMMYFUNCTION("GOOGLETRANSLATE(B6383,""id"",""en"")"),"['min', 'ane', 'buy', 'ladies', 'youtube', 'run out', 'quota', 'main', 'active', 'throng', '']")</f>
        <v>['min', 'ane', 'buy', 'ladies', 'youtube', 'run out', 'quota', 'main', 'active', 'throng', '']</v>
      </c>
      <c r="D6383" s="3">
        <v>3.0</v>
      </c>
    </row>
    <row r="6384" ht="15.75" customHeight="1">
      <c r="A6384" s="1">
        <v>6865.0</v>
      </c>
      <c r="B6384" s="3" t="s">
        <v>6173</v>
      </c>
      <c r="C6384" s="3" t="str">
        <f>IFERROR(__xludf.DUMMYFUNCTION("GOOGLETRANSLATE(B6384,""id"",""en"")"),"['Fix', 'LGI', 'Telkomsel', '']")</f>
        <v>['Fix', 'LGI', 'Telkomsel', '']</v>
      </c>
      <c r="D6384" s="3">
        <v>1.0</v>
      </c>
    </row>
    <row r="6385" ht="15.75" customHeight="1">
      <c r="A6385" s="1">
        <v>6866.0</v>
      </c>
      <c r="B6385" s="3" t="s">
        <v>6174</v>
      </c>
      <c r="C6385" s="3" t="str">
        <f>IFERROR(__xludf.DUMMYFUNCTION("GOOGLETRANSLATE(B6385,""id"",""en"")"),"['Buy', 'Package', 'Internet', 'Credit', 'Cut', 'Costs', 'Access', 'Internet', 'Please', 'Loss', 'Customer', ""]")</f>
        <v>['Buy', 'Package', 'Internet', 'Credit', 'Cut', 'Costs', 'Access', 'Internet', 'Please', 'Loss', 'Customer', "]</v>
      </c>
      <c r="D6385" s="3">
        <v>2.0</v>
      </c>
    </row>
    <row r="6386" ht="15.75" customHeight="1">
      <c r="A6386" s="1">
        <v>6867.0</v>
      </c>
      <c r="B6386" s="3" t="s">
        <v>6175</v>
      </c>
      <c r="C6386" s="3" t="str">
        <f>IFERROR(__xludf.DUMMYFUNCTION("GOOGLETRANSLATE(B6386,""id"",""en"")"),"['back', 'package', 'unlimited', 'max', 'price', 'thousand']")</f>
        <v>['back', 'package', 'unlimited', 'max', 'price', 'thousand']</v>
      </c>
      <c r="D6386" s="3">
        <v>1.0</v>
      </c>
    </row>
    <row r="6387" ht="15.75" customHeight="1">
      <c r="A6387" s="1">
        <v>6868.0</v>
      </c>
      <c r="B6387" s="3" t="s">
        <v>6176</v>
      </c>
      <c r="C6387" s="3" t="str">
        <f>IFERROR(__xludf.DUMMYFUNCTION("GOOGLETRANSLATE(B6387,""id"",""en"")"),"['Telkomsel', 'Network', 'Severe', '']")</f>
        <v>['Telkomsel', 'Network', 'Severe', '']</v>
      </c>
      <c r="D6387" s="3">
        <v>1.0</v>
      </c>
    </row>
    <row r="6388" ht="15.75" customHeight="1">
      <c r="A6388" s="1">
        <v>6869.0</v>
      </c>
      <c r="B6388" s="3" t="s">
        <v>6177</v>
      </c>
      <c r="C6388" s="3" t="str">
        <f>IFERROR(__xludf.DUMMYFUNCTION("GOOGLETRANSLATE(B6388,""id"",""en"")"),"['steady', 'Telkomsel', 'here', 'price', 'package', 'internet', 'NOT', 'CHEAP', 'Mahaaaaaaaaalll', '']")</f>
        <v>['steady', 'Telkomsel', 'here', 'price', 'package', 'internet', 'NOT', 'CHEAP', 'Mahaaaaaaaaalll', '']</v>
      </c>
      <c r="D6388" s="3">
        <v>3.0</v>
      </c>
    </row>
    <row r="6389" ht="15.75" customHeight="1">
      <c r="A6389" s="1">
        <v>6870.0</v>
      </c>
      <c r="B6389" s="3" t="s">
        <v>6178</v>
      </c>
      <c r="C6389" s="3" t="str">
        <f>IFERROR(__xludf.DUMMYFUNCTION("GOOGLETRANSLATE(B6389,""id"",""en"")"),"['Bored', 'promo']")</f>
        <v>['Bored', 'promo']</v>
      </c>
      <c r="D6389" s="3">
        <v>1.0</v>
      </c>
    </row>
    <row r="6390" ht="15.75" customHeight="1">
      <c r="A6390" s="1">
        <v>6871.0</v>
      </c>
      <c r="B6390" s="3" t="s">
        <v>6179</v>
      </c>
      <c r="C6390" s="3" t="str">
        <f>IFERROR(__xludf.DUMMYFUNCTION("GOOGLETRANSLATE(B6390,""id"",""en"")"),"['Nothing', 'instead', 'Telkomsel', 'its network', 'setabilia', 'trs']")</f>
        <v>['Nothing', 'instead', 'Telkomsel', 'its network', 'setabilia', 'trs']</v>
      </c>
      <c r="D6390" s="3">
        <v>5.0</v>
      </c>
    </row>
    <row r="6391" ht="15.75" customHeight="1">
      <c r="A6391" s="1">
        <v>6872.0</v>
      </c>
      <c r="B6391" s="3" t="s">
        <v>6180</v>
      </c>
      <c r="C6391" s="3" t="str">
        <f>IFERROR(__xludf.DUMMYFUNCTION("GOOGLETRANSLATE(B6391,""id"",""en"")"),"['repair']")</f>
        <v>['repair']</v>
      </c>
      <c r="D6391" s="3">
        <v>5.0</v>
      </c>
    </row>
    <row r="6392" ht="15.75" customHeight="1">
      <c r="A6392" s="1">
        <v>6873.0</v>
      </c>
      <c r="B6392" s="3" t="s">
        <v>6181</v>
      </c>
      <c r="C6392" s="3" t="str">
        <f>IFERROR(__xludf.DUMMYFUNCTION("GOOGLETRANSLATE(B6392,""id"",""en"")"),"['signal', 'internet', 'missing', 'card', 'main', 'telkomsel', 'change', 'darling', 'already', 'make', ""]")</f>
        <v>['signal', 'internet', 'missing', 'card', 'main', 'telkomsel', 'change', 'darling', 'already', 'make', "]</v>
      </c>
      <c r="D6392" s="3">
        <v>1.0</v>
      </c>
    </row>
    <row r="6393" ht="15.75" customHeight="1">
      <c r="A6393" s="1">
        <v>6874.0</v>
      </c>
      <c r="B6393" s="3" t="s">
        <v>6182</v>
      </c>
      <c r="C6393" s="3" t="str">
        <f>IFERROR(__xludf.DUMMYFUNCTION("GOOGLETRANSLATE(B6393,""id"",""en"")"),"['', 'Help', 'Anyway']")</f>
        <v>['', 'Help', 'Anyway']</v>
      </c>
      <c r="D6393" s="3">
        <v>5.0</v>
      </c>
    </row>
    <row r="6394" ht="15.75" customHeight="1">
      <c r="A6394" s="1">
        <v>6876.0</v>
      </c>
      <c r="B6394" s="3" t="s">
        <v>6183</v>
      </c>
      <c r="C6394" s="3" t="str">
        <f>IFERROR(__xludf.DUMMYFUNCTION("GOOGLETRANSLATE(B6394,""id"",""en"")"),"['Package', 'expensive', 'network', 'ugly']")</f>
        <v>['Package', 'expensive', 'network', 'ugly']</v>
      </c>
      <c r="D6394" s="3">
        <v>1.0</v>
      </c>
    </row>
    <row r="6395" ht="15.75" customHeight="1">
      <c r="A6395" s="1">
        <v>6877.0</v>
      </c>
      <c r="B6395" s="3" t="s">
        <v>6184</v>
      </c>
      <c r="C6395" s="3" t="str">
        <f>IFERROR(__xludf.DUMMYFUNCTION("GOOGLETRANSLATE(B6395,""id"",""en"")"),"['price', 'package', 'expensive', 'really']")</f>
        <v>['price', 'package', 'expensive', 'really']</v>
      </c>
      <c r="D6395" s="3">
        <v>1.0</v>
      </c>
    </row>
    <row r="6396" ht="15.75" customHeight="1">
      <c r="A6396" s="1">
        <v>6878.0</v>
      </c>
      <c r="B6396" s="3" t="s">
        <v>6185</v>
      </c>
      <c r="C6396" s="3" t="str">
        <f>IFERROR(__xludf.DUMMYFUNCTION("GOOGLETRANSLATE(B6396,""id"",""en"")"),"['Good', 'good', 'Telkomsel', 'serving', 'remote', 'remote', '']")</f>
        <v>['Good', 'good', 'Telkomsel', 'serving', 'remote', 'remote', '']</v>
      </c>
      <c r="D6396" s="3">
        <v>5.0</v>
      </c>
    </row>
    <row r="6397" ht="15.75" customHeight="1">
      <c r="A6397" s="1">
        <v>6879.0</v>
      </c>
      <c r="B6397" s="3" t="s">
        <v>6186</v>
      </c>
      <c r="C6397" s="3" t="str">
        <f>IFERROR(__xludf.DUMMYFUNCTION("GOOGLETRANSLATE(B6397,""id"",""en"")"),"['Good', 'slow']")</f>
        <v>['Good', 'slow']</v>
      </c>
      <c r="D6397" s="3">
        <v>5.0</v>
      </c>
    </row>
    <row r="6398" ht="15.75" customHeight="1">
      <c r="A6398" s="1">
        <v>6880.0</v>
      </c>
      <c r="B6398" s="3" t="s">
        <v>734</v>
      </c>
      <c r="C6398" s="3" t="str">
        <f>IFERROR(__xludf.DUMMYFUNCTION("GOOGLETRANSLATE(B6398,""id"",""en"")"),"['bad']")</f>
        <v>['bad']</v>
      </c>
      <c r="D6398" s="3">
        <v>1.0</v>
      </c>
    </row>
    <row r="6399" ht="15.75" customHeight="1">
      <c r="A6399" s="1">
        <v>6881.0</v>
      </c>
      <c r="B6399" s="3" t="s">
        <v>6187</v>
      </c>
      <c r="C6399" s="3" t="str">
        <f>IFERROR(__xludf.DUMMYFUNCTION("GOOGLETRANSLATE(B6399,""id"",""en"")"),"['signal', 'Please', 'fix']")</f>
        <v>['signal', 'Please', 'fix']</v>
      </c>
      <c r="D6399" s="3">
        <v>5.0</v>
      </c>
    </row>
    <row r="6400" ht="15.75" customHeight="1">
      <c r="A6400" s="1">
        <v>6882.0</v>
      </c>
      <c r="B6400" s="3" t="s">
        <v>6188</v>
      </c>
      <c r="C6400" s="3" t="str">
        <f>IFERROR(__xludf.DUMMYFUNCTION("GOOGLETRANSLATE(B6400,""id"",""en"")"),"['Price', 'fast', 'Kere']")</f>
        <v>['Price', 'fast', 'Kere']</v>
      </c>
      <c r="D6400" s="3">
        <v>1.0</v>
      </c>
    </row>
    <row r="6401" ht="15.75" customHeight="1">
      <c r="A6401" s="1">
        <v>6883.0</v>
      </c>
      <c r="B6401" s="3" t="s">
        <v>6189</v>
      </c>
      <c r="C6401" s="3" t="str">
        <f>IFERROR(__xludf.DUMMYFUNCTION("GOOGLETRANSLATE(B6401,""id"",""en"")"),"['Telkomsel', 'looked', 'lucky', 'mind', 'already', 'expensive', 'quota', 'fast', 'abis', 'moved', 'mah', '']")</f>
        <v>['Telkomsel', 'looked', 'lucky', 'mind', 'already', 'expensive', 'quota', 'fast', 'abis', 'moved', 'mah', '']</v>
      </c>
      <c r="D6401" s="3">
        <v>1.0</v>
      </c>
    </row>
    <row r="6402" ht="15.75" customHeight="1">
      <c r="A6402" s="1">
        <v>6885.0</v>
      </c>
      <c r="B6402" s="3" t="s">
        <v>6190</v>
      </c>
      <c r="C6402" s="3" t="str">
        <f>IFERROR(__xludf.DUMMYFUNCTION("GOOGLETRANSLATE(B6402,""id"",""en"")"),"['Sometimes',' data ',' internet ',' nyerab ',' pulse ',' nakya ',' data ',' internet ',' buy ',' udh ',' check ',' data ',' internet ',' term ',' specify ',' nyerab ',' pulse ',' ajir ',' rb ',' rb ',' run out ',' rb ',' edit ',' sympathy ',' bgok ' , 'n"&amp;"ight', 'disorder', 'Nov', '']")</f>
        <v>['Sometimes',' data ',' internet ',' nyerab ',' pulse ',' nakya ',' data ',' internet ',' buy ',' udh ',' check ',' data ',' internet ',' term ',' specify ',' nyerab ',' pulse ',' ajir ',' rb ',' rb ',' run out ',' rb ',' edit ',' sympathy ',' bgok ' , 'night', 'disorder', 'Nov', '']</v>
      </c>
      <c r="D6402" s="3">
        <v>1.0</v>
      </c>
    </row>
    <row r="6403" ht="15.75" customHeight="1">
      <c r="A6403" s="1">
        <v>6886.0</v>
      </c>
      <c r="B6403" s="3" t="s">
        <v>6191</v>
      </c>
      <c r="C6403" s="3" t="str">
        <f>IFERROR(__xludf.DUMMYFUNCTION("GOOGLETRANSLATE(B6403,""id"",""en"")"),"['Come', 'BURIK', 'Signal', 'Most', 'Disruption']")</f>
        <v>['Come', 'BURIK', 'Signal', 'Most', 'Disruption']</v>
      </c>
      <c r="D6403" s="3">
        <v>1.0</v>
      </c>
    </row>
    <row r="6404" ht="15.75" customHeight="1">
      <c r="A6404" s="1">
        <v>6887.0</v>
      </c>
      <c r="B6404" s="3" t="s">
        <v>6192</v>
      </c>
      <c r="C6404" s="3" t="str">
        <f>IFERROR(__xludf.DUMMYFUNCTION("GOOGLETRANSLATE(B6404,""id"",""en"")"),"['Dayli', 'Chekin', 'Blik', ""]")</f>
        <v>['Dayli', 'Chekin', 'Blik', "]</v>
      </c>
      <c r="D6404" s="3">
        <v>5.0</v>
      </c>
    </row>
    <row r="6405" ht="15.75" customHeight="1">
      <c r="A6405" s="1">
        <v>6889.0</v>
      </c>
      <c r="B6405" s="3" t="s">
        <v>6193</v>
      </c>
      <c r="C6405" s="3" t="str">
        <f>IFERROR(__xludf.DUMMYFUNCTION("GOOGLETRANSLATE(B6405,""id"",""en"")"),"['Open', 'Application', 'Most', 'Choice', 'Season']")</f>
        <v>['Open', 'Application', 'Most', 'Choice', 'Season']</v>
      </c>
      <c r="D6405" s="3">
        <v>1.0</v>
      </c>
    </row>
    <row r="6406" ht="15.75" customHeight="1">
      <c r="A6406" s="1">
        <v>6890.0</v>
      </c>
      <c r="B6406" s="3" t="s">
        <v>6194</v>
      </c>
      <c r="C6406" s="3" t="str">
        <f>IFERROR(__xludf.DUMMYFUNCTION("GOOGLETRANSLATE(B6406,""id"",""en"")"),"['Network', 'ilang', 'already', 'package', 'expensive', 'slow', 'grates', 'ilang', 'also', 'hadeeh']")</f>
        <v>['Network', 'ilang', 'already', 'package', 'expensive', 'slow', 'grates', 'ilang', 'also', 'hadeeh']</v>
      </c>
      <c r="D6406" s="3">
        <v>1.0</v>
      </c>
    </row>
    <row r="6407" ht="15.75" customHeight="1">
      <c r="A6407" s="1">
        <v>6891.0</v>
      </c>
      <c r="B6407" s="3" t="s">
        <v>6195</v>
      </c>
      <c r="C6407" s="3" t="str">
        <f>IFERROR(__xludf.DUMMYFUNCTION("GOOGLETRANSLATE(B6407,""id"",""en"")"),"['Application', 'Cool', 'Ribet']")</f>
        <v>['Application', 'Cool', 'Ribet']</v>
      </c>
      <c r="D6407" s="3">
        <v>5.0</v>
      </c>
    </row>
    <row r="6408" ht="15.75" customHeight="1">
      <c r="A6408" s="1">
        <v>6892.0</v>
      </c>
      <c r="B6408" s="3" t="s">
        <v>6196</v>
      </c>
      <c r="C6408" s="3" t="str">
        <f>IFERROR(__xludf.DUMMYFUNCTION("GOOGLETRANSLATE(B6408,""id"",""en"")"),"['plumpss', 'chaotic']")</f>
        <v>['plumpss', 'chaotic']</v>
      </c>
      <c r="D6408" s="3">
        <v>1.0</v>
      </c>
    </row>
    <row r="6409" ht="15.75" customHeight="1">
      <c r="A6409" s="1">
        <v>6893.0</v>
      </c>
      <c r="B6409" s="3" t="s">
        <v>5143</v>
      </c>
      <c r="C6409" s="3" t="str">
        <f>IFERROR(__xludf.DUMMYFUNCTION("GOOGLETRANSLATE(B6409,""id"",""en"")"),"['fast', 'easy']")</f>
        <v>['fast', 'easy']</v>
      </c>
      <c r="D6409" s="3">
        <v>5.0</v>
      </c>
    </row>
    <row r="6410" ht="15.75" customHeight="1">
      <c r="A6410" s="1">
        <v>6894.0</v>
      </c>
      <c r="B6410" s="3" t="s">
        <v>6197</v>
      </c>
      <c r="C6410" s="3" t="str">
        <f>IFERROR(__xludf.DUMMYFUNCTION("GOOGLETRANSLATE(B6410,""id"",""en"")"),"['application', 'work']")</f>
        <v>['application', 'work']</v>
      </c>
      <c r="D6410" s="3">
        <v>5.0</v>
      </c>
    </row>
    <row r="6411" ht="15.75" customHeight="1">
      <c r="A6411" s="1">
        <v>6895.0</v>
      </c>
      <c r="B6411" s="3" t="s">
        <v>6198</v>
      </c>
      <c r="C6411" s="3" t="str">
        <f>IFERROR(__xludf.DUMMYFUNCTION("GOOGLETRANSLATE(B6411,""id"",""en"")"),"['expensive', 'efficient']")</f>
        <v>['expensive', 'efficient']</v>
      </c>
      <c r="D6411" s="3">
        <v>1.0</v>
      </c>
    </row>
    <row r="6412" ht="15.75" customHeight="1">
      <c r="A6412" s="1">
        <v>6896.0</v>
      </c>
      <c r="B6412" s="3" t="s">
        <v>6199</v>
      </c>
      <c r="C6412" s="3" t="str">
        <f>IFERROR(__xludf.DUMMYFUNCTION("GOOGLETRANSLATE(B6412,""id"",""en"")"),"['Name', 'Dwi', 'Telkomsel', 'here', 'The net', 'Damaged', 'KB', 'Customer', 'loyal', 'Get', 'BNR', 'Wow', ' Pay, 'expensive', 'buy', 'prime', 'Shacet', 'special', 'criticism', 'Mimin', 'as if', 'fast', 'response', 'computer', 'repair' , 'anything', 'crit"&amp;"icism', 'solution', 'signal', 'ugly', 'data', 'price', 'expensive', 'proud of', 'Telkomsel', 'Customer', '']")</f>
        <v>['Name', 'Dwi', 'Telkomsel', 'here', 'The net', 'Damaged', 'KB', 'Customer', 'loyal', 'Get', 'BNR', 'Wow', ' Pay, 'expensive', 'buy', 'prime', 'Shacet', 'special', 'criticism', 'Mimin', 'as if', 'fast', 'response', 'computer', 'repair' , 'anything', 'criticism', 'solution', 'signal', 'ugly', 'data', 'price', 'expensive', 'proud of', 'Telkomsel', 'Customer', '']</v>
      </c>
      <c r="D6412" s="3">
        <v>1.0</v>
      </c>
    </row>
    <row r="6413" ht="15.75" customHeight="1">
      <c r="A6413" s="1">
        <v>6897.0</v>
      </c>
      <c r="B6413" s="3" t="s">
        <v>6200</v>
      </c>
      <c r="C6413" s="3" t="str">
        <f>IFERROR(__xludf.DUMMYFUNCTION("GOOGLETRANSLATE(B6413,""id"",""en"")"),"['Quota', 'Thinking', 'YouTube', 'Kek', 'Peleeer', 'Open', 'YouTube', 'No "",' Buy ',' Leeer ',' What ',""]")</f>
        <v>['Quota', 'Thinking', 'YouTube', 'Kek', 'Peleeer', 'Open', 'YouTube', 'No ",' Buy ',' Leeer ',' What ',"]</v>
      </c>
      <c r="D6413" s="3">
        <v>1.0</v>
      </c>
    </row>
    <row r="6414" ht="15.75" customHeight="1">
      <c r="A6414" s="1">
        <v>6898.0</v>
      </c>
      <c r="B6414" s="3" t="s">
        <v>152</v>
      </c>
      <c r="C6414" s="3" t="str">
        <f>IFERROR(__xludf.DUMMYFUNCTION("GOOGLETRANSLATE(B6414,""id"",""en"")"),"['slow connection']")</f>
        <v>['slow connection']</v>
      </c>
      <c r="D6414" s="3">
        <v>1.0</v>
      </c>
    </row>
    <row r="6415" ht="15.75" customHeight="1">
      <c r="A6415" s="1">
        <v>6899.0</v>
      </c>
      <c r="B6415" s="3" t="s">
        <v>6201</v>
      </c>
      <c r="C6415" s="3" t="str">
        <f>IFERROR(__xludf.DUMMYFUNCTION("GOOGLETRANSLATE(B6415,""id"",""en"")"),"['Okay', 'bonus', 'Addin', 'gan']")</f>
        <v>['Okay', 'bonus', 'Addin', 'gan']</v>
      </c>
      <c r="D6415" s="3">
        <v>5.0</v>
      </c>
    </row>
    <row r="6416" ht="15.75" customHeight="1">
      <c r="A6416" s="1">
        <v>6900.0</v>
      </c>
      <c r="B6416" s="3" t="s">
        <v>3583</v>
      </c>
      <c r="C6416" s="3" t="str">
        <f>IFERROR(__xludf.DUMMYFUNCTION("GOOGLETRANSLATE(B6416,""id"",""en"")"),"['star', '']")</f>
        <v>['star', '']</v>
      </c>
      <c r="D6416" s="3">
        <v>5.0</v>
      </c>
    </row>
    <row r="6417" ht="15.75" customHeight="1">
      <c r="A6417" s="1">
        <v>6901.0</v>
      </c>
      <c r="B6417" s="3" t="s">
        <v>6202</v>
      </c>
      <c r="C6417" s="3" t="str">
        <f>IFERROR(__xludf.DUMMYFUNCTION("GOOGLETRANSLATE(B6417,""id"",""en"")"),"['application', 'help', 'steady', '']")</f>
        <v>['application', 'help', 'steady', '']</v>
      </c>
      <c r="D6417" s="3">
        <v>4.0</v>
      </c>
    </row>
    <row r="6418" ht="15.75" customHeight="1">
      <c r="A6418" s="1">
        <v>6902.0</v>
      </c>
      <c r="B6418" s="3" t="s">
        <v>6203</v>
      </c>
      <c r="C6418" s="3" t="str">
        <f>IFERROR(__xludf.DUMMYFUNCTION("GOOGLETRANSLATE(B6418,""id"",""en"")"),"['Just now', 'purchase', 'pulse', 'via', 'virtual', 'account', 'pulses', 'entry', 'money', 'debited', 'how', 'try']")</f>
        <v>['Just now', 'purchase', 'pulse', 'via', 'virtual', 'account', 'pulses', 'entry', 'money', 'debited', 'how', 'try']</v>
      </c>
      <c r="D6418" s="3">
        <v>4.0</v>
      </c>
    </row>
    <row r="6419" ht="15.75" customHeight="1">
      <c r="A6419" s="1">
        <v>6903.0</v>
      </c>
      <c r="B6419" s="3" t="s">
        <v>6204</v>
      </c>
      <c r="C6419" s="3" t="str">
        <f>IFERROR(__xludf.DUMMYFUNCTION("GOOGLETRANSLATE(B6419,""id"",""en"")"),"['It's easy', 'information', 'number', 'personal', 'purchase', 'package', 'data', 'payment', 'easy']")</f>
        <v>['It's easy', 'information', 'number', 'personal', 'purchase', 'package', 'data', 'payment', 'easy']</v>
      </c>
      <c r="D6419" s="3">
        <v>5.0</v>
      </c>
    </row>
    <row r="6420" ht="15.75" customHeight="1">
      <c r="A6420" s="1">
        <v>6904.0</v>
      </c>
      <c r="B6420" s="3" t="s">
        <v>1294</v>
      </c>
      <c r="C6420" s="3" t="str">
        <f>IFERROR(__xludf.DUMMYFUNCTION("GOOGLETRANSLATE(B6420,""id"",""en"")"),"['Signal', 'Severe']")</f>
        <v>['Signal', 'Severe']</v>
      </c>
      <c r="D6420" s="3">
        <v>1.0</v>
      </c>
    </row>
    <row r="6421" ht="15.75" customHeight="1">
      <c r="A6421" s="1">
        <v>6905.0</v>
      </c>
      <c r="B6421" s="3" t="s">
        <v>6205</v>
      </c>
      <c r="C6421" s="3" t="str">
        <f>IFERROR(__xludf.DUMMYFUNCTION("GOOGLETRANSLATE(B6421,""id"",""en"")"),"['network', 'extensive', 'safe', 'where']")</f>
        <v>['network', 'extensive', 'safe', 'where']</v>
      </c>
      <c r="D6421" s="3">
        <v>5.0</v>
      </c>
    </row>
    <row r="6422" ht="15.75" customHeight="1">
      <c r="A6422" s="1">
        <v>6906.0</v>
      </c>
      <c r="B6422" s="3" t="s">
        <v>6206</v>
      </c>
      <c r="C6422" s="3" t="str">
        <f>IFERROR(__xludf.DUMMYFUNCTION("GOOGLETRANSLATE(B6422,""id"",""en"")"),"['happy', 'application', 'easily', 'buy', 'package', 'gift']")</f>
        <v>['happy', 'application', 'easily', 'buy', 'package', 'gift']</v>
      </c>
      <c r="D6422" s="3">
        <v>5.0</v>
      </c>
    </row>
    <row r="6423" ht="15.75" customHeight="1">
      <c r="A6423" s="1">
        <v>6907.0</v>
      </c>
      <c r="B6423" s="3" t="s">
        <v>6207</v>
      </c>
      <c r="C6423" s="3" t="str">
        <f>IFERROR(__xludf.DUMMYFUNCTION("GOOGLETRANSLATE(B6423,""id"",""en"")"),"['Android', '']")</f>
        <v>['Android', '']</v>
      </c>
      <c r="D6423" s="3">
        <v>1.0</v>
      </c>
    </row>
    <row r="6424" ht="15.75" customHeight="1">
      <c r="A6424" s="1">
        <v>6909.0</v>
      </c>
      <c r="B6424" s="3" t="s">
        <v>6208</v>
      </c>
      <c r="C6424" s="3" t="str">
        <f>IFERROR(__xludf.DUMMYFUNCTION("GOOGLETRANSLATE(B6424,""id"",""en"")"),"['Bins', 'Application', 'BLI', 'Package', 'Data', 'Mal', 'Disruption', 'System', 'Disruption', 'Mulu', 'JLSSSS', ""]")</f>
        <v>['Bins', 'Application', 'BLI', 'Package', 'Data', 'Mal', 'Disruption', 'System', 'Disruption', 'Mulu', 'JLSSSS', "]</v>
      </c>
      <c r="D6424" s="3">
        <v>1.0</v>
      </c>
    </row>
    <row r="6425" ht="15.75" customHeight="1">
      <c r="A6425" s="1">
        <v>6910.0</v>
      </c>
      <c r="B6425" s="3" t="s">
        <v>6209</v>
      </c>
      <c r="C6425" s="3" t="str">
        <f>IFERROR(__xludf.DUMMYFUNCTION("GOOGLETRANSLATE(B6425,""id"",""en"")"),"['tariff', 'quota', 'sympathy', 'strangling', 'community', 'expensive', '']")</f>
        <v>['tariff', 'quota', 'sympathy', 'strangling', 'community', 'expensive', '']</v>
      </c>
      <c r="D6425" s="3">
        <v>1.0</v>
      </c>
    </row>
    <row r="6426" ht="15.75" customHeight="1">
      <c r="A6426" s="1">
        <v>6912.0</v>
      </c>
      <c r="B6426" s="3" t="s">
        <v>6210</v>
      </c>
      <c r="C6426" s="3" t="str">
        <f>IFERROR(__xludf.DUMMYFUNCTION("GOOGLETRANSLATE(B6426,""id"",""en"")"),"['Points', 'exchanged', 'pulse', 'Points', 'Data', 'Vocer', 'Mending', 'No', 'Use', 'Points']")</f>
        <v>['Points', 'exchanged', 'pulse', 'Points', 'Data', 'Vocer', 'Mending', 'No', 'Use', 'Points']</v>
      </c>
      <c r="D6426" s="3">
        <v>1.0</v>
      </c>
    </row>
    <row r="6427" ht="15.75" customHeight="1">
      <c r="A6427" s="1">
        <v>6913.0</v>
      </c>
      <c r="B6427" s="3" t="s">
        <v>6211</v>
      </c>
      <c r="C6427" s="3" t="str">
        <f>IFERROR(__xludf.DUMMYFUNCTION("GOOGLETRANSLATE(B6427,""id"",""en"")"),"['steady', 'bonus']")</f>
        <v>['steady', 'bonus']</v>
      </c>
      <c r="D6427" s="3">
        <v>5.0</v>
      </c>
    </row>
    <row r="6428" ht="15.75" customHeight="1">
      <c r="A6428" s="1">
        <v>6914.0</v>
      </c>
      <c r="B6428" s="3" t="s">
        <v>6212</v>
      </c>
      <c r="C6428" s="3" t="str">
        <f>IFERROR(__xludf.DUMMYFUNCTION("GOOGLETRANSLATE(B6428,""id"",""en"")"),"['Package', 'Internet', 'Lower']")</f>
        <v>['Package', 'Internet', 'Lower']</v>
      </c>
      <c r="D6428" s="3">
        <v>4.0</v>
      </c>
    </row>
    <row r="6429" ht="15.75" customHeight="1">
      <c r="A6429" s="1">
        <v>6916.0</v>
      </c>
      <c r="B6429" s="3" t="s">
        <v>6213</v>
      </c>
      <c r="C6429" s="3" t="str">
        <f>IFERROR(__xludf.DUMMYFUNCTION("GOOGLETRANSLATE(B6429,""id"",""en"")"),"['application', 'good', 'really', 'promo', 'quota', 'no', 'application', 'loss', 'really']")</f>
        <v>['application', 'good', 'really', 'promo', 'quota', 'no', 'application', 'loss', 'really']</v>
      </c>
      <c r="D6429" s="3">
        <v>5.0</v>
      </c>
    </row>
    <row r="6430" ht="15.75" customHeight="1">
      <c r="A6430" s="1">
        <v>6917.0</v>
      </c>
      <c r="B6430" s="3" t="s">
        <v>6214</v>
      </c>
      <c r="C6430" s="3" t="str">
        <f>IFERROR(__xludf.DUMMYFUNCTION("GOOGLETRANSLATE(B6430,""id"",""en"")"),"['expensive', 'network', 'slow', 'cherically', '']")</f>
        <v>['expensive', 'network', 'slow', 'cherically', '']</v>
      </c>
      <c r="D6430" s="3">
        <v>2.0</v>
      </c>
    </row>
    <row r="6431" ht="15.75" customHeight="1">
      <c r="A6431" s="1">
        <v>6918.0</v>
      </c>
      <c r="B6431" s="3" t="s">
        <v>6215</v>
      </c>
      <c r="C6431" s="3" t="str">
        <f>IFERROR(__xludf.DUMMYFUNCTION("GOOGLETRANSLATE(B6431,""id"",""en"")"),"['Package', 'Klen', 'buy', 'expensive', 'quota', 'network', 'clin', 'slow', 'network', 'padal', 'stay', 'remote', ' Hotspots', 'Network', 'Good', 'Buy', 'Package', 'Clin', 'Expensive', 'Expensive', 'Gini', 'Already', 'Telkomsel', 'Disappointed', ""]")</f>
        <v>['Package', 'Klen', 'buy', 'expensive', 'quota', 'network', 'clin', 'slow', 'network', 'padal', 'stay', 'remote', ' Hotspots', 'Network', 'Good', 'Buy', 'Package', 'Clin', 'Expensive', 'Expensive', 'Gini', 'Already', 'Telkomsel', 'Disappointed', "]</v>
      </c>
      <c r="D6431" s="3">
        <v>1.0</v>
      </c>
    </row>
    <row r="6432" ht="15.75" customHeight="1">
      <c r="A6432" s="1">
        <v>6919.0</v>
      </c>
      <c r="B6432" s="3" t="s">
        <v>6216</v>
      </c>
      <c r="C6432" s="3" t="str">
        <f>IFERROR(__xludf.DUMMYFUNCTION("GOOGLETRANSLATE(B6432,""id"",""en"")"),"['already', 'pay', 'package', 'internet', 'enter', 'what', 'refund']")</f>
        <v>['already', 'pay', 'package', 'internet', 'enter', 'what', 'refund']</v>
      </c>
      <c r="D6432" s="3">
        <v>1.0</v>
      </c>
    </row>
    <row r="6433" ht="15.75" customHeight="1">
      <c r="A6433" s="1">
        <v>6920.0</v>
      </c>
      <c r="B6433" s="3" t="s">
        <v>6217</v>
      </c>
      <c r="C6433" s="3" t="str">
        <f>IFERROR(__xludf.DUMMYFUNCTION("GOOGLETRANSLATE(B6433,""id"",""en"")"),"['', 'Jringan', 'JLS', 'Jringn', 'Tlkomsel', 'skrg']")</f>
        <v>['', 'Jringan', 'JLS', 'Jringn', 'Tlkomsel', 'skrg']</v>
      </c>
      <c r="D6433" s="3">
        <v>1.0</v>
      </c>
    </row>
    <row r="6434" ht="15.75" customHeight="1">
      <c r="A6434" s="1">
        <v>6921.0</v>
      </c>
      <c r="B6434" s="3" t="s">
        <v>6218</v>
      </c>
      <c r="C6434" s="3" t="str">
        <f>IFERROR(__xludf.DUMMYFUNCTION("GOOGLETRANSLATE(B6434,""id"",""en"")"),"['min', 'please', 'pulse', 'rb', 'epokan', 'day', 'stay', 'rb', 'loss', 'min']")</f>
        <v>['min', 'please', 'pulse', 'rb', 'epokan', 'day', 'stay', 'rb', 'loss', 'min']</v>
      </c>
      <c r="D6434" s="3">
        <v>3.0</v>
      </c>
    </row>
    <row r="6435" ht="15.75" customHeight="1">
      <c r="A6435" s="1">
        <v>6922.0</v>
      </c>
      <c r="B6435" s="3" t="s">
        <v>6219</v>
      </c>
      <c r="C6435" s="3" t="str">
        <f>IFERROR(__xludf.DUMMYFUNCTION("GOOGLETRANSLATE(B6435,""id"",""en"")"),"['Help', 'related', 'enlightenment', 'quota', 'main', 'run out', 'quota', 'gamemax', 'GB', 'strange', 'quota', 'use', ' Login ',' Main ',' Game ',' Please ',' Help ',' Customer ',' Moving ']")</f>
        <v>['Help', 'related', 'enlightenment', 'quota', 'main', 'run out', 'quota', 'gamemax', 'GB', 'strange', 'quota', 'use', ' Login ',' Main ',' Game ',' Please ',' Help ',' Customer ',' Moving ']</v>
      </c>
      <c r="D6435" s="3">
        <v>3.0</v>
      </c>
    </row>
    <row r="6436" ht="15.75" customHeight="1">
      <c r="A6436" s="1">
        <v>6923.0</v>
      </c>
      <c r="B6436" s="3" t="s">
        <v>6220</v>
      </c>
      <c r="C6436" s="3" t="str">
        <f>IFERROR(__xludf.DUMMYFUNCTION("GOOGLETRANSLATE(B6436,""id"",""en"")"),"['Network', 'Telkomsel', 'slow', 'really', 'easily', 'Pakek', 'Telkomsel']")</f>
        <v>['Network', 'Telkomsel', 'slow', 'really', 'easily', 'Pakek', 'Telkomsel']</v>
      </c>
      <c r="D6436" s="3">
        <v>1.0</v>
      </c>
    </row>
    <row r="6437" ht="15.75" customHeight="1">
      <c r="A6437" s="1">
        <v>6924.0</v>
      </c>
      <c r="B6437" s="3" t="s">
        <v>6221</v>
      </c>
      <c r="C6437" s="3" t="str">
        <f>IFERROR(__xludf.DUMMYFUNCTION("GOOGLETRANSLATE(B6437,""id"",""en"")"),"['Agus', 'like']")</f>
        <v>['Agus', 'like']</v>
      </c>
      <c r="D6437" s="3">
        <v>5.0</v>
      </c>
    </row>
    <row r="6438" ht="15.75" customHeight="1">
      <c r="A6438" s="1">
        <v>6925.0</v>
      </c>
      <c r="B6438" s="3" t="s">
        <v>6222</v>
      </c>
      <c r="C6438" s="3" t="str">
        <f>IFERROR(__xludf.DUMMYFUNCTION("GOOGLETRANSLATE(B6438,""id"",""en"")"),"['Cool', 'Telkomsel']")</f>
        <v>['Cool', 'Telkomsel']</v>
      </c>
      <c r="D6438" s="3">
        <v>5.0</v>
      </c>
    </row>
    <row r="6439" ht="15.75" customHeight="1">
      <c r="A6439" s="1">
        <v>6926.0</v>
      </c>
      <c r="B6439" s="3" t="s">
        <v>6223</v>
      </c>
      <c r="C6439" s="3" t="str">
        <f>IFERROR(__xludf.DUMMYFUNCTION("GOOGLETRANSLATE(B6439,""id"",""en"")"),"['Sya', 'Satisfied', 'use', 'Network', 'Telkomsel', 'TPI', 'Package', 'Price', 'Fast', 'Jdi', 'Sya', 'Ksh', ' BINTANNG ',' Jah ',' Dlu ', ""]")</f>
        <v>['Sya', 'Satisfied', 'use', 'Network', 'Telkomsel', 'TPI', 'Package', 'Price', 'Fast', 'Jdi', 'Sya', 'Ksh', ' BINTANNG ',' Jah ',' Dlu ', "]</v>
      </c>
      <c r="D6439" s="3">
        <v>3.0</v>
      </c>
    </row>
    <row r="6440" ht="15.75" customHeight="1">
      <c r="A6440" s="1">
        <v>6927.0</v>
      </c>
      <c r="B6440" s="3" t="s">
        <v>6224</v>
      </c>
      <c r="C6440" s="3" t="str">
        <f>IFERROR(__xludf.DUMMYFUNCTION("GOOGLETRANSLATE(B6440,""id"",""en"")"),"['Credit', 'sucked', 'fill', 'minutes',' Taoi ',' Monster ',' that's', 'change', 'loss',' nya ',' please ',' fix ',' pulses', 'suck', 'run out']")</f>
        <v>['Credit', 'sucked', 'fill', 'minutes',' Taoi ',' Monster ',' that's', 'change', 'loss',' nya ',' please ',' fix ',' pulses', 'suck', 'run out']</v>
      </c>
      <c r="D6440" s="3">
        <v>1.0</v>
      </c>
    </row>
    <row r="6441" ht="15.75" customHeight="1">
      <c r="A6441" s="1">
        <v>6928.0</v>
      </c>
      <c r="B6441" s="3" t="s">
        <v>6225</v>
      </c>
      <c r="C6441" s="3" t="str">
        <f>IFERROR(__xludf.DUMMYFUNCTION("GOOGLETRANSLATE(B6441,""id"",""en"")"),"['card', 'suda', 'pkt', 'expensive']")</f>
        <v>['card', 'suda', 'pkt', 'expensive']</v>
      </c>
      <c r="D6441" s="3">
        <v>3.0</v>
      </c>
    </row>
    <row r="6442" ht="15.75" customHeight="1">
      <c r="A6442" s="1">
        <v>6929.0</v>
      </c>
      <c r="B6442" s="3" t="s">
        <v>6226</v>
      </c>
      <c r="C6442" s="3" t="str">
        <f>IFERROR(__xludf.DUMMYFUNCTION("GOOGLETRANSLATE(B6442,""id"",""en"")"),"['Thank you', 'Telkomsel', 'Best', 'Hopefully', 'launched', '']")</f>
        <v>['Thank you', 'Telkomsel', 'Best', 'Hopefully', 'launched', '']</v>
      </c>
      <c r="D6442" s="3">
        <v>5.0</v>
      </c>
    </row>
    <row r="6443" ht="15.75" customHeight="1">
      <c r="A6443" s="1">
        <v>6930.0</v>
      </c>
      <c r="B6443" s="3" t="s">
        <v>6227</v>
      </c>
      <c r="C6443" s="3" t="str">
        <f>IFERROR(__xludf.DUMMYFUNCTION("GOOGLETRANSLATE(B6443,""id"",""en"")"),"['', 'steady']")</f>
        <v>['', 'steady']</v>
      </c>
      <c r="D6443" s="3">
        <v>5.0</v>
      </c>
    </row>
    <row r="6444" ht="15.75" customHeight="1">
      <c r="A6444" s="1">
        <v>6931.0</v>
      </c>
      <c r="B6444" s="3" t="s">
        <v>6228</v>
      </c>
      <c r="C6444" s="3" t="str">
        <f>IFERROR(__xludf.DUMMYFUNCTION("GOOGLETRANSLATE(B6444,""id"",""en"")"),"['Anyway', 'Mantap', 'Dahh']")</f>
        <v>['Anyway', 'Mantap', 'Dahh']</v>
      </c>
      <c r="D6444" s="3">
        <v>4.0</v>
      </c>
    </row>
    <row r="6445" ht="15.75" customHeight="1">
      <c r="A6445" s="1">
        <v>6932.0</v>
      </c>
      <c r="B6445" s="3" t="s">
        <v>6229</v>
      </c>
      <c r="C6445" s="3" t="str">
        <f>IFERROR(__xludf.DUMMYFUNCTION("GOOGLETRANSLATE(B6445,""id"",""en"")"),"['Steady', 'fast']")</f>
        <v>['Steady', 'fast']</v>
      </c>
      <c r="D6445" s="3">
        <v>5.0</v>
      </c>
    </row>
    <row r="6446" ht="15.75" customHeight="1">
      <c r="A6446" s="1">
        <v>6933.0</v>
      </c>
      <c r="B6446" s="3" t="s">
        <v>6074</v>
      </c>
      <c r="C6446" s="3" t="str">
        <f>IFERROR(__xludf.DUMMYFUNCTION("GOOGLETRANSLATE(B6446,""id"",""en"")"),"['Service', 'satisfying']")</f>
        <v>['Service', 'satisfying']</v>
      </c>
      <c r="D6446" s="3">
        <v>5.0</v>
      </c>
    </row>
    <row r="6447" ht="15.75" customHeight="1">
      <c r="A6447" s="1">
        <v>6934.0</v>
      </c>
      <c r="B6447" s="3" t="s">
        <v>6230</v>
      </c>
      <c r="C6447" s="3" t="str">
        <f>IFERROR(__xludf.DUMMYFUNCTION("GOOGLETRANSLATE(B6447,""id"",""en"")"),"['Admin', 'sick', 'can', 'extra', 'pulse', 'dipake', 'kocakkk', ""]")</f>
        <v>['Admin', 'sick', 'can', 'extra', 'pulse', 'dipake', 'kocakkk', "]</v>
      </c>
      <c r="D6447" s="3">
        <v>1.0</v>
      </c>
    </row>
    <row r="6448" ht="15.75" customHeight="1">
      <c r="A6448" s="1">
        <v>6935.0</v>
      </c>
      <c r="B6448" s="3" t="s">
        <v>6231</v>
      </c>
      <c r="C6448" s="3" t="str">
        <f>IFERROR(__xludf.DUMMYFUNCTION("GOOGLETRANSLATE(B6448,""id"",""en"")"),"['Wherever', 'signal', 'kuaaaat']")</f>
        <v>['Wherever', 'signal', 'kuaaaat']</v>
      </c>
      <c r="D6448" s="3">
        <v>5.0</v>
      </c>
    </row>
    <row r="6449" ht="15.75" customHeight="1">
      <c r="A6449" s="1">
        <v>6936.0</v>
      </c>
      <c r="B6449" s="3" t="s">
        <v>6232</v>
      </c>
      <c r="C6449" s="3" t="str">
        <f>IFERROR(__xludf.DUMMYFUNCTION("GOOGLETRANSLATE(B6449,""id"",""en"")"),"['check', 'quota', 'package', 'data', '']")</f>
        <v>['check', 'quota', 'package', 'data', '']</v>
      </c>
      <c r="D6449" s="3">
        <v>5.0</v>
      </c>
    </row>
    <row r="6450" ht="15.75" customHeight="1">
      <c r="A6450" s="1">
        <v>6937.0</v>
      </c>
      <c r="B6450" s="3" t="s">
        <v>6233</v>
      </c>
      <c r="C6450" s="3" t="str">
        <f>IFERROR(__xludf.DUMMYFUNCTION("GOOGLETRANSLATE(B6450,""id"",""en"")"),"['Sagat', 'satisfied', 'service', 'application', 'Telkomsel']")</f>
        <v>['Sagat', 'satisfied', 'service', 'application', 'Telkomsel']</v>
      </c>
      <c r="D6450" s="3">
        <v>5.0</v>
      </c>
    </row>
    <row r="6451" ht="15.75" customHeight="1">
      <c r="A6451" s="1">
        <v>6938.0</v>
      </c>
      <c r="B6451" s="3" t="s">
        <v>6234</v>
      </c>
      <c r="C6451" s="3" t="str">
        <f>IFERROR(__xludf.DUMMYFUNCTION("GOOGLETRANSLATE(B6451,""id"",""en"")"),"['Ribet', 'Abis',' pulse ',' cook ',' here ',' use ',' already ',' buy ',' package ',' internet ',' semalem ',' hours', ' SMS ',' Cook ',' Stop ',' subscription ',' Download ',' Apps', 'Too', 'Clock', 'Cut', 'Credit', 'Extension', 'Trossss',' Ruwet ' , ''"&amp;"]")</f>
        <v>['Ribet', 'Abis',' pulse ',' cook ',' here ',' use ',' already ',' buy ',' package ',' internet ',' semalem ',' hours', ' SMS ',' Cook ',' Stop ',' subscription ',' Download ',' Apps', 'Too', 'Clock', 'Cut', 'Credit', 'Extension', 'Trossss',' Ruwet ' , '']</v>
      </c>
      <c r="D6451" s="3">
        <v>1.0</v>
      </c>
    </row>
    <row r="6452" ht="15.75" customHeight="1">
      <c r="A6452" s="1">
        <v>6939.0</v>
      </c>
      <c r="B6452" s="3" t="s">
        <v>6235</v>
      </c>
      <c r="C6452" s="3" t="str">
        <f>IFERROR(__xludf.DUMMYFUNCTION("GOOGLETRANSLATE(B6452,""id"",""en"")"),"['Try', 'Telkomsel', 'Moving', 'Ehhh', 'Lngsung', 'Bakar', 'inauguration', 'Sousinya', 'poor', 'really', ""]")</f>
        <v>['Try', 'Telkomsel', 'Moving', 'Ehhh', 'Lngsung', 'Bakar', 'inauguration', 'Sousinya', 'poor', 'really', "]</v>
      </c>
      <c r="D6452" s="3">
        <v>1.0</v>
      </c>
    </row>
    <row r="6453" ht="15.75" customHeight="1">
      <c r="A6453" s="1">
        <v>6940.0</v>
      </c>
      <c r="B6453" s="3" t="s">
        <v>6236</v>
      </c>
      <c r="C6453" s="3" t="str">
        <f>IFERROR(__xludf.DUMMYFUNCTION("GOOGLETRANSLATE(B6453,""id"",""en"")"),"['price', 'ride', 'qualitan', 'network', 'down', 'just', 'win', 'reach', 'network', 'doang']")</f>
        <v>['price', 'ride', 'qualitan', 'network', 'down', 'just', 'win', 'reach', 'network', 'doang']</v>
      </c>
      <c r="D6453" s="3">
        <v>1.0</v>
      </c>
    </row>
    <row r="6454" ht="15.75" customHeight="1">
      <c r="A6454" s="1">
        <v>6941.0</v>
      </c>
      <c r="B6454" s="3" t="s">
        <v>5590</v>
      </c>
      <c r="C6454" s="3" t="str">
        <f>IFERROR(__xludf.DUMMYFUNCTION("GOOGLETRANSLATE(B6454,""id"",""en"")"),"['Good', 'smooth']")</f>
        <v>['Good', 'smooth']</v>
      </c>
      <c r="D6454" s="3">
        <v>5.0</v>
      </c>
    </row>
    <row r="6455" ht="15.75" customHeight="1">
      <c r="A6455" s="1">
        <v>6942.0</v>
      </c>
      <c r="B6455" s="3" t="s">
        <v>6237</v>
      </c>
      <c r="C6455" s="3" t="str">
        <f>IFERROR(__xludf.DUMMYFUNCTION("GOOGLETRANSLATE(B6455,""id"",""en"")"),"['Wow great']")</f>
        <v>['Wow great']</v>
      </c>
      <c r="D6455" s="3">
        <v>5.0</v>
      </c>
    </row>
    <row r="6456" ht="15.75" customHeight="1">
      <c r="A6456" s="1">
        <v>6943.0</v>
      </c>
      <c r="B6456" s="3" t="s">
        <v>6238</v>
      </c>
      <c r="C6456" s="3" t="str">
        <f>IFERROR(__xludf.DUMMYFUNCTION("GOOGLETRANSLATE(B6456,""id"",""en"")"),"['trimakasi', 'Telkomsel', 'hope', 'healthy']")</f>
        <v>['trimakasi', 'Telkomsel', 'hope', 'healthy']</v>
      </c>
      <c r="D6456" s="3">
        <v>5.0</v>
      </c>
    </row>
    <row r="6457" ht="15.75" customHeight="1">
      <c r="A6457" s="1">
        <v>6944.0</v>
      </c>
      <c r="B6457" s="3" t="s">
        <v>6239</v>
      </c>
      <c r="C6457" s="3" t="str">
        <f>IFERROR(__xludf.DUMMYFUNCTION("GOOGLETRANSLATE(B6457,""id"",""en"")"),"['Please', 'Awakers', 'Siyala', 'Region', 'Hamlet', 'Gerintuk', 'Village', 'Terwai', 'Pujut', 'Pujut', 'Lombok']")</f>
        <v>['Please', 'Awakers', 'Siyala', 'Region', 'Hamlet', 'Gerintuk', 'Village', 'Terwai', 'Pujut', 'Pujut', 'Lombok']</v>
      </c>
      <c r="D6457" s="3">
        <v>4.0</v>
      </c>
    </row>
    <row r="6458" ht="15.75" customHeight="1">
      <c r="A6458" s="1">
        <v>6945.0</v>
      </c>
      <c r="B6458" s="3" t="s">
        <v>6240</v>
      </c>
      <c r="C6458" s="3" t="str">
        <f>IFERROR(__xludf.DUMMYFUNCTION("GOOGLETRANSLATE(B6458,""id"",""en"")"),"['Good', 'Service', 'Telkomsel', 'Tens', 'Top', 'Out']")</f>
        <v>['Good', 'Service', 'Telkomsel', 'Tens', 'Top', 'Out']</v>
      </c>
      <c r="D6458" s="3">
        <v>5.0</v>
      </c>
    </row>
    <row r="6459" ht="15.75" customHeight="1">
      <c r="A6459" s="1">
        <v>6946.0</v>
      </c>
      <c r="B6459" s="3" t="s">
        <v>6241</v>
      </c>
      <c r="C6459" s="3" t="str">
        <f>IFERROR(__xludf.DUMMYFUNCTION("GOOGLETRANSLATE(B6459,""id"",""en"")"),"['What', 'Telkomsel', 'Sumatra', 'North', 'Network', 'Disorders',' Package ',' Doang ',' Ride ',' Stimpal ',' Package ',' Network ',' Good ',' Package ',' Good ',' Network ',' Jangn ',' Customer ',' Disappointed ']")</f>
        <v>['What', 'Telkomsel', 'Sumatra', 'North', 'Network', 'Disorders',' Package ',' Doang ',' Ride ',' Stimpal ',' Package ',' Network ',' Good ',' Package ',' Good ',' Network ',' Jangn ',' Customer ',' Disappointed ']</v>
      </c>
      <c r="D6459" s="3">
        <v>2.0</v>
      </c>
    </row>
    <row r="6460" ht="15.75" customHeight="1">
      <c r="A6460" s="1">
        <v>6947.0</v>
      </c>
      <c r="B6460" s="3" t="s">
        <v>6242</v>
      </c>
      <c r="C6460" s="3" t="str">
        <f>IFERROR(__xludf.DUMMYFUNCTION("GOOGLETRANSLATE(B6460,""id"",""en"")"),"['ugly', 'really', 'application', 'rich', 'yrs', 'lose', 'the application']")</f>
        <v>['ugly', 'really', 'application', 'rich', 'yrs', 'lose', 'the application']</v>
      </c>
      <c r="D6460" s="3">
        <v>1.0</v>
      </c>
    </row>
    <row r="6461" ht="15.75" customHeight="1">
      <c r="A6461" s="1">
        <v>6948.0</v>
      </c>
      <c r="B6461" s="3" t="s">
        <v>6243</v>
      </c>
      <c r="C6461" s="3" t="str">
        <f>IFERROR(__xludf.DUMMYFUNCTION("GOOGLETRANSLATE(B6461,""id"",""en"")"),"['Disappointed', 'balance', 'zero', 'Telkomsel', 'emang', 'believe', 'lgi', 'kayak']")</f>
        <v>['Disappointed', 'balance', 'zero', 'Telkomsel', 'emang', 'believe', 'lgi', 'kayak']</v>
      </c>
      <c r="D6461" s="3">
        <v>1.0</v>
      </c>
    </row>
    <row r="6462" ht="15.75" customHeight="1">
      <c r="A6462" s="1">
        <v>6949.0</v>
      </c>
      <c r="B6462" s="3" t="s">
        <v>6244</v>
      </c>
      <c r="C6462" s="3" t="str">
        <f>IFERROR(__xludf.DUMMYFUNCTION("GOOGLETRANSLATE(B6462,""id"",""en"")"),"['atipu', 'kouta', 'hoax', 'no', 'clock']")</f>
        <v>['atipu', 'kouta', 'hoax', 'no', 'clock']</v>
      </c>
      <c r="D6462" s="3">
        <v>1.0</v>
      </c>
    </row>
    <row r="6463" ht="15.75" customHeight="1">
      <c r="A6463" s="1">
        <v>6950.0</v>
      </c>
      <c r="B6463" s="3" t="s">
        <v>6245</v>
      </c>
      <c r="C6463" s="3" t="str">
        <f>IFERROR(__xludf.DUMMYFUNCTION("GOOGLETRANSLATE(B6463,""id"",""en"")"),"['price', 'quota', 'expensive', 'taibah', 'slow']")</f>
        <v>['price', 'quota', 'expensive', 'taibah', 'slow']</v>
      </c>
      <c r="D6463" s="3">
        <v>1.0</v>
      </c>
    </row>
    <row r="6464" ht="15.75" customHeight="1">
      <c r="A6464" s="1">
        <v>6952.0</v>
      </c>
      <c r="B6464" s="3" t="s">
        <v>6246</v>
      </c>
      <c r="C6464" s="3" t="str">
        <f>IFERROR(__xludf.DUMMYFUNCTION("GOOGLETRANSLATE(B6464,""id"",""en"")"),"['mah', 'promo', 'cheap', 'kouta']")</f>
        <v>['mah', 'promo', 'cheap', 'kouta']</v>
      </c>
      <c r="D6464" s="3">
        <v>5.0</v>
      </c>
    </row>
    <row r="6465" ht="15.75" customHeight="1">
      <c r="A6465" s="1">
        <v>6953.0</v>
      </c>
      <c r="B6465" s="3" t="s">
        <v>6247</v>
      </c>
      <c r="C6465" s="3" t="str">
        <f>IFERROR(__xludf.DUMMYFUNCTION("GOOGLETRANSLATE(B6465,""id"",""en"")"),"['Crazy', 'Telkomsel', 'price', 'buy', 'package', 'JDI', 'Males', 'subscribe', 'Telkomsel', ""]")</f>
        <v>['Crazy', 'Telkomsel', 'price', 'buy', 'package', 'JDI', 'Males', 'subscribe', 'Telkomsel', "]</v>
      </c>
      <c r="D6465" s="3">
        <v>1.0</v>
      </c>
    </row>
    <row r="6466" ht="15.75" customHeight="1">
      <c r="A6466" s="1">
        <v>6954.0</v>
      </c>
      <c r="B6466" s="3" t="s">
        <v>6248</v>
      </c>
      <c r="C6466" s="3" t="str">
        <f>IFERROR(__xludf.DUMMYFUNCTION("GOOGLETRANSLATE(B6466,""id"",""en"")"),"['Telkomsel', 'anjg', 'pulses',' sumps', 'bngst', 'quota', 'msh', 'ntot', 'search', 'money', 'halal', 'gblk', ' ']")</f>
        <v>['Telkomsel', 'anjg', 'pulses',' sumps', 'bngst', 'quota', 'msh', 'ntot', 'search', 'money', 'halal', 'gblk', ' ']</v>
      </c>
      <c r="D6466" s="3">
        <v>1.0</v>
      </c>
    </row>
    <row r="6467" ht="15.75" customHeight="1">
      <c r="A6467" s="1">
        <v>6955.0</v>
      </c>
      <c r="B6467" s="3" t="s">
        <v>6249</v>
      </c>
      <c r="C6467" s="3" t="str">
        <f>IFERROR(__xludf.DUMMYFUNCTION("GOOGLETRANSLATE(B6467,""id"",""en"")"),"['Paketan', 'Cheap', '']")</f>
        <v>['Paketan', 'Cheap', '']</v>
      </c>
      <c r="D6467" s="3">
        <v>5.0</v>
      </c>
    </row>
    <row r="6468" ht="15.75" customHeight="1">
      <c r="A6468" s="1">
        <v>6956.0</v>
      </c>
      <c r="B6468" s="3" t="s">
        <v>6250</v>
      </c>
      <c r="C6468" s="3" t="str">
        <f>IFERROR(__xludf.DUMMYFUNCTION("GOOGLETRANSLATE(B6468,""id"",""en"")"),"['Network', 'ngilani', 'that's',' weather ',' normal ',' strange ',' that's', 'disorder', 'disappear', 'network', 'card', 'expensive', ' slow connection']")</f>
        <v>['Network', 'ngilani', 'that's',' weather ',' normal ',' strange ',' that's', 'disorder', 'disappear', 'network', 'card', 'expensive', ' slow connection']</v>
      </c>
      <c r="D6468" s="3">
        <v>1.0</v>
      </c>
    </row>
    <row r="6469" ht="15.75" customHeight="1">
      <c r="A6469" s="1">
        <v>6957.0</v>
      </c>
      <c r="B6469" s="3" t="s">
        <v>6251</v>
      </c>
      <c r="C6469" s="3" t="str">
        <f>IFERROR(__xludf.DUMMYFUNCTION("GOOGLETRANSLATE(B6469,""id"",""en"")"),"['Telkomsel', 'bad', 'buy', 'package', 'unlimited', 'Sakti', 'quota', 'fast', 'HBS', 'quota', 'package', 'unlimited', ' package ',' quota ',' package ',' durable ',' package ',' sakti ',' quota ',' fast ',' bnget ',' hbs', 'package', 'hbs',' kta ' , 'Auto"&amp;"', 'unlimited', 'use', 'bner', 'bad', ""]")</f>
        <v>['Telkomsel', 'bad', 'buy', 'package', 'unlimited', 'Sakti', 'quota', 'fast', 'HBS', 'quota', 'package', 'unlimited', ' package ',' quota ',' package ',' durable ',' package ',' sakti ',' quota ',' fast ',' bnget ',' hbs', 'package', 'hbs',' kta ' , 'Auto', 'unlimited', 'use', 'bner', 'bad', "]</v>
      </c>
      <c r="D6469" s="3">
        <v>1.0</v>
      </c>
    </row>
    <row r="6470" ht="15.75" customHeight="1">
      <c r="A6470" s="1">
        <v>6958.0</v>
      </c>
      <c r="B6470" s="3" t="s">
        <v>6252</v>
      </c>
      <c r="C6470" s="3" t="str">
        <f>IFERROR(__xludf.DUMMYFUNCTION("GOOGLETRANSLATE(B6470,""id"",""en"")"),"['Please', 'fix', 'pulse', 'truncated', 'loss',' card ',' kagak ',' use ',' fix ',' bug ',' purchase ',' package ',' Buy ',' Visit ',' Package ',' Aware ',' Credit ',' Reduced ',' Rupiah ', ""]")</f>
        <v>['Please', 'fix', 'pulse', 'truncated', 'loss',' card ',' kagak ',' use ',' fix ',' bug ',' purchase ',' package ',' Buy ',' Visit ',' Package ',' Aware ',' Credit ',' Reduced ',' Rupiah ', "]</v>
      </c>
      <c r="D6470" s="3">
        <v>2.0</v>
      </c>
    </row>
    <row r="6471" ht="15.75" customHeight="1">
      <c r="A6471" s="1">
        <v>6959.0</v>
      </c>
      <c r="B6471" s="3" t="s">
        <v>6253</v>
      </c>
      <c r="C6471" s="3" t="str">
        <f>IFERROR(__xludf.DUMMYFUNCTION("GOOGLETRANSLATE(B6471,""id"",""en"")"),"['Telkomsel', 'here', 'Looks',' yaa ',' many years', 'Telkomsel', 'times',' hit ',' activation ',' package ',' location ',' moved ',' go ',' house ',' skrg ',' bru ',' buy ',' quota ',' fill ',' pulse ',' afternoon ',' afternoon ',' ngelag ',' sumps', 'pu"&amp;"lses' , 'Bener', 'Bene', 'times', 'getting', 'Kayak', 'Gini', 'Telkomsel', 'many years', 'signal', 'missing', ""]")</f>
        <v>['Telkomsel', 'here', 'Looks',' yaa ',' many years', 'Telkomsel', 'times',' hit ',' activation ',' package ',' location ',' moved ',' go ',' house ',' skrg ',' bru ',' buy ',' quota ',' fill ',' pulse ',' afternoon ',' afternoon ',' ngelag ',' sumps', 'pulses' , 'Bener', 'Bene', 'times', 'getting', 'Kayak', 'Gini', 'Telkomsel', 'many years', 'signal', 'missing', "]</v>
      </c>
      <c r="D6471" s="3">
        <v>1.0</v>
      </c>
    </row>
    <row r="6472" ht="15.75" customHeight="1">
      <c r="A6472" s="1">
        <v>6961.0</v>
      </c>
      <c r="B6472" s="3" t="s">
        <v>6254</v>
      </c>
      <c r="C6472" s="3" t="str">
        <f>IFERROR(__xludf.DUMMYFUNCTION("GOOGLETRANSLATE(B6472,""id"",""en"")"),"['Program', 'interesting', 'won']")</f>
        <v>['Program', 'interesting', 'won']</v>
      </c>
      <c r="D6472" s="3">
        <v>5.0</v>
      </c>
    </row>
    <row r="6473" ht="15.75" customHeight="1">
      <c r="A6473" s="1">
        <v>6962.0</v>
      </c>
      <c r="B6473" s="3" t="s">
        <v>6255</v>
      </c>
      <c r="C6473" s="3" t="str">
        <f>IFERROR(__xludf.DUMMYFUNCTION("GOOGLETRANSLATE(B6473,""id"",""en"")"),"['APK', 'SNGT', 'BGS']")</f>
        <v>['APK', 'SNGT', 'BGS']</v>
      </c>
      <c r="D6473" s="3">
        <v>5.0</v>
      </c>
    </row>
    <row r="6474" ht="15.75" customHeight="1">
      <c r="A6474" s="1">
        <v>6963.0</v>
      </c>
      <c r="B6474" s="3" t="s">
        <v>6256</v>
      </c>
      <c r="C6474" s="3" t="str">
        <f>IFERROR(__xludf.DUMMYFUNCTION("GOOGLETRANSLATE(B6474,""id"",""en"")"),"['Sangan', 'easy', 'help', 'counter', 'counter']")</f>
        <v>['Sangan', 'easy', 'help', 'counter', 'counter']</v>
      </c>
      <c r="D6474" s="3">
        <v>5.0</v>
      </c>
    </row>
    <row r="6475" ht="15.75" customHeight="1">
      <c r="A6475" s="1">
        <v>6964.0</v>
      </c>
      <c r="B6475" s="3" t="s">
        <v>2774</v>
      </c>
      <c r="C6475" s="3" t="str">
        <f>IFERROR(__xludf.DUMMYFUNCTION("GOOGLETRANSLATE(B6475,""id"",""en"")"),"['', 'Telkomsel', 'Good']")</f>
        <v>['', 'Telkomsel', 'Good']</v>
      </c>
      <c r="D6475" s="3">
        <v>5.0</v>
      </c>
    </row>
    <row r="6476" ht="15.75" customHeight="1">
      <c r="A6476" s="1">
        <v>6965.0</v>
      </c>
      <c r="B6476" s="3" t="s">
        <v>6257</v>
      </c>
      <c r="C6476" s="3" t="str">
        <f>IFERROR(__xludf.DUMMYFUNCTION("GOOGLETRANSLATE(B6476,""id"",""en"")"),"['Sumbawa', 'Moyo', 'Hulu', 'Telkomsel', 'Slalu', 'Leet', 'Login', 'Please', 'Telkomsel', 'Notice']")</f>
        <v>['Sumbawa', 'Moyo', 'Hulu', 'Telkomsel', 'Slalu', 'Leet', 'Login', 'Please', 'Telkomsel', 'Notice']</v>
      </c>
      <c r="D6476" s="3">
        <v>2.0</v>
      </c>
    </row>
    <row r="6477" ht="15.75" customHeight="1">
      <c r="A6477" s="1">
        <v>6966.0</v>
      </c>
      <c r="B6477" s="3" t="s">
        <v>6258</v>
      </c>
      <c r="C6477" s="3" t="str">
        <f>IFERROR(__xludf.DUMMYFUNCTION("GOOGLETRANSLATE(B6477,""id"",""en"")"),"['satisfied']")</f>
        <v>['satisfied']</v>
      </c>
      <c r="D6477" s="3">
        <v>5.0</v>
      </c>
    </row>
    <row r="6478" ht="15.75" customHeight="1">
      <c r="A6478" s="1">
        <v>6967.0</v>
      </c>
      <c r="B6478" s="3" t="s">
        <v>6259</v>
      </c>
      <c r="C6478" s="3" t="str">
        <f>IFERROR(__xludf.DUMMYFUNCTION("GOOGLETRANSLATE(B6478,""id"",""en"")"),"['Price', 'expensive', 'quality', 'pulp', 'severe']")</f>
        <v>['Price', 'expensive', 'quality', 'pulp', 'severe']</v>
      </c>
      <c r="D6478" s="3">
        <v>1.0</v>
      </c>
    </row>
    <row r="6479" ht="15.75" customHeight="1">
      <c r="A6479" s="1">
        <v>6969.0</v>
      </c>
      <c r="B6479" s="3" t="s">
        <v>6260</v>
      </c>
      <c r="C6479" s="3" t="str">
        <f>IFERROR(__xludf.DUMMYFUNCTION("GOOGLETRANSLATE(B6479,""id"",""en"")"),"['petrified', 'information', 'Telkomsel']")</f>
        <v>['petrified', 'information', 'Telkomsel']</v>
      </c>
      <c r="D6479" s="3">
        <v>5.0</v>
      </c>
    </row>
    <row r="6480" ht="15.75" customHeight="1">
      <c r="A6480" s="1">
        <v>6970.0</v>
      </c>
      <c r="B6480" s="3" t="s">
        <v>6261</v>
      </c>
      <c r="C6480" s="3" t="str">
        <f>IFERROR(__xludf.DUMMYFUNCTION("GOOGLETRANSLATE(B6480,""id"",""en"")"),"['signal', 'good', 'skrng', 'ngecirewain', 'buy', 'package', 'expensive', '']")</f>
        <v>['signal', 'good', 'skrng', 'ngecirewain', 'buy', 'package', 'expensive', '']</v>
      </c>
      <c r="D6480" s="3">
        <v>1.0</v>
      </c>
    </row>
    <row r="6481" ht="15.75" customHeight="1">
      <c r="A6481" s="1">
        <v>6971.0</v>
      </c>
      <c r="B6481" s="3" t="s">
        <v>6262</v>
      </c>
      <c r="C6481" s="3" t="str">
        <f>IFERROR(__xludf.DUMMYFUNCTION("GOOGLETRANSLATE(B6481,""id"",""en"")"),"['', 'Easy to', '']")</f>
        <v>['', 'Easy to', '']</v>
      </c>
      <c r="D6481" s="3">
        <v>5.0</v>
      </c>
    </row>
    <row r="6482" ht="15.75" customHeight="1">
      <c r="A6482" s="1">
        <v>6972.0</v>
      </c>
      <c r="B6482" s="3" t="s">
        <v>6263</v>
      </c>
      <c r="C6482" s="3" t="str">
        <f>IFERROR(__xludf.DUMMYFUNCTION("GOOGLETRANSLATE(B6482,""id"",""en"")"),"['Kampretttttttt', 'Package', 'Credit', 'Suck', 'Telkomsel', 'Application', 'Maling', 'Kalai']")</f>
        <v>['Kampretttttttt', 'Package', 'Credit', 'Suck', 'Telkomsel', 'Application', 'Maling', 'Kalai']</v>
      </c>
      <c r="D6482" s="3">
        <v>1.0</v>
      </c>
    </row>
    <row r="6483" ht="15.75" customHeight="1">
      <c r="A6483" s="1">
        <v>6973.0</v>
      </c>
      <c r="B6483" s="3" t="s">
        <v>6264</v>
      </c>
      <c r="C6483" s="3" t="str">
        <f>IFERROR(__xludf.DUMMYFUNCTION("GOOGLETRANSLATE(B6483,""id"",""en"")"),"['expensive', 'people', 'ngaggur']")</f>
        <v>['expensive', 'people', 'ngaggur']</v>
      </c>
      <c r="D6483" s="3">
        <v>5.0</v>
      </c>
    </row>
    <row r="6484" ht="15.75" customHeight="1">
      <c r="A6484" s="1">
        <v>6974.0</v>
      </c>
      <c r="B6484" s="3" t="s">
        <v>6265</v>
      </c>
      <c r="C6484" s="3" t="str">
        <f>IFERROR(__xludf.DUMMYFUNCTION("GOOGLETRANSLATE(B6484,""id"",""en"")"),"['The network', 'good', 'Telkomsel', 'Please', 'repaired']")</f>
        <v>['The network', 'good', 'Telkomsel', 'Please', 'repaired']</v>
      </c>
      <c r="D6484" s="3">
        <v>3.0</v>
      </c>
    </row>
    <row r="6485" ht="15.75" customHeight="1">
      <c r="A6485" s="1">
        <v>6975.0</v>
      </c>
      <c r="B6485" s="3" t="s">
        <v>6266</v>
      </c>
      <c r="C6485" s="3" t="str">
        <f>IFERROR(__xludf.DUMMYFUNCTION("GOOGLETRANSLATE(B6485,""id"",""en"")"),"['Star', 'Costs',' Transfer ',' Fund ',' Ovo ',' Free ',' Telkomsel ',' Notabene ',' Million ',' User ',' Love ',' Facilities', ' Free ',' Costs', 'Transfer', '']")</f>
        <v>['Star', 'Costs',' Transfer ',' Fund ',' Ovo ',' Free ',' Telkomsel ',' Notabene ',' Million ',' User ',' Love ',' Facilities', ' Free ',' Costs', 'Transfer', '']</v>
      </c>
      <c r="D6485" s="3">
        <v>4.0</v>
      </c>
    </row>
    <row r="6486" ht="15.75" customHeight="1">
      <c r="A6486" s="1">
        <v>6976.0</v>
      </c>
      <c r="B6486" s="3" t="s">
        <v>217</v>
      </c>
      <c r="C6486" s="3" t="str">
        <f>IFERROR(__xludf.DUMMYFUNCTION("GOOGLETRANSLATE(B6486,""id"",""en"")"),"['satisfying', '']")</f>
        <v>['satisfying', '']</v>
      </c>
      <c r="D6486" s="3">
        <v>5.0</v>
      </c>
    </row>
    <row r="6487" ht="15.75" customHeight="1">
      <c r="A6487" s="1">
        <v>6977.0</v>
      </c>
      <c r="B6487" s="3" t="s">
        <v>6267</v>
      </c>
      <c r="C6487" s="3" t="str">
        <f>IFERROR(__xludf.DUMMYFUNCTION("GOOGLETRANSLATE(B6487,""id"",""en"")"),"['Login', 'Logout', 'Practical', 'Code', 'OTP', 'Verification', 'SMS']")</f>
        <v>['Login', 'Logout', 'Practical', 'Code', 'OTP', 'Verification', 'SMS']</v>
      </c>
      <c r="D6487" s="3">
        <v>1.0</v>
      </c>
    </row>
    <row r="6488" ht="15.75" customHeight="1">
      <c r="A6488" s="1">
        <v>6978.0</v>
      </c>
      <c r="B6488" s="3" t="s">
        <v>6268</v>
      </c>
      <c r="C6488" s="3" t="str">
        <f>IFERROR(__xludf.DUMMYFUNCTION("GOOGLETRANSLATE(B6488,""id"",""en"")"),"['Anyway', 'Mantap', 'Telkomsel']")</f>
        <v>['Anyway', 'Mantap', 'Telkomsel']</v>
      </c>
      <c r="D6488" s="3">
        <v>5.0</v>
      </c>
    </row>
    <row r="6489" ht="15.75" customHeight="1">
      <c r="A6489" s="1">
        <v>6979.0</v>
      </c>
      <c r="B6489" s="3" t="s">
        <v>6269</v>
      </c>
      <c r="C6489" s="3" t="str">
        <f>IFERROR(__xludf.DUMMYFUNCTION("GOOGLETRANSLATE(B6489,""id"",""en"")"),"['Burikkkkk', 'Birik', 'Telkomsel', 'like', 'ngelek', 'padahl', 'signal', 'Different', 'emtri', 'emtri', 'already', 'quota', ' cheap ',' signal ',' ngelek ',' please ',' fix ',' Telkomsel ',' ']")</f>
        <v>['Burikkkkk', 'Birik', 'Telkomsel', 'like', 'ngelek', 'padahl', 'signal', 'Different', 'emtri', 'emtri', 'already', 'quota', ' cheap ',' signal ',' ngelek ',' please ',' fix ',' Telkomsel ',' ']</v>
      </c>
      <c r="D6489" s="3">
        <v>1.0</v>
      </c>
    </row>
    <row r="6490" ht="15.75" customHeight="1">
      <c r="A6490" s="1">
        <v>6980.0</v>
      </c>
      <c r="B6490" s="3" t="s">
        <v>6270</v>
      </c>
      <c r="C6490" s="3" t="str">
        <f>IFERROR(__xludf.DUMMYFUNCTION("GOOGLETRANSLATE(B6490,""id"",""en"")"),"['', 'Telkomsel', 'Manep', 'really']")</f>
        <v>['', 'Telkomsel', 'Manep', 'really']</v>
      </c>
      <c r="D6490" s="3">
        <v>5.0</v>
      </c>
    </row>
    <row r="6491" ht="15.75" customHeight="1">
      <c r="A6491" s="1">
        <v>6981.0</v>
      </c>
      <c r="B6491" s="3" t="s">
        <v>6271</v>
      </c>
      <c r="C6491" s="3" t="str">
        <f>IFERROR(__xludf.DUMMYFUNCTION("GOOGLETRANSLATE(B6491,""id"",""en"")"),"['Please', 'fix', 'lag', 'right', 'play', 'game']")</f>
        <v>['Please', 'fix', 'lag', 'right', 'play', 'game']</v>
      </c>
      <c r="D6491" s="3">
        <v>5.0</v>
      </c>
    </row>
    <row r="6492" ht="15.75" customHeight="1">
      <c r="A6492" s="1">
        <v>6982.0</v>
      </c>
      <c r="B6492" s="3" t="s">
        <v>6272</v>
      </c>
      <c r="C6492" s="3" t="str">
        <f>IFERROR(__xludf.DUMMYFUNCTION("GOOGLETRANSLATE(B6492,""id"",""en"")"),"['signal', 'good', 'at the end', 'Balung', 'bdg', 'ugly', 'signal', 'please', 'assisted']")</f>
        <v>['signal', 'good', 'at the end', 'Balung', 'bdg', 'ugly', 'signal', 'please', 'assisted']</v>
      </c>
      <c r="D6492" s="3">
        <v>5.0</v>
      </c>
    </row>
    <row r="6493" ht="15.75" customHeight="1">
      <c r="A6493" s="1">
        <v>6983.0</v>
      </c>
      <c r="B6493" s="3" t="s">
        <v>6273</v>
      </c>
      <c r="C6493" s="3" t="str">
        <f>IFERROR(__xludf.DUMMYFUNCTION("GOOGLETRANSLATE(B6493,""id"",""en"")"),"['', 'enter', 'enter', 'application', 'mentok', 'hurup', ""]")</f>
        <v>['', 'enter', 'enter', 'application', 'mentok', 'hurup', "]</v>
      </c>
      <c r="D6493" s="3">
        <v>1.0</v>
      </c>
    </row>
    <row r="6494" ht="15.75" customHeight="1">
      <c r="A6494" s="1">
        <v>6984.0</v>
      </c>
      <c r="B6494" s="3" t="s">
        <v>6274</v>
      </c>
      <c r="C6494" s="3" t="str">
        <f>IFERROR(__xludf.DUMMYFUNCTION("GOOGLETRANSLATE(B6494,""id"",""en"")"),"['Gajelas',' Woy ',' Network ',' according to ',' Price ',' Begin ',' Network ',' People ',' City ',' Nasty ',' Network ',' ']")</f>
        <v>['Gajelas',' Woy ',' Network ',' according to ',' Price ',' Begin ',' Network ',' People ',' City ',' Nasty ',' Network ',' ']</v>
      </c>
      <c r="D6494" s="3">
        <v>1.0</v>
      </c>
    </row>
    <row r="6495" ht="15.75" customHeight="1">
      <c r="A6495" s="1">
        <v>6985.0</v>
      </c>
      <c r="B6495" s="3" t="s">
        <v>6275</v>
      </c>
      <c r="C6495" s="3" t="str">
        <f>IFERROR(__xludf.DUMMYFUNCTION("GOOGLETRANSLATE(B6495,""id"",""en"")"),"['fast', 'access', '']")</f>
        <v>['fast', 'access', '']</v>
      </c>
      <c r="D6495" s="3">
        <v>5.0</v>
      </c>
    </row>
    <row r="6496" ht="15.75" customHeight="1">
      <c r="A6496" s="1">
        <v>6986.0</v>
      </c>
      <c r="B6496" s="3" t="s">
        <v>6276</v>
      </c>
      <c r="C6496" s="3" t="str">
        <f>IFERROR(__xludf.DUMMYFUNCTION("GOOGLETRANSLATE(B6496,""id"",""en"")"),"['APK', 'fast']")</f>
        <v>['APK', 'fast']</v>
      </c>
      <c r="D6496" s="3">
        <v>5.0</v>
      </c>
    </row>
    <row r="6497" ht="15.75" customHeight="1">
      <c r="A6497" s="1">
        <v>6987.0</v>
      </c>
      <c r="B6497" s="3" t="s">
        <v>6277</v>
      </c>
      <c r="C6497" s="3" t="str">
        <f>IFERROR(__xludf.DUMMYFUNCTION("GOOGLETRANSLATE(B6497,""id"",""en"")"),"['Network', 'tariff', 'quota', 'expensive', 'expensive', 'manyin', 'bonus',' quota ',' Telkomsel ',' love ',' people ',' Indonesia ',' Rates', 'cheap']")</f>
        <v>['Network', 'tariff', 'quota', 'expensive', 'expensive', 'manyin', 'bonus',' quota ',' Telkomsel ',' love ',' people ',' Indonesia ',' Rates', 'cheap']</v>
      </c>
      <c r="D6497" s="3">
        <v>5.0</v>
      </c>
    </row>
    <row r="6498" ht="15.75" customHeight="1">
      <c r="A6498" s="1">
        <v>6988.0</v>
      </c>
      <c r="B6498" s="3" t="s">
        <v>6278</v>
      </c>
      <c r="C6498" s="3" t="str">
        <f>IFERROR(__xludf.DUMMYFUNCTION("GOOGLETRANSLATE(B6498,""id"",""en"")"),"['Bismillah', 'Hopefully', 'Motor', 'Beat', 'Lottery', 'Motor', 'Beat', 'Give', 'sister', 'Beloved']")</f>
        <v>['Bismillah', 'Hopefully', 'Motor', 'Beat', 'Lottery', 'Motor', 'Beat', 'Give', 'sister', 'Beloved']</v>
      </c>
      <c r="D6498" s="3">
        <v>5.0</v>
      </c>
    </row>
    <row r="6499" ht="15.75" customHeight="1">
      <c r="A6499" s="1">
        <v>6989.0</v>
      </c>
      <c r="B6499" s="3" t="s">
        <v>6279</v>
      </c>
      <c r="C6499" s="3" t="str">
        <f>IFERROR(__xludf.DUMMYFUNCTION("GOOGLETRANSLATE(B6499,""id"",""en"")"),"['Package', 'Flash', 'Fill', 'Credit', 'Lost', 'gymna', 'usually', 'Litu', 'times', 'lost', 'pulse']")</f>
        <v>['Package', 'Flash', 'Fill', 'Credit', 'Lost', 'gymna', 'usually', 'Litu', 'times', 'lost', 'pulse']</v>
      </c>
      <c r="D6499" s="3">
        <v>1.0</v>
      </c>
    </row>
    <row r="6500" ht="15.75" customHeight="1">
      <c r="A6500" s="1">
        <v>6990.0</v>
      </c>
      <c r="B6500" s="3" t="s">
        <v>6280</v>
      </c>
      <c r="C6500" s="3" t="str">
        <f>IFERROR(__xludf.DUMMYFUNCTION("GOOGLETRANSLATE(B6500,""id"",""en"")"),"['Package', 'Internet', 'Telkomsel', 'skrg', 'UDH', 'buy', 'package', 'my computer', 'divided', 'Kyk', 'dlu', 'Kyk', ' children ',' school ',' package ',' zoom ',' difficult ',' package ',' main ',' out ',' GNI ',' then ',' stop ',' buy ',' package ' , 'I"&amp;"nternet', 'cell', 'Mending', '']")</f>
        <v>['Package', 'Internet', 'Telkomsel', 'skrg', 'UDH', 'buy', 'package', 'my computer', 'divided', 'Kyk', 'dlu', 'Kyk', ' children ',' school ',' package ',' zoom ',' difficult ',' package ',' main ',' out ',' GNI ',' then ',' stop ',' buy ',' package ' , 'Internet', 'cell', 'Mending', '']</v>
      </c>
      <c r="D6500" s="3">
        <v>1.0</v>
      </c>
    </row>
    <row r="6501" ht="15.75" customHeight="1">
      <c r="A6501" s="1">
        <v>6991.0</v>
      </c>
      <c r="B6501" s="3" t="s">
        <v>6281</v>
      </c>
      <c r="C6501" s="3" t="str">
        <f>IFERROR(__xludf.DUMMYFUNCTION("GOOGLETRANSLATE(B6501,""id"",""en"")"),"['', 'Points', 'exchanged', 'naruk', 'contents', 'reset', 'pulse', 'free']")</f>
        <v>['', 'Points', 'exchanged', 'naruk', 'contents', 'reset', 'pulse', 'free']</v>
      </c>
      <c r="D6501" s="3">
        <v>1.0</v>
      </c>
    </row>
    <row r="6502" ht="15.75" customHeight="1">
      <c r="A6502" s="1">
        <v>6992.0</v>
      </c>
      <c r="B6502" s="3" t="s">
        <v>6282</v>
      </c>
      <c r="C6502" s="3" t="str">
        <f>IFERROR(__xludf.DUMMYFUNCTION("GOOGLETRANSLATE(B6502,""id"",""en"")"),"['price', 'pure', 'continuedsssss', 'signal', 'parahhhhhhhh', 'kacauuuuuuuu']")</f>
        <v>['price', 'pure', 'continuedsssss', 'signal', 'parahhhhhhhh', 'kacauuuuuuuu']</v>
      </c>
      <c r="D6502" s="3">
        <v>2.0</v>
      </c>
    </row>
    <row r="6503" ht="15.75" customHeight="1">
      <c r="A6503" s="1">
        <v>6993.0</v>
      </c>
      <c r="B6503" s="3" t="s">
        <v>6283</v>
      </c>
      <c r="C6503" s="3" t="str">
        <f>IFERROR(__xludf.DUMMYFUNCTION("GOOGLETRANSLATE(B6503,""id"",""en"")"),"['Application', 'heavy', 'Loading']")</f>
        <v>['Application', 'heavy', 'Loading']</v>
      </c>
      <c r="D6503" s="3">
        <v>4.0</v>
      </c>
    </row>
    <row r="6504" ht="15.75" customHeight="1">
      <c r="A6504" s="1">
        <v>6995.0</v>
      </c>
      <c r="B6504" s="3" t="s">
        <v>6284</v>
      </c>
      <c r="C6504" s="3" t="str">
        <f>IFERROR(__xludf.DUMMYFUNCTION("GOOGLETRANSLATE(B6504,""id"",""en"")"),"['signal', 'please', 'Benerin', '']")</f>
        <v>['signal', 'please', 'Benerin', '']</v>
      </c>
      <c r="D6504" s="3">
        <v>1.0</v>
      </c>
    </row>
    <row r="6505" ht="15.75" customHeight="1">
      <c r="A6505" s="1">
        <v>6996.0</v>
      </c>
      <c r="B6505" s="3" t="s">
        <v>6285</v>
      </c>
      <c r="C6505" s="3" t="str">
        <f>IFERROR(__xludf.DUMMYFUNCTION("GOOGLETRANSLATE(B6505,""id"",""en"")"),"['My APK', 'That's',' TPI ',' Good ',' Package ',' Promotions', 'Buy', 'Abis',' Save ',' Credit ',' Suck ',' APK ',' pig']")</f>
        <v>['My APK', 'That's',' TPI ',' Good ',' Package ',' Promotions', 'Buy', 'Abis',' Save ',' Credit ',' Suck ',' APK ',' pig']</v>
      </c>
      <c r="D6505" s="3">
        <v>1.0</v>
      </c>
    </row>
    <row r="6506" ht="15.75" customHeight="1">
      <c r="A6506" s="1">
        <v>6997.0</v>
      </c>
      <c r="B6506" s="3" t="s">
        <v>6286</v>
      </c>
      <c r="C6506" s="3" t="str">
        <f>IFERROR(__xludf.DUMMYFUNCTION("GOOGLETRANSLATE(B6506,""id"",""en"")"),"['Disappointed', 'Telkomsel', 'Open', 'APK', 'Ajah', 'Activein', 'Data', 'cellular', 'buy', 'quota', 'pulse', 'already', ' Sumpot ',' Open ',' APK ',' Telkomsel ',' Sekrang ',' Yng ',' Different ',' Yng ',' Quota ',' Anywada ',' Package ',' Dipake ',' All"&amp;" ' , 'area', 'Bandung', 'buy', 'in the area', 'bandung', 'west', 'package', 'dipake', 'in the area', 'bandung', 'ajah', 'bandung', ' West ',' Gabisa ',' Dipake ',' ']")</f>
        <v>['Disappointed', 'Telkomsel', 'Open', 'APK', 'Ajah', 'Activein', 'Data', 'cellular', 'buy', 'quota', 'pulse', 'already', ' Sumpot ',' Open ',' APK ',' Telkomsel ',' Sekrang ',' Yng ',' Different ',' Yng ',' Quota ',' Anywada ',' Package ',' Dipake ',' All ' , 'area', 'Bandung', 'buy', 'in the area', 'bandung', 'west', 'package', 'dipake', 'in the area', 'bandung', 'ajah', 'bandung', ' West ',' Gabisa ',' Dipake ',' ']</v>
      </c>
      <c r="D6506" s="3">
        <v>2.0</v>
      </c>
    </row>
    <row r="6507" ht="15.75" customHeight="1">
      <c r="A6507" s="1">
        <v>6998.0</v>
      </c>
      <c r="B6507" s="3" t="s">
        <v>6287</v>
      </c>
      <c r="C6507" s="3" t="str">
        <f>IFERROR(__xludf.DUMMYFUNCTION("GOOGLETRANSLATE(B6507,""id"",""en"")"),"['really', 'dpet', 'sms', 'roli', 'number', 'winner', 'right', 'download', 'notif']")</f>
        <v>['really', 'dpet', 'sms', 'roli', 'number', 'winner', 'right', 'download', 'notif']</v>
      </c>
      <c r="D6507" s="3">
        <v>1.0</v>
      </c>
    </row>
    <row r="6508" ht="15.75" customHeight="1">
      <c r="A6508" s="1">
        <v>6999.0</v>
      </c>
      <c r="B6508" s="3" t="s">
        <v>6288</v>
      </c>
      <c r="C6508" s="3" t="str">
        <f>IFERROR(__xludf.DUMMYFUNCTION("GOOGLETRANSLATE(B6508,""id"",""en"")"),"['Telkomsel', 'Price', 'Package', 'Internet', 'Expensive', 'Pilhan', ""]")</f>
        <v>['Telkomsel', 'Price', 'Package', 'Internet', 'Expensive', 'Pilhan', "]</v>
      </c>
      <c r="D6508" s="3">
        <v>1.0</v>
      </c>
    </row>
    <row r="6509" ht="15.75" customHeight="1">
      <c r="A6509" s="1">
        <v>7000.0</v>
      </c>
      <c r="B6509" s="3" t="s">
        <v>6289</v>
      </c>
      <c r="C6509" s="3" t="str">
        <f>IFERROR(__xludf.DUMMYFUNCTION("GOOGLETRANSLATE(B6509,""id"",""en"")"),"['How', 'Telkomsel', 'Network', 'Leet', 'Bangat', '']")</f>
        <v>['How', 'Telkomsel', 'Network', 'Leet', 'Bangat', '']</v>
      </c>
      <c r="D6509" s="3">
        <v>3.0</v>
      </c>
    </row>
    <row r="6510" ht="15.75" customHeight="1">
      <c r="A6510" s="1">
        <v>7001.0</v>
      </c>
      <c r="B6510" s="3" t="s">
        <v>6290</v>
      </c>
      <c r="C6510" s="3" t="str">
        <f>IFERROR(__xludf.DUMMYFUNCTION("GOOGLETRANSLATE(B6510,""id"",""en"")"),"['Meleless',' APK ',' Version ',' told ',' Update ',' APK ',' Latest ',' Dipake ',' Transfer ',' Credit ',' Cost ',' Tranfer ',' expensive ',' apk ',' fraud ',' ']")</f>
        <v>['Meleless',' APK ',' Version ',' told ',' Update ',' APK ',' Latest ',' Dipake ',' Transfer ',' Credit ',' Cost ',' Tranfer ',' expensive ',' apk ',' fraud ',' ']</v>
      </c>
      <c r="D6510" s="3">
        <v>1.0</v>
      </c>
    </row>
    <row r="6511" ht="15.75" customHeight="1">
      <c r="A6511" s="1">
        <v>7002.0</v>
      </c>
      <c r="B6511" s="3" t="s">
        <v>6291</v>
      </c>
      <c r="C6511" s="3" t="str">
        <f>IFERROR(__xludf.DUMMYFUNCTION("GOOGLETRANSLATE(B6511,""id"",""en"")"),"['improved', 'Yesterday', 'signal', 'lost', 'weaker', 'full', 'bar', 'no', 'bar', 'speed', 'KB', 'MB', ' ']")</f>
        <v>['improved', 'Yesterday', 'signal', 'lost', 'weaker', 'full', 'bar', 'no', 'bar', 'speed', 'KB', 'MB', ' ']</v>
      </c>
      <c r="D6511" s="3">
        <v>4.0</v>
      </c>
    </row>
    <row r="6512" ht="15.75" customHeight="1">
      <c r="A6512" s="1">
        <v>7003.0</v>
      </c>
      <c r="B6512" s="3" t="s">
        <v>273</v>
      </c>
      <c r="C6512" s="3" t="str">
        <f>IFERROR(__xludf.DUMMYFUNCTION("GOOGLETRANSLATE(B6512,""id"",""en"")"),"['like']")</f>
        <v>['like']</v>
      </c>
      <c r="D6512" s="3">
        <v>5.0</v>
      </c>
    </row>
    <row r="6513" ht="15.75" customHeight="1">
      <c r="A6513" s="1">
        <v>7004.0</v>
      </c>
      <c r="B6513" s="3" t="s">
        <v>6292</v>
      </c>
      <c r="C6513" s="3" t="str">
        <f>IFERROR(__xludf.DUMMYFUNCTION("GOOGLETRANSLATE(B6513,""id"",""en"")"),"['Disappointed', 'really', 'System', 'Telkomsel', 'Error', 'Kasian', 'community', 'entrust', 'network', 'operator', 'Telkomsel', 'TPI', ' Lead ',' service ',' Telkomsel ',' Kemasyanyarak ',' satisfying ', ""]")</f>
        <v>['Disappointed', 'really', 'System', 'Telkomsel', 'Error', 'Kasian', 'community', 'entrust', 'network', 'operator', 'Telkomsel', 'TPI', ' Lead ',' service ',' Telkomsel ',' Kemasyanyarak ',' satisfying ', "]</v>
      </c>
      <c r="D6513" s="3">
        <v>1.0</v>
      </c>
    </row>
    <row r="6514" ht="15.75" customHeight="1">
      <c r="A6514" s="1">
        <v>7005.0</v>
      </c>
      <c r="B6514" s="3" t="s">
        <v>6293</v>
      </c>
      <c r="C6514" s="3" t="str">
        <f>IFERROR(__xludf.DUMMYFUNCTION("GOOGLETRANSLATE(B6514,""id"",""en"")"),"['signal', 'ugly', 'sympathy']")</f>
        <v>['signal', 'ugly', 'sympathy']</v>
      </c>
      <c r="D6514" s="3">
        <v>1.0</v>
      </c>
    </row>
    <row r="6515" ht="15.75" customHeight="1">
      <c r="A6515" s="1">
        <v>7006.0</v>
      </c>
      <c r="B6515" s="3" t="s">
        <v>6294</v>
      </c>
      <c r="C6515" s="3" t="str">
        <f>IFERROR(__xludf.DUMMYFUNCTION("GOOGLETRANSLATE(B6515,""id"",""en"")"),"['Lemot', 'really', 'good', 'version', 'Yesterday']")</f>
        <v>['Lemot', 'really', 'good', 'version', 'Yesterday']</v>
      </c>
      <c r="D6515" s="3">
        <v>5.0</v>
      </c>
    </row>
    <row r="6516" ht="15.75" customHeight="1">
      <c r="A6516" s="1">
        <v>7008.0</v>
      </c>
      <c r="B6516" s="3" t="s">
        <v>6295</v>
      </c>
      <c r="C6516" s="3" t="str">
        <f>IFERROR(__xludf.DUMMYFUNCTION("GOOGLETRANSLATE(B6516,""id"",""en"")"),"['package', 'quota', 'run out', 'play', 'cut', 'pulse', 'regret', 'fill', 'pulses']")</f>
        <v>['package', 'quota', 'run out', 'play', 'cut', 'pulse', 'regret', 'fill', 'pulses']</v>
      </c>
      <c r="D6516" s="3">
        <v>1.0</v>
      </c>
    </row>
    <row r="6517" ht="15.75" customHeight="1">
      <c r="A6517" s="1">
        <v>7009.0</v>
      </c>
      <c r="B6517" s="3" t="s">
        <v>181</v>
      </c>
      <c r="C6517" s="3" t="str">
        <f>IFERROR(__xludf.DUMMYFUNCTION("GOOGLETRANSLATE(B6517,""id"",""en"")"),"['help']")</f>
        <v>['help']</v>
      </c>
      <c r="D6517" s="3">
        <v>5.0</v>
      </c>
    </row>
    <row r="6518" ht="15.75" customHeight="1">
      <c r="A6518" s="1">
        <v>7010.0</v>
      </c>
      <c r="B6518" s="3" t="s">
        <v>2620</v>
      </c>
      <c r="C6518" s="3" t="str">
        <f>IFERROR(__xludf.DUMMYFUNCTION("GOOGLETRANSLATE(B6518,""id"",""en"")"),"Of course")</f>
        <v>Of course</v>
      </c>
      <c r="D6518" s="3">
        <v>5.0</v>
      </c>
    </row>
    <row r="6519" ht="15.75" customHeight="1">
      <c r="A6519" s="1">
        <v>7011.0</v>
      </c>
      <c r="B6519" s="3" t="s">
        <v>6296</v>
      </c>
      <c r="C6519" s="3" t="str">
        <f>IFERROR(__xludf.DUMMYFUNCTION("GOOGLETRANSLATE(B6519,""id"",""en"")"),"['Cool', 'Minn', 'Application', 'Useful', '']")</f>
        <v>['Cool', 'Minn', 'Application', 'Useful', '']</v>
      </c>
      <c r="D6519" s="3">
        <v>5.0</v>
      </c>
    </row>
    <row r="6520" ht="15.75" customHeight="1">
      <c r="A6520" s="1">
        <v>7012.0</v>
      </c>
      <c r="B6520" s="3" t="s">
        <v>6297</v>
      </c>
      <c r="C6520" s="3" t="str">
        <f>IFERROR(__xludf.DUMMYFUNCTION("GOOGLETRANSLATE(B6520,""id"",""en"")"),"['quality', 'service', 'decreases', 'forced', 'love', 'star', 'fun', 'update', 'error', 'network']")</f>
        <v>['quality', 'service', 'decreases', 'forced', 'love', 'star', 'fun', 'update', 'error', 'network']</v>
      </c>
      <c r="D6520" s="3">
        <v>3.0</v>
      </c>
    </row>
    <row r="6521" ht="15.75" customHeight="1">
      <c r="A6521" s="1">
        <v>7013.0</v>
      </c>
      <c r="B6521" s="3" t="s">
        <v>6298</v>
      </c>
      <c r="C6521" s="3" t="str">
        <f>IFERROR(__xludf.DUMMYFUNCTION("GOOGLETRANSLATE(B6521,""id"",""en"")"),"['easy', 'cheap', 'buy', 'package', 'internet', 'The', 'Best', 'Sampe', 'additional', 'option', 'extension', 'active', ' the rest ',' package ']")</f>
        <v>['easy', 'cheap', 'buy', 'package', 'internet', 'The', 'Best', 'Sampe', 'additional', 'option', 'extension', 'active', ' the rest ',' package ']</v>
      </c>
      <c r="D6521" s="3">
        <v>5.0</v>
      </c>
    </row>
    <row r="6522" ht="15.75" customHeight="1">
      <c r="A6522" s="1">
        <v>7014.0</v>
      </c>
      <c r="B6522" s="3" t="s">
        <v>6299</v>
      </c>
      <c r="C6522" s="3" t="str">
        <f>IFERROR(__xludf.DUMMYFUNCTION("GOOGLETRANSLATE(B6522,""id"",""en"")"),"['Mantab', 'weve', 'Thinking', 'YouTube', 'limit', '']")</f>
        <v>['Mantab', 'weve', 'Thinking', 'YouTube', 'limit', '']</v>
      </c>
      <c r="D6522" s="3">
        <v>5.0</v>
      </c>
    </row>
    <row r="6523" ht="15.75" customHeight="1">
      <c r="A6523" s="1">
        <v>7015.0</v>
      </c>
      <c r="B6523" s="3" t="s">
        <v>6300</v>
      </c>
      <c r="C6523" s="3" t="str">
        <f>IFERROR(__xludf.DUMMYFUNCTION("GOOGLETRANSLATE(B6523,""id"",""en"")"),"['Kenpaa', 'Credit', 'Cutting', 'Min', '']")</f>
        <v>['Kenpaa', 'Credit', 'Cutting', 'Min', '']</v>
      </c>
      <c r="D6523" s="3">
        <v>2.0</v>
      </c>
    </row>
    <row r="6524" ht="15.75" customHeight="1">
      <c r="A6524" s="1">
        <v>7016.0</v>
      </c>
      <c r="B6524" s="3" t="s">
        <v>6301</v>
      </c>
      <c r="C6524" s="3" t="str">
        <f>IFERROR(__xludf.DUMMYFUNCTION("GOOGLETRANSLATE(B6524,""id"",""en"")"),"['Login', 'MUNG', 'Display', 'Home', 'Loading', 'Please', 'Try', 'Load', 'Reset', 'Failed', 'Repeated', 'reset', ' Sorry ',' star ',' ']")</f>
        <v>['Login', 'MUNG', 'Display', 'Home', 'Loading', 'Please', 'Try', 'Load', 'Reset', 'Failed', 'Repeated', 'reset', ' Sorry ',' star ',' ']</v>
      </c>
      <c r="D6524" s="3">
        <v>1.0</v>
      </c>
    </row>
    <row r="6525" ht="15.75" customHeight="1">
      <c r="A6525" s="1">
        <v>7017.0</v>
      </c>
      <c r="B6525" s="3" t="s">
        <v>6302</v>
      </c>
      <c r="C6525" s="3" t="str">
        <f>IFERROR(__xludf.DUMMYFUNCTION("GOOGLETRANSLATE(B6525,""id"",""en"")"),"['skrang', 'Telkomsel', 'Rada', 'ngeselin', 'pulses', 'cave', 'abis', '']")</f>
        <v>['skrang', 'Telkomsel', 'Rada', 'ngeselin', 'pulses', 'cave', 'abis', '']</v>
      </c>
      <c r="D6525" s="3">
        <v>2.0</v>
      </c>
    </row>
    <row r="6526" ht="15.75" customHeight="1">
      <c r="A6526" s="1">
        <v>7018.0</v>
      </c>
      <c r="B6526" s="3" t="s">
        <v>6303</v>
      </c>
      <c r="C6526" s="3" t="str">
        <f>IFERROR(__xludf.DUMMYFUNCTION("GOOGLETRANSLATE(B6526,""id"",""en"")"),"['Application', 'MyTelkomsel', 'Rich', 'Gini']")</f>
        <v>['Application', 'MyTelkomsel', 'Rich', 'Gini']</v>
      </c>
      <c r="D6526" s="3">
        <v>1.0</v>
      </c>
    </row>
    <row r="6527" ht="15.75" customHeight="1">
      <c r="A6527" s="1">
        <v>7019.0</v>
      </c>
      <c r="B6527" s="3" t="s">
        <v>6304</v>
      </c>
      <c r="C6527" s="3" t="str">
        <f>IFERROR(__xludf.DUMMYFUNCTION("GOOGLETRANSLATE(B6527,""id"",""en"")"),"['Severe', 'buy', 'quota', 'application', 'Telkomsel', 'unable', 'load', 'application', 'rich', 'that's', '']")</f>
        <v>['Severe', 'buy', 'quota', 'application', 'Telkomsel', 'unable', 'load', 'application', 'rich', 'that's', '']</v>
      </c>
      <c r="D6527" s="3">
        <v>1.0</v>
      </c>
    </row>
    <row r="6528" ht="15.75" customHeight="1">
      <c r="A6528" s="1">
        <v>7020.0</v>
      </c>
      <c r="B6528" s="3" t="s">
        <v>677</v>
      </c>
      <c r="C6528" s="3" t="str">
        <f>IFERROR(__xludf.DUMMYFUNCTION("GOOGLETRANSLATE(B6528,""id"",""en"")"),"['Telkomsel']")</f>
        <v>['Telkomsel']</v>
      </c>
      <c r="D6528" s="3">
        <v>1.0</v>
      </c>
    </row>
    <row r="6529" ht="15.75" customHeight="1">
      <c r="A6529" s="1">
        <v>7021.0</v>
      </c>
      <c r="B6529" s="3" t="s">
        <v>6305</v>
      </c>
      <c r="C6529" s="3" t="str">
        <f>IFERROR(__xludf.DUMMYFUNCTION("GOOGLETRANSLATE(B6529,""id"",""en"")"),"['Application', 'Open']")</f>
        <v>['Application', 'Open']</v>
      </c>
      <c r="D6529" s="3">
        <v>1.0</v>
      </c>
    </row>
    <row r="6530" ht="15.75" customHeight="1">
      <c r="A6530" s="1">
        <v>7022.0</v>
      </c>
      <c r="B6530" s="3" t="s">
        <v>6306</v>
      </c>
      <c r="C6530" s="3" t="str">
        <f>IFERROR(__xludf.DUMMYFUNCTION("GOOGLETRANSLATE(B6530,""id"",""en"")"),"['users',' loyal ',' Telkomsel ',' Age ',' SMA ',' Annual ',' here ',' products', 'Telkomsel', 'expensive', 'purchase', 'internet', ' Sister ',' buy ',' card ',' Telkomsel ',' dikasi ',' price ',' promo ',' cheap ',' fair ',' ']")</f>
        <v>['users',' loyal ',' Telkomsel ',' Age ',' SMA ',' Annual ',' here ',' products', 'Telkomsel', 'expensive', 'purchase', 'internet', ' Sister ',' buy ',' card ',' Telkomsel ',' dikasi ',' price ',' promo ',' cheap ',' fair ',' ']</v>
      </c>
      <c r="D6530" s="3">
        <v>1.0</v>
      </c>
    </row>
    <row r="6531" ht="15.75" customHeight="1">
      <c r="A6531" s="1">
        <v>7023.0</v>
      </c>
      <c r="B6531" s="3" t="s">
        <v>6307</v>
      </c>
      <c r="C6531" s="3" t="str">
        <f>IFERROR(__xludf.DUMMYFUNCTION("GOOGLETRANSLATE(B6531,""id"",""en"")"),"['slow', '']")</f>
        <v>['slow', '']</v>
      </c>
      <c r="D6531" s="3">
        <v>1.0</v>
      </c>
    </row>
    <row r="6532" ht="15.75" customHeight="1">
      <c r="A6532" s="1">
        <v>7024.0</v>
      </c>
      <c r="B6532" s="3" t="s">
        <v>6308</v>
      </c>
      <c r="C6532" s="3" t="str">
        <f>IFERROR(__xludf.DUMMYFUNCTION("GOOGLETRANSLATE(B6532,""id"",""en"")"),"['', 'application', 'klw', 'buy', 'package', 'error', 'system', 'error', '']")</f>
        <v>['', 'application', 'klw', 'buy', 'package', 'error', 'system', 'error', '']</v>
      </c>
      <c r="D6532" s="3">
        <v>1.0</v>
      </c>
    </row>
    <row r="6533" ht="15.75" customHeight="1">
      <c r="A6533" s="1">
        <v>7025.0</v>
      </c>
      <c r="B6533" s="3" t="s">
        <v>6309</v>
      </c>
      <c r="C6533" s="3" t="str">
        <f>IFERROR(__xludf.DUMMYFUNCTION("GOOGLETRANSLATE(B6533,""id"",""en"")"),"['Good', 'See', 'Package', 'Telkomsel', 'Thank', 'Love', 'Telkomsel', 'Good', 'The Application', 'Delicious']")</f>
        <v>['Good', 'See', 'Package', 'Telkomsel', 'Thank', 'Love', 'Telkomsel', 'Good', 'The Application', 'Delicious']</v>
      </c>
      <c r="D6533" s="3">
        <v>5.0</v>
      </c>
    </row>
    <row r="6534" ht="15.75" customHeight="1">
      <c r="A6534" s="1">
        <v>7026.0</v>
      </c>
      <c r="B6534" s="3" t="s">
        <v>6310</v>
      </c>
      <c r="C6534" s="3" t="str">
        <f>IFERROR(__xludf.DUMMYFUNCTION("GOOGLETRANSLATE(B6534,""id"",""en"")"),"['Ngeta', 'Disorders', 'Muluk', 'Fool']")</f>
        <v>['Ngeta', 'Disorders', 'Muluk', 'Fool']</v>
      </c>
      <c r="D6534" s="3">
        <v>1.0</v>
      </c>
    </row>
    <row r="6535" ht="15.75" customHeight="1">
      <c r="A6535" s="1">
        <v>7027.0</v>
      </c>
      <c r="B6535" s="3" t="s">
        <v>6311</v>
      </c>
      <c r="C6535" s="3" t="str">
        <f>IFERROR(__xludf.DUMMYFUNCTION("GOOGLETRANSLATE(B6535,""id"",""en"")"),"['Application', 'Anjig', 'Turn', 'Maketin', 'Open', 'Asan']")</f>
        <v>['Application', 'Anjig', 'Turn', 'Maketin', 'Open', 'Asan']</v>
      </c>
      <c r="D6535" s="3">
        <v>1.0</v>
      </c>
    </row>
    <row r="6536" ht="15.75" customHeight="1">
      <c r="A6536" s="1">
        <v>7028.0</v>
      </c>
      <c r="B6536" s="3" t="s">
        <v>6312</v>
      </c>
      <c r="C6536" s="3" t="str">
        <f>IFERROR(__xludf.DUMMYFUNCTION("GOOGLETRANSLATE(B6536,""id"",""en"")"),"['Try', 'Pakek', 'WiFi', 'Open', 'APK']")</f>
        <v>['Try', 'Pakek', 'WiFi', 'Open', 'APK']</v>
      </c>
      <c r="D6536" s="3">
        <v>1.0</v>
      </c>
    </row>
    <row r="6537" ht="15.75" customHeight="1">
      <c r="A6537" s="1">
        <v>7029.0</v>
      </c>
      <c r="B6537" s="3" t="s">
        <v>6313</v>
      </c>
      <c r="C6537" s="3" t="str">
        <f>IFERROR(__xludf.DUMMYFUNCTION("GOOGLETRANSLATE(B6537,""id"",""en"")"),"['Telkomsel', 'forward']")</f>
        <v>['Telkomsel', 'forward']</v>
      </c>
      <c r="D6537" s="3">
        <v>3.0</v>
      </c>
    </row>
    <row r="6538" ht="15.75" customHeight="1">
      <c r="A6538" s="1">
        <v>7030.0</v>
      </c>
      <c r="B6538" s="3" t="s">
        <v>6314</v>
      </c>
      <c r="C6538" s="3" t="str">
        <f>IFERROR(__xludf.DUMMYFUNCTION("GOOGLETRANSLATE(B6538,""id"",""en"")"),"['enter', 'error']")</f>
        <v>['enter', 'error']</v>
      </c>
      <c r="D6538" s="3">
        <v>1.0</v>
      </c>
    </row>
    <row r="6539" ht="15.75" customHeight="1">
      <c r="A6539" s="1">
        <v>7031.0</v>
      </c>
      <c r="B6539" s="3" t="s">
        <v>6315</v>
      </c>
      <c r="C6539" s="3" t="str">
        <f>IFERROR(__xludf.DUMMYFUNCTION("GOOGLETRANSLATE(B6539,""id"",""en"")"),"['fixin', 'disorder']")</f>
        <v>['fixin', 'disorder']</v>
      </c>
      <c r="D6539" s="3">
        <v>1.0</v>
      </c>
    </row>
    <row r="6540" ht="15.75" customHeight="1">
      <c r="A6540" s="1">
        <v>7032.0</v>
      </c>
      <c r="B6540" s="3" t="s">
        <v>6316</v>
      </c>
      <c r="C6540" s="3" t="str">
        <f>IFERROR(__xludf.DUMMYFUNCTION("GOOGLETRANSLATE(B6540,""id"",""en"")"),"['', 'Bener', 'error', 'system', 'admin', 'ngepain']")</f>
        <v>['', 'Bener', 'error', 'system', 'admin', 'ngepain']</v>
      </c>
      <c r="D6540" s="3">
        <v>1.0</v>
      </c>
    </row>
    <row r="6541" ht="15.75" customHeight="1">
      <c r="A6541" s="1">
        <v>7033.0</v>
      </c>
      <c r="B6541" s="3" t="s">
        <v>6317</v>
      </c>
      <c r="C6541" s="3" t="str">
        <f>IFERROR(__xludf.DUMMYFUNCTION("GOOGLETRANSLATE(B6541,""id"",""en"")"),"['application', 'damaged', 'ngak', 'entry']")</f>
        <v>['application', 'damaged', 'ngak', 'entry']</v>
      </c>
      <c r="D6541" s="3">
        <v>1.0</v>
      </c>
    </row>
    <row r="6542" ht="15.75" customHeight="1">
      <c r="A6542" s="1">
        <v>7034.0</v>
      </c>
      <c r="B6542" s="3" t="s">
        <v>6318</v>
      </c>
      <c r="C6542" s="3" t="str">
        <f>IFERROR(__xludf.DUMMYFUNCTION("GOOGLETRANSLATE(B6542,""id"",""en"")"),"['intention', 'APK', 'little', 'ganguan', '']")</f>
        <v>['intention', 'APK', 'little', 'ganguan', '']</v>
      </c>
      <c r="D6542" s="3">
        <v>1.0</v>
      </c>
    </row>
    <row r="6543" ht="15.75" customHeight="1">
      <c r="A6543" s="1">
        <v>7035.0</v>
      </c>
      <c r="B6543" s="3" t="s">
        <v>6319</v>
      </c>
      <c r="C6543" s="3" t="str">
        <f>IFERROR(__xludf.DUMMYFUNCTION("GOOGLETRANSLATE(B6543,""id"",""en"")"),"['easy', 'buy', 'package']")</f>
        <v>['easy', 'buy', 'package']</v>
      </c>
      <c r="D6543" s="3">
        <v>5.0</v>
      </c>
    </row>
    <row r="6544" ht="15.75" customHeight="1">
      <c r="A6544" s="1">
        <v>7036.0</v>
      </c>
      <c r="B6544" s="3" t="s">
        <v>6320</v>
      </c>
      <c r="C6544" s="3" t="str">
        <f>IFERROR(__xludf.DUMMYFUNCTION("GOOGLETRANSLATE(B6544,""id"",""en"")"),"['Please', 'fix', 'check', 'quota', 'credit', 'error', 'system', 'signal', 'smooth', 'watch', 'bokep', 'You', ' Tube ',' ']")</f>
        <v>['Please', 'fix', 'check', 'quota', 'credit', 'error', 'system', 'signal', 'smooth', 'watch', 'bokep', 'You', ' Tube ',' ']</v>
      </c>
      <c r="D6544" s="3">
        <v>1.0</v>
      </c>
    </row>
    <row r="6545" ht="15.75" customHeight="1">
      <c r="A6545" s="1">
        <v>7037.0</v>
      </c>
      <c r="B6545" s="3" t="s">
        <v>6321</v>
      </c>
      <c r="C6545" s="3" t="str">
        <f>IFERROR(__xludf.DUMMYFUNCTION("GOOGLETRANSLATE(B6545,""id"",""en"")"),"['Good', 'noisy', 'doang', 'sound', 'error', 'system', 'mulu', '']")</f>
        <v>['Good', 'noisy', 'doang', 'sound', 'error', 'system', 'mulu', '']</v>
      </c>
      <c r="D6545" s="3">
        <v>2.0</v>
      </c>
    </row>
    <row r="6546" ht="15.75" customHeight="1">
      <c r="A6546" s="1">
        <v>7038.0</v>
      </c>
      <c r="B6546" s="3" t="s">
        <v>6322</v>
      </c>
      <c r="C6546" s="3" t="str">
        <f>IFERROR(__xludf.DUMMYFUNCTION("GOOGLETRANSLATE(B6546,""id"",""en"")"),"['Updet', 'Sya', 'enter', 'balance', 'scorched', 'times', 'data', 'please', 'fix']")</f>
        <v>['Updet', 'Sya', 'enter', 'balance', 'scorched', 'times', 'data', 'please', 'fix']</v>
      </c>
      <c r="D6546" s="3">
        <v>1.0</v>
      </c>
    </row>
    <row r="6547" ht="15.75" customHeight="1">
      <c r="A6547" s="1">
        <v>7039.0</v>
      </c>
      <c r="B6547" s="3" t="s">
        <v>6323</v>
      </c>
      <c r="C6547" s="3" t="str">
        <f>IFERROR(__xludf.DUMMYFUNCTION("GOOGLETRANSLATE(B6547,""id"",""en"")"),"['slow', 'really', 'until', 'open', 'the application', 'severe', 'told', 'refresh']")</f>
        <v>['slow', 'really', 'until', 'open', 'the application', 'severe', 'told', 'refresh']</v>
      </c>
      <c r="D6547" s="3">
        <v>1.0</v>
      </c>
    </row>
    <row r="6548" ht="15.75" customHeight="1">
      <c r="A6548" s="1">
        <v>7040.0</v>
      </c>
      <c r="B6548" s="3" t="s">
        <v>6324</v>
      </c>
      <c r="C6548" s="3" t="str">
        <f>IFERROR(__xludf.DUMMYFUNCTION("GOOGLETRANSLATE(B6548,""id"",""en"")"),"['bad connection']")</f>
        <v>['bad connection']</v>
      </c>
      <c r="D6548" s="3">
        <v>1.0</v>
      </c>
    </row>
    <row r="6549" ht="15.75" customHeight="1">
      <c r="A6549" s="1">
        <v>7041.0</v>
      </c>
      <c r="B6549" s="3" t="s">
        <v>6325</v>
      </c>
      <c r="C6549" s="3" t="str">
        <f>IFERROR(__xludf.DUMMYFUNCTION("GOOGLETRANSLATE(B6549,""id"",""en"")"),"['error', 'system', 'then', 'Telkomsel', 'anjijg']")</f>
        <v>['error', 'system', 'then', 'Telkomsel', 'anjijg']</v>
      </c>
      <c r="D6549" s="3">
        <v>1.0</v>
      </c>
    </row>
    <row r="6550" ht="15.75" customHeight="1">
      <c r="A6550" s="1">
        <v>7042.0</v>
      </c>
      <c r="B6550" s="3" t="s">
        <v>6326</v>
      </c>
      <c r="C6550" s="3" t="str">
        <f>IFERROR(__xludf.DUMMYFUNCTION("GOOGLETRANSLATE(B6550,""id"",""en"")"),"['game', 'good', 'really', '']")</f>
        <v>['game', 'good', 'really', '']</v>
      </c>
      <c r="D6550" s="3">
        <v>5.0</v>
      </c>
    </row>
    <row r="6551" ht="15.75" customHeight="1">
      <c r="A6551" s="1">
        <v>7043.0</v>
      </c>
      <c r="B6551" s="3" t="s">
        <v>6327</v>
      </c>
      <c r="C6551" s="3" t="str">
        <f>IFERROR(__xludf.DUMMYFUNCTION("GOOGLETRANSLATE(B6551,""id"",""en"")"),"['Network', 'Burikkkkkk', 'already', 'package', 'expensive', 'network', 'ugly', 'expensive', 'good', 'network', 'ugly', 'please', ' Repaired ',' ']")</f>
        <v>['Network', 'Burikkkkkk', 'already', 'package', 'expensive', 'network', 'ugly', 'expensive', 'good', 'network', 'ugly', 'please', ' Repaired ',' ']</v>
      </c>
      <c r="D6551" s="3">
        <v>1.0</v>
      </c>
    </row>
    <row r="6552" ht="15.75" customHeight="1">
      <c r="A6552" s="1">
        <v>7044.0</v>
      </c>
      <c r="B6552" s="3" t="s">
        <v>6328</v>
      </c>
      <c r="C6552" s="3" t="str">
        <f>IFERROR(__xludf.DUMMYFUNCTION("GOOGLETRANSLATE(B6552,""id"",""en"")"),"['Update', 'Terips', 'Bored']")</f>
        <v>['Update', 'Terips', 'Bored']</v>
      </c>
      <c r="D6552" s="3">
        <v>1.0</v>
      </c>
    </row>
    <row r="6553" ht="15.75" customHeight="1">
      <c r="A6553" s="1">
        <v>7045.0</v>
      </c>
      <c r="B6553" s="3" t="s">
        <v>6329</v>
      </c>
      <c r="C6553" s="3" t="str">
        <f>IFERROR(__xludf.DUMMYFUNCTION("GOOGLETRANSLATE(B6553,""id"",""en"")"),"['poor', 'Login', 'Mending', 'Pakek', 'APK']")</f>
        <v>['poor', 'Login', 'Mending', 'Pakek', 'APK']</v>
      </c>
      <c r="D6553" s="3">
        <v>1.0</v>
      </c>
    </row>
    <row r="6554" ht="15.75" customHeight="1">
      <c r="A6554" s="1">
        <v>7046.0</v>
      </c>
      <c r="B6554" s="3" t="s">
        <v>6330</v>
      </c>
      <c r="C6554" s="3" t="str">
        <f>IFERROR(__xludf.DUMMYFUNCTION("GOOGLETRANSLATE(B6554,""id"",""en"")"),"['Application', 'error', 'pig']")</f>
        <v>['Application', 'error', 'pig']</v>
      </c>
      <c r="D6554" s="3">
        <v>1.0</v>
      </c>
    </row>
    <row r="6555" ht="15.75" customHeight="1">
      <c r="A6555" s="1">
        <v>7047.0</v>
      </c>
      <c r="B6555" s="3" t="s">
        <v>1782</v>
      </c>
      <c r="C6555" s="3" t="str">
        <f>IFERROR(__xludf.DUMMYFUNCTION("GOOGLETRANSLATE(B6555,""id"",""en"")"),"['network']")</f>
        <v>['network']</v>
      </c>
      <c r="D6555" s="3">
        <v>1.0</v>
      </c>
    </row>
    <row r="6556" ht="15.75" customHeight="1">
      <c r="A6556" s="1">
        <v>7048.0</v>
      </c>
      <c r="B6556" s="3" t="s">
        <v>6331</v>
      </c>
      <c r="C6556" s="3" t="str">
        <f>IFERROR(__xludf.DUMMYFUNCTION("GOOGLETRANSLATE(B6556,""id"",""en"")"),"['heavy', 'hot', 'reload', 'data', 'sometimes', 'error', 'try', 'fix', '']")</f>
        <v>['heavy', 'hot', 'reload', 'data', 'sometimes', 'error', 'try', 'fix', '']</v>
      </c>
      <c r="D6556" s="3">
        <v>1.0</v>
      </c>
    </row>
    <row r="6557" ht="15.75" customHeight="1">
      <c r="A6557" s="1">
        <v>7049.0</v>
      </c>
      <c r="B6557" s="3" t="s">
        <v>6332</v>
      </c>
      <c r="C6557" s="3" t="str">
        <f>IFERROR(__xludf.DUMMYFUNCTION("GOOGLETRANSLATE(B6557,""id"",""en"")"),"['Enter', 'network', 'lalot']")</f>
        <v>['Enter', 'network', 'lalot']</v>
      </c>
      <c r="D6557" s="3">
        <v>1.0</v>
      </c>
    </row>
    <row r="6558" ht="15.75" customHeight="1">
      <c r="A6558" s="1">
        <v>7050.0</v>
      </c>
      <c r="B6558" s="3" t="s">
        <v>6333</v>
      </c>
      <c r="C6558" s="3" t="str">
        <f>IFERROR(__xludf.DUMMYFUNCTION("GOOGLETRANSLATE(B6558,""id"",""en"")"),"['whyaa', 'Error', 'Loading', 'Page', '']")</f>
        <v>['whyaa', 'Error', 'Loading', 'Page', '']</v>
      </c>
      <c r="D6558" s="3">
        <v>4.0</v>
      </c>
    </row>
    <row r="6559" ht="15.75" customHeight="1">
      <c r="A6559" s="1">
        <v>7051.0</v>
      </c>
      <c r="B6559" s="3" t="s">
        <v>6334</v>
      </c>
      <c r="C6559" s="3" t="str">
        <f>IFERROR(__xludf.DUMMYFUNCTION("GOOGLETRANSLATE(B6559,""id"",""en"")"),"['ugly', 'app', 'error', 'risih', 'make', '']")</f>
        <v>['ugly', 'app', 'error', 'risih', 'make', '']</v>
      </c>
      <c r="D6559" s="3">
        <v>1.0</v>
      </c>
    </row>
    <row r="6560" ht="15.75" customHeight="1">
      <c r="A6560" s="1">
        <v>7052.0</v>
      </c>
      <c r="B6560" s="3" t="s">
        <v>6335</v>
      </c>
      <c r="C6560" s="3" t="str">
        <f>IFERROR(__xludf.DUMMYFUNCTION("GOOGLETRANSLATE(B6560,""id"",""en"")"),"['Severe', 'Telkomsel', 'Network', 'buy', 'package', 'expensive', 'GB', 'network', 'slow', ""]")</f>
        <v>['Severe', 'Telkomsel', 'Network', 'buy', 'package', 'expensive', 'GB', 'network', 'slow', "]</v>
      </c>
      <c r="D6560" s="3">
        <v>1.0</v>
      </c>
    </row>
    <row r="6561" ht="15.75" customHeight="1">
      <c r="A6561" s="1">
        <v>7053.0</v>
      </c>
      <c r="B6561" s="3" t="s">
        <v>6336</v>
      </c>
      <c r="C6561" s="3" t="str">
        <f>IFERROR(__xludf.DUMMYFUNCTION("GOOGLETRANSLATE(B6561,""id"",""en"")"),"['apk', 'garbage', 'clock', 'error', 'then', 'connection', 'internet', 'difficult', 'buy', 'package', ""]")</f>
        <v>['apk', 'garbage', 'clock', 'error', 'then', 'connection', 'internet', 'difficult', 'buy', 'package', "]</v>
      </c>
      <c r="D6561" s="3">
        <v>1.0</v>
      </c>
    </row>
    <row r="6562" ht="15.75" customHeight="1">
      <c r="A6562" s="1">
        <v>7054.0</v>
      </c>
      <c r="B6562" s="3" t="s">
        <v>6337</v>
      </c>
      <c r="C6562" s="3" t="str">
        <f>IFERROR(__xludf.DUMMYFUNCTION("GOOGLETRANSLATE(B6562,""id"",""en"")"),"['card', 'promo', 'package', 'data', 'rare', '']")</f>
        <v>['card', 'promo', 'package', 'data', 'rare', '']</v>
      </c>
      <c r="D6562" s="3">
        <v>2.0</v>
      </c>
    </row>
    <row r="6563" ht="15.75" customHeight="1">
      <c r="A6563" s="1">
        <v>7055.0</v>
      </c>
      <c r="B6563" s="3" t="s">
        <v>6338</v>
      </c>
      <c r="C6563" s="3" t="str">
        <f>IFERROR(__xludf.DUMMYFUNCTION("GOOGLETRANSLATE(B6563,""id"",""en"")"),"['Loading', 'Kampert', '']")</f>
        <v>['Loading', 'Kampert', '']</v>
      </c>
      <c r="D6563" s="3">
        <v>1.0</v>
      </c>
    </row>
    <row r="6564" ht="15.75" customHeight="1">
      <c r="A6564" s="1">
        <v>7056.0</v>
      </c>
      <c r="B6564" s="3" t="s">
        <v>6339</v>
      </c>
      <c r="C6564" s="3" t="str">
        <f>IFERROR(__xludf.DUMMYFUNCTION("GOOGLETRANSLATE(B6564,""id"",""en"")"),"['update', 'check', 'kouta', 'leftover', 'kouta', 'can', 'load', 'page', 'network', 'smooth']")</f>
        <v>['update', 'check', 'kouta', 'leftover', 'kouta', 'can', 'load', 'page', 'network', 'smooth']</v>
      </c>
      <c r="D6564" s="3">
        <v>3.0</v>
      </c>
    </row>
    <row r="6565" ht="15.75" customHeight="1">
      <c r="A6565" s="1">
        <v>7057.0</v>
      </c>
      <c r="B6565" s="3" t="s">
        <v>6340</v>
      </c>
      <c r="C6565" s="3" t="str">
        <f>IFERROR(__xludf.DUMMYFUNCTION("GOOGLETRANSLATE(B6565,""id"",""en"")"),"['application', 'error', 'right', 'check', 'quota', 'stay', 'smooth', 'smooth', 'turn', 'udh', 'contents',' pulses', ' Buy ',' Package ',' Application ',' Error ',' Please ',' Repaired ',' Turn ',' UDH ',' Fill ',' Credit ',' Buy ',' Quota ',' Application"&amp;" ' , 'Error']")</f>
        <v>['application', 'error', 'right', 'check', 'quota', 'stay', 'smooth', 'smooth', 'turn', 'udh', 'contents',' pulses', ' Buy ',' Package ',' Application ',' Error ',' Please ',' Repaired ',' Turn ',' UDH ',' Fill ',' Credit ',' Buy ',' Quota ',' Application ' , 'Error']</v>
      </c>
      <c r="D6565" s="3">
        <v>3.0</v>
      </c>
    </row>
    <row r="6566" ht="15.75" customHeight="1">
      <c r="A6566" s="1">
        <v>7058.0</v>
      </c>
      <c r="B6566" s="3" t="s">
        <v>6341</v>
      </c>
      <c r="C6566" s="3" t="str">
        <f>IFERROR(__xludf.DUMMYFUNCTION("GOOGLETRANSLATE(B6566,""id"",""en"")"),"['card', 'obstacles',' internet ',' Lawy ',' Ama ',' Country ',' neighbor ',' leemooot ',' card ',' Telkomsel ',' package ',' already ',' expensive ',' slow ',' feeling ',' slow ',' skrng ',' solution ',' solution ',' gmn ',' kelarin ',' base ',' emang ',"&amp;"' lemoot ',' internet ' , 'Solution', 'Internet', 'PKE', 'INDIHOME', '']")</f>
        <v>['card', 'obstacles',' internet ',' Lawy ',' Ama ',' Country ',' neighbor ',' leemooot ',' card ',' Telkomsel ',' package ',' already ',' expensive ',' slow ',' feeling ',' slow ',' skrng ',' solution ',' solution ',' gmn ',' kelarin ',' base ',' emang ',' lemoot ',' internet ' , 'Solution', 'Internet', 'PKE', 'INDIHOME', '']</v>
      </c>
      <c r="D6566" s="3">
        <v>1.0</v>
      </c>
    </row>
    <row r="6567" ht="15.75" customHeight="1">
      <c r="A6567" s="1">
        <v>7059.0</v>
      </c>
      <c r="B6567" s="3" t="s">
        <v>6342</v>
      </c>
      <c r="C6567" s="3" t="str">
        <f>IFERROR(__xludf.DUMMYFUNCTION("GOOGLETRANSLATE(B6567,""id"",""en"")"),"['Error', 'Mulu', 'Gabisa', 'opened']")</f>
        <v>['Error', 'Mulu', 'Gabisa', 'opened']</v>
      </c>
      <c r="D6567" s="3">
        <v>1.0</v>
      </c>
    </row>
    <row r="6568" ht="15.75" customHeight="1">
      <c r="A6568" s="1">
        <v>7060.0</v>
      </c>
      <c r="B6568" s="3" t="s">
        <v>6343</v>
      </c>
      <c r="C6568" s="3" t="str">
        <f>IFERROR(__xludf.DUMMYFUNCTION("GOOGLETRANSLATE(B6568,""id"",""en"")"),"['strange', 'maaa', 'entered', 'network', 'really', '']")</f>
        <v>['strange', 'maaa', 'entered', 'network', 'really', '']</v>
      </c>
      <c r="D6568" s="3">
        <v>1.0</v>
      </c>
    </row>
    <row r="6569" ht="15.75" customHeight="1">
      <c r="A6569" s="1">
        <v>7061.0</v>
      </c>
      <c r="B6569" s="3" t="s">
        <v>6344</v>
      </c>
      <c r="C6569" s="3" t="str">
        <f>IFERROR(__xludf.DUMMYFUNCTION("GOOGLETRANSLATE(B6569,""id"",""en"")"),"['Come', 'ugly', 'application', 'Error', 'Mulu']")</f>
        <v>['Come', 'ugly', 'application', 'Error', 'Mulu']</v>
      </c>
      <c r="D6569" s="3">
        <v>1.0</v>
      </c>
    </row>
    <row r="6570" ht="15.75" customHeight="1">
      <c r="A6570" s="1">
        <v>7062.0</v>
      </c>
      <c r="B6570" s="3" t="s">
        <v>6345</v>
      </c>
      <c r="C6570" s="3" t="str">
        <f>IFERROR(__xludf.DUMMYFUNCTION("GOOGLETRANSLATE(B6570,""id"",""en"")"),"['poor', 'Ngadat', 'Employee', 'Telkomsel', 'Ikhkasi', ""]")</f>
        <v>['poor', 'Ngadat', 'Employee', 'Telkomsel', 'Ikhkasi', "]</v>
      </c>
      <c r="D6570" s="3">
        <v>3.0</v>
      </c>
    </row>
    <row r="6571" ht="15.75" customHeight="1">
      <c r="A6571" s="1">
        <v>7063.0</v>
      </c>
      <c r="B6571" s="3" t="s">
        <v>6346</v>
      </c>
      <c r="C6571" s="3" t="str">
        <f>IFERROR(__xludf.DUMMYFUNCTION("GOOGLETRANSLATE(B6571,""id"",""en"")"),"['update', 'good', 'mlah', 'maybe', 'perf', 'damaged', 'disappointed', 'package', 'maybe', 'expensive']")</f>
        <v>['update', 'good', 'mlah', 'maybe', 'perf', 'damaged', 'disappointed', 'package', 'maybe', 'expensive']</v>
      </c>
      <c r="D6571" s="3">
        <v>1.0</v>
      </c>
    </row>
    <row r="6572" ht="15.75" customHeight="1">
      <c r="A6572" s="1">
        <v>7064.0</v>
      </c>
      <c r="B6572" s="3" t="s">
        <v>6347</v>
      </c>
      <c r="C6572" s="3" t="str">
        <f>IFERROR(__xludf.DUMMYFUNCTION("GOOGLETRANSLATE(B6572,""id"",""en"")"),"['expensive', 'Pekes', 'fast', 'habi']")</f>
        <v>['expensive', 'Pekes', 'fast', 'habi']</v>
      </c>
      <c r="D6572" s="3">
        <v>5.0</v>
      </c>
    </row>
    <row r="6573" ht="15.75" customHeight="1">
      <c r="A6573" s="1">
        <v>7065.0</v>
      </c>
      <c r="B6573" s="3" t="s">
        <v>6348</v>
      </c>
      <c r="C6573" s="3" t="str">
        <f>IFERROR(__xludf.DUMMYFUNCTION("GOOGLETRANSLATE(B6573,""id"",""en"")"),"['Bereh', 'patent', 'times', '']")</f>
        <v>['Bereh', 'patent', 'times', '']</v>
      </c>
      <c r="D6573" s="3">
        <v>5.0</v>
      </c>
    </row>
    <row r="6574" ht="15.75" customHeight="1">
      <c r="A6574" s="1">
        <v>7066.0</v>
      </c>
      <c r="B6574" s="3" t="s">
        <v>6349</v>
      </c>
      <c r="C6574" s="3" t="str">
        <f>IFERROR(__xludf.DUMMYFUNCTION("GOOGLETRANSLATE(B6574,""id"",""en"")"),"['Sushss', 'Kah', 'Gara', 'Network', 'Telkom', 'Login', 'Game', 'Sampe', 'Account', 'ilang', 'Sushsssss', 'Disappointed']")</f>
        <v>['Sushss', 'Kah', 'Gara', 'Network', 'Telkom', 'Login', 'Game', 'Sampe', 'Account', 'ilang', 'Sushsssss', 'Disappointed']</v>
      </c>
      <c r="D6574" s="3">
        <v>1.0</v>
      </c>
    </row>
    <row r="6575" ht="15.75" customHeight="1">
      <c r="A6575" s="1">
        <v>7067.0</v>
      </c>
      <c r="B6575" s="3" t="s">
        <v>6350</v>
      </c>
      <c r="C6575" s="3" t="str">
        <f>IFERROR(__xludf.DUMMYFUNCTION("GOOGLETRANSLATE(B6575,""id"",""en"")"),"['The application', 'opened', 'error', 'system', '']")</f>
        <v>['The application', 'opened', 'error', 'system', '']</v>
      </c>
      <c r="D6575" s="3">
        <v>1.0</v>
      </c>
    </row>
    <row r="6576" ht="15.75" customHeight="1">
      <c r="A6576" s="1">
        <v>7068.0</v>
      </c>
      <c r="B6576" s="3" t="s">
        <v>6351</v>
      </c>
      <c r="C6576" s="3" t="str">
        <f>IFERROR(__xludf.DUMMYFUNCTION("GOOGLETRANSLATE(B6576,""id"",""en"")"),"['Please', 'Sorry', 'Wonder', 'Feature', 'Fill', 'Reset', 'Voucher', 'Quota', 'APK', 'Easy', 'Good', 'APK', ' Next ',' update ',' features', 'contents',' reset ',' voucher ',' easy ']")</f>
        <v>['Please', 'Sorry', 'Wonder', 'Feature', 'Fill', 'Reset', 'Voucher', 'Quota', 'APK', 'Easy', 'Good', 'APK', ' Next ',' update ',' features', 'contents',' reset ',' voucher ',' easy ']</v>
      </c>
      <c r="D6576" s="3">
        <v>3.0</v>
      </c>
    </row>
    <row r="6577" ht="15.75" customHeight="1">
      <c r="A6577" s="1">
        <v>7069.0</v>
      </c>
      <c r="B6577" s="3" t="s">
        <v>6352</v>
      </c>
      <c r="C6577" s="3" t="str">
        <f>IFERROR(__xludf.DUMMYFUNCTION("GOOGLETRANSLATE(B6577,""id"",""en"")"),"['embarrassing', 'application', 'service', 'provider', 'TeeEccarean', 'application', 'stable', 'easy', 'error', ""]")</f>
        <v>['embarrassing', 'application', 'service', 'provider', 'TeeEccarean', 'application', 'stable', 'easy', 'error', "]</v>
      </c>
      <c r="D6577" s="3">
        <v>1.0</v>
      </c>
    </row>
    <row r="6578" ht="15.75" customHeight="1">
      <c r="A6578" s="1">
        <v>7070.0</v>
      </c>
      <c r="B6578" s="3" t="s">
        <v>6353</v>
      </c>
      <c r="C6578" s="3" t="str">
        <f>IFERROR(__xludf.DUMMYFUNCTION("GOOGLETRANSLATE(B6578,""id"",""en"")"),"['no', 'pulse', 'sumps', 'internet', 'use', 'provider', 'usually', 'pulse', 'habia', 'severe', 'really', 'Telkomsel']")</f>
        <v>['no', 'pulse', 'sumps', 'internet', 'use', 'provider', 'usually', 'pulse', 'habia', 'severe', 'really', 'Telkomsel']</v>
      </c>
      <c r="D6578" s="3">
        <v>1.0</v>
      </c>
    </row>
    <row r="6579" ht="15.75" customHeight="1">
      <c r="A6579" s="1">
        <v>7071.0</v>
      </c>
      <c r="B6579" s="3" t="s">
        <v>2407</v>
      </c>
      <c r="C6579" s="3" t="str">
        <f>IFERROR(__xludf.DUMMYFUNCTION("GOOGLETRANSLATE(B6579,""id"",""en"")"),"['Telkomsel', 'Loading', '']")</f>
        <v>['Telkomsel', 'Loading', '']</v>
      </c>
      <c r="D6579" s="3">
        <v>3.0</v>
      </c>
    </row>
    <row r="6580" ht="15.75" customHeight="1">
      <c r="A6580" s="1">
        <v>7072.0</v>
      </c>
      <c r="B6580" s="3" t="s">
        <v>6354</v>
      </c>
      <c r="C6580" s="3" t="str">
        <f>IFERROR(__xludf.DUMMYFUNCTION("GOOGLETRANSLATE(B6580,""id"",""en"")"),"['Telkomsel', 'update', 'for a while', 'for a while', 'signal', 'area', 'ugly', 'strength', 'card', 'good', 'forced', 'update', ' frustrated ',' sometimes', 'network', 'broke', 'connect', 'broke', 'connect', 'repair', 'application', 'already', 'use', 'che"&amp;"ck', 'lagim' , 'already', 'simple', 'maniac', 'user', 'Telkomsel', ""]")</f>
        <v>['Telkomsel', 'update', 'for a while', 'for a while', 'signal', 'area', 'ugly', 'strength', 'card', 'good', 'forced', 'update', ' frustrated ',' sometimes', 'network', 'broke', 'connect', 'broke', 'connect', 'repair', 'application', 'already', 'use', 'check', 'lagim' , 'already', 'simple', 'maniac', 'user', 'Telkomsel', "]</v>
      </c>
      <c r="D6580" s="3">
        <v>1.0</v>
      </c>
    </row>
    <row r="6581" ht="15.75" customHeight="1">
      <c r="A6581" s="1">
        <v>7073.0</v>
      </c>
      <c r="B6581" s="3" t="s">
        <v>6355</v>
      </c>
      <c r="C6581" s="3" t="str">
        <f>IFERROR(__xludf.DUMMYFUNCTION("GOOGLETRANSLATE(B6581,""id"",""en"")"),"['Error', 'the application']")</f>
        <v>['Error', 'the application']</v>
      </c>
      <c r="D6581" s="3">
        <v>1.0</v>
      </c>
    </row>
    <row r="6582" ht="15.75" customHeight="1">
      <c r="A6582" s="1">
        <v>7074.0</v>
      </c>
      <c r="B6582" s="3" t="s">
        <v>6356</v>
      </c>
      <c r="C6582" s="3" t="str">
        <f>IFERROR(__xludf.DUMMYFUNCTION("GOOGLETRANSLATE(B6582,""id"",""en"")"),"['Application', 'slow', 'really']")</f>
        <v>['Application', 'slow', 'really']</v>
      </c>
      <c r="D6582" s="3">
        <v>4.0</v>
      </c>
    </row>
    <row r="6583" ht="15.75" customHeight="1">
      <c r="A6583" s="1">
        <v>7075.0</v>
      </c>
      <c r="B6583" s="3" t="s">
        <v>6357</v>
      </c>
      <c r="C6583" s="3" t="str">
        <f>IFERROR(__xludf.DUMMYFUNCTION("GOOGLETRANSLATE(B6583,""id"",""en"")"),"['error', 'system', 'communication', 'no', 'optimal']")</f>
        <v>['error', 'system', 'communication', 'no', 'optimal']</v>
      </c>
      <c r="D6583" s="3">
        <v>2.0</v>
      </c>
    </row>
    <row r="6584" ht="15.75" customHeight="1">
      <c r="A6584" s="1">
        <v>7076.0</v>
      </c>
      <c r="B6584" s="3" t="s">
        <v>6358</v>
      </c>
      <c r="C6584" s="3" t="str">
        <f>IFERROR(__xludf.DUMMYFUNCTION("GOOGLETRANSLATE(B6584,""id"",""en"")"),"['Price', 'Promo', 'Teroosss', '']")</f>
        <v>['Price', 'Promo', 'Teroosss', '']</v>
      </c>
      <c r="D6584" s="3">
        <v>2.0</v>
      </c>
    </row>
    <row r="6585" ht="15.75" customHeight="1">
      <c r="A6585" s="1">
        <v>7077.0</v>
      </c>
      <c r="B6585" s="3" t="s">
        <v>6359</v>
      </c>
      <c r="C6585" s="3" t="str">
        <f>IFERROR(__xludf.DUMMYFUNCTION("GOOGLETRANSLATE(B6585,""id"",""en"")"),"['Please', 'repaired', 'System', 'Telkomsel', 'Update', 'The problem', 'Tetep', 'Error', 'Sometimes', 'Reload', ""]")</f>
        <v>['Please', 'repaired', 'System', 'Telkomsel', 'Update', 'The problem', 'Tetep', 'Error', 'Sometimes', 'Reload', "]</v>
      </c>
      <c r="D6585" s="3">
        <v>5.0</v>
      </c>
    </row>
    <row r="6586" ht="15.75" customHeight="1">
      <c r="A6586" s="1">
        <v>7078.0</v>
      </c>
      <c r="B6586" s="3" t="s">
        <v>6360</v>
      </c>
      <c r="C6586" s="3" t="str">
        <f>IFERROR(__xludf.DUMMYFUNCTION("GOOGLETRANSLATE(B6586,""id"",""en"")"),"['Please', 'Add', 'Feature', 'Control', 'Credit', 'Credit', 'Cut "",' ']")</f>
        <v>['Please', 'Add', 'Feature', 'Control', 'Credit', 'Credit', 'Cut ",' ']</v>
      </c>
      <c r="D6586" s="3">
        <v>1.0</v>
      </c>
    </row>
    <row r="6587" ht="15.75" customHeight="1">
      <c r="A6587" s="1">
        <v>7079.0</v>
      </c>
      <c r="B6587" s="3" t="s">
        <v>6361</v>
      </c>
      <c r="C6587" s="3" t="str">
        <f>IFERROR(__xludf.DUMMYFUNCTION("GOOGLETRANSLATE(B6587,""id"",""en"")"),"['easy', 'easy', 'buy', 'package', 'internet']")</f>
        <v>['easy', 'easy', 'buy', 'package', 'internet']</v>
      </c>
      <c r="D6587" s="3">
        <v>4.0</v>
      </c>
    </row>
    <row r="6588" ht="15.75" customHeight="1">
      <c r="A6588" s="1">
        <v>7080.0</v>
      </c>
      <c r="B6588" s="3" t="s">
        <v>6362</v>
      </c>
      <c r="C6588" s="3" t="str">
        <f>IFERROR(__xludf.DUMMYFUNCTION("GOOGLETRANSLATE(B6588,""id"",""en"")"),"['Sometimes', 'Bug', 'Loading', 'appears', 'Benerin', 'Panteq']")</f>
        <v>['Sometimes', 'Bug', 'Loading', 'appears', 'Benerin', 'Panteq']</v>
      </c>
      <c r="D6588" s="3">
        <v>3.0</v>
      </c>
    </row>
    <row r="6589" ht="15.75" customHeight="1">
      <c r="A6589" s="1">
        <v>7081.0</v>
      </c>
      <c r="B6589" s="3" t="s">
        <v>6363</v>
      </c>
      <c r="C6589" s="3" t="str">
        <f>IFERROR(__xludf.DUMMYFUNCTION("GOOGLETRANSLATE(B6589,""id"",""en"")"),"['Good', 'fast']")</f>
        <v>['Good', 'fast']</v>
      </c>
      <c r="D6589" s="3">
        <v>4.0</v>
      </c>
    </row>
    <row r="6590" ht="15.75" customHeight="1">
      <c r="A6590" s="1">
        <v>7082.0</v>
      </c>
      <c r="B6590" s="3" t="s">
        <v>6364</v>
      </c>
      <c r="C6590" s="3" t="str">
        <f>IFERROR(__xludf.DUMMYFUNCTION("GOOGLETRANSLATE(B6590,""id"",""en"")"),"['Buy', 'Package', 'Data', 'Internet', 'Sampe', 'Terakes']")</f>
        <v>['Buy', 'Package', 'Data', 'Internet', 'Sampe', 'Terakes']</v>
      </c>
      <c r="D6590" s="3">
        <v>1.0</v>
      </c>
    </row>
    <row r="6591" ht="15.75" customHeight="1">
      <c r="A6591" s="1">
        <v>7083.0</v>
      </c>
      <c r="B6591" s="3" t="s">
        <v>6365</v>
      </c>
      <c r="C6591" s="3" t="str">
        <f>IFERROR(__xludf.DUMMYFUNCTION("GOOGLETRANSLATE(B6591,""id"",""en"")"),"['satisfying', 'hopefully', 'success', 'application', 'May', 'Telkomsel']")</f>
        <v>['satisfying', 'hopefully', 'success', 'application', 'May', 'Telkomsel']</v>
      </c>
      <c r="D6591" s="3">
        <v>5.0</v>
      </c>
    </row>
    <row r="6592" ht="15.75" customHeight="1">
      <c r="A6592" s="1">
        <v>7084.0</v>
      </c>
      <c r="B6592" s="3" t="s">
        <v>6366</v>
      </c>
      <c r="C6592" s="3" t="str">
        <f>IFERROR(__xludf.DUMMYFUNCTION("GOOGLETRANSLATE(B6592,""id"",""en"")"),"['Telkomsel', 'Severe', '']")</f>
        <v>['Telkomsel', 'Severe', '']</v>
      </c>
      <c r="D6592" s="3">
        <v>1.0</v>
      </c>
    </row>
    <row r="6593" ht="15.75" customHeight="1">
      <c r="A6593" s="1">
        <v>7085.0</v>
      </c>
      <c r="B6593" s="3" t="s">
        <v>6367</v>
      </c>
      <c r="C6593" s="3" t="str">
        <f>IFERROR(__xludf.DUMMYFUNCTION("GOOGLETRANSLATE(B6593,""id"",""en"")"),"['promo', 'cashback', 'buy', 'cashback', 'what', '']")</f>
        <v>['promo', 'cashback', 'buy', 'cashback', 'what', '']</v>
      </c>
      <c r="D6593" s="3">
        <v>1.0</v>
      </c>
    </row>
    <row r="6594" ht="15.75" customHeight="1">
      <c r="A6594" s="1">
        <v>7086.0</v>
      </c>
      <c r="B6594" s="3" t="s">
        <v>6368</v>
      </c>
      <c r="C6594" s="3" t="str">
        <f>IFERROR(__xludf.DUMMYFUNCTION("GOOGLETRANSLATE(B6594,""id"",""en"")"),"['network', 'Telkomsel', 'slow', 'ganguan', 'gimna', 'yesterday', 'ampe', 'slow', 'forgiveness']")</f>
        <v>['network', 'Telkomsel', 'slow', 'ganguan', 'gimna', 'yesterday', 'ampe', 'slow', 'forgiveness']</v>
      </c>
      <c r="D6594" s="3">
        <v>2.0</v>
      </c>
    </row>
    <row r="6595" ht="15.75" customHeight="1">
      <c r="A6595" s="1">
        <v>7087.0</v>
      </c>
      <c r="B6595" s="3" t="s">
        <v>6369</v>
      </c>
      <c r="C6595" s="3" t="str">
        <f>IFERROR(__xludf.DUMMYFUNCTION("GOOGLETRANSLATE(B6595,""id"",""en"")"),"['Check', 'quota', 'right', 'check', 'quota', 'no', 'nyampe', ""]")</f>
        <v>['Check', 'quota', 'right', 'check', 'quota', 'no', 'nyampe', "]</v>
      </c>
      <c r="D6595" s="3">
        <v>1.0</v>
      </c>
    </row>
    <row r="6596" ht="15.75" customHeight="1">
      <c r="A6596" s="1">
        <v>7088.0</v>
      </c>
      <c r="B6596" s="3" t="s">
        <v>6370</v>
      </c>
      <c r="C6596" s="3" t="str">
        <f>IFERROR(__xludf.DUMMYFUNCTION("GOOGLETRANSLATE(B6596,""id"",""en"")"),"['Apparlakasi', 'cheap', 'help']")</f>
        <v>['Apparlakasi', 'cheap', 'help']</v>
      </c>
      <c r="D6596" s="3">
        <v>5.0</v>
      </c>
    </row>
    <row r="6597" ht="15.75" customHeight="1">
      <c r="A6597" s="1">
        <v>7089.0</v>
      </c>
      <c r="B6597" s="3" t="s">
        <v>6371</v>
      </c>
      <c r="C6597" s="3" t="str">
        <f>IFERROR(__xludf.DUMMYFUNCTION("GOOGLETRANSLATE(B6597,""id"",""en"")"),"['Telkomsel', 'Quoto', 'Play', 'YouTube', 'Nyedot', 'Play', 'Open', 'Video', 'Facebook', 'Direct', 'Out']")</f>
        <v>['Telkomsel', 'Quoto', 'Play', 'YouTube', 'Nyedot', 'Play', 'Open', 'Video', 'Facebook', 'Direct', 'Out']</v>
      </c>
      <c r="D6597" s="3">
        <v>1.0</v>
      </c>
    </row>
    <row r="6598" ht="15.75" customHeight="1">
      <c r="A6598" s="1">
        <v>7090.0</v>
      </c>
      <c r="B6598" s="3" t="s">
        <v>6372</v>
      </c>
      <c r="C6598" s="3" t="str">
        <f>IFERROR(__xludf.DUMMYFUNCTION("GOOGLETRANSLATE(B6598,""id"",""en"")"),"['Thank you', 'Application', 'Easy', 'Promo']")</f>
        <v>['Thank you', 'Application', 'Easy', 'Promo']</v>
      </c>
      <c r="D6598" s="3">
        <v>5.0</v>
      </c>
    </row>
    <row r="6599" ht="15.75" customHeight="1">
      <c r="A6599" s="1">
        <v>7091.0</v>
      </c>
      <c r="B6599" s="3" t="s">
        <v>6373</v>
      </c>
      <c r="C6599" s="3" t="str">
        <f>IFERROR(__xludf.DUMMYFUNCTION("GOOGLETRANSLATE(B6599,""id"",""en"")"),"['already', 'buy', 'quota', 'quota', 'enter', 'enter', 'fraud', 'form', 'application', 'garbage', ""]")</f>
        <v>['already', 'buy', 'quota', 'quota', 'enter', 'enter', 'fraud', 'form', 'application', 'garbage', "]</v>
      </c>
      <c r="D6599" s="3">
        <v>1.0</v>
      </c>
    </row>
    <row r="6600" ht="15.75" customHeight="1">
      <c r="A6600" s="1">
        <v>7092.0</v>
      </c>
      <c r="B6600" s="3" t="s">
        <v>6374</v>
      </c>
      <c r="C6600" s="3" t="str">
        <f>IFERROR(__xludf.DUMMYFUNCTION("GOOGLETRANSLATE(B6600,""id"",""en"")"),"['Android', 'Download', 'Crash', 'Min', 'Please', 'Fix']")</f>
        <v>['Android', 'Download', 'Crash', 'Min', 'Please', 'Fix']</v>
      </c>
      <c r="D6600" s="3">
        <v>1.0</v>
      </c>
    </row>
    <row r="6601" ht="15.75" customHeight="1">
      <c r="A6601" s="1">
        <v>7093.0</v>
      </c>
      <c r="B6601" s="3" t="s">
        <v>6375</v>
      </c>
      <c r="C6601" s="3" t="str">
        <f>IFERROR(__xludf.DUMMYFUNCTION("GOOGLETRANSLATE(B6601,""id"",""en"")"),"['Help', 'cheap', 'easy']")</f>
        <v>['Help', 'cheap', 'easy']</v>
      </c>
      <c r="D6601" s="3">
        <v>5.0</v>
      </c>
    </row>
    <row r="6602" ht="15.75" customHeight="1">
      <c r="A6602" s="1">
        <v>7094.0</v>
      </c>
      <c r="B6602" s="3" t="s">
        <v>6376</v>
      </c>
      <c r="C6602" s="3" t="str">
        <f>IFERROR(__xludf.DUMMYFUNCTION("GOOGLETRANSLATE(B6602,""id"",""en"")"),"['Level', 'Singal']")</f>
        <v>['Level', 'Singal']</v>
      </c>
      <c r="D6602" s="3">
        <v>4.0</v>
      </c>
    </row>
    <row r="6603" ht="15.75" customHeight="1">
      <c r="A6603" s="1">
        <v>7095.0</v>
      </c>
      <c r="B6603" s="3" t="s">
        <v>6377</v>
      </c>
      <c r="C6603" s="3" t="str">
        <f>IFERROR(__xludf.DUMMYFUNCTION("GOOGLETRANSLATE(B6603,""id"",""en"")"),"['morning', 'night', 'buy', 'package', 'tsel', 'description', 'disorder', 'system', 'signal', 'good', 'good', 'please', ' responded ']")</f>
        <v>['morning', 'night', 'buy', 'package', 'tsel', 'description', 'disorder', 'system', 'signal', 'good', 'good', 'please', ' responded ']</v>
      </c>
      <c r="D6603" s="3">
        <v>1.0</v>
      </c>
    </row>
    <row r="6604" ht="15.75" customHeight="1">
      <c r="A6604" s="1">
        <v>7096.0</v>
      </c>
      <c r="B6604" s="3" t="s">
        <v>6378</v>
      </c>
      <c r="C6604" s="3" t="str">
        <f>IFERROR(__xludf.DUMMYFUNCTION("GOOGLETRANSLATE(B6604,""id"",""en"")"),"['hilarious', 'price', 'package', 'card', 'different']")</f>
        <v>['hilarious', 'price', 'package', 'card', 'different']</v>
      </c>
      <c r="D6604" s="3">
        <v>1.0</v>
      </c>
    </row>
    <row r="6605" ht="15.75" customHeight="1">
      <c r="A6605" s="1">
        <v>7097.0</v>
      </c>
      <c r="B6605" s="3" t="s">
        <v>6379</v>
      </c>
      <c r="C6605" s="3" t="str">
        <f>IFERROR(__xludf.DUMMYFUNCTION("GOOGLETRANSLATE(B6605,""id"",""en"")"),"['pulses', 'ilang', 'xampret']")</f>
        <v>['pulses', 'ilang', 'xampret']</v>
      </c>
      <c r="D6605" s="3">
        <v>1.0</v>
      </c>
    </row>
    <row r="6606" ht="15.75" customHeight="1">
      <c r="A6606" s="1">
        <v>7098.0</v>
      </c>
      <c r="B6606" s="3" t="s">
        <v>6380</v>
      </c>
      <c r="C6606" s="3" t="str">
        <f>IFERROR(__xludf.DUMMYFUNCTION("GOOGLETRANSLATE(B6606,""id"",""en"")"),"['Fill', 'pulse', 'thousand', 'scorched']")</f>
        <v>['Fill', 'pulse', 'thousand', 'scorched']</v>
      </c>
      <c r="D6606" s="3">
        <v>1.0</v>
      </c>
    </row>
    <row r="6607" ht="15.75" customHeight="1">
      <c r="A6607" s="1">
        <v>7099.0</v>
      </c>
      <c r="B6607" s="3" t="s">
        <v>6381</v>
      </c>
      <c r="C6607" s="3" t="str">
        <f>IFERROR(__xludf.DUMMYFUNCTION("GOOGLETRANSLATE(B6607,""id"",""en"")"),"['Telkomsel', 'downhill', 'rich', 'Telkomsel', 'Network', 'price', 'expensive', 'admin', 'take', 'luck', 'see', 'comment', ' Criticism ',' NO'S, 'Good', 'Hope', 'Telkomsel', 'Kayak', 'Network', 'Delicious', 'Price', 'Cheap']")</f>
        <v>['Telkomsel', 'downhill', 'rich', 'Telkomsel', 'Network', 'price', 'expensive', 'admin', 'take', 'luck', 'see', 'comment', ' Criticism ',' NO'S, 'Good', 'Hope', 'Telkomsel', 'Kayak', 'Network', 'Delicious', 'Price', 'Cheap']</v>
      </c>
      <c r="D6607" s="3">
        <v>1.0</v>
      </c>
    </row>
    <row r="6608" ht="15.75" customHeight="1">
      <c r="A6608" s="1">
        <v>7100.0</v>
      </c>
      <c r="B6608" s="3" t="s">
        <v>6382</v>
      </c>
      <c r="C6608" s="3" t="str">
        <f>IFERROR(__xludf.DUMMYFUNCTION("GOOGLETRANSLATE(B6608,""id"",""en"")"),"['Sorry', 'love', 'star', 'network', 'Telkomsel', 'my place', 'good', 'already', 'monthly', 'network', 'slow', 'really', ' specifically ',' in the area ',' doang ',' area ',' okay ',' sometimes', 'need', 'bnget', 'name', 'network', 'good', 'right', 'colle"&amp;"ge' , 'Online', 'Ngejin', 'Task', 'Please', 'reply', 'Telkomsel', 'Thank', 'Love', ""]")</f>
        <v>['Sorry', 'love', 'star', 'network', 'Telkomsel', 'my place', 'good', 'already', 'monthly', 'network', 'slow', 'really', ' specifically ',' in the area ',' doang ',' area ',' okay ',' sometimes', 'need', 'bnget', 'name', 'network', 'good', 'right', 'college' , 'Online', 'Ngejin', 'Task', 'Please', 'reply', 'Telkomsel', 'Thank', 'Love', "]</v>
      </c>
      <c r="D6608" s="3">
        <v>1.0</v>
      </c>
    </row>
    <row r="6609" ht="15.75" customHeight="1">
      <c r="A6609" s="1">
        <v>7101.0</v>
      </c>
      <c r="B6609" s="3" t="s">
        <v>6383</v>
      </c>
      <c r="C6609" s="3" t="str">
        <f>IFERROR(__xludf.DUMMYFUNCTION("GOOGLETRANSLATE(B6609,""id"",""en"")"),"['Satisfied', 'satisfying']")</f>
        <v>['Satisfied', 'satisfying']</v>
      </c>
      <c r="D6609" s="3">
        <v>5.0</v>
      </c>
    </row>
    <row r="6610" ht="15.75" customHeight="1">
      <c r="A6610" s="1">
        <v>7102.0</v>
      </c>
      <c r="B6610" s="3" t="s">
        <v>2919</v>
      </c>
      <c r="C6610" s="3" t="str">
        <f>IFERROR(__xludf.DUMMYFUNCTION("GOOGLETRANSLATE(B6610,""id"",""en"")"),"['Like', 'Telkomsel']")</f>
        <v>['Like', 'Telkomsel']</v>
      </c>
      <c r="D6610" s="3">
        <v>5.0</v>
      </c>
    </row>
    <row r="6611" ht="15.75" customHeight="1">
      <c r="A6611" s="1">
        <v>7103.0</v>
      </c>
      <c r="B6611" s="3" t="s">
        <v>6384</v>
      </c>
      <c r="C6611" s="3" t="str">
        <f>IFERROR(__xludf.DUMMYFUNCTION("GOOGLETRANSLATE(B6611,""id"",""en"")"),"['Telkomsel', 'Taikk', 'Delete', 'Features', 'Regional', 'Out', 'Bought', 'Friends', 'Kekeke', 'Fool']")</f>
        <v>['Telkomsel', 'Taikk', 'Delete', 'Features', 'Regional', 'Out', 'Bought', 'Friends', 'Kekeke', 'Fool']</v>
      </c>
      <c r="D6611" s="3">
        <v>1.0</v>
      </c>
    </row>
    <row r="6612" ht="15.75" customHeight="1">
      <c r="A6612" s="1">
        <v>7104.0</v>
      </c>
      <c r="B6612" s="3" t="s">
        <v>6385</v>
      </c>
      <c r="C6612" s="3" t="str">
        <f>IFERROR(__xludf.DUMMYFUNCTION("GOOGLETRANSLATE(B6612,""id"",""en"")"),"['like', 'signal', '']")</f>
        <v>['like', 'signal', '']</v>
      </c>
      <c r="D6612" s="3">
        <v>5.0</v>
      </c>
    </row>
    <row r="6613" ht="15.75" customHeight="1">
      <c r="A6613" s="1">
        <v>7105.0</v>
      </c>
      <c r="B6613" s="3" t="s">
        <v>6305</v>
      </c>
      <c r="C6613" s="3" t="str">
        <f>IFERROR(__xludf.DUMMYFUNCTION("GOOGLETRANSLATE(B6613,""id"",""en"")"),"['Application', 'Open']")</f>
        <v>['Application', 'Open']</v>
      </c>
      <c r="D6613" s="3">
        <v>1.0</v>
      </c>
    </row>
    <row r="6614" ht="15.75" customHeight="1">
      <c r="A6614" s="1">
        <v>7106.0</v>
      </c>
      <c r="B6614" s="3" t="s">
        <v>6386</v>
      </c>
      <c r="C6614" s="3" t="str">
        <f>IFERROR(__xludf.DUMMYFUNCTION("GOOGLETRANSLATE(B6614,""id"",""en"")"),"['""Easy']")</f>
        <v>['"Easy']</v>
      </c>
      <c r="D6614" s="3">
        <v>5.0</v>
      </c>
    </row>
    <row r="6615" ht="15.75" customHeight="1">
      <c r="A6615" s="1">
        <v>7107.0</v>
      </c>
      <c r="B6615" s="3" t="s">
        <v>6387</v>
      </c>
      <c r="C6615" s="3" t="str">
        <f>IFERROR(__xludf.DUMMYFUNCTION("GOOGLETRANSLATE(B6615,""id"",""en"")"),"['buy', 'quota', 'pulses', 'pulse', 'price', 'quota', '']")</f>
        <v>['buy', 'quota', 'pulses', 'pulse', 'price', 'quota', '']</v>
      </c>
      <c r="D6615" s="3">
        <v>1.0</v>
      </c>
    </row>
    <row r="6616" ht="15.75" customHeight="1">
      <c r="A6616" s="1">
        <v>7108.0</v>
      </c>
      <c r="B6616" s="3" t="s">
        <v>6388</v>
      </c>
      <c r="C6616" s="3" t="str">
        <f>IFERROR(__xludf.DUMMYFUNCTION("GOOGLETRANSLATE(B6616,""id"",""en"")"),"['Good', 'TPI', 'pulsaq', 'always', 'run out', 'message', 'gerangan', '']")</f>
        <v>['Good', 'TPI', 'pulsaq', 'always', 'run out', 'message', 'gerangan', '']</v>
      </c>
      <c r="D6616" s="3">
        <v>5.0</v>
      </c>
    </row>
    <row r="6617" ht="15.75" customHeight="1">
      <c r="A6617" s="1">
        <v>7110.0</v>
      </c>
      <c r="B6617" s="3" t="s">
        <v>6389</v>
      </c>
      <c r="C6617" s="3" t="str">
        <f>IFERROR(__xludf.DUMMYFUNCTION("GOOGLETRANSLATE(B6617,""id"",""en"")"),"['Credit', 'Free']")</f>
        <v>['Credit', 'Free']</v>
      </c>
      <c r="D6617" s="3">
        <v>5.0</v>
      </c>
    </row>
    <row r="6618" ht="15.75" customHeight="1">
      <c r="A6618" s="1">
        <v>7111.0</v>
      </c>
      <c r="B6618" s="3" t="s">
        <v>6390</v>
      </c>
      <c r="C6618" s="3" t="str">
        <f>IFERROR(__xludf.DUMMYFUNCTION("GOOGLETRANSLATE(B6618,""id"",""en"")"),"['right', 'run out', 'update', 'open', 'delete', 'downlod', 'verification', 'mala', 'enter', 'gmn']")</f>
        <v>['right', 'run out', 'update', 'open', 'delete', 'downlod', 'verification', 'mala', 'enter', 'gmn']</v>
      </c>
      <c r="D6618" s="3">
        <v>1.0</v>
      </c>
    </row>
    <row r="6619" ht="15.75" customHeight="1">
      <c r="A6619" s="1">
        <v>7112.0</v>
      </c>
      <c r="B6619" s="3" t="s">
        <v>6391</v>
      </c>
      <c r="C6619" s="3" t="str">
        <f>IFERROR(__xludf.DUMMYFUNCTION("GOOGLETRANSLATE(B6619,""id"",""en"")"),"['response']")</f>
        <v>['response']</v>
      </c>
      <c r="D6619" s="3">
        <v>4.0</v>
      </c>
    </row>
    <row r="6620" ht="15.75" customHeight="1">
      <c r="A6620" s="1">
        <v>7114.0</v>
      </c>
      <c r="B6620" s="3" t="s">
        <v>6392</v>
      </c>
      <c r="C6620" s="3" t="str">
        <f>IFERROR(__xludf.DUMMYFUNCTION("GOOGLETRANSLATE(B6620,""id"",""en"")"),"['thanks', 'application', 'bill', 'use', 'card', 'Hallo', 'Telkomsel', 'steady', '']")</f>
        <v>['thanks', 'application', 'bill', 'use', 'card', 'Hallo', 'Telkomsel', 'steady', '']</v>
      </c>
      <c r="D6620" s="3">
        <v>5.0</v>
      </c>
    </row>
    <row r="6621" ht="15.75" customHeight="1">
      <c r="A6621" s="1">
        <v>7115.0</v>
      </c>
      <c r="B6621" s="3" t="s">
        <v>6393</v>
      </c>
      <c r="C6621" s="3" t="str">
        <f>IFERROR(__xludf.DUMMYFUNCTION("GOOGLETRANSLATE(B6621,""id"",""en"")"),"['Sangst', 'expensive', 'bsnyakin', 'discount']")</f>
        <v>['Sangst', 'expensive', 'bsnyakin', 'discount']</v>
      </c>
      <c r="D6621" s="3">
        <v>5.0</v>
      </c>
    </row>
    <row r="6622" ht="15.75" customHeight="1">
      <c r="A6622" s="1">
        <v>7116.0</v>
      </c>
      <c r="B6622" s="3" t="s">
        <v>6394</v>
      </c>
      <c r="C6622" s="3" t="str">
        <f>IFERROR(__xludf.DUMMYFUNCTION("GOOGLETRANSLATE(B6622,""id"",""en"")"),"['App', 'Cool', 'Deh', '']")</f>
        <v>['App', 'Cool', 'Deh', '']</v>
      </c>
      <c r="D6622" s="3">
        <v>5.0</v>
      </c>
    </row>
    <row r="6623" ht="15.75" customHeight="1">
      <c r="A6623" s="1">
        <v>7117.0</v>
      </c>
      <c r="B6623" s="3" t="s">
        <v>6395</v>
      </c>
      <c r="C6623" s="3" t="str">
        <f>IFERROR(__xludf.DUMMYFUNCTION("GOOGLETRANSLATE(B6623,""id"",""en"")"),"['Win', 'Win', 'Amin', 'already', 'Pundian', 'BLM', 'sustenance', ""]")</f>
        <v>['Win', 'Win', 'Amin', 'already', 'Pundian', 'BLM', 'sustenance', "]</v>
      </c>
      <c r="D6623" s="3">
        <v>5.0</v>
      </c>
    </row>
    <row r="6624" ht="15.75" customHeight="1">
      <c r="A6624" s="1">
        <v>7118.0</v>
      </c>
      <c r="B6624" s="3" t="s">
        <v>6396</v>
      </c>
      <c r="C6624" s="3" t="str">
        <f>IFERROR(__xludf.DUMMYFUNCTION("GOOGLETRANSLATE(B6624,""id"",""en"")"),"['Telkomsel', 'Yesterday', 'Buy', 'Package', 'Unlimited', 'YouTube', 'then', 'watch', 'Video', 'YouTube', 'Package', 'Main', ' finished', '']")</f>
        <v>['Telkomsel', 'Yesterday', 'Buy', 'Package', 'Unlimited', 'YouTube', 'then', 'watch', 'Video', 'YouTube', 'Package', 'Main', ' finished', '']</v>
      </c>
      <c r="D6624" s="3">
        <v>2.0</v>
      </c>
    </row>
    <row r="6625" ht="15.75" customHeight="1">
      <c r="A6625" s="1">
        <v>7119.0</v>
      </c>
      <c r="B6625" s="3" t="s">
        <v>6397</v>
      </c>
      <c r="C6625" s="3" t="str">
        <f>IFERROR(__xludf.DUMMYFUNCTION("GOOGLETRANSLATE(B6625,""id"",""en"")"),"['Okeh', 'Price', 'Ok', 'Network', 'Every', 'WHERE', 'Always', ""]")</f>
        <v>['Okeh', 'Price', 'Ok', 'Network', 'Every', 'WHERE', 'Always', "]</v>
      </c>
      <c r="D6625" s="3">
        <v>5.0</v>
      </c>
    </row>
    <row r="6626" ht="15.75" customHeight="1">
      <c r="A6626" s="1">
        <v>7120.0</v>
      </c>
      <c r="B6626" s="3" t="s">
        <v>6398</v>
      </c>
      <c r="C6626" s="3" t="str">
        <f>IFERROR(__xludf.DUMMYFUNCTION("GOOGLETRANSLATE(B6626,""id"",""en"")"),"['', 'Satisfied', 'Service', 'Telkomsel', '']")</f>
        <v>['', 'Satisfied', 'Service', 'Telkomsel', '']</v>
      </c>
      <c r="D6626" s="3">
        <v>5.0</v>
      </c>
    </row>
    <row r="6627" ht="15.75" customHeight="1">
      <c r="A6627" s="1">
        <v>7121.0</v>
      </c>
      <c r="B6627" s="3" t="s">
        <v>6399</v>
      </c>
      <c r="C6627" s="3" t="str">
        <f>IFERROR(__xludf.DUMMYFUNCTION("GOOGLETRANSLATE(B6627,""id"",""en"")"),"['Sepat', 'Tekomsel', '']")</f>
        <v>['Sepat', 'Tekomsel', '']</v>
      </c>
      <c r="D6627" s="3">
        <v>4.0</v>
      </c>
    </row>
    <row r="6628" ht="15.75" customHeight="1">
      <c r="A6628" s="1">
        <v>7122.0</v>
      </c>
      <c r="B6628" s="3" t="s">
        <v>6400</v>
      </c>
      <c r="C6628" s="3" t="str">
        <f>IFERROR(__xludf.DUMMYFUNCTION("GOOGLETRANSLATE(B6628,""id"",""en"")"),"['Telkomsel', 'blusukan', 'donk', 'signal', 'full', 'slow', 'lose', 'price', 'expensive', 'mistrow', 'home', 'signal', ' Good ',' expensive ',' ']")</f>
        <v>['Telkomsel', 'blusukan', 'donk', 'signal', 'full', 'slow', 'lose', 'price', 'expensive', 'mistrow', 'home', 'signal', ' Good ',' expensive ',' ']</v>
      </c>
      <c r="D6628" s="3">
        <v>5.0</v>
      </c>
    </row>
    <row r="6629" ht="15.75" customHeight="1">
      <c r="A6629" s="1">
        <v>7123.0</v>
      </c>
      <c r="B6629" s="3" t="s">
        <v>6401</v>
      </c>
      <c r="C6629" s="3" t="str">
        <f>IFERROR(__xludf.DUMMYFUNCTION("GOOGLETRANSLATE(B6629,""id"",""en"")"),"['ugly', 'signal', 'Telkomsel', 'Telkomsel']")</f>
        <v>['ugly', 'signal', 'Telkomsel', 'Telkomsel']</v>
      </c>
      <c r="D6629" s="3">
        <v>1.0</v>
      </c>
    </row>
    <row r="6630" ht="15.75" customHeight="1">
      <c r="A6630" s="1">
        <v>7124.0</v>
      </c>
      <c r="B6630" s="3" t="s">
        <v>286</v>
      </c>
      <c r="C6630" s="3" t="str">
        <f>IFERROR(__xludf.DUMMYFUNCTION("GOOGLETRANSLATE(B6630,""id"",""en"")"),"['good']")</f>
        <v>['good']</v>
      </c>
      <c r="D6630" s="3">
        <v>3.0</v>
      </c>
    </row>
    <row r="6631" ht="15.75" customHeight="1">
      <c r="A6631" s="1">
        <v>7125.0</v>
      </c>
      <c r="B6631" s="3" t="s">
        <v>2623</v>
      </c>
      <c r="C6631" s="3" t="str">
        <f>IFERROR(__xludf.DUMMYFUNCTION("GOOGLETRANSLATE(B6631,""id"",""en"")"),"['Gampang', 'use it']")</f>
        <v>['Gampang', 'use it']</v>
      </c>
      <c r="D6631" s="3">
        <v>5.0</v>
      </c>
    </row>
    <row r="6632" ht="15.75" customHeight="1">
      <c r="A6632" s="1">
        <v>7126.0</v>
      </c>
      <c r="B6632" s="3" t="s">
        <v>6402</v>
      </c>
      <c r="C6632" s="3" t="str">
        <f>IFERROR(__xludf.DUMMYFUNCTION("GOOGLETRANSLATE(B6632,""id"",""en"")"),"['mantabb', 'smga', 'Telkomsel', 'advanced', 'various', 'diverse', 'bonus', 'price', 'populat', 'hehee', ""]")</f>
        <v>['mantabb', 'smga', 'Telkomsel', 'advanced', 'various', 'diverse', 'bonus', 'price', 'populat', 'hehee', "]</v>
      </c>
      <c r="D6632" s="3">
        <v>5.0</v>
      </c>
    </row>
    <row r="6633" ht="15.75" customHeight="1">
      <c r="A6633" s="1">
        <v>7128.0</v>
      </c>
      <c r="B6633" s="3" t="s">
        <v>6403</v>
      </c>
      <c r="C6633" s="3" t="str">
        <f>IFERROR(__xludf.DUMMYFUNCTION("GOOGLETRANSLATE(B6633,""id"",""en"")"),"['walk', 'Android', 'Decide', 'Application']")</f>
        <v>['walk', 'Android', 'Decide', 'Application']</v>
      </c>
      <c r="D6633" s="3">
        <v>3.0</v>
      </c>
    </row>
    <row r="6634" ht="15.75" customHeight="1">
      <c r="A6634" s="1">
        <v>7129.0</v>
      </c>
      <c r="B6634" s="3" t="s">
        <v>6404</v>
      </c>
      <c r="C6634" s="3" t="str">
        <f>IFERROR(__xludf.DUMMYFUNCTION("GOOGLETRANSLATE(B6634,""id"",""en"")"),"['', 'ksih', 'segini']")</f>
        <v>['', 'ksih', 'segini']</v>
      </c>
      <c r="D6634" s="3">
        <v>2.0</v>
      </c>
    </row>
    <row r="6635" ht="15.75" customHeight="1">
      <c r="A6635" s="1">
        <v>7130.0</v>
      </c>
      <c r="B6635" s="3" t="s">
        <v>6405</v>
      </c>
      <c r="C6635" s="3" t="str">
        <f>IFERROR(__xludf.DUMMYFUNCTION("GOOGLETRANSLATE(B6635,""id"",""en"")"),"['Telkomsel', 'good', 'signal', 'internet', 'Telkomsel', 'ugly', 'signal', 'compare', 'operator', 'internet', 'left', 'customer', ' Fix ',' Operator ',' ']")</f>
        <v>['Telkomsel', 'good', 'signal', 'internet', 'Telkomsel', 'ugly', 'signal', 'compare', 'operator', 'internet', 'left', 'customer', ' Fix ',' Operator ',' ']</v>
      </c>
      <c r="D6635" s="3">
        <v>1.0</v>
      </c>
    </row>
    <row r="6636" ht="15.75" customHeight="1">
      <c r="A6636" s="1">
        <v>7131.0</v>
      </c>
      <c r="B6636" s="3" t="s">
        <v>6406</v>
      </c>
      <c r="C6636" s="3" t="str">
        <f>IFERROR(__xludf.DUMMYFUNCTION("GOOGLETRANSLATE(B6636,""id"",""en"")"),"['Update', 'Application', 'Promo', 'Interesting', 'Maintain']")</f>
        <v>['Update', 'Application', 'Promo', 'Interesting', 'Maintain']</v>
      </c>
      <c r="D6636" s="3">
        <v>4.0</v>
      </c>
    </row>
    <row r="6637" ht="15.75" customHeight="1">
      <c r="A6637" s="1">
        <v>7132.0</v>
      </c>
      <c r="B6637" s="3" t="s">
        <v>6407</v>
      </c>
      <c r="C6637" s="3" t="str">
        <f>IFERROR(__xludf.DUMMYFUNCTION("GOOGLETRANSLATE(B6637,""id"",""en"")"),"['sympathy', 'promo', 'steady']")</f>
        <v>['sympathy', 'promo', 'steady']</v>
      </c>
      <c r="D6637" s="3">
        <v>5.0</v>
      </c>
    </row>
    <row r="6638" ht="15.75" customHeight="1">
      <c r="A6638" s="1">
        <v>7133.0</v>
      </c>
      <c r="B6638" s="3" t="s">
        <v>6408</v>
      </c>
      <c r="C6638" s="3" t="str">
        <f>IFERROR(__xludf.DUMMYFUNCTION("GOOGLETRANSLATE(B6638,""id"",""en"")"),"['Thank you', 'Telkomsel']")</f>
        <v>['Thank you', 'Telkomsel']</v>
      </c>
      <c r="D6638" s="3">
        <v>5.0</v>
      </c>
    </row>
    <row r="6639" ht="15.75" customHeight="1">
      <c r="A6639" s="1">
        <v>7134.0</v>
      </c>
      <c r="B6639" s="3" t="s">
        <v>6409</v>
      </c>
      <c r="C6639" s="3" t="str">
        <f>IFERROR(__xludf.DUMMYFUNCTION("GOOGLETRANSLATE(B6639,""id"",""en"")"),"['Telkomsel', 'Kepedean', 'Signal', 'Good', 'really', 'times',' Yee ',' quota ',' quota ',' main ',' quota ',' local ',' Quota ',' main ',' quota ',' local ',' speed ',' different ',' quota ',' main ',' already ',' slow ',' village ',' quota ',' local ' ,"&amp;" 'Reduce', 'speed', 'slow', 'poor', 'come', 'village', 'blorong', 'kaligading', 'boja', 'kendal', 'right', 'season', ' Rain ',' Open ',' YouTube ',' Hard ',' Forgiveness', '']")</f>
        <v>['Telkomsel', 'Kepedean', 'Signal', 'Good', 'really', 'times',' Yee ',' quota ',' quota ',' main ',' quota ',' local ',' Quota ',' main ',' quota ',' local ',' speed ',' different ',' quota ',' main ',' already ',' slow ',' village ',' quota ',' local ' , 'Reduce', 'speed', 'slow', 'poor', 'come', 'village', 'blorong', 'kaligading', 'boja', 'kendal', 'right', 'season', ' Rain ',' Open ',' YouTube ',' Hard ',' Forgiveness', '']</v>
      </c>
      <c r="D6639" s="3">
        <v>2.0</v>
      </c>
    </row>
    <row r="6640" ht="15.75" customHeight="1">
      <c r="A6640" s="1">
        <v>7135.0</v>
      </c>
      <c r="B6640" s="3" t="s">
        <v>6410</v>
      </c>
      <c r="C6640" s="3" t="str">
        <f>IFERROR(__xludf.DUMMYFUNCTION("GOOGLETRANSLATE(B6640,""id"",""en"")"),"['Signal', 'Kek']")</f>
        <v>['Signal', 'Kek']</v>
      </c>
      <c r="D6640" s="3">
        <v>1.0</v>
      </c>
    </row>
    <row r="6641" ht="15.75" customHeight="1">
      <c r="A6641" s="1">
        <v>7136.0</v>
      </c>
      <c r="B6641" s="3" t="s">
        <v>6411</v>
      </c>
      <c r="C6641" s="3" t="str">
        <f>IFERROR(__xludf.DUMMYFUNCTION("GOOGLETRANSLATE(B6641,""id"",""en"")"),"['operator', 'Telkomsel', 'contents', 'thousand', 'entry', 'thousand', 'udh', 'times', 'disappointed', 'customers', 'Telkomsel', ""]")</f>
        <v>['operator', 'Telkomsel', 'contents', 'thousand', 'entry', 'thousand', 'udh', 'times', 'disappointed', 'customers', 'Telkomsel', "]</v>
      </c>
      <c r="D6641" s="3">
        <v>2.0</v>
      </c>
    </row>
    <row r="6642" ht="15.75" customHeight="1">
      <c r="A6642" s="1">
        <v>7137.0</v>
      </c>
      <c r="B6642" s="3" t="s">
        <v>6412</v>
      </c>
      <c r="C6642" s="3" t="str">
        <f>IFERROR(__xludf.DUMMYFUNCTION("GOOGLETRANSLATE(B6642,""id"",""en"")"),"['wowww', 'leave', 'promo', 'continue', 'development', 'for me', 'love', 'you', 'love', 'set', 'promo', ""]")</f>
        <v>['wowww', 'leave', 'promo', 'continue', 'development', 'for me', 'love', 'you', 'love', 'set', 'promo', "]</v>
      </c>
      <c r="D6642" s="3">
        <v>5.0</v>
      </c>
    </row>
    <row r="6643" ht="15.75" customHeight="1">
      <c r="A6643" s="1">
        <v>7138.0</v>
      </c>
      <c r="B6643" s="3" t="s">
        <v>6413</v>
      </c>
      <c r="C6643" s="3" t="str">
        <f>IFERROR(__xludf.DUMMYFUNCTION("GOOGLETRANSLATE(B6643,""id"",""en"")"),"['Telkomsel', 'plg', 'The network', 'Death', '']")</f>
        <v>['Telkomsel', 'plg', 'The network', 'Death', '']</v>
      </c>
      <c r="D6643" s="3">
        <v>5.0</v>
      </c>
    </row>
    <row r="6644" ht="15.75" customHeight="1">
      <c r="A6644" s="1">
        <v>7139.0</v>
      </c>
      <c r="B6644" s="3" t="s">
        <v>6414</v>
      </c>
      <c r="C6644" s="3" t="str">
        <f>IFERROR(__xludf.DUMMYFUNCTION("GOOGLETRANSLATE(B6644,""id"",""en"")"),"['Satisfied', 'Application', 'MyTelkomsel']")</f>
        <v>['Satisfied', 'Application', 'MyTelkomsel']</v>
      </c>
      <c r="D6644" s="3">
        <v>5.0</v>
      </c>
    </row>
    <row r="6645" ht="15.75" customHeight="1">
      <c r="A6645" s="1">
        <v>7140.0</v>
      </c>
      <c r="B6645" s="3" t="s">
        <v>5905</v>
      </c>
      <c r="C6645" s="3" t="str">
        <f>IFERROR(__xludf.DUMMYFUNCTION("GOOGLETRANSLATE(B6645,""id"",""en"")"),"['Practical', 'Ribet']")</f>
        <v>['Practical', 'Ribet']</v>
      </c>
      <c r="D6645" s="3">
        <v>5.0</v>
      </c>
    </row>
    <row r="6646" ht="15.75" customHeight="1">
      <c r="A6646" s="1">
        <v>7141.0</v>
      </c>
      <c r="B6646" s="3" t="s">
        <v>6415</v>
      </c>
      <c r="C6646" s="3" t="str">
        <f>IFERROR(__xludf.DUMMYFUNCTION("GOOGLETRANSLATE(B6646,""id"",""en"")"),"['The network', 'good', 'useful', '']")</f>
        <v>['The network', 'good', 'useful', '']</v>
      </c>
      <c r="D6646" s="3">
        <v>5.0</v>
      </c>
    </row>
    <row r="6647" ht="15.75" customHeight="1">
      <c r="A6647" s="1">
        <v>7143.0</v>
      </c>
      <c r="B6647" s="3" t="s">
        <v>6416</v>
      </c>
      <c r="C6647" s="3" t="str">
        <f>IFERROR(__xludf.DUMMYFUNCTION("GOOGLETRANSLATE(B6647,""id"",""en"")"),"['purchase', 'package', 'it's easy', 'price', '']")</f>
        <v>['purchase', 'package', 'it's easy', 'price', '']</v>
      </c>
      <c r="D6647" s="3">
        <v>5.0</v>
      </c>
    </row>
    <row r="6648" ht="15.75" customHeight="1">
      <c r="A6648" s="1">
        <v>7144.0</v>
      </c>
      <c r="B6648" s="3" t="s">
        <v>6417</v>
      </c>
      <c r="C6648" s="3" t="str">
        <f>IFERROR(__xludf.DUMMYFUNCTION("GOOGLETRANSLATE(B6648,""id"",""en"")"),"['Get', 'Bonus', 'Check', 'Free', 'MB', 'HR', 'Activate', 'Pulses', 'Sumpot', 'Hbs', 'Emotion', ""]")</f>
        <v>['Get', 'Bonus', 'Check', 'Free', 'MB', 'HR', 'Activate', 'Pulses', 'Sumpot', 'Hbs', 'Emotion', "]</v>
      </c>
      <c r="D6648" s="3">
        <v>4.0</v>
      </c>
    </row>
    <row r="6649" ht="15.75" customHeight="1">
      <c r="A6649" s="1">
        <v>7145.0</v>
      </c>
      <c r="B6649" s="3" t="s">
        <v>6418</v>
      </c>
      <c r="C6649" s="3" t="str">
        <f>IFERROR(__xludf.DUMMYFUNCTION("GOOGLETRANSLATE(B6649,""id"",""en"")"),"['', 'play', 'game', 'ngelag', 'ngntod']")</f>
        <v>['', 'play', 'game', 'ngelag', 'ngntod']</v>
      </c>
      <c r="D6649" s="3">
        <v>1.0</v>
      </c>
    </row>
    <row r="6650" ht="15.75" customHeight="1">
      <c r="A6650" s="1">
        <v>7146.0</v>
      </c>
      <c r="B6650" s="3" t="s">
        <v>6419</v>
      </c>
      <c r="C6650" s="3" t="str">
        <f>IFERROR(__xludf.DUMMYFUNCTION("GOOGLETRANSLATE(B6650,""id"",""en"")"),"['Sorry', 'strange', 'beberpa', 'buy', 'quota', 'main', 'quota', 'main', 'run out', 'buy', 'quota', 'special', ' YouTube, 'unique', 'Telkomsel', 'accumulated', 'abundant', 'quota', 'smooth', 'smooth', 'open', 'youtube', 'quota', 'main', 'run out' , 'pulse"&amp;"', 'run out', 'quota', 'special', 'youtube', 'strange', 'please', 'hope', 'reply', 'bot', 'quota', 'youtube', ' whole ',' thankful ',' ']")</f>
        <v>['Sorry', 'strange', 'beberpa', 'buy', 'quota', 'main', 'quota', 'main', 'run out', 'buy', 'quota', 'special', ' YouTube, 'unique', 'Telkomsel', 'accumulated', 'abundant', 'quota', 'smooth', 'smooth', 'open', 'youtube', 'quota', 'main', 'run out' , 'pulse', 'run out', 'quota', 'special', 'youtube', 'strange', 'please', 'hope', 'reply', 'bot', 'quota', 'youtube', ' whole ',' thankful ',' ']</v>
      </c>
      <c r="D6650" s="3">
        <v>5.0</v>
      </c>
    </row>
    <row r="6651" ht="15.75" customHeight="1">
      <c r="A6651" s="1">
        <v>7148.0</v>
      </c>
      <c r="B6651" s="3" t="s">
        <v>6420</v>
      </c>
      <c r="C6651" s="3" t="str">
        <f>IFERROR(__xludf.DUMMYFUNCTION("GOOGLETRANSLATE(B6651,""id"",""en"")"),"['crazy', 'package', 'original', 'Mahel', 'thousand', 'sebulan', 'kmbaliin', 'laa', 'kasian', 'poor']")</f>
        <v>['crazy', 'package', 'original', 'Mahel', 'thousand', 'sebulan', 'kmbaliin', 'laa', 'kasian', 'poor']</v>
      </c>
      <c r="D6651" s="3">
        <v>3.0</v>
      </c>
    </row>
    <row r="6652" ht="15.75" customHeight="1">
      <c r="A6652" s="1">
        <v>7149.0</v>
      </c>
      <c r="B6652" s="3" t="s">
        <v>6421</v>
      </c>
      <c r="C6652" s="3" t="str">
        <f>IFERROR(__xludf.DUMMYFUNCTION("GOOGLETRANSLATE(B6652,""id"",""en"")"),"['Ouch', 'how', 'network', 'Nge', 'lag', 'Nge', 'lag', 'please', 'Overcome', 'Telkomsel', 'Network', 'Good', ' Nge ',' lag ']")</f>
        <v>['Ouch', 'how', 'network', 'Nge', 'lag', 'Nge', 'lag', 'please', 'Overcome', 'Telkomsel', 'Network', 'Good', ' Nge ',' lag ']</v>
      </c>
      <c r="D6652" s="3">
        <v>1.0</v>
      </c>
    </row>
    <row r="6653" ht="15.75" customHeight="1">
      <c r="A6653" s="1">
        <v>7150.0</v>
      </c>
      <c r="B6653" s="3" t="s">
        <v>5431</v>
      </c>
      <c r="C6653" s="3" t="str">
        <f>IFERROR(__xludf.DUMMYFUNCTION("GOOGLETRANSLATE(B6653,""id"",""en"")"),"['Telkomsel', 'really']")</f>
        <v>['Telkomsel', 'really']</v>
      </c>
      <c r="D6653" s="3">
        <v>5.0</v>
      </c>
    </row>
    <row r="6654" ht="15.75" customHeight="1">
      <c r="A6654" s="1">
        <v>7151.0</v>
      </c>
      <c r="B6654" s="3" t="s">
        <v>6422</v>
      </c>
      <c r="C6654" s="3" t="str">
        <f>IFERROR(__xludf.DUMMYFUNCTION("GOOGLETRANSLATE(B6654,""id"",""en"")"),"['need', 'signal', 'fast']")</f>
        <v>['need', 'signal', 'fast']</v>
      </c>
      <c r="D6654" s="3">
        <v>4.0</v>
      </c>
    </row>
    <row r="6655" ht="15.75" customHeight="1">
      <c r="A6655" s="1">
        <v>7152.0</v>
      </c>
      <c r="B6655" s="3" t="s">
        <v>6423</v>
      </c>
      <c r="C6655" s="3" t="str">
        <f>IFERROR(__xludf.DUMMYFUNCTION("GOOGLETRANSLATE(B6655,""id"",""en"")"),"['good', 'heavy', 'really', 'open', 'light', 'really', 'application']")</f>
        <v>['good', 'heavy', 'really', 'open', 'light', 'really', 'application']</v>
      </c>
      <c r="D6655" s="3">
        <v>4.0</v>
      </c>
    </row>
    <row r="6656" ht="15.75" customHeight="1">
      <c r="A6656" s="1">
        <v>7153.0</v>
      </c>
      <c r="B6656" s="3" t="s">
        <v>6424</v>
      </c>
      <c r="C6656" s="3" t="str">
        <f>IFERROR(__xludf.DUMMYFUNCTION("GOOGLETRANSLATE(B6656,""id"",""en"")"),"['hope', 'gaven', 'cost', 'internet', 'suits', 'quality']")</f>
        <v>['hope', 'gaven', 'cost', 'internet', 'suits', 'quality']</v>
      </c>
      <c r="D6656" s="3">
        <v>5.0</v>
      </c>
    </row>
    <row r="6657" ht="15.75" customHeight="1">
      <c r="A6657" s="1">
        <v>7154.0</v>
      </c>
      <c r="B6657" s="3" t="s">
        <v>6425</v>
      </c>
      <c r="C6657" s="3" t="str">
        <f>IFERROR(__xludf.DUMMYFUNCTION("GOOGLETRANSLATE(B6657,""id"",""en"")"),"['Synity', 'BURIK', 'FULL', 'RICH', '']")</f>
        <v>['Synity', 'BURIK', 'FULL', 'RICH', '']</v>
      </c>
      <c r="D6657" s="3">
        <v>1.0</v>
      </c>
    </row>
    <row r="6658" ht="15.75" customHeight="1">
      <c r="A6658" s="1">
        <v>7155.0</v>
      </c>
      <c r="B6658" s="3" t="s">
        <v>6426</v>
      </c>
      <c r="C6658" s="3" t="str">
        <f>IFERROR(__xludf.DUMMYFUNCTION("GOOGLETRANSLATE(B6658,""id"",""en"")"),"['Buy', 'Package', 'Telkomsel', 'Failed', 'Description', 'CONNENCTION', 'Signal', 'Full', 'Credit', 'Buy', 'Manual', ' The price is expensive']")</f>
        <v>['Buy', 'Package', 'Telkomsel', 'Failed', 'Description', 'CONNENCTION', 'Signal', 'Full', 'Credit', 'Buy', 'Manual', ' The price is expensive']</v>
      </c>
      <c r="D6658" s="3">
        <v>3.0</v>
      </c>
    </row>
    <row r="6659" ht="15.75" customHeight="1">
      <c r="A6659" s="1">
        <v>7156.0</v>
      </c>
      <c r="B6659" s="3" t="s">
        <v>6427</v>
      </c>
      <c r="C6659" s="3" t="str">
        <f>IFERROR(__xludf.DUMMYFUNCTION("GOOGLETRANSLATE(B6659,""id"",""en"")"),"['expensive', 'network', 'ugly']")</f>
        <v>['expensive', 'network', 'ugly']</v>
      </c>
      <c r="D6659" s="3">
        <v>3.0</v>
      </c>
    </row>
    <row r="6660" ht="15.75" customHeight="1">
      <c r="A6660" s="1">
        <v>7157.0</v>
      </c>
      <c r="B6660" s="3" t="s">
        <v>6428</v>
      </c>
      <c r="C6660" s="3" t="str">
        <f>IFERROR(__xludf.DUMMYFUNCTION("GOOGLETRANSLATE(B6660,""id"",""en"")"),"['Lower', 'Price', 'Package', '']")</f>
        <v>['Lower', 'Price', 'Package', '']</v>
      </c>
      <c r="D6660" s="3">
        <v>5.0</v>
      </c>
    </row>
    <row r="6661" ht="15.75" customHeight="1">
      <c r="A6661" s="1">
        <v>7158.0</v>
      </c>
      <c r="B6661" s="3" t="s">
        <v>6429</v>
      </c>
      <c r="C6661" s="3" t="str">
        <f>IFERROR(__xludf.DUMMYFUNCTION("GOOGLETRANSLATE(B6661,""id"",""en"")"),"['MAYAL', 'Doang', 'Network', '']")</f>
        <v>['MAYAL', 'Doang', 'Network', '']</v>
      </c>
      <c r="D6661" s="3">
        <v>3.0</v>
      </c>
    </row>
    <row r="6662" ht="15.75" customHeight="1">
      <c r="A6662" s="1">
        <v>7159.0</v>
      </c>
      <c r="B6662" s="3" t="s">
        <v>6430</v>
      </c>
      <c r="C6662" s="3" t="str">
        <f>IFERROR(__xludf.DUMMYFUNCTION("GOOGLETRANSLATE(B6662,""id"",""en"")"),"['Help', 'Satisfied']")</f>
        <v>['Help', 'Satisfied']</v>
      </c>
      <c r="D6662" s="3">
        <v>5.0</v>
      </c>
    </row>
    <row r="6663" ht="15.75" customHeight="1">
      <c r="A6663" s="1">
        <v>7160.0</v>
      </c>
      <c r="B6663" s="3" t="s">
        <v>6431</v>
      </c>
      <c r="C6663" s="3" t="str">
        <f>IFERROR(__xludf.DUMMYFUNCTION("GOOGLETRANSLATE(B6663,""id"",""en"")"),"['Hopefully', 'Win', 'Lottery', 'Coupon', 'Credit', 'JT', 'Telkomsel', 'Amin', 'Glad', 'APK', ""]")</f>
        <v>['Hopefully', 'Win', 'Lottery', 'Coupon', 'Credit', 'JT', 'Telkomsel', 'Amin', 'Glad', 'APK', "]</v>
      </c>
      <c r="D6663" s="3">
        <v>5.0</v>
      </c>
    </row>
    <row r="6664" ht="15.75" customHeight="1">
      <c r="A6664" s="1">
        <v>7161.0</v>
      </c>
      <c r="B6664" s="3" t="s">
        <v>6432</v>
      </c>
      <c r="C6664" s="3" t="str">
        <f>IFERROR(__xludf.DUMMYFUNCTION("GOOGLETRANSLATE(B6664,""id"",""en"")"),"['Please', 'Signal', 'Fix', 'Crazy', 'Kediri', 'Kecamatan', 'Ngadiluwih', 'Village', 'Tales',' Signal ',' TELKOM ',' BHOHH ',' Providers', 'Telkom', 'UDH', 'expensive', 'signal', 'bad', 'users',' Telkom ',' please ',' fix ',' gmn ',' signal ',' plain ' , "&amp;"'Low', 'slow', '']")</f>
        <v>['Please', 'Signal', 'Fix', 'Crazy', 'Kediri', 'Kecamatan', 'Ngadiluwih', 'Village', 'Tales',' Signal ',' TELKOM ',' BHOHH ',' Providers', 'Telkom', 'UDH', 'expensive', 'signal', 'bad', 'users',' Telkom ',' please ',' fix ',' gmn ',' signal ',' plain ' , 'Low', 'slow', '']</v>
      </c>
      <c r="D6664" s="3">
        <v>5.0</v>
      </c>
    </row>
    <row r="6665" ht="15.75" customHeight="1">
      <c r="A6665" s="1">
        <v>7162.0</v>
      </c>
      <c r="B6665" s="3" t="s">
        <v>6433</v>
      </c>
      <c r="C6665" s="3" t="str">
        <f>IFERROR(__xludf.DUMMYFUNCTION("GOOGLETRANSLATE(B6665,""id"",""en"")"),"['develop', '']")</f>
        <v>['develop', '']</v>
      </c>
      <c r="D6665" s="3">
        <v>5.0</v>
      </c>
    </row>
    <row r="6666" ht="15.75" customHeight="1">
      <c r="A6666" s="1">
        <v>7163.0</v>
      </c>
      <c r="B6666" s="3" t="s">
        <v>6434</v>
      </c>
      <c r="C6666" s="3" t="str">
        <f>IFERROR(__xludf.DUMMYFUNCTION("GOOGLETRANSLATE(B6666,""id"",""en"")"),"['quota', 'sosmed', 'behavior', 'mksud', 'kwk', 'waste', 'money', ""]")</f>
        <v>['quota', 'sosmed', 'behavior', 'mksud', 'kwk', 'waste', 'money', "]</v>
      </c>
      <c r="D6666" s="3">
        <v>5.0</v>
      </c>
    </row>
    <row r="6667" ht="15.75" customHeight="1">
      <c r="A6667" s="1">
        <v>7164.0</v>
      </c>
      <c r="B6667" s="3" t="s">
        <v>6435</v>
      </c>
      <c r="C6667" s="3" t="str">
        <f>IFERROR(__xludf.DUMMYFUNCTION("GOOGLETRANSLATE(B6667,""id"",""en"")"),"['balance', 'truncated', 'thousand', 'pulse', 'nda', 'enter', '']")</f>
        <v>['balance', 'truncated', 'thousand', 'pulse', 'nda', 'enter', '']</v>
      </c>
      <c r="D6667" s="3">
        <v>1.0</v>
      </c>
    </row>
    <row r="6668" ht="15.75" customHeight="1">
      <c r="A6668" s="1">
        <v>7165.0</v>
      </c>
      <c r="B6668" s="3" t="s">
        <v>6436</v>
      </c>
      <c r="C6668" s="3" t="str">
        <f>IFERROR(__xludf.DUMMYFUNCTION("GOOGLETRANSLATE(B6668,""id"",""en"")"),"['satisfying']")</f>
        <v>['satisfying']</v>
      </c>
      <c r="D6668" s="3">
        <v>5.0</v>
      </c>
    </row>
    <row r="6669" ht="15.75" customHeight="1">
      <c r="A6669" s="1">
        <v>7166.0</v>
      </c>
      <c r="B6669" s="3" t="s">
        <v>6437</v>
      </c>
      <c r="C6669" s="3" t="str">
        <f>IFERROR(__xludf.DUMMYFUNCTION("GOOGLETRANSLATE(B6669,""id"",""en"")"),"['hope', 'gift']")</f>
        <v>['hope', 'gift']</v>
      </c>
      <c r="D6669" s="3">
        <v>5.0</v>
      </c>
    </row>
    <row r="6670" ht="15.75" customHeight="1">
      <c r="A6670" s="1">
        <v>7167.0</v>
      </c>
      <c r="B6670" s="3" t="s">
        <v>6438</v>
      </c>
      <c r="C6670" s="3" t="str">
        <f>IFERROR(__xludf.DUMMYFUNCTION("GOOGLETRANSLATE(B6670,""id"",""en"")"),"['list', 'package', 'expensive', 'expensive', 'jhon']")</f>
        <v>['list', 'package', 'expensive', 'expensive', 'jhon']</v>
      </c>
      <c r="D6670" s="3">
        <v>5.0</v>
      </c>
    </row>
    <row r="6671" ht="15.75" customHeight="1">
      <c r="A6671" s="1">
        <v>7168.0</v>
      </c>
      <c r="B6671" s="3" t="s">
        <v>6439</v>
      </c>
      <c r="C6671" s="3" t="str">
        <f>IFERROR(__xludf.DUMMYFUNCTION("GOOGLETRANSLATE(B6671,""id"",""en"")"),"['hope', 'network', 'stable']")</f>
        <v>['hope', 'network', 'stable']</v>
      </c>
      <c r="D6671" s="3">
        <v>5.0</v>
      </c>
    </row>
    <row r="6672" ht="15.75" customHeight="1">
      <c r="A6672" s="1">
        <v>7169.0</v>
      </c>
      <c r="B6672" s="3" t="s">
        <v>6440</v>
      </c>
      <c r="C6672" s="3" t="str">
        <f>IFERROR(__xludf.DUMMYFUNCTION("GOOGLETRANSLATE(B6672,""id"",""en"")"),"['Provider', 'intention', 'price', 'mhal', 'network', 'rich', ""]")</f>
        <v>['Provider', 'intention', 'price', 'mhal', 'network', 'rich', "]</v>
      </c>
      <c r="D6672" s="3">
        <v>1.0</v>
      </c>
    </row>
    <row r="6673" ht="15.75" customHeight="1">
      <c r="A6673" s="1">
        <v>7170.0</v>
      </c>
      <c r="B6673" s="3" t="s">
        <v>6441</v>
      </c>
      <c r="C6673" s="3" t="str">
        <f>IFERROR(__xludf.DUMMYFUNCTION("GOOGLETRANSLATE(B6673,""id"",""en"")"),"['Hello', 'Telkomsel', 'Region', 'City', 'Dumai', 'Riau', 'Difficult', 'Signal', 'Telkomsel', 'Clock', 'noon', 'Signal', ' Lost ',' hours', 'signal', 'missing', '']")</f>
        <v>['Hello', 'Telkomsel', 'Region', 'City', 'Dumai', 'Riau', 'Difficult', 'Signal', 'Telkomsel', 'Clock', 'noon', 'Signal', ' Lost ',' hours', 'signal', 'missing', '']</v>
      </c>
      <c r="D6673" s="3">
        <v>5.0</v>
      </c>
    </row>
    <row r="6674" ht="15.75" customHeight="1">
      <c r="A6674" s="1">
        <v>7171.0</v>
      </c>
      <c r="B6674" s="3" t="s">
        <v>6442</v>
      </c>
      <c r="C6674" s="3" t="str">
        <f>IFERROR(__xludf.DUMMYFUNCTION("GOOGLETRANSLATE(B6674,""id"",""en"")"),"['Telkomsel', 'klw', 'pulse', 'take', 'credit', 'automatic', 'rich', 'trie', 'axis',' stop ',' pulse ',' Embat ',' ']")</f>
        <v>['Telkomsel', 'klw', 'pulse', 'take', 'credit', 'automatic', 'rich', 'trie', 'axis',' stop ',' pulse ',' Embat ',' ']</v>
      </c>
      <c r="D6674" s="3">
        <v>3.0</v>
      </c>
    </row>
    <row r="6675" ht="15.75" customHeight="1">
      <c r="A6675" s="1">
        <v>7172.0</v>
      </c>
      <c r="B6675" s="3" t="s">
        <v>6443</v>
      </c>
      <c r="C6675" s="3" t="str">
        <f>IFERROR(__xludf.DUMMYFUNCTION("GOOGLETRANSLATE(B6675,""id"",""en"")"),"['Increase', 'Quality', 'Service']")</f>
        <v>['Increase', 'Quality', 'Service']</v>
      </c>
      <c r="D6675" s="3">
        <v>5.0</v>
      </c>
    </row>
    <row r="6676" ht="15.75" customHeight="1">
      <c r="A6676" s="1">
        <v>7173.0</v>
      </c>
      <c r="B6676" s="3" t="s">
        <v>6444</v>
      </c>
      <c r="C6676" s="3" t="str">
        <f>IFERROR(__xludf.DUMMYFUNCTION("GOOGLETRANSLATE(B6676,""id"",""en"")"),"['', 'Mash', 'beginners', 'use', 'Telkomsel']")</f>
        <v>['', 'Mash', 'beginners', 'use', 'Telkomsel']</v>
      </c>
      <c r="D6676" s="3">
        <v>3.0</v>
      </c>
    </row>
    <row r="6677" ht="15.75" customHeight="1">
      <c r="A6677" s="1">
        <v>7174.0</v>
      </c>
      <c r="B6677" s="3" t="s">
        <v>4611</v>
      </c>
      <c r="C6677" s="3" t="str">
        <f>IFERROR(__xludf.DUMMYFUNCTION("GOOGLETRANSLATE(B6677,""id"",""en"")"),"['Package', 'expensive']")</f>
        <v>['Package', 'expensive']</v>
      </c>
      <c r="D6677" s="3">
        <v>4.0</v>
      </c>
    </row>
    <row r="6678" ht="15.75" customHeight="1">
      <c r="A6678" s="1">
        <v>7175.0</v>
      </c>
      <c r="B6678" s="3" t="s">
        <v>6445</v>
      </c>
      <c r="C6678" s="3" t="str">
        <f>IFERROR(__xludf.DUMMYFUNCTION("GOOGLETRANSLATE(B6678,""id"",""en"")"),"['', 'Telkomsel', 'Beres', 'just' just ',' buy ',' package ',' internet ',' telephone ',' GB ',' worth ',' process ',' managed ',' enter ',' GB ',' apply ',' cheater ']")</f>
        <v>['', 'Telkomsel', 'Beres', 'just' just ',' buy ',' package ',' internet ',' telephone ',' GB ',' worth ',' process ',' managed ',' enter ',' GB ',' apply ',' cheater ']</v>
      </c>
      <c r="D6678" s="3">
        <v>1.0</v>
      </c>
    </row>
    <row r="6679" ht="15.75" customHeight="1">
      <c r="A6679" s="1">
        <v>7176.0</v>
      </c>
      <c r="B6679" s="3" t="s">
        <v>6446</v>
      </c>
      <c r="C6679" s="3" t="str">
        <f>IFERROR(__xludf.DUMMYFUNCTION("GOOGLETRANSLATE(B6679,""id"",""en"")"),"['', 'RealGoot', '']")</f>
        <v>['', 'RealGoot', '']</v>
      </c>
      <c r="D6679" s="3">
        <v>5.0</v>
      </c>
    </row>
    <row r="6680" ht="15.75" customHeight="1">
      <c r="A6680" s="1">
        <v>7177.0</v>
      </c>
      <c r="B6680" s="3" t="s">
        <v>6447</v>
      </c>
      <c r="C6680" s="3" t="str">
        <f>IFERROR(__xludf.DUMMYFUNCTION("GOOGLETRANSLATE(B6680,""id"",""en"")"),"['Make it easy', 'Login', 'Application', 'Link', 'WhatsApp', ""]")</f>
        <v>['Make it easy', 'Login', 'Application', 'Link', 'WhatsApp', "]</v>
      </c>
      <c r="D6680" s="3">
        <v>4.0</v>
      </c>
    </row>
    <row r="6681" ht="15.75" customHeight="1">
      <c r="A6681" s="1">
        <v>7178.0</v>
      </c>
      <c r="B6681" s="3" t="s">
        <v>6448</v>
      </c>
      <c r="C6681" s="3" t="str">
        <f>IFERROR(__xludf.DUMMYFUNCTION("GOOGLETRANSLATE(B6681,""id"",""en"")"),"['Network', 'smooth', 'Open', 'App', 'Upgrade', 'Kasi', 'Star', ""]")</f>
        <v>['Network', 'smooth', 'Open', 'App', 'Upgrade', 'Kasi', 'Star', "]</v>
      </c>
      <c r="D6681" s="3">
        <v>4.0</v>
      </c>
    </row>
    <row r="6682" ht="15.75" customHeight="1">
      <c r="A6682" s="1">
        <v>7179.0</v>
      </c>
      <c r="B6682" s="3" t="s">
        <v>6449</v>
      </c>
      <c r="C6682" s="3" t="str">
        <f>IFERROR(__xludf.DUMMYFUNCTION("GOOGLETRANSLATE(B6682,""id"",""en"")"),"['extra', 'unlimited', 'bang']")</f>
        <v>['extra', 'unlimited', 'bang']</v>
      </c>
      <c r="D6682" s="3">
        <v>1.0</v>
      </c>
    </row>
    <row r="6683" ht="15.75" customHeight="1">
      <c r="A6683" s="1">
        <v>7180.0</v>
      </c>
      <c r="B6683" s="3" t="s">
        <v>6450</v>
      </c>
      <c r="C6683" s="3" t="str">
        <f>IFERROR(__xludf.DUMMYFUNCTION("GOOGLETRANSLATE(B6683,""id"",""en"")"),"['Good', 'hope', 'promo']")</f>
        <v>['Good', 'hope', 'promo']</v>
      </c>
      <c r="D6683" s="3">
        <v>5.0</v>
      </c>
    </row>
    <row r="6684" ht="15.75" customHeight="1">
      <c r="A6684" s="1">
        <v>7181.0</v>
      </c>
      <c r="B6684" s="3" t="s">
        <v>6451</v>
      </c>
      <c r="C6684" s="3" t="str">
        <f>IFERROR(__xludf.DUMMYFUNCTION("GOOGLETRANSLATE(B6684,""id"",""en"")"),"['happy', 'use', 'telekomsel', 'network', '']")</f>
        <v>['happy', 'use', 'telekomsel', 'network', '']</v>
      </c>
      <c r="D6684" s="3">
        <v>5.0</v>
      </c>
    </row>
    <row r="6685" ht="15.75" customHeight="1">
      <c r="A6685" s="1">
        <v>7182.0</v>
      </c>
      <c r="B6685" s="3" t="s">
        <v>6452</v>
      </c>
      <c r="C6685" s="3" t="str">
        <f>IFERROR(__xludf.DUMMYFUNCTION("GOOGLETRANSLATE(B6685,""id"",""en"")"),"['Good', 'Help', 'Terimakaaih']")</f>
        <v>['Good', 'Help', 'Terimakaaih']</v>
      </c>
      <c r="D6685" s="3">
        <v>5.0</v>
      </c>
    </row>
    <row r="6686" ht="15.75" customHeight="1">
      <c r="A6686" s="1">
        <v>7183.0</v>
      </c>
      <c r="B6686" s="3" t="s">
        <v>1308</v>
      </c>
      <c r="C6686" s="3" t="str">
        <f>IFERROR(__xludf.DUMMYFUNCTION("GOOGLETRANSLATE(B6686,""id"",""en"")"),"['Application', 'Help']")</f>
        <v>['Application', 'Help']</v>
      </c>
      <c r="D6686" s="3">
        <v>1.0</v>
      </c>
    </row>
    <row r="6687" ht="15.75" customHeight="1">
      <c r="A6687" s="1">
        <v>7184.0</v>
      </c>
      <c r="B6687" s="3" t="s">
        <v>6453</v>
      </c>
      <c r="C6687" s="3" t="str">
        <f>IFERROR(__xludf.DUMMYFUNCTION("GOOGLETRANSLATE(B6687,""id"",""en"")"),"['Mytsel', 'Ngebug', 'menu', 'banner', 'article', 'promo', 'missing', 'bug', 'SystemUI', 'cellphone', 'stop', 'appears',' App ',' Mytsel ',' opened ',' Force ',' Close ',' Application ',' Mytsel ',' Performance ',' APP ',' Mytsell ',' Slow ',' Repair ',' "&amp;"Comfortable ' , 'App', '']")</f>
        <v>['Mytsel', 'Ngebug', 'menu', 'banner', 'article', 'promo', 'missing', 'bug', 'SystemUI', 'cellphone', 'stop', 'appears',' App ',' Mytsel ',' opened ',' Force ',' Close ',' Application ',' Mytsel ',' Performance ',' APP ',' Mytsell ',' Slow ',' Repair ',' Comfortable ' , 'App', '']</v>
      </c>
      <c r="D6687" s="3">
        <v>3.0</v>
      </c>
    </row>
    <row r="6688" ht="15.75" customHeight="1">
      <c r="A6688" s="1">
        <v>7185.0</v>
      </c>
      <c r="B6688" s="3" t="s">
        <v>6454</v>
      </c>
      <c r="C6688" s="3" t="str">
        <f>IFERROR(__xludf.DUMMYFUNCTION("GOOGLETRANSLATE(B6688,""id"",""en"")"),"['cave', 'cmn', 'love', 'suggestion', 'please', 'increase', 'quality', 'signal']")</f>
        <v>['cave', 'cmn', 'love', 'suggestion', 'please', 'increase', 'quality', 'signal']</v>
      </c>
      <c r="D6688" s="3">
        <v>5.0</v>
      </c>
    </row>
    <row r="6689" ht="15.75" customHeight="1">
      <c r="A6689" s="1">
        <v>7186.0</v>
      </c>
      <c r="B6689" s="3" t="s">
        <v>6455</v>
      </c>
      <c r="C6689" s="3" t="str">
        <f>IFERROR(__xludf.DUMMYFUNCTION("GOOGLETRANSLATE(B6689,""id"",""en"")"),"['Love', 'star', 'try']")</f>
        <v>['Love', 'star', 'try']</v>
      </c>
      <c r="D6689" s="3">
        <v>3.0</v>
      </c>
    </row>
    <row r="6690" ht="15.75" customHeight="1">
      <c r="A6690" s="1">
        <v>7187.0</v>
      </c>
      <c r="B6690" s="3" t="s">
        <v>6456</v>
      </c>
      <c r="C6690" s="3" t="str">
        <f>IFERROR(__xludf.DUMMYFUNCTION("GOOGLETRANSLATE(B6690,""id"",""en"")"),"['Good', 'safe']")</f>
        <v>['Good', 'safe']</v>
      </c>
      <c r="D6690" s="3">
        <v>5.0</v>
      </c>
    </row>
    <row r="6691" ht="15.75" customHeight="1">
      <c r="A6691" s="1">
        <v>7188.0</v>
      </c>
      <c r="B6691" s="3" t="s">
        <v>6457</v>
      </c>
      <c r="C6691" s="3" t="str">
        <f>IFERROR(__xludf.DUMMYFUNCTION("GOOGLETRANSLATE(B6691,""id"",""en"")"),"['Telkom', 'Disight', 'already', 'contents', 'package', 'internet', 'play', 'game', 'base', 'squeezer']")</f>
        <v>['Telkom', 'Disight', 'already', 'contents', 'package', 'internet', 'play', 'game', 'base', 'squeezer']</v>
      </c>
      <c r="D6691" s="3">
        <v>1.0</v>
      </c>
    </row>
    <row r="6692" ht="15.75" customHeight="1">
      <c r="A6692" s="1">
        <v>7189.0</v>
      </c>
      <c r="B6692" s="3" t="s">
        <v>6458</v>
      </c>
      <c r="C6692" s="3" t="str">
        <f>IFERROR(__xludf.DUMMYFUNCTION("GOOGLETRANSLATE(B6692,""id"",""en"")"),"['Quota', 'Unlimited', 'GB', 'Dipake', 'Nge', 'Game', 'Difficult', 'Anyin', 'Bener', 'Sell', ""]")</f>
        <v>['Quota', 'Unlimited', 'GB', 'Dipake', 'Nge', 'Game', 'Difficult', 'Anyin', 'Bener', 'Sell', "]</v>
      </c>
      <c r="D6692" s="3">
        <v>1.0</v>
      </c>
    </row>
    <row r="6693" ht="15.75" customHeight="1">
      <c r="A6693" s="1">
        <v>7190.0</v>
      </c>
      <c r="B6693" s="3" t="s">
        <v>6459</v>
      </c>
      <c r="C6693" s="3" t="str">
        <f>IFERROR(__xludf.DUMMYFUNCTION("GOOGLETRANSLATE(B6693,""id"",""en"")"),"['AKP', 'Useful']")</f>
        <v>['AKP', 'Useful']</v>
      </c>
      <c r="D6693" s="3">
        <v>5.0</v>
      </c>
    </row>
    <row r="6694" ht="15.75" customHeight="1">
      <c r="A6694" s="1">
        <v>7191.0</v>
      </c>
      <c r="B6694" s="3" t="s">
        <v>6460</v>
      </c>
      <c r="C6694" s="3" t="str">
        <f>IFERROR(__xludf.DUMMYFUNCTION("GOOGLETRANSLATE(B6694,""id"",""en"")"),"['installed', 'google', 'pixel', 'android', 'thank you', '']")</f>
        <v>['installed', 'google', 'pixel', 'android', 'thank you', '']</v>
      </c>
      <c r="D6694" s="3">
        <v>5.0</v>
      </c>
    </row>
    <row r="6695" ht="15.75" customHeight="1">
      <c r="A6695" s="1">
        <v>7192.0</v>
      </c>
      <c r="B6695" s="3" t="s">
        <v>6461</v>
      </c>
      <c r="C6695" s="3" t="str">
        <f>IFERROR(__xludf.DUMMYFUNCTION("GOOGLETRANSLATE(B6695,""id"",""en"")"),"['BNAR', 'good', 'application', 'thank', 'love', 'Telkomsel']")</f>
        <v>['BNAR', 'good', 'application', 'thank', 'love', 'Telkomsel']</v>
      </c>
      <c r="D6695" s="3">
        <v>5.0</v>
      </c>
    </row>
    <row r="6696" ht="15.75" customHeight="1">
      <c r="A6696" s="1">
        <v>7193.0</v>
      </c>
      <c r="B6696" s="3" t="s">
        <v>6462</v>
      </c>
      <c r="C6696" s="3" t="str">
        <f>IFERROR(__xludf.DUMMYFUNCTION("GOOGLETRANSLATE(B6696,""id"",""en"")"),"['Network', 'ugly', 'room', 'network', 'forced', 'card', '']")</f>
        <v>['Network', 'ugly', 'room', 'network', 'forced', 'card', '']</v>
      </c>
      <c r="D6696" s="3">
        <v>1.0</v>
      </c>
    </row>
    <row r="6697" ht="15.75" customHeight="1">
      <c r="A6697" s="1">
        <v>7194.0</v>
      </c>
      <c r="B6697" s="3" t="s">
        <v>6463</v>
      </c>
      <c r="C6697" s="3" t="str">
        <f>IFERROR(__xludf.DUMMYFUNCTION("GOOGLETRANSLATE(B6697,""id"",""en"")"),"['Cool', 'function']")</f>
        <v>['Cool', 'function']</v>
      </c>
      <c r="D6697" s="3">
        <v>5.0</v>
      </c>
    </row>
    <row r="6698" ht="15.75" customHeight="1">
      <c r="A6698" s="1">
        <v>7195.0</v>
      </c>
      <c r="B6698" s="3" t="s">
        <v>6464</v>
      </c>
      <c r="C6698" s="3" t="str">
        <f>IFERROR(__xludf.DUMMYFUNCTION("GOOGLETRANSLATE(B6698,""id"",""en"")"),"['Thank you', 'Telkomsel', 'Service', 'It's easy', 'users']")</f>
        <v>['Thank you', 'Telkomsel', 'Service', 'It's easy', 'users']</v>
      </c>
      <c r="D6698" s="3">
        <v>5.0</v>
      </c>
    </row>
    <row r="6699" ht="15.75" customHeight="1">
      <c r="A6699" s="1">
        <v>7196.0</v>
      </c>
      <c r="B6699" s="3" t="s">
        <v>6465</v>
      </c>
      <c r="C6699" s="3" t="str">
        <f>IFERROR(__xludf.DUMMYFUNCTION("GOOGLETRANSLATE(B6699,""id"",""en"")"),"['Telkomsel', 'Suda', 'stealing', 'pulse', 'credit', 'reduced', 'suda', 'list', 'package', 'combo', 'network', 'severe']")</f>
        <v>['Telkomsel', 'Suda', 'stealing', 'pulse', 'credit', 'reduced', 'suda', 'list', 'package', 'combo', 'network', 'severe']</v>
      </c>
      <c r="D6699" s="3">
        <v>1.0</v>
      </c>
    </row>
    <row r="6700" ht="15.75" customHeight="1">
      <c r="A6700" s="1">
        <v>7197.0</v>
      </c>
      <c r="B6700" s="3" t="s">
        <v>6466</v>
      </c>
      <c r="C6700" s="3" t="str">
        <f>IFERROR(__xludf.DUMMYFUNCTION("GOOGLETRANSLATE(B6700,""id"",""en"")"),"['TOP', 'EASY']")</f>
        <v>['TOP', 'EASY']</v>
      </c>
      <c r="D6700" s="3">
        <v>5.0</v>
      </c>
    </row>
    <row r="6701" ht="15.75" customHeight="1">
      <c r="A6701" s="1">
        <v>7198.0</v>
      </c>
      <c r="B6701" s="3" t="s">
        <v>6467</v>
      </c>
      <c r="C6701" s="3" t="str">
        <f>IFERROR(__xludf.DUMMYFUNCTION("GOOGLETRANSLATE(B6701,""id"",""en"")"),"['', 'gift', 'less', 'lack of', 'because', 'price', 'package', 'expensive']")</f>
        <v>['', 'gift', 'less', 'lack of', 'because', 'price', 'package', 'expensive']</v>
      </c>
      <c r="D6701" s="3">
        <v>1.0</v>
      </c>
    </row>
    <row r="6702" ht="15.75" customHeight="1">
      <c r="A6702" s="1">
        <v>7199.0</v>
      </c>
      <c r="B6702" s="3" t="s">
        <v>6468</v>
      </c>
      <c r="C6702" s="3" t="str">
        <f>IFERROR(__xludf.DUMMYFUNCTION("GOOGLETRANSLATE(B6702,""id"",""en"")"),"['Please', 'Increase', 'Signal', 'Telkomsel', 'Lombok', 'Kulon', ""]")</f>
        <v>['Please', 'Increase', 'Signal', 'Telkomsel', 'Lombok', 'Kulon', "]</v>
      </c>
      <c r="D6702" s="3">
        <v>4.0</v>
      </c>
    </row>
    <row r="6703" ht="15.75" customHeight="1">
      <c r="A6703" s="1">
        <v>7200.0</v>
      </c>
      <c r="B6703" s="3" t="s">
        <v>6469</v>
      </c>
      <c r="C6703" s="3" t="str">
        <f>IFERROR(__xludf.DUMMYFUNCTION("GOOGLETRANSLATE(B6703,""id"",""en"")"),"['signal', 'serng', 'ugly', 'price', 'data', 'expensive', 'comparable', 'price', 'quota', ""]")</f>
        <v>['signal', 'serng', 'ugly', 'price', 'data', 'expensive', 'comparable', 'price', 'quota', "]</v>
      </c>
      <c r="D6703" s="3">
        <v>1.0</v>
      </c>
    </row>
    <row r="6704" ht="15.75" customHeight="1">
      <c r="A6704" s="1">
        <v>7201.0</v>
      </c>
      <c r="B6704" s="3" t="s">
        <v>6470</v>
      </c>
      <c r="C6704" s="3" t="str">
        <f>IFERROR(__xludf.DUMMYFUNCTION("GOOGLETRANSLATE(B6704,""id"",""en"")"),"['application', 'Telkomsel', 'good', 'love', 'suggestion', 'application', 'Telkomsel', 'provides',' control ',' pulse ',' thing ',' axis', ' package ',' internet ',' run out ',' eat ',' pulse ',' thank ',' love ', ""]")</f>
        <v>['application', 'Telkomsel', 'good', 'love', 'suggestion', 'application', 'Telkomsel', 'provides',' control ',' pulse ',' thing ',' axis', ' package ',' internet ',' run out ',' eat ',' pulse ',' thank ',' love ', "]</v>
      </c>
      <c r="D6704" s="3">
        <v>5.0</v>
      </c>
    </row>
    <row r="6705" ht="15.75" customHeight="1">
      <c r="A6705" s="1">
        <v>7202.0</v>
      </c>
      <c r="B6705" s="3" t="s">
        <v>6471</v>
      </c>
      <c r="C6705" s="3" t="str">
        <f>IFERROR(__xludf.DUMMYFUNCTION("GOOGLETRANSLATE(B6705,""id"",""en"")"),"['Buy', 'Thinking', 'YouTube', 'Sumpot', 'Quota', 'Main', 'Telkomsel', 'Crazy']")</f>
        <v>['Buy', 'Thinking', 'YouTube', 'Sumpot', 'Quota', 'Main', 'Telkomsel', 'Crazy']</v>
      </c>
      <c r="D6705" s="3">
        <v>1.0</v>
      </c>
    </row>
    <row r="6706" ht="15.75" customHeight="1">
      <c r="A6706" s="1">
        <v>7203.0</v>
      </c>
      <c r="B6706" s="3" t="s">
        <v>6472</v>
      </c>
      <c r="C6706" s="3" t="str">
        <f>IFERROR(__xludf.DUMMYFUNCTION("GOOGLETRANSLATE(B6706,""id"",""en"")"),"['Telkomsel', 'Sinyl', 'slow', 'bnget', 'play', 'game', 'online', 'jdi', 'difficult', 'blood', ""]")</f>
        <v>['Telkomsel', 'Sinyl', 'slow', 'bnget', 'play', 'game', 'online', 'jdi', 'difficult', 'blood', "]</v>
      </c>
      <c r="D6706" s="3">
        <v>1.0</v>
      </c>
    </row>
    <row r="6707" ht="15.75" customHeight="1">
      <c r="A6707" s="1">
        <v>7204.0</v>
      </c>
      <c r="B6707" s="3" t="s">
        <v>6473</v>
      </c>
      <c r="C6707" s="3" t="str">
        <f>IFERROR(__xludf.DUMMYFUNCTION("GOOGLETRANSLATE(B6707,""id"",""en"")"),"['no', 'buy', 'package', 'telephone', 'local', 'package', 'telephone', 'country', 'doang', ""]")</f>
        <v>['no', 'buy', 'package', 'telephone', 'local', 'package', 'telephone', 'country', 'doang', "]</v>
      </c>
      <c r="D6707" s="3">
        <v>1.0</v>
      </c>
    </row>
    <row r="6708" ht="15.75" customHeight="1">
      <c r="A6708" s="1">
        <v>7205.0</v>
      </c>
      <c r="B6708" s="3" t="s">
        <v>6474</v>
      </c>
      <c r="C6708" s="3" t="str">
        <f>IFERROR(__xludf.DUMMYFUNCTION("GOOGLETRANSLATE(B6708,""id"",""en"")"),"['Entering', 'Vocer']")</f>
        <v>['Entering', 'Vocer']</v>
      </c>
      <c r="D6708" s="3">
        <v>5.0</v>
      </c>
    </row>
    <row r="6709" ht="15.75" customHeight="1">
      <c r="A6709" s="1">
        <v>7206.0</v>
      </c>
      <c r="B6709" s="3" t="s">
        <v>6475</v>
      </c>
      <c r="C6709" s="3" t="str">
        <f>IFERROR(__xludf.DUMMYFUNCTION("GOOGLETRANSLATE(B6709,""id"",""en"")"),"['KNPA', 'Telkomsel', 'Point', 'Use', 'System', 'Busy', 'Point', 'Restore', '']")</f>
        <v>['KNPA', 'Telkomsel', 'Point', 'Use', 'System', 'Busy', 'Point', 'Restore', '']</v>
      </c>
      <c r="D6709" s="3">
        <v>1.0</v>
      </c>
    </row>
    <row r="6710" ht="15.75" customHeight="1">
      <c r="A6710" s="1">
        <v>7207.0</v>
      </c>
      <c r="B6710" s="3" t="s">
        <v>6476</v>
      </c>
      <c r="C6710" s="3" t="str">
        <f>IFERROR(__xludf.DUMMYFUNCTION("GOOGLETRANSLATE(B6710,""id"",""en"")"),"['balance', 'sucked', 'tomorrow', 'checked', 'already', 'no', 'no', 'BDR', ""]")</f>
        <v>['balance', 'sucked', 'tomorrow', 'checked', 'already', 'no', 'no', 'BDR', "]</v>
      </c>
      <c r="D6710" s="3">
        <v>2.0</v>
      </c>
    </row>
    <row r="6711" ht="15.75" customHeight="1">
      <c r="A6711" s="1">
        <v>7208.0</v>
      </c>
      <c r="B6711" s="3" t="s">
        <v>6477</v>
      </c>
      <c r="C6711" s="3" t="str">
        <f>IFERROR(__xludf.DUMMYFUNCTION("GOOGLETRANSLATE(B6711,""id"",""en"")"),"['Application', 'Severe', 'Open', 'Kagak', 'Loading', 'Mulu', 'Error', 'Mulu', 'RAM', ""]")</f>
        <v>['Application', 'Severe', 'Open', 'Kagak', 'Loading', 'Mulu', 'Error', 'Mulu', 'RAM', "]</v>
      </c>
      <c r="D6711" s="3">
        <v>1.0</v>
      </c>
    </row>
    <row r="6712" ht="15.75" customHeight="1">
      <c r="A6712" s="1">
        <v>7209.0</v>
      </c>
      <c r="B6712" s="3" t="s">
        <v>3363</v>
      </c>
      <c r="C6712" s="3" t="str">
        <f>IFERROR(__xludf.DUMMYFUNCTION("GOOGLETRANSLATE(B6712,""id"",""en"")"),"['steady', 'easy']")</f>
        <v>['steady', 'easy']</v>
      </c>
      <c r="D6712" s="3">
        <v>5.0</v>
      </c>
    </row>
    <row r="6713" ht="15.75" customHeight="1">
      <c r="A6713" s="1">
        <v>7210.0</v>
      </c>
      <c r="B6713" s="3" t="s">
        <v>6478</v>
      </c>
      <c r="C6713" s="3" t="str">
        <f>IFERROR(__xludf.DUMMYFUNCTION("GOOGLETRANSLATE(B6713,""id"",""en"")"),"['signal', 'play', 'Jump', 'ping']")</f>
        <v>['signal', 'play', 'Jump', 'ping']</v>
      </c>
      <c r="D6713" s="3">
        <v>1.0</v>
      </c>
    </row>
    <row r="6714" ht="15.75" customHeight="1">
      <c r="A6714" s="1">
        <v>7211.0</v>
      </c>
      <c r="B6714" s="3" t="s">
        <v>6479</v>
      </c>
      <c r="C6714" s="3" t="str">
        <f>IFERROR(__xludf.DUMMYFUNCTION("GOOGLETRANSLATE(B6714,""id"",""en"")"),"['Cugg', 'Slebeww']")</f>
        <v>['Cugg', 'Slebeww']</v>
      </c>
      <c r="D6714" s="3">
        <v>5.0</v>
      </c>
    </row>
    <row r="6715" ht="15.75" customHeight="1">
      <c r="A6715" s="1">
        <v>7212.0</v>
      </c>
      <c r="B6715" s="3" t="s">
        <v>6480</v>
      </c>
      <c r="C6715" s="3" t="str">
        <f>IFERROR(__xludf.DUMMYFUNCTION("GOOGLETRANSLATE(B6715,""id"",""en"")"),"['PKET', 'Data', 'Cheap']")</f>
        <v>['PKET', 'Data', 'Cheap']</v>
      </c>
      <c r="D6715" s="3">
        <v>2.0</v>
      </c>
    </row>
    <row r="6716" ht="15.75" customHeight="1">
      <c r="A6716" s="1">
        <v>7213.0</v>
      </c>
      <c r="B6716" s="3" t="s">
        <v>6481</v>
      </c>
      <c r="C6716" s="3" t="str">
        <f>IFERROR(__xludf.DUMMYFUNCTION("GOOGLETRANSLATE(B6716,""id"",""en"")"),"['network', 'internet', 'slow', 'no', 'quota', 'pulse', 'sya', 'hbis']")</f>
        <v>['network', 'internet', 'slow', 'no', 'quota', 'pulse', 'sya', 'hbis']</v>
      </c>
      <c r="D6716" s="3">
        <v>1.0</v>
      </c>
    </row>
    <row r="6717" ht="15.75" customHeight="1">
      <c r="A6717" s="1">
        <v>7215.0</v>
      </c>
      <c r="B6717" s="3" t="s">
        <v>6436</v>
      </c>
      <c r="C6717" s="3" t="str">
        <f>IFERROR(__xludf.DUMMYFUNCTION("GOOGLETRANSLATE(B6717,""id"",""en"")"),"['satisfying']")</f>
        <v>['satisfying']</v>
      </c>
      <c r="D6717" s="3">
        <v>5.0</v>
      </c>
    </row>
    <row r="6718" ht="15.75" customHeight="1">
      <c r="A6718" s="1">
        <v>7216.0</v>
      </c>
      <c r="B6718" s="3" t="s">
        <v>6482</v>
      </c>
      <c r="C6718" s="3" t="str">
        <f>IFERROR(__xludf.DUMMYFUNCTION("GOOGLETRANSLATE(B6718,""id"",""en"")"),"['Price', 'quota', 'anjg']")</f>
        <v>['Price', 'quota', 'anjg']</v>
      </c>
      <c r="D6718" s="3">
        <v>1.0</v>
      </c>
    </row>
    <row r="6719" ht="15.75" customHeight="1">
      <c r="A6719" s="1">
        <v>7217.0</v>
      </c>
      <c r="B6719" s="3" t="s">
        <v>6483</v>
      </c>
      <c r="C6719" s="3" t="str">
        <f>IFERROR(__xludf.DUMMYFUNCTION("GOOGLETRANSLATE(B6719,""id"",""en"")"),"['signal', 'jelwk']")</f>
        <v>['signal', 'jelwk']</v>
      </c>
      <c r="D6719" s="3">
        <v>1.0</v>
      </c>
    </row>
    <row r="6720" ht="15.75" customHeight="1">
      <c r="A6720" s="1">
        <v>7218.0</v>
      </c>
      <c r="B6720" s="3" t="s">
        <v>6484</v>
      </c>
      <c r="C6720" s="3" t="str">
        <f>IFERROR(__xludf.DUMMYFUNCTION("GOOGLETRANSLATE(B6720,""id"",""en"")"),"['', 'rotten', 'threat', '']")</f>
        <v>['', 'rotten', 'threat', '']</v>
      </c>
      <c r="D6720" s="3">
        <v>1.0</v>
      </c>
    </row>
    <row r="6721" ht="15.75" customHeight="1">
      <c r="A6721" s="1">
        <v>7219.0</v>
      </c>
      <c r="B6721" s="3" t="s">
        <v>6485</v>
      </c>
      <c r="C6721" s="3" t="str">
        <f>IFERROR(__xludf.DUMMYFUNCTION("GOOGLETRANSLATE(B6721,""id"",""en"")"),"['Glad', 'buy', 'pulse', 'mytelkomsel']")</f>
        <v>['Glad', 'buy', 'pulse', 'mytelkomsel']</v>
      </c>
      <c r="D6721" s="3">
        <v>5.0</v>
      </c>
    </row>
    <row r="6722" ht="15.75" customHeight="1">
      <c r="A6722" s="1">
        <v>7220.0</v>
      </c>
      <c r="B6722" s="3" t="s">
        <v>6486</v>
      </c>
      <c r="C6722" s="3" t="str">
        <f>IFERROR(__xludf.DUMMYFUNCTION("GOOGLETRANSLATE(B6722,""id"",""en"")"),"['better', 'use', 'im', 'dri', 'pakek', 'telkomsel', 'udh', 'data', 'expensive', 'netting', 'kayak', 'im', ' good ',' already ',' cheap ',' network ',' good ']")</f>
        <v>['better', 'use', 'im', 'dri', 'pakek', 'telkomsel', 'udh', 'data', 'expensive', 'netting', 'kayak', 'im', ' good ',' already ',' cheap ',' network ',' good ']</v>
      </c>
      <c r="D6722" s="3">
        <v>1.0</v>
      </c>
    </row>
    <row r="6723" ht="15.75" customHeight="1">
      <c r="A6723" s="1">
        <v>7221.0</v>
      </c>
      <c r="B6723" s="3" t="s">
        <v>6487</v>
      </c>
      <c r="C6723" s="3" t="str">
        <f>IFERROR(__xludf.DUMMYFUNCTION("GOOGLETRANSLATE(B6723,""id"",""en"")"),"['Error', 'number', '']")</f>
        <v>['Error', 'number', '']</v>
      </c>
      <c r="D6723" s="3">
        <v>1.0</v>
      </c>
    </row>
    <row r="6724" ht="15.75" customHeight="1">
      <c r="A6724" s="1">
        <v>7222.0</v>
      </c>
      <c r="B6724" s="3" t="s">
        <v>6488</v>
      </c>
      <c r="C6724" s="3" t="str">
        <f>IFERROR(__xludf.DUMMYFUNCTION("GOOGLETRANSLATE(B6724,""id"",""en"")"),"['Package', 'HRG', 'expensive', '']")</f>
        <v>['Package', 'HRG', 'expensive', '']</v>
      </c>
      <c r="D6724" s="3">
        <v>2.0</v>
      </c>
    </row>
    <row r="6725" ht="15.75" customHeight="1">
      <c r="A6725" s="1">
        <v>7223.0</v>
      </c>
      <c r="B6725" s="3" t="s">
        <v>6489</v>
      </c>
      <c r="C6725" s="3" t="str">
        <f>IFERROR(__xludf.DUMMYFUNCTION("GOOGLETRANSLATE(B6725,""id"",""en"")"),"['Quality', 'quantity', 'Dide']")</f>
        <v>['Quality', 'quantity', 'Dide']</v>
      </c>
      <c r="D6725" s="3">
        <v>5.0</v>
      </c>
    </row>
    <row r="6726" ht="15.75" customHeight="1">
      <c r="A6726" s="1">
        <v>7224.0</v>
      </c>
      <c r="B6726" s="3" t="s">
        <v>286</v>
      </c>
      <c r="C6726" s="3" t="str">
        <f>IFERROR(__xludf.DUMMYFUNCTION("GOOGLETRANSLATE(B6726,""id"",""en"")"),"['good']")</f>
        <v>['good']</v>
      </c>
      <c r="D6726" s="3">
        <v>5.0</v>
      </c>
    </row>
    <row r="6727" ht="15.75" customHeight="1">
      <c r="A6727" s="1">
        <v>7225.0</v>
      </c>
      <c r="B6727" s="3" t="s">
        <v>6490</v>
      </c>
      <c r="C6727" s="3" t="str">
        <f>IFERROR(__xludf.DUMMYFUNCTION("GOOGLETRANSLATE(B6727,""id"",""en"")"),"['pulse', 'Sumpot', 'buy', 'Package']")</f>
        <v>['pulse', 'Sumpot', 'buy', 'Package']</v>
      </c>
      <c r="D6727" s="3">
        <v>1.0</v>
      </c>
    </row>
    <row r="6728" ht="15.75" customHeight="1">
      <c r="A6728" s="1">
        <v>7227.0</v>
      </c>
      <c r="B6728" s="3" t="s">
        <v>6491</v>
      </c>
      <c r="C6728" s="3" t="str">
        <f>IFERROR(__xludf.DUMMYFUNCTION("GOOGLETRANSLATE(B6728,""id"",""en"")"),"['service', 'prime', 'mantapzzzz', 'work', 'hard', 'bagimoe', 'country', 'kerry "",' ']")</f>
        <v>['service', 'prime', 'mantapzzzz', 'work', 'hard', 'bagimoe', 'country', 'kerry ",' ']</v>
      </c>
      <c r="D6728" s="3">
        <v>5.0</v>
      </c>
    </row>
    <row r="6729" ht="15.75" customHeight="1">
      <c r="A6729" s="1">
        <v>7228.0</v>
      </c>
      <c r="B6729" s="3" t="s">
        <v>6492</v>
      </c>
      <c r="C6729" s="3" t="str">
        <f>IFERROR(__xludf.DUMMYFUNCTION("GOOGLETRANSLATE(B6729,""id"",""en"")"),"['Cheap', 'good', 'disappointed', 'deh']")</f>
        <v>['Cheap', 'good', 'disappointed', 'deh']</v>
      </c>
      <c r="D6729" s="3">
        <v>5.0</v>
      </c>
    </row>
    <row r="6730" ht="15.75" customHeight="1">
      <c r="A6730" s="1">
        <v>7229.0</v>
      </c>
      <c r="B6730" s="3" t="s">
        <v>6493</v>
      </c>
      <c r="C6730" s="3" t="str">
        <f>IFERROR(__xludf.DUMMYFUNCTION("GOOGLETRANSLATE(B6730,""id"",""en"")"),"['Telkomsel', 'ASW', 'bangsul', 'artisan', 'cutting', 'pulse', 'pulse', 'right', 'open', 'tomorrow', 'abis',' salty ',' make ',' wifi ',' time ',' gini ',' move ',' sim ',' please ',' read ',' Telkomsel ',' ']")</f>
        <v>['Telkomsel', 'ASW', 'bangsul', 'artisan', 'cutting', 'pulse', 'pulse', 'right', 'open', 'tomorrow', 'abis',' salty ',' make ',' wifi ',' time ',' gini ',' move ',' sim ',' please ',' read ',' Telkomsel ',' ']</v>
      </c>
      <c r="D6730" s="3">
        <v>1.0</v>
      </c>
    </row>
    <row r="6731" ht="15.75" customHeight="1">
      <c r="A6731" s="1">
        <v>7230.0</v>
      </c>
      <c r="B6731" s="3" t="s">
        <v>6494</v>
      </c>
      <c r="C6731" s="3" t="str">
        <f>IFERROR(__xludf.DUMMYFUNCTION("GOOGLETRANSLATE(B6731,""id"",""en"")"),"['yeah', 'trima']")</f>
        <v>['yeah', 'trima']</v>
      </c>
      <c r="D6731" s="3">
        <v>5.0</v>
      </c>
    </row>
    <row r="6732" ht="15.75" customHeight="1">
      <c r="A6732" s="1">
        <v>7231.0</v>
      </c>
      <c r="B6732" s="3" t="s">
        <v>6495</v>
      </c>
      <c r="C6732" s="3" t="str">
        <f>IFERROR(__xludf.DUMMYFUNCTION("GOOGLETRANSLATE(B6732,""id"",""en"")"),"['pulse', 'Abis', 'Anjay', ""]")</f>
        <v>['pulse', 'Abis', 'Anjay', "]</v>
      </c>
      <c r="D6732" s="3">
        <v>1.0</v>
      </c>
    </row>
    <row r="6733" ht="15.75" customHeight="1">
      <c r="A6733" s="1">
        <v>7232.0</v>
      </c>
      <c r="B6733" s="3" t="s">
        <v>6496</v>
      </c>
      <c r="C6733" s="3" t="str">
        <f>IFERROR(__xludf.DUMMYFUNCTION("GOOGLETRANSLATE(B6733,""id"",""en"")"),"['Sympathy', 'Sekaramg', 'Gini', 'Bonus',' Multimedia ',' Watch ',' YouTube ',' get ',' Quota ',' Disney ',' Hotstar ',' Bonus', ' Ngak ',' quota ',' run out ',' bonus', 'whole', 'watch', 'youtube', 'ngak', 'sympathy', 'ngak', ""]")</f>
        <v>['Sympathy', 'Sekaramg', 'Gini', 'Bonus',' Multimedia ',' Watch ',' YouTube ',' get ',' Quota ',' Disney ',' Hotstar ',' Bonus', ' Ngak ',' quota ',' run out ',' bonus', 'whole', 'watch', 'youtube', 'ngak', 'sympathy', 'ngak', "]</v>
      </c>
      <c r="D6733" s="3">
        <v>1.0</v>
      </c>
    </row>
    <row r="6734" ht="15.75" customHeight="1">
      <c r="A6734" s="1">
        <v>7233.0</v>
      </c>
      <c r="B6734" s="3" t="s">
        <v>6497</v>
      </c>
      <c r="C6734" s="3" t="str">
        <f>IFERROR(__xludf.DUMMYFUNCTION("GOOGLETRANSLATE(B6734,""id"",""en"")"),"['Easy', 'easy', 'choice', '']")</f>
        <v>['Easy', 'easy', 'choice', '']</v>
      </c>
      <c r="D6734" s="3">
        <v>5.0</v>
      </c>
    </row>
    <row r="6735" ht="15.75" customHeight="1">
      <c r="A6735" s="1">
        <v>7234.0</v>
      </c>
      <c r="B6735" s="3" t="s">
        <v>6498</v>
      </c>
      <c r="C6735" s="3" t="str">
        <f>IFERROR(__xludf.DUMMYFUNCTION("GOOGLETRANSLATE(B6735,""id"",""en"")"),"['Fast', 'Accurate']")</f>
        <v>['Fast', 'Accurate']</v>
      </c>
      <c r="D6735" s="3">
        <v>5.0</v>
      </c>
    </row>
    <row r="6736" ht="15.75" customHeight="1">
      <c r="A6736" s="1">
        <v>7236.0</v>
      </c>
      <c r="B6736" s="3" t="s">
        <v>6499</v>
      </c>
      <c r="C6736" s="3" t="str">
        <f>IFERROR(__xludf.DUMMYFUNCTION("GOOGLETRANSLATE(B6736,""id"",""en"")"),"['signal', 'Menganti', 'ugly', 'kayak', 'face', 'change', 'smartfren', 'cheap', 'smooth', 'eat', 'fast', 'good', ' Replace ']")</f>
        <v>['signal', 'Menganti', 'ugly', 'kayak', 'face', 'change', 'smartfren', 'cheap', 'smooth', 'eat', 'fast', 'good', ' Replace ']</v>
      </c>
      <c r="D6736" s="3">
        <v>1.0</v>
      </c>
    </row>
    <row r="6737" ht="15.75" customHeight="1">
      <c r="A6737" s="1">
        <v>7237.0</v>
      </c>
      <c r="B6737" s="3" t="s">
        <v>6500</v>
      </c>
      <c r="C6737" s="3" t="str">
        <f>IFERROR(__xludf.DUMMYFUNCTION("GOOGLETRANSLATE(B6737,""id"",""en"")"),"['', 'ugly', 'network', 'expensive', 'yes', 'Quality', 'network', 'decreases', 'according to', 'price', ""]")</f>
        <v>['', 'ugly', 'network', 'expensive', 'yes', 'Quality', 'network', 'decreases', 'according to', 'price', "]</v>
      </c>
      <c r="D6737" s="3">
        <v>2.0</v>
      </c>
    </row>
    <row r="6738" ht="15.75" customHeight="1">
      <c r="A6738" s="1">
        <v>7238.0</v>
      </c>
      <c r="B6738" s="3" t="s">
        <v>6501</v>
      </c>
      <c r="C6738" s="3" t="str">
        <f>IFERROR(__xludf.DUMMYFUNCTION("GOOGLETRANSLATE(B6738,""id"",""en"")"),"['Price', 'Package', 'Telkomsel', 'expensive', 'Bener']")</f>
        <v>['Price', 'Package', 'Telkomsel', 'expensive', 'Bener']</v>
      </c>
      <c r="D6738" s="3">
        <v>2.0</v>
      </c>
    </row>
    <row r="6739" ht="15.75" customHeight="1">
      <c r="A6739" s="1">
        <v>7239.0</v>
      </c>
      <c r="B6739" s="3" t="s">
        <v>6502</v>
      </c>
      <c r="C6739" s="3" t="str">
        <f>IFERROR(__xludf.DUMMYFUNCTION("GOOGLETRANSLATE(B6739,""id"",""en"")"),"['Please', 'enhanced', 'signal', 'price', 'promo', 'expensive', 'surprise', 'gift', 'interesting', 'requirements',' anything ',' thank ',' Love ',' Greetings', 'Sexous']")</f>
        <v>['Please', 'enhanced', 'signal', 'price', 'promo', 'expensive', 'surprise', 'gift', 'interesting', 'requirements',' anything ',' thank ',' Love ',' Greetings', 'Sexous']</v>
      </c>
      <c r="D6739" s="3">
        <v>5.0</v>
      </c>
    </row>
    <row r="6740" ht="15.75" customHeight="1">
      <c r="A6740" s="1">
        <v>7240.0</v>
      </c>
      <c r="B6740" s="3" t="s">
        <v>6503</v>
      </c>
      <c r="C6740" s="3" t="str">
        <f>IFERROR(__xludf.DUMMYFUNCTION("GOOGLETRANSLATE(B6740,""id"",""en"")"),"['Assisted', 'SMS', 'Promo', 'SMS', 'Lottery', 'Elements',' Fraud ',' Diacc ',' Sent ',' Kenemomor ',' Personal ',' User ',' ']")</f>
        <v>['Assisted', 'SMS', 'Promo', 'SMS', 'Lottery', 'Elements',' Fraud ',' Diacc ',' Sent ',' Kenemomor ',' Personal ',' User ',' ']</v>
      </c>
      <c r="D6740" s="3">
        <v>1.0</v>
      </c>
    </row>
    <row r="6741" ht="15.75" customHeight="1">
      <c r="A6741" s="1">
        <v>7241.0</v>
      </c>
      <c r="B6741" s="3" t="s">
        <v>6504</v>
      </c>
      <c r="C6741" s="3" t="str">
        <f>IFERROR(__xludf.DUMMYFUNCTION("GOOGLETRANSLATE(B6741,""id"",""en"")"),"['Telkomsel', 'The network', 'rotten', 'Raying', 'cave']")</f>
        <v>['Telkomsel', 'The network', 'rotten', 'Raying', 'cave']</v>
      </c>
      <c r="D6741" s="3">
        <v>1.0</v>
      </c>
    </row>
    <row r="6742" ht="15.75" customHeight="1">
      <c r="A6742" s="1">
        <v>7242.0</v>
      </c>
      <c r="B6742" s="3" t="s">
        <v>6505</v>
      </c>
      <c r="C6742" s="3" t="str">
        <f>IFERROR(__xludf.DUMMYFUNCTION("GOOGLETRANSLATE(B6742,""id"",""en"")"),"['super', 'steady', 'just']")</f>
        <v>['super', 'steady', 'just']</v>
      </c>
      <c r="D6742" s="3">
        <v>5.0</v>
      </c>
    </row>
    <row r="6743" ht="15.75" customHeight="1">
      <c r="A6743" s="1">
        <v>7243.0</v>
      </c>
      <c r="B6743" s="3" t="s">
        <v>6506</v>
      </c>
      <c r="C6743" s="3" t="str">
        <f>IFERROR(__xludf.DUMMYFUNCTION("GOOGLETRANSLATE(B6743,""id"",""en"")"),"['expensive', 'expensive', 'ilang', 'customer', 'fix', 'network', 'leg']")</f>
        <v>['expensive', 'expensive', 'ilang', 'customer', 'fix', 'network', 'leg']</v>
      </c>
      <c r="D6743" s="3">
        <v>5.0</v>
      </c>
    </row>
    <row r="6744" ht="15.75" customHeight="1">
      <c r="A6744" s="1">
        <v>7245.0</v>
      </c>
      <c r="B6744" s="3" t="s">
        <v>6507</v>
      </c>
      <c r="C6744" s="3" t="str">
        <f>IFERROR(__xludf.DUMMYFUNCTION("GOOGLETRANSLATE(B6744,""id"",""en"")"),"['City', 'Village', 'Telkomsel', 'Ngetop', '']")</f>
        <v>['City', 'Village', 'Telkomsel', 'Ngetop', '']</v>
      </c>
      <c r="D6744" s="3">
        <v>5.0</v>
      </c>
    </row>
    <row r="6745" ht="15.75" customHeight="1">
      <c r="A6745" s="1">
        <v>7246.0</v>
      </c>
      <c r="B6745" s="3" t="s">
        <v>6508</v>
      </c>
      <c r="C6745" s="3" t="str">
        <f>IFERROR(__xludf.DUMMYFUNCTION("GOOGLETRANSLATE(B6745,""id"",""en"")"),"['pretty good', '']")</f>
        <v>['pretty good', '']</v>
      </c>
      <c r="D6745" s="3">
        <v>4.0</v>
      </c>
    </row>
    <row r="6746" ht="15.75" customHeight="1">
      <c r="A6746" s="1">
        <v>7247.0</v>
      </c>
      <c r="B6746" s="3" t="s">
        <v>6509</v>
      </c>
      <c r="C6746" s="3" t="str">
        <f>IFERROR(__xludf.DUMMYFUNCTION("GOOGLETRANSLATE(B6746,""id"",""en"")"),"['Pig', 'Hopefully', 'Telkomsel', 'Dead', 'Ketabrak', 'Aminn', 'Nnnnn', 'Lagggg', 'Control', 'already', 'expensive']")</f>
        <v>['Pig', 'Hopefully', 'Telkomsel', 'Dead', 'Ketabrak', 'Aminn', 'Nnnnn', 'Lagggg', 'Control', 'already', 'expensive']</v>
      </c>
      <c r="D6746" s="3">
        <v>1.0</v>
      </c>
    </row>
    <row r="6747" ht="15.75" customHeight="1">
      <c r="A6747" s="1">
        <v>7248.0</v>
      </c>
      <c r="B6747" s="3" t="s">
        <v>6510</v>
      </c>
      <c r="C6747" s="3" t="str">
        <f>IFERROR(__xludf.DUMMYFUNCTION("GOOGLETRANSLATE(B6747,""id"",""en"")"),"['signal', 'signal', 'strong', 'number', 'remote', 'village', '']")</f>
        <v>['signal', 'signal', 'strong', 'number', 'remote', 'village', '']</v>
      </c>
      <c r="D6747" s="3">
        <v>5.0</v>
      </c>
    </row>
    <row r="6748" ht="15.75" customHeight="1">
      <c r="A6748" s="1">
        <v>7250.0</v>
      </c>
      <c r="B6748" s="3" t="s">
        <v>6511</v>
      </c>
      <c r="C6748" s="3" t="str">
        <f>IFERROR(__xludf.DUMMYFUNCTION("GOOGLETRANSLATE(B6748,""id"",""en"")"),"['Ngesalin', 'Price', 'Package', 'Data', 'Expensive', 'Signal', 'Slow', 'NGK', 'Bonus',' JLEK ',' NGK ',' Kyk ',' ']")</f>
        <v>['Ngesalin', 'Price', 'Package', 'Data', 'Expensive', 'Signal', 'Slow', 'NGK', 'Bonus',' JLEK ',' NGK ',' Kyk ',' ']</v>
      </c>
      <c r="D6748" s="3">
        <v>2.0</v>
      </c>
    </row>
    <row r="6749" ht="15.75" customHeight="1">
      <c r="A6749" s="1">
        <v>7251.0</v>
      </c>
      <c r="B6749" s="3" t="s">
        <v>6512</v>
      </c>
      <c r="C6749" s="3" t="str">
        <f>IFERROR(__xludf.DUMMYFUNCTION("GOOGLETRANSLATE(B6749,""id"",""en"")"),"['Telkomsel', 'Network', 'Good', 'Anti', 'Leet']")</f>
        <v>['Telkomsel', 'Network', 'Good', 'Anti', 'Leet']</v>
      </c>
      <c r="D6749" s="3">
        <v>3.0</v>
      </c>
    </row>
    <row r="6750" ht="15.75" customHeight="1">
      <c r="A6750" s="1">
        <v>7252.0</v>
      </c>
      <c r="B6750" s="3" t="s">
        <v>5819</v>
      </c>
      <c r="C6750" s="3" t="str">
        <f>IFERROR(__xludf.DUMMYFUNCTION("GOOGLETRANSLATE(B6750,""id"",""en"")"),"['App', 'good', 'help', ""]")</f>
        <v>['App', 'good', 'help', "]</v>
      </c>
      <c r="D6750" s="3">
        <v>4.0</v>
      </c>
    </row>
    <row r="6751" ht="15.75" customHeight="1">
      <c r="A6751" s="1">
        <v>7253.0</v>
      </c>
      <c r="B6751" s="3" t="s">
        <v>6513</v>
      </c>
      <c r="C6751" s="3" t="str">
        <f>IFERROR(__xludf.DUMMYFUNCTION("GOOGLETRANSLATE(B6751,""id"",""en"")"),"['', 'GB', 'combo', 'missing']")</f>
        <v>['', 'GB', 'combo', 'missing']</v>
      </c>
      <c r="D6751" s="3">
        <v>5.0</v>
      </c>
    </row>
    <row r="6752" ht="15.75" customHeight="1">
      <c r="A6752" s="1">
        <v>7254.0</v>
      </c>
      <c r="B6752" s="3" t="s">
        <v>6514</v>
      </c>
      <c r="C6752" s="3" t="str">
        <f>IFERROR(__xludf.DUMMYFUNCTION("GOOGLETRANSLATE(B6752,""id"",""en"")"),"['', 'Sorry', 'error', 'system', 'continuous']")</f>
        <v>['', 'Sorry', 'error', 'system', 'continuous']</v>
      </c>
      <c r="D6752" s="3">
        <v>1.0</v>
      </c>
    </row>
    <row r="6753" ht="15.75" customHeight="1">
      <c r="A6753" s="1">
        <v>7255.0</v>
      </c>
      <c r="B6753" s="3" t="s">
        <v>6515</v>
      </c>
      <c r="C6753" s="3" t="str">
        <f>IFERROR(__xludf.DUMMYFUNCTION("GOOGLETRANSLATE(B6753,""id"",""en"")"),"['Telkomsel', 'receipt', 'sajh', 'sllu', 'slow', 'right', 'ad']")</f>
        <v>['Telkomsel', 'receipt', 'sajh', 'sllu', 'slow', 'right', 'ad']</v>
      </c>
      <c r="D6753" s="3">
        <v>5.0</v>
      </c>
    </row>
    <row r="6754" ht="15.75" customHeight="1">
      <c r="A6754" s="1">
        <v>7256.0</v>
      </c>
      <c r="B6754" s="3" t="s">
        <v>5143</v>
      </c>
      <c r="C6754" s="3" t="str">
        <f>IFERROR(__xludf.DUMMYFUNCTION("GOOGLETRANSLATE(B6754,""id"",""en"")"),"['fast', 'easy']")</f>
        <v>['fast', 'easy']</v>
      </c>
      <c r="D6754" s="3">
        <v>5.0</v>
      </c>
    </row>
    <row r="6755" ht="15.75" customHeight="1">
      <c r="A6755" s="1">
        <v>7257.0</v>
      </c>
      <c r="B6755" s="3" t="s">
        <v>6516</v>
      </c>
      <c r="C6755" s="3" t="str">
        <f>IFERROR(__xludf.DUMMYFUNCTION("GOOGLETRANSLATE(B6755,""id"",""en"")"),"['Merciful', '']")</f>
        <v>['Merciful', '']</v>
      </c>
      <c r="D6755" s="3">
        <v>5.0</v>
      </c>
    </row>
    <row r="6756" ht="15.75" customHeight="1">
      <c r="A6756" s="1">
        <v>7258.0</v>
      </c>
      <c r="B6756" s="3" t="s">
        <v>6517</v>
      </c>
      <c r="C6756" s="3" t="str">
        <f>IFERROR(__xludf.DUMMYFUNCTION("GOOGLETRANSLATE(B6756,""id"",""en"")"),"['hope', 'good', 'signal']")</f>
        <v>['hope', 'good', 'signal']</v>
      </c>
      <c r="D6756" s="3">
        <v>5.0</v>
      </c>
    </row>
    <row r="6757" ht="15.75" customHeight="1">
      <c r="A6757" s="1">
        <v>7259.0</v>
      </c>
      <c r="B6757" s="3" t="s">
        <v>6518</v>
      </c>
      <c r="C6757" s="3" t="str">
        <f>IFERROR(__xludf.DUMMYFUNCTION("GOOGLETRANSLATE(B6757,""id"",""en"")"),"['buy', 'Package', 'Data', 'Transaction', 'Success',' Live ',' Data ',' Credit ',' Direct ',' Out ',' Package ',' Data ',' Banyk ',' buy ',' apk ',' Telkomsel ',' Disappointed ',' ']")</f>
        <v>['buy', 'Package', 'Data', 'Transaction', 'Success',' Live ',' Data ',' Credit ',' Direct ',' Out ',' Package ',' Data ',' Banyk ',' buy ',' apk ',' Telkomsel ',' Disappointed ',' ']</v>
      </c>
      <c r="D6757" s="3">
        <v>2.0</v>
      </c>
    </row>
    <row r="6758" ht="15.75" customHeight="1">
      <c r="A6758" s="1">
        <v>7260.0</v>
      </c>
      <c r="B6758" s="3" t="s">
        <v>6519</v>
      </c>
      <c r="C6758" s="3" t="str">
        <f>IFERROR(__xludf.DUMMYFUNCTION("GOOGLETRANSLATE(B6758,""id"",""en"")"),"['easy', 'usage', 'purchase', 'etc.', 'advertising', 'is',' educating ',' sponsor ',' MyTelkomsel ',' entry ',' advertising ',' praised ',' worsen ',' Citra ',' Telkomsel ']")</f>
        <v>['easy', 'usage', 'purchase', 'etc.', 'advertising', 'is',' educating ',' sponsor ',' MyTelkomsel ',' entry ',' advertising ',' praised ',' worsen ',' Citra ',' Telkomsel ']</v>
      </c>
      <c r="D6758" s="3">
        <v>5.0</v>
      </c>
    </row>
    <row r="6759" ht="15.75" customHeight="1">
      <c r="A6759" s="1">
        <v>7261.0</v>
      </c>
      <c r="B6759" s="3" t="s">
        <v>6520</v>
      </c>
      <c r="C6759" s="3" t="str">
        <f>IFERROR(__xludf.DUMMYFUNCTION("GOOGLETRANSLATE(B6759,""id"",""en"")"),"['Steady', 'use', 'Telkomsel', 'Mangkin', 'Easy', 'Features',' Hopefully ',' Success', 'Slalu', 'Application', 'Fiyan', 'Padang', ' boast']")</f>
        <v>['Steady', 'use', 'Telkomsel', 'Mangkin', 'Easy', 'Features',' Hopefully ',' Success', 'Slalu', 'Application', 'Fiyan', 'Padang', ' boast']</v>
      </c>
      <c r="D6759" s="3">
        <v>4.0</v>
      </c>
    </row>
    <row r="6760" ht="15.75" customHeight="1">
      <c r="A6760" s="1">
        <v>7262.0</v>
      </c>
      <c r="B6760" s="3" t="s">
        <v>6521</v>
      </c>
      <c r="C6760" s="3" t="str">
        <f>IFERROR(__xludf.DUMMYFUNCTION("GOOGLETRANSLATE(B6760,""id"",""en"")"),"['strange', 'quota', 'bought', 'times',' already ',' price ',' turn ',' buy ',' heeeeehhh ',' tired ',' deh ',' see ',' Mental ',' company ',' BUMN ',' Country ',' wants', 'play', 'cat', 'mouse', 'consumers',' ']")</f>
        <v>['strange', 'quota', 'bought', 'times',' already ',' price ',' turn ',' buy ',' heeeeehhh ',' tired ',' deh ',' see ',' Mental ',' company ',' BUMN ',' Country ',' wants', 'play', 'cat', 'mouse', 'consumers',' ']</v>
      </c>
      <c r="D6760" s="3">
        <v>3.0</v>
      </c>
    </row>
    <row r="6761" ht="15.75" customHeight="1">
      <c r="A6761" s="1">
        <v>7263.0</v>
      </c>
      <c r="B6761" s="3" t="s">
        <v>6522</v>
      </c>
      <c r="C6761" s="3" t="str">
        <f>IFERROR(__xludf.DUMMYFUNCTION("GOOGLETRANSLATE(B6761,""id"",""en"")"),"['Enter', 'APK', 'Link', 'SMS', 'DLU', 'FAILURE', 'Enter', 'Lansung', 'APK', 'Info', 'Donk', 'admin', ' ']")</f>
        <v>['Enter', 'APK', 'Link', 'SMS', 'DLU', 'FAILURE', 'Enter', 'Lansung', 'APK', 'Info', 'Donk', 'admin', ' ']</v>
      </c>
      <c r="D6761" s="3">
        <v>3.0</v>
      </c>
    </row>
    <row r="6762" ht="15.75" customHeight="1">
      <c r="A6762" s="1">
        <v>7264.0</v>
      </c>
      <c r="B6762" s="3" t="s">
        <v>6523</v>
      </c>
      <c r="C6762" s="3" t="str">
        <f>IFERROR(__xludf.DUMMYFUNCTION("GOOGLETRANSLATE(B6762,""id"",""en"")"),"['Leading', 'Network']")</f>
        <v>['Leading', 'Network']</v>
      </c>
      <c r="D6762" s="3">
        <v>5.0</v>
      </c>
    </row>
    <row r="6763" ht="15.75" customHeight="1">
      <c r="A6763" s="1">
        <v>7265.0</v>
      </c>
      <c r="B6763" s="3" t="s">
        <v>409</v>
      </c>
      <c r="C6763" s="3" t="str">
        <f>IFERROR(__xludf.DUMMYFUNCTION("GOOGLETRANSLATE(B6763,""id"",""en"")"),"['easy']")</f>
        <v>['easy']</v>
      </c>
      <c r="D6763" s="3">
        <v>5.0</v>
      </c>
    </row>
    <row r="6764" ht="15.75" customHeight="1">
      <c r="A6764" s="1">
        <v>7266.0</v>
      </c>
      <c r="B6764" s="3" t="s">
        <v>6524</v>
      </c>
      <c r="C6764" s="3" t="str">
        <f>IFERROR(__xludf.DUMMYFUNCTION("GOOGLETRANSLATE(B6764,""id"",""en"")"),"['Try', 'user']")</f>
        <v>['Try', 'user']</v>
      </c>
      <c r="D6764" s="3">
        <v>2.0</v>
      </c>
    </row>
    <row r="6765" ht="15.75" customHeight="1">
      <c r="A6765" s="1">
        <v>7267.0</v>
      </c>
      <c r="B6765" s="3" t="s">
        <v>6525</v>
      </c>
      <c r="C6765" s="3" t="str">
        <f>IFERROR(__xludf.DUMMYFUNCTION("GOOGLETRANSLATE(B6765,""id"",""en"")"),"['His name', 'business', 'loss', 'careful', 'safe', 'safe', 'Telkomsel', '']")</f>
        <v>['His name', 'business', 'loss', 'careful', 'safe', 'safe', 'Telkomsel', '']</v>
      </c>
      <c r="D6765" s="3">
        <v>4.0</v>
      </c>
    </row>
    <row r="6766" ht="15.75" customHeight="1">
      <c r="A6766" s="1">
        <v>7268.0</v>
      </c>
      <c r="B6766" s="3" t="s">
        <v>6526</v>
      </c>
      <c r="C6766" s="3" t="str">
        <f>IFERROR(__xludf.DUMMYFUNCTION("GOOGLETRANSLATE(B6766,""id"",""en"")"),"['network', 'slow', 'duku', 'hype', 'really', 'network', 'good', 'slow', 'kagak', 'smooth', 'cook', 'game', ' network ',' missing ',' signal ',' stay ',' ']")</f>
        <v>['network', 'slow', 'duku', 'hype', 'really', 'network', 'good', 'slow', 'kagak', 'smooth', 'cook', 'game', ' network ',' missing ',' signal ',' stay ',' ']</v>
      </c>
      <c r="D6766" s="3">
        <v>1.0</v>
      </c>
    </row>
    <row r="6767" ht="15.75" customHeight="1">
      <c r="A6767" s="1">
        <v>7269.0</v>
      </c>
      <c r="B6767" s="3" t="s">
        <v>6527</v>
      </c>
      <c r="C6767" s="3" t="str">
        <f>IFERROR(__xludf.DUMMYFUNCTION("GOOGLETRANSLATE(B6767,""id"",""en"")"),"['Buy', 'Package', 'Internet', 'Easy', 'Ribet']")</f>
        <v>['Buy', 'Package', 'Internet', 'Easy', 'Ribet']</v>
      </c>
      <c r="D6767" s="3">
        <v>1.0</v>
      </c>
    </row>
    <row r="6768" ht="15.75" customHeight="1">
      <c r="A6768" s="1">
        <v>7270.0</v>
      </c>
      <c r="B6768" s="3" t="s">
        <v>6528</v>
      </c>
      <c r="C6768" s="3" t="str">
        <f>IFERROR(__xludf.DUMMYFUNCTION("GOOGLETRANSLATE(B6768,""id"",""en"")"),"['test']")</f>
        <v>['test']</v>
      </c>
      <c r="D6768" s="3">
        <v>5.0</v>
      </c>
    </row>
    <row r="6769" ht="15.75" customHeight="1">
      <c r="A6769" s="1">
        <v>7271.0</v>
      </c>
      <c r="B6769" s="3" t="s">
        <v>6529</v>
      </c>
      <c r="C6769" s="3" t="str">
        <f>IFERROR(__xludf.DUMMYFUNCTION("GOOGLETRANSLATE(B6769,""id"",""en"")"),"['Easy', 'use', '']")</f>
        <v>['Easy', 'use', '']</v>
      </c>
      <c r="D6769" s="3">
        <v>5.0</v>
      </c>
    </row>
    <row r="6770" ht="15.75" customHeight="1">
      <c r="A6770" s="1">
        <v>7272.0</v>
      </c>
      <c r="B6770" s="3" t="s">
        <v>6530</v>
      </c>
      <c r="C6770" s="3" t="str">
        <f>IFERROR(__xludf.DUMMYFUNCTION("GOOGLETRANSLATE(B6770,""id"",""en"")"),"['annoyed', 'quality', 'network', 'AJQ', 'dead', 'lights',' network ',' ilang ',' home ',' network ',' ilang ',' yesterday ',' Hasn't it ',' good ',' kipped ',' asw ',' price ',' quota ',' expensive ',' equivalent ',' bagusan ', ""]")</f>
        <v>['annoyed', 'quality', 'network', 'AJQ', 'dead', 'lights',' network ',' ilang ',' home ',' network ',' ilang ',' yesterday ',' Hasn't it ',' good ',' kipped ',' asw ',' price ',' quota ',' expensive ',' equivalent ',' bagusan ', "]</v>
      </c>
      <c r="D6770" s="3">
        <v>1.0</v>
      </c>
    </row>
    <row r="6771" ht="15.75" customHeight="1">
      <c r="A6771" s="1">
        <v>7273.0</v>
      </c>
      <c r="B6771" s="3" t="s">
        <v>6531</v>
      </c>
      <c r="C6771" s="3" t="str">
        <f>IFERROR(__xludf.DUMMYFUNCTION("GOOGLETRANSLATE(B6771,""id"",""en"")"),"['Hopefully', 'Telkomsel', 'Always', 'Helpful']")</f>
        <v>['Hopefully', 'Telkomsel', 'Always', 'Helpful']</v>
      </c>
      <c r="D6771" s="3">
        <v>4.0</v>
      </c>
    </row>
    <row r="6772" ht="15.75" customHeight="1">
      <c r="A6772" s="1">
        <v>7274.0</v>
      </c>
      <c r="B6772" s="3" t="s">
        <v>6532</v>
      </c>
      <c r="C6772" s="3" t="str">
        <f>IFERROR(__xludf.DUMMYFUNCTION("GOOGLETRANSLATE(B6772,""id"",""en"")"),"['APK', 'SNGAT', 'HELP', 'User', 'Telkomsel']")</f>
        <v>['APK', 'SNGAT', 'HELP', 'User', 'Telkomsel']</v>
      </c>
      <c r="D6772" s="3">
        <v>5.0</v>
      </c>
    </row>
    <row r="6773" ht="15.75" customHeight="1">
      <c r="A6773" s="1">
        <v>7275.0</v>
      </c>
      <c r="B6773" s="3" t="s">
        <v>6533</v>
      </c>
      <c r="C6773" s="3" t="str">
        <f>IFERROR(__xludf.DUMMYFUNCTION("GOOGLETRANSLATE(B6773,""id"",""en"")"),"['Jeleeek', 'Lek', 'Lek', 'Lek', 'Price', 'Expensive', 'Signal', 'Cheap', '']")</f>
        <v>['Jeleeek', 'Lek', 'Lek', 'Lek', 'Price', 'Expensive', 'Signal', 'Cheap', '']</v>
      </c>
      <c r="D6773" s="3">
        <v>1.0</v>
      </c>
    </row>
    <row r="6774" ht="15.75" customHeight="1">
      <c r="A6774" s="1">
        <v>7276.0</v>
      </c>
      <c r="B6774" s="3" t="s">
        <v>6534</v>
      </c>
      <c r="C6774" s="3" t="str">
        <f>IFERROR(__xludf.DUMMYFUNCTION("GOOGLETRANSLATE(B6774,""id"",""en"")"),"['Rely on', 'wherever']")</f>
        <v>['Rely on', 'wherever']</v>
      </c>
      <c r="D6774" s="3">
        <v>5.0</v>
      </c>
    </row>
    <row r="6775" ht="15.75" customHeight="1">
      <c r="A6775" s="1">
        <v>7277.0</v>
      </c>
      <c r="B6775" s="3" t="s">
        <v>6535</v>
      </c>
      <c r="C6775" s="3" t="str">
        <f>IFERROR(__xludf.DUMMYFUNCTION("GOOGLETRANSLATE(B6775,""id"",""en"")"),"['pulse', 'like', 'truncated', 'how', 'Telkomsel', ""]")</f>
        <v>['pulse', 'like', 'truncated', 'how', 'Telkomsel', "]</v>
      </c>
      <c r="D6775" s="3">
        <v>1.0</v>
      </c>
    </row>
    <row r="6776" ht="15.75" customHeight="1">
      <c r="A6776" s="1">
        <v>7278.0</v>
      </c>
      <c r="B6776" s="3" t="s">
        <v>6536</v>
      </c>
      <c r="C6776" s="3" t="str">
        <f>IFERROR(__xludf.DUMMYFUNCTION("GOOGLETRANSLATE(B6776,""id"",""en"")"),"['User', 'loyal', 'Telkomsel', 'counts on', 'network', 'speeding', 'comparable', 'price', 'quota', 'expensive', 'since' pandemic ',' struck ',' network ',' down ',' network ',' stable ',' down ',' no ',' stable ',' beg ',' fix ',' the network ',' location"&amp;" ',' near ' , 'Jakarta', 'stable', '']")</f>
        <v>['User', 'loyal', 'Telkomsel', 'counts on', 'network', 'speeding', 'comparable', 'price', 'quota', 'expensive', 'since' pandemic ',' struck ',' network ',' down ',' network ',' stable ',' down ',' no ',' stable ',' beg ',' fix ',' the network ',' location ',' near ' , 'Jakarta', 'stable', '']</v>
      </c>
      <c r="D6776" s="3">
        <v>2.0</v>
      </c>
    </row>
    <row r="6777" ht="15.75" customHeight="1">
      <c r="A6777" s="1">
        <v>7279.0</v>
      </c>
      <c r="B6777" s="3" t="s">
        <v>6537</v>
      </c>
      <c r="C6777" s="3" t="str">
        <f>IFERROR(__xludf.DUMMYFUNCTION("GOOGLETRANSLATE(B6777,""id"",""en"")"),"['Tekomsel', 'skrg', 'ugly', 'really', 'package', 'expensive', 'kmaren', 'package', 'GB', 'rb', 'skrg', 'udh', ' make ',' package ',' GB ',' RB ',' now ',' UDH ',' RB ',' Want ',' really ',' replace ',' just ',' Kasian ',' friend ' , 'Musti', 'Change', 'S"&amp;"umpaahh', 'Tekomsel', 'Borosss', 'Bangett', 'cheating', 'just', 'Udh', 'already', 'widdown']")</f>
        <v>['Tekomsel', 'skrg', 'ugly', 'really', 'package', 'expensive', 'kmaren', 'package', 'GB', 'rb', 'skrg', 'udh', ' make ',' package ',' GB ',' RB ',' now ',' UDH ',' RB ',' Want ',' really ',' replace ',' just ',' Kasian ',' friend ' , 'Musti', 'Change', 'Sumpaahh', 'Tekomsel', 'Borosss', 'Bangett', 'cheating', 'just', 'Udh', 'already', 'widdown']</v>
      </c>
      <c r="D6777" s="3">
        <v>1.0</v>
      </c>
    </row>
    <row r="6778" ht="15.75" customHeight="1">
      <c r="A6778" s="1">
        <v>7280.0</v>
      </c>
      <c r="B6778" s="3" t="s">
        <v>6538</v>
      </c>
      <c r="C6778" s="3" t="str">
        <f>IFERROR(__xludf.DUMMYFUNCTION("GOOGLETRANSLATE(B6778,""id"",""en"")"),"['Price', 'according to']")</f>
        <v>['Price', 'according to']</v>
      </c>
      <c r="D6778" s="3">
        <v>5.0</v>
      </c>
    </row>
    <row r="6779" ht="15.75" customHeight="1">
      <c r="A6779" s="1">
        <v>7281.0</v>
      </c>
      <c r="B6779" s="3" t="s">
        <v>6539</v>
      </c>
      <c r="C6779" s="3" t="str">
        <f>IFERROR(__xludf.DUMMYFUNCTION("GOOGLETRANSLATE(B6779,""id"",""en"")"),"['Telkomsel', 'expensive', 'buy', 'quota', 'buy', 'quota', 'gb', 'just', 'thousand', 'thousands',' please ',' Ride in ',' Move ']")</f>
        <v>['Telkomsel', 'expensive', 'buy', 'quota', 'buy', 'quota', 'gb', 'just', 'thousand', 'thousands',' please ',' Ride in ',' Move ']</v>
      </c>
      <c r="D6779" s="3">
        <v>2.0</v>
      </c>
    </row>
    <row r="6780" ht="15.75" customHeight="1">
      <c r="A6780" s="1">
        <v>7282.0</v>
      </c>
      <c r="B6780" s="3" t="s">
        <v>6540</v>
      </c>
      <c r="C6780" s="3" t="str">
        <f>IFERROR(__xludf.DUMMYFUNCTION("GOOGLETRANSLATE(B6780,""id"",""en"")"),"['price', 'package', 'expensive', 'org', 'please', 'distrist']")</f>
        <v>['price', 'package', 'expensive', 'org', 'please', 'distrist']</v>
      </c>
      <c r="D6780" s="3">
        <v>1.0</v>
      </c>
    </row>
    <row r="6781" ht="15.75" customHeight="1">
      <c r="A6781" s="1">
        <v>7283.0</v>
      </c>
      <c r="B6781" s="3" t="s">
        <v>6541</v>
      </c>
      <c r="C6781" s="3" t="str">
        <f>IFERROR(__xludf.DUMMYFUNCTION("GOOGLETRANSLATE(B6781,""id"",""en"")"),"['Reedem', 'Point', 'styled', 'quota', 'gabisa', 'system', 'busy', 'mulu', 'download', 'usually', 'reedem', 'coupon', ' Lottery ',' ']")</f>
        <v>['Reedem', 'Point', 'styled', 'quota', 'gabisa', 'system', 'busy', 'mulu', 'download', 'usually', 'reedem', 'coupon', ' Lottery ',' ']</v>
      </c>
      <c r="D6781" s="3">
        <v>3.0</v>
      </c>
    </row>
    <row r="6782" ht="15.75" customHeight="1">
      <c r="A6782" s="1">
        <v>7284.0</v>
      </c>
      <c r="B6782" s="3" t="s">
        <v>6542</v>
      </c>
      <c r="C6782" s="3" t="str">
        <f>IFERROR(__xludf.DUMMYFUNCTION("GOOGLETRANSLATE(B6782,""id"",""en"")"),"['bad', 'Telkomsel', 'network', 'better', 'use', 'GSM', 'use', 'Telkomsel', 'Network', 'Leet', '']")</f>
        <v>['bad', 'Telkomsel', 'network', 'better', 'use', 'GSM', 'use', 'Telkomsel', 'Network', 'Leet', '']</v>
      </c>
      <c r="D6782" s="3">
        <v>1.0</v>
      </c>
    </row>
    <row r="6783" ht="15.75" customHeight="1">
      <c r="A6783" s="1">
        <v>7285.0</v>
      </c>
      <c r="B6783" s="3" t="s">
        <v>6543</v>
      </c>
      <c r="C6783" s="3" t="str">
        <f>IFERROR(__xludf.DUMMYFUNCTION("GOOGLETRANSLATE(B6783,""id"",""en"")"),"['buy', 'package', 'complete', 'cheapest', 'thank', 'love', 'Telkomsel', ""]")</f>
        <v>['buy', 'package', 'complete', 'cheapest', 'thank', 'love', 'Telkomsel', "]</v>
      </c>
      <c r="D6783" s="3">
        <v>5.0</v>
      </c>
    </row>
    <row r="6784" ht="15.75" customHeight="1">
      <c r="A6784" s="1">
        <v>7286.0</v>
      </c>
      <c r="B6784" s="3" t="s">
        <v>6544</v>
      </c>
      <c r="C6784" s="3" t="str">
        <f>IFERROR(__xludf.DUMMYFUNCTION("GOOGLETRANSLATE(B6784,""id"",""en"")"),"['Mntap', 'Make', 'Activity', 'PKET']")</f>
        <v>['Mntap', 'Make', 'Activity', 'PKET']</v>
      </c>
      <c r="D6784" s="3">
        <v>5.0</v>
      </c>
    </row>
    <row r="6785" ht="15.75" customHeight="1">
      <c r="A6785" s="1">
        <v>7287.0</v>
      </c>
      <c r="B6785" s="3" t="s">
        <v>6545</v>
      </c>
      <c r="C6785" s="3" t="str">
        <f>IFERROR(__xludf.DUMMYFUNCTION("GOOGLETRANSLATE(B6785,""id"",""en"")"),"['Telkomsel', 'card', 'mama', 'bru', 'second', 'contents',' plsa ',' langsng ',' tape ',' rbb ',' gile ',' sms', ' msuk ',' package ',' emergency ',' active ',' sdgkn ',' card ',' pke ',' grandma ',' man ',' understand ',' package ',' bgtu ',' turn it off"&amp;" ' ]")</f>
        <v>['Telkomsel', 'card', 'mama', 'bru', 'second', 'contents',' plsa ',' langsng ',' tape ',' rbb ',' gile ',' sms', ' msuk ',' package ',' emergency ',' active ',' sdgkn ',' card ',' pke ',' grandma ',' man ',' understand ',' package ',' bgtu ',' turn it off ' ]</v>
      </c>
      <c r="D6785" s="3">
        <v>2.0</v>
      </c>
    </row>
    <row r="6786" ht="15.75" customHeight="1">
      <c r="A6786" s="1">
        <v>7288.0</v>
      </c>
      <c r="B6786" s="3" t="s">
        <v>6546</v>
      </c>
      <c r="C6786" s="3" t="str">
        <f>IFERROR(__xludf.DUMMYFUNCTION("GOOGLETRANSLATE(B6786,""id"",""en"")"),"['Location', 'okay']")</f>
        <v>['Location', 'okay']</v>
      </c>
      <c r="D6786" s="3">
        <v>5.0</v>
      </c>
    </row>
    <row r="6787" ht="15.75" customHeight="1">
      <c r="A6787" s="1">
        <v>7289.0</v>
      </c>
      <c r="B6787" s="3" t="s">
        <v>6547</v>
      </c>
      <c r="C6787" s="3" t="str">
        <f>IFERROR(__xludf.DUMMYFUNCTION("GOOGLETRANSLATE(B6787,""id"",""en"")"),"['Min', 'APK', 'given', 'TOP', 'GAME', 'CHILDREN', 'GAMER', 'LIKE']")</f>
        <v>['Min', 'APK', 'given', 'TOP', 'GAME', 'CHILDREN', 'GAMER', 'LIKE']</v>
      </c>
      <c r="D6787" s="3">
        <v>2.0</v>
      </c>
    </row>
    <row r="6788" ht="15.75" customHeight="1">
      <c r="A6788" s="1">
        <v>7290.0</v>
      </c>
      <c r="B6788" s="3" t="s">
        <v>6548</v>
      </c>
      <c r="C6788" s="3" t="str">
        <f>IFERROR(__xludf.DUMMYFUNCTION("GOOGLETRANSLATE(B6788,""id"",""en"")"),"['Star', 'answer']")</f>
        <v>['Star', 'answer']</v>
      </c>
      <c r="D6788" s="3">
        <v>5.0</v>
      </c>
    </row>
    <row r="6789" ht="15.75" customHeight="1">
      <c r="A6789" s="1">
        <v>7291.0</v>
      </c>
      <c r="B6789" s="3" t="s">
        <v>6549</v>
      </c>
      <c r="C6789" s="3" t="str">
        <f>IFERROR(__xludf.DUMMYFUNCTION("GOOGLETRANSLATE(B6789,""id"",""en"")"),"['Okay', 'Price', 'Package', 'Internet', 'Cheap', '']")</f>
        <v>['Okay', 'Price', 'Package', 'Internet', 'Cheap', '']</v>
      </c>
      <c r="D6789" s="3">
        <v>5.0</v>
      </c>
    </row>
    <row r="6790" ht="15.75" customHeight="1">
      <c r="A6790" s="1">
        <v>7292.0</v>
      </c>
      <c r="B6790" s="3" t="s">
        <v>6550</v>
      </c>
      <c r="C6790" s="3" t="str">
        <f>IFERROR(__xludf.DUMMYFUNCTION("GOOGLETRANSLATE(B6790,""id"",""en"")"),"['Telkomsel', 'emang', 'gooooddd']")</f>
        <v>['Telkomsel', 'emang', 'gooooddd']</v>
      </c>
      <c r="D6790" s="3">
        <v>5.0</v>
      </c>
    </row>
    <row r="6791" ht="15.75" customHeight="1">
      <c r="A6791" s="1">
        <v>7293.0</v>
      </c>
      <c r="B6791" s="3" t="s">
        <v>6551</v>
      </c>
      <c r="C6791" s="3" t="str">
        <f>IFERROR(__xludf.DUMMYFUNCTION("GOOGLETRANSLATE(B6791,""id"",""en"")"),"['bad', 'abis', 'pulse', 'eat', 'open', 'base', 'thief']")</f>
        <v>['bad', 'abis', 'pulse', 'eat', 'open', 'base', 'thief']</v>
      </c>
      <c r="D6791" s="3">
        <v>1.0</v>
      </c>
    </row>
    <row r="6792" ht="15.75" customHeight="1">
      <c r="A6792" s="1">
        <v>7294.0</v>
      </c>
      <c r="B6792" s="3" t="s">
        <v>6552</v>
      </c>
      <c r="C6792" s="3" t="str">
        <f>IFERROR(__xludf.DUMMYFUNCTION("GOOGLETRANSLATE(B6792,""id"",""en"")"),"['', 'hope', 'signal', 'manteng', 'trusssss', 'Telkomsel', '']")</f>
        <v>['', 'hope', 'signal', 'manteng', 'trusssss', 'Telkomsel', '']</v>
      </c>
      <c r="D6792" s="3">
        <v>5.0</v>
      </c>
    </row>
    <row r="6793" ht="15.75" customHeight="1">
      <c r="A6793" s="1">
        <v>7295.0</v>
      </c>
      <c r="B6793" s="3" t="s">
        <v>6553</v>
      </c>
      <c r="C6793" s="3" t="str">
        <f>IFERROR(__xludf.DUMMYFUNCTION("GOOGLETRANSLATE(B6793,""id"",""en"")"),"['Good', 'application', 'signal', 'good', 'special', 'package', 'a month', 'for', 'Please', 'signal', 'fix']")</f>
        <v>['Good', 'application', 'signal', 'good', 'special', 'package', 'a month', 'for', 'Please', 'signal', 'fix']</v>
      </c>
      <c r="D6793" s="3">
        <v>5.0</v>
      </c>
    </row>
    <row r="6794" ht="15.75" customHeight="1">
      <c r="A6794" s="1">
        <v>7296.0</v>
      </c>
      <c r="B6794" s="3" t="s">
        <v>6554</v>
      </c>
      <c r="C6794" s="3" t="str">
        <f>IFERROR(__xludf.DUMMYFUNCTION("GOOGLETRANSLATE(B6794,""id"",""en"")"),"['Super', 'slow', '']")</f>
        <v>['Super', 'slow', '']</v>
      </c>
      <c r="D6794" s="3">
        <v>1.0</v>
      </c>
    </row>
    <row r="6795" ht="15.75" customHeight="1">
      <c r="A6795" s="1">
        <v>7297.0</v>
      </c>
      <c r="B6795" s="3" t="s">
        <v>6555</v>
      </c>
      <c r="C6795" s="3" t="str">
        <f>IFERROR(__xludf.DUMMYFUNCTION("GOOGLETRANSLATE(B6795,""id"",""en"")"),"['NGK', 'Telkomsel', 'Price', 'Package', 'Tough', 'Mending', 'Change', 'Card', 'Lai', ""]")</f>
        <v>['NGK', 'Telkomsel', 'Price', 'Package', 'Tough', 'Mending', 'Change', 'Card', 'Lai', "]</v>
      </c>
      <c r="D6795" s="3">
        <v>1.0</v>
      </c>
    </row>
    <row r="6796" ht="15.75" customHeight="1">
      <c r="A6796" s="1">
        <v>7298.0</v>
      </c>
      <c r="B6796" s="3" t="s">
        <v>6258</v>
      </c>
      <c r="C6796" s="3" t="str">
        <f>IFERROR(__xludf.DUMMYFUNCTION("GOOGLETRANSLATE(B6796,""id"",""en"")"),"['satisfied']")</f>
        <v>['satisfied']</v>
      </c>
      <c r="D6796" s="3">
        <v>5.0</v>
      </c>
    </row>
    <row r="6797" ht="15.75" customHeight="1">
      <c r="A6797" s="1">
        <v>7299.0</v>
      </c>
      <c r="B6797" s="3" t="s">
        <v>6556</v>
      </c>
      <c r="C6797" s="3" t="str">
        <f>IFERROR(__xludf.DUMMYFUNCTION("GOOGLETRANSLATE(B6797,""id"",""en"")"),"['like', 'application', 'makes it easy', 'search', 'contents',' reset ',' package ',' easy ',' easy ',' exchange ',' point ',' hope ',' Lucky ',' Amin ']")</f>
        <v>['like', 'application', 'makes it easy', 'search', 'contents',' reset ',' package ',' easy ',' easy ',' exchange ',' point ',' hope ',' Lucky ',' Amin ']</v>
      </c>
      <c r="D6797" s="3">
        <v>5.0</v>
      </c>
    </row>
    <row r="6798" ht="15.75" customHeight="1">
      <c r="A6798" s="1">
        <v>7300.0</v>
      </c>
      <c r="B6798" s="3" t="s">
        <v>6557</v>
      </c>
      <c r="C6798" s="3" t="str">
        <f>IFERROR(__xludf.DUMMYFUNCTION("GOOGLETRANSLATE(B6798,""id"",""en"")"),"['Package', 'Unlimited', 'YouTube', 'Open', 'YouTube', 'Cut', 'Package', 'Data', 'Yesterday', 'Buy', 'Credit', 'Rb', ' Ludes', 'because', 'package', 'data', 'run out', 'overslept', 'right', 'please', 'Come', 'Telkomsel', ""]")</f>
        <v>['Package', 'Unlimited', 'YouTube', 'Open', 'YouTube', 'Cut', 'Package', 'Data', 'Yesterday', 'Buy', 'Credit', 'Rb', ' Ludes', 'because', 'package', 'data', 'run out', 'overslept', 'right', 'please', 'Come', 'Telkomsel', "]</v>
      </c>
      <c r="D6798" s="3">
        <v>1.0</v>
      </c>
    </row>
    <row r="6799" ht="15.75" customHeight="1">
      <c r="A6799" s="1">
        <v>7301.0</v>
      </c>
      <c r="B6799" s="3" t="s">
        <v>6558</v>
      </c>
      <c r="C6799" s="3" t="str">
        <f>IFERROR(__xludf.DUMMYFUNCTION("GOOGLETRANSLATE(B6799,""id"",""en"")"),"['Feature', 'easy', 'access']")</f>
        <v>['Feature', 'easy', 'access']</v>
      </c>
      <c r="D6799" s="3">
        <v>5.0</v>
      </c>
    </row>
    <row r="6800" ht="15.75" customHeight="1">
      <c r="A6800" s="1">
        <v>7302.0</v>
      </c>
      <c r="B6800" s="3" t="s">
        <v>6559</v>
      </c>
      <c r="C6800" s="3" t="str">
        <f>IFERROR(__xludf.DUMMYFUNCTION("GOOGLETRANSLATE(B6800,""id"",""en"")"),"['Signal', 'Error', 'Remove', 'Teacher', 'Zoom', 'Following', 'Zoom', 'Signal', 'Telkomsel', 'Bad', 'Absent', 'follow', ' Badkkkkkk ']")</f>
        <v>['Signal', 'Error', 'Remove', 'Teacher', 'Zoom', 'Following', 'Zoom', 'Signal', 'Telkomsel', 'Bad', 'Absent', 'follow', ' Badkkkkkk ']</v>
      </c>
      <c r="D6800" s="3">
        <v>1.0</v>
      </c>
    </row>
    <row r="6801" ht="15.75" customHeight="1">
      <c r="A6801" s="1">
        <v>7304.0</v>
      </c>
      <c r="B6801" s="3" t="s">
        <v>6560</v>
      </c>
      <c r="C6801" s="3" t="str">
        <f>IFERROR(__xludf.DUMMYFUNCTION("GOOGLETRANSLATE(B6801,""id"",""en"")"),"['package', 'internet', 'yahhh', 'deceiver', 'njirr', 'normal', 'total', 'finance', 'knp', 'package', 'internet', 'Mahalll', ' Please ','A', '']")</f>
        <v>['package', 'internet', 'yahhh', 'deceiver', 'njirr', 'normal', 'total', 'finance', 'knp', 'package', 'internet', 'Mahalll', ' Please ','A', '']</v>
      </c>
      <c r="D6801" s="3">
        <v>2.0</v>
      </c>
    </row>
    <row r="6802" ht="15.75" customHeight="1">
      <c r="A6802" s="1">
        <v>7305.0</v>
      </c>
      <c r="B6802" s="3" t="s">
        <v>6561</v>
      </c>
      <c r="C6802" s="3" t="str">
        <f>IFERROR(__xludf.DUMMYFUNCTION("GOOGLETRANSLATE(B6802,""id"",""en"")"),"['here', 'network', 'Telkomsel', 'bad', 'really', 'sorry', 'heavy', 'heart', 'love', 'star', '']")</f>
        <v>['here', 'network', 'Telkomsel', 'bad', 'really', 'sorry', 'heavy', 'heart', 'love', 'star', '']</v>
      </c>
      <c r="D6802" s="3">
        <v>1.0</v>
      </c>
    </row>
    <row r="6803" ht="15.75" customHeight="1">
      <c r="A6803" s="1">
        <v>7308.0</v>
      </c>
      <c r="B6803" s="3" t="s">
        <v>6562</v>
      </c>
      <c r="C6803" s="3" t="str">
        <f>IFERROR(__xludf.DUMMYFUNCTION("GOOGLETRANSLATE(B6803,""id"",""en"")"),"['Features',' Credit ',' Cutting ',' Application ',' Kayak ',' Provider ',' Next to ',' Consumer ',' Locking ',' Quota ',' Abis', 'Credit', ' disappear ',' Lho ',' victim ',' pulse ',' abis', '']")</f>
        <v>['Features',' Credit ',' Cutting ',' Application ',' Kayak ',' Provider ',' Next to ',' Consumer ',' Locking ',' Quota ',' Abis', 'Credit', ' disappear ',' Lho ',' victim ',' pulse ',' abis', '']</v>
      </c>
      <c r="D6803" s="3">
        <v>1.0</v>
      </c>
    </row>
    <row r="6804" ht="15.75" customHeight="1">
      <c r="A6804" s="1">
        <v>7309.0</v>
      </c>
      <c r="B6804" s="3" t="s">
        <v>6563</v>
      </c>
      <c r="C6804" s="3" t="str">
        <f>IFERROR(__xludf.DUMMYFUNCTION("GOOGLETRANSLATE(B6804,""id"",""en"")"),"['steady', 'except']")</f>
        <v>['steady', 'except']</v>
      </c>
      <c r="D6804" s="3">
        <v>5.0</v>
      </c>
    </row>
    <row r="6805" ht="15.75" customHeight="1">
      <c r="A6805" s="1">
        <v>7310.0</v>
      </c>
      <c r="B6805" s="3" t="s">
        <v>6564</v>
      </c>
      <c r="C6805" s="3" t="str">
        <f>IFERROR(__xludf.DUMMYFUNCTION("GOOGLETRANSLATE(B6805,""id"",""en"")"),"['Okay', 'hope', 'work', 'weapon']")</f>
        <v>['Okay', 'hope', 'work', 'weapon']</v>
      </c>
      <c r="D6805" s="3">
        <v>4.0</v>
      </c>
    </row>
    <row r="6806" ht="15.75" customHeight="1">
      <c r="A6806" s="1">
        <v>7311.0</v>
      </c>
      <c r="B6806" s="3" t="s">
        <v>6565</v>
      </c>
      <c r="C6806" s="3" t="str">
        <f>IFERROR(__xludf.DUMMYFUNCTION("GOOGLETRANSLATE(B6806,""id"",""en"")"),"['disappointing', '']")</f>
        <v>['disappointing', '']</v>
      </c>
      <c r="D6806" s="3">
        <v>2.0</v>
      </c>
    </row>
    <row r="6807" ht="15.75" customHeight="1">
      <c r="A6807" s="1">
        <v>7312.0</v>
      </c>
      <c r="B6807" s="3" t="s">
        <v>6566</v>
      </c>
      <c r="C6807" s="3" t="str">
        <f>IFERROR(__xludf.DUMMYFUNCTION("GOOGLETRANSLATE(B6807,""id"",""en"")"),"['signal', 'internet', 'bad']")</f>
        <v>['signal', 'internet', 'bad']</v>
      </c>
      <c r="D6807" s="3">
        <v>3.0</v>
      </c>
    </row>
    <row r="6808" ht="15.75" customHeight="1">
      <c r="A6808" s="1">
        <v>7313.0</v>
      </c>
      <c r="B6808" s="3" t="s">
        <v>6567</v>
      </c>
      <c r="C6808" s="3" t="str">
        <f>IFERROR(__xludf.DUMMYFUNCTION("GOOGLETRANSLATE(B6808,""id"",""en"")"),"['buy', 'package', 'internet', 'easy']")</f>
        <v>['buy', 'package', 'internet', 'easy']</v>
      </c>
      <c r="D6808" s="3">
        <v>5.0</v>
      </c>
    </row>
    <row r="6809" ht="15.75" customHeight="1">
      <c r="A6809" s="1">
        <v>7314.0</v>
      </c>
      <c r="B6809" s="3" t="s">
        <v>6568</v>
      </c>
      <c r="C6809" s="3" t="str">
        <f>IFERROR(__xludf.DUMMYFUNCTION("GOOGLETRANSLATE(B6809,""id"",""en"")"),"['Severe', 'buy', 'package', 'data', 'Telkomsel', 'money', 'sumps',' package ',' data ',' already ',' complain ',' Mingu ',' Returned ',' Dana ',' ']")</f>
        <v>['Severe', 'buy', 'package', 'data', 'Telkomsel', 'money', 'sumps',' package ',' data ',' already ',' complain ',' Mingu ',' Returned ',' Dana ',' ']</v>
      </c>
      <c r="D6809" s="3">
        <v>1.0</v>
      </c>
    </row>
    <row r="6810" ht="15.75" customHeight="1">
      <c r="A6810" s="1">
        <v>7315.0</v>
      </c>
      <c r="B6810" s="3" t="s">
        <v>6569</v>
      </c>
      <c r="C6810" s="3" t="str">
        <f>IFERROR(__xludf.DUMMYFUNCTION("GOOGLETRANSLATE(B6810,""id"",""en"")"),"['Application', 'Telkomsel', 'Good', '']")</f>
        <v>['Application', 'Telkomsel', 'Good', '']</v>
      </c>
      <c r="D6810" s="3">
        <v>5.0</v>
      </c>
    </row>
    <row r="6811" ht="15.75" customHeight="1">
      <c r="A6811" s="1">
        <v>7316.0</v>
      </c>
      <c r="B6811" s="3" t="s">
        <v>6570</v>
      </c>
      <c r="C6811" s="3" t="str">
        <f>IFERROR(__xludf.DUMMYFUNCTION("GOOGLETRANSLATE(B6811,""id"",""en"")"),"['APK', 'Good', 'Bangett', '']")</f>
        <v>['APK', 'Good', 'Bangett', '']</v>
      </c>
      <c r="D6811" s="3">
        <v>5.0</v>
      </c>
    </row>
    <row r="6812" ht="15.75" customHeight="1">
      <c r="A6812" s="1">
        <v>7318.0</v>
      </c>
      <c r="B6812" s="3" t="s">
        <v>6571</v>
      </c>
      <c r="C6812" s="3" t="str">
        <f>IFERROR(__xludf.DUMMYFUNCTION("GOOGLETRANSLATE(B6812,""id"",""en"")"),"['Lola', 'Open', 'Application', 'Telkomsel', 'Application', 'Open', 'Video', 'Status',' Video ',' Muter ',' Please ',' Repair ',' Network ',' Telkomsel ',' ']")</f>
        <v>['Lola', 'Open', 'Application', 'Telkomsel', 'Application', 'Open', 'Video', 'Status',' Video ',' Muter ',' Please ',' Repair ',' Network ',' Telkomsel ',' ']</v>
      </c>
      <c r="D6812" s="3">
        <v>2.0</v>
      </c>
    </row>
    <row r="6813" ht="15.75" customHeight="1">
      <c r="A6813" s="1">
        <v>7319.0</v>
      </c>
      <c r="B6813" s="3" t="s">
        <v>6572</v>
      </c>
      <c r="C6813" s="3" t="str">
        <f>IFERROR(__xludf.DUMMYFUNCTION("GOOGLETRANSLATE(B6813,""id"",""en"")"),"['Yesterday', 'Combo', 'Sakti', 'Max', 'GB', 'RB', 'RB', 'Fast', 'Rise', 'Needs',' according to ',' pulses', ' Suck ']")</f>
        <v>['Yesterday', 'Combo', 'Sakti', 'Max', 'GB', 'RB', 'RB', 'Fast', 'Rise', 'Needs',' according to ',' pulses', ' Suck ']</v>
      </c>
      <c r="D6813" s="3">
        <v>1.0</v>
      </c>
    </row>
    <row r="6814" ht="15.75" customHeight="1">
      <c r="A6814" s="1">
        <v>7320.0</v>
      </c>
      <c r="B6814" s="3" t="s">
        <v>6573</v>
      </c>
      <c r="C6814" s="3" t="str">
        <f>IFERROR(__xludf.DUMMYFUNCTION("GOOGLETRANSLATE(B6814,""id"",""en"")"),"['honest', 'application', 'Telkomsel', 'fraud', 'promo', 'reviews',' customer ',' love ',' star ',' rating ',' strange ',' rating ',' Playstore ',' Paid ',' ']")</f>
        <v>['honest', 'application', 'Telkomsel', 'fraud', 'promo', 'reviews',' customer ',' love ',' star ',' rating ',' strange ',' rating ',' Playstore ',' Paid ',' ']</v>
      </c>
      <c r="D6814" s="3">
        <v>1.0</v>
      </c>
    </row>
    <row r="6815" ht="15.75" customHeight="1">
      <c r="A6815" s="1">
        <v>7321.0</v>
      </c>
      <c r="B6815" s="3" t="s">
        <v>6574</v>
      </c>
      <c r="C6815" s="3" t="str">
        <f>IFERROR(__xludf.DUMMYFUNCTION("GOOGLETRANSLATE(B6815,""id"",""en"")"),"['Fix', 'Sinyaaa', 'please', 'number', 'call', 'emergency', 'pulse', 'package']")</f>
        <v>['Fix', 'Sinyaaa', 'please', 'number', 'call', 'emergency', 'pulse', 'package']</v>
      </c>
      <c r="D6815" s="3">
        <v>1.0</v>
      </c>
    </row>
    <row r="6816" ht="15.75" customHeight="1">
      <c r="A6816" s="1">
        <v>7322.0</v>
      </c>
      <c r="B6816" s="3" t="s">
        <v>2180</v>
      </c>
      <c r="C6816" s="3" t="str">
        <f>IFERROR(__xludf.DUMMYFUNCTION("GOOGLETRANSLATE(B6816,""id"",""en"")"),"['Good', 'Network']")</f>
        <v>['Good', 'Network']</v>
      </c>
      <c r="D6816" s="3">
        <v>5.0</v>
      </c>
    </row>
    <row r="6817" ht="15.75" customHeight="1">
      <c r="A6817" s="1">
        <v>7323.0</v>
      </c>
      <c r="B6817" s="3" t="s">
        <v>6575</v>
      </c>
      <c r="C6817" s="3" t="str">
        <f>IFERROR(__xludf.DUMMYFUNCTION("GOOGLETRANSLATE(B6817,""id"",""en"")"),"['Moving', 'Heart', 'Telkomsel', 'Proud of', 'Lemot', 'Ketulungan']")</f>
        <v>['Moving', 'Heart', 'Telkomsel', 'Proud of', 'Lemot', 'Ketulungan']</v>
      </c>
      <c r="D6817" s="3">
        <v>4.0</v>
      </c>
    </row>
    <row r="6818" ht="15.75" customHeight="1">
      <c r="A6818" s="1">
        <v>7324.0</v>
      </c>
      <c r="B6818" s="3" t="s">
        <v>6576</v>
      </c>
      <c r="C6818" s="3" t="str">
        <f>IFERROR(__xludf.DUMMYFUNCTION("GOOGLETRANSLATE(B6818,""id"",""en"")"),"['Paketan', 'expensive', 'cheap', '']")</f>
        <v>['Paketan', 'expensive', 'cheap', '']</v>
      </c>
      <c r="D6818" s="3">
        <v>1.0</v>
      </c>
    </row>
    <row r="6819" ht="15.75" customHeight="1">
      <c r="A6819" s="1">
        <v>7325.0</v>
      </c>
      <c r="B6819" s="3" t="s">
        <v>6577</v>
      </c>
      <c r="C6819" s="3" t="str">
        <f>IFERROR(__xludf.DUMMYFUNCTION("GOOGLETRANSLATE(B6819,""id"",""en"")"),"['Service', 'special', '']")</f>
        <v>['Service', 'special', '']</v>
      </c>
      <c r="D6819" s="3">
        <v>5.0</v>
      </c>
    </row>
    <row r="6820" ht="15.75" customHeight="1">
      <c r="A6820" s="1">
        <v>7326.0</v>
      </c>
      <c r="B6820" s="3" t="s">
        <v>1510</v>
      </c>
      <c r="C6820" s="3" t="str">
        <f>IFERROR(__xludf.DUMMYFUNCTION("GOOGLETRANSLATE(B6820,""id"",""en"")"),"['Satisfied', 'Telkomsel']")</f>
        <v>['Satisfied', 'Telkomsel']</v>
      </c>
      <c r="D6820" s="3">
        <v>5.0</v>
      </c>
    </row>
    <row r="6821" ht="15.75" customHeight="1">
      <c r="A6821" s="1">
        <v>7327.0</v>
      </c>
      <c r="B6821" s="3" t="s">
        <v>6578</v>
      </c>
      <c r="C6821" s="3" t="str">
        <f>IFERROR(__xludf.DUMMYFUNCTION("GOOGLETRANSLATE(B6821,""id"",""en"")"),"['', 'dead', 'log', 'application', 'Telkomsel', 'please', 'fix', '']")</f>
        <v>['', 'dead', 'log', 'application', 'Telkomsel', 'please', 'fix', '']</v>
      </c>
      <c r="D6821" s="3">
        <v>3.0</v>
      </c>
    </row>
    <row r="6822" ht="15.75" customHeight="1">
      <c r="A6822" s="1">
        <v>7328.0</v>
      </c>
      <c r="B6822" s="3" t="s">
        <v>6579</v>
      </c>
      <c r="C6822" s="3" t="str">
        <f>IFERROR(__xludf.DUMMYFUNCTION("GOOGLETRANSLATE(B6822,""id"",""en"")"),"['The network', 'best', 'strongest']")</f>
        <v>['The network', 'best', 'strongest']</v>
      </c>
      <c r="D6822" s="3">
        <v>4.0</v>
      </c>
    </row>
    <row r="6823" ht="15.75" customHeight="1">
      <c r="A6823" s="1">
        <v>7329.0</v>
      </c>
      <c r="B6823" s="3" t="s">
        <v>6580</v>
      </c>
      <c r="C6823" s="3" t="str">
        <f>IFERROR(__xludf.DUMMYFUNCTION("GOOGLETRANSLATE(B6823,""id"",""en"")"),"['loss',' pay ',' expensive ',' network ',' slow ',' cloudy ',' already ',' slow ',' rain ',' heavy ',' browser ',' muter ',' in place']")</f>
        <v>['loss',' pay ',' expensive ',' network ',' slow ',' cloudy ',' already ',' slow ',' rain ',' heavy ',' browser ',' muter ',' in place']</v>
      </c>
      <c r="D6823" s="3">
        <v>1.0</v>
      </c>
    </row>
    <row r="6824" ht="15.75" customHeight="1">
      <c r="A6824" s="1">
        <v>7330.0</v>
      </c>
      <c r="B6824" s="3" t="s">
        <v>6581</v>
      </c>
      <c r="C6824" s="3" t="str">
        <f>IFERROR(__xludf.DUMMYFUNCTION("GOOGLETRANSLATE(B6824,""id"",""en"")"),"['Increase', 'lbih', 'promo']")</f>
        <v>['Increase', 'lbih', 'promo']</v>
      </c>
      <c r="D6824" s="3">
        <v>5.0</v>
      </c>
    </row>
    <row r="6825" ht="15.75" customHeight="1">
      <c r="A6825" s="1">
        <v>7331.0</v>
      </c>
      <c r="B6825" s="3" t="s">
        <v>6582</v>
      </c>
      <c r="C6825" s="3" t="str">
        <f>IFERROR(__xludf.DUMMYFUNCTION("GOOGLETRANSLATE(B6825,""id"",""en"")"),"['signal', 'Death']")</f>
        <v>['signal', 'Death']</v>
      </c>
      <c r="D6825" s="3">
        <v>5.0</v>
      </c>
    </row>
    <row r="6826" ht="15.75" customHeight="1">
      <c r="A6826" s="1">
        <v>7332.0</v>
      </c>
      <c r="B6826" s="3" t="s">
        <v>6583</v>
      </c>
      <c r="C6826" s="3" t="str">
        <f>IFERROR(__xludf.DUMMYFUNCTION("GOOGLETRANSLATE(B6826,""id"",""en"")"),"['Hopefully', 'Application', 'Good', '']")</f>
        <v>['Hopefully', 'Application', 'Good', '']</v>
      </c>
      <c r="D6826" s="3">
        <v>4.0</v>
      </c>
    </row>
    <row r="6827" ht="15.75" customHeight="1">
      <c r="A6827" s="1">
        <v>7333.0</v>
      </c>
      <c r="B6827" s="3" t="s">
        <v>6584</v>
      </c>
      <c r="C6827" s="3" t="str">
        <f>IFERROR(__xludf.DUMMYFUNCTION("GOOGLETRANSLATE(B6827,""id"",""en"")"),"['Package', 'Combo', 'Sakti', 'Unlimited', 'YouTube', 'Lazy', 'Buy', 'Package', 'Shame', 'Apps',' YGLAIN ',' Mubadzir ',' buy']")</f>
        <v>['Package', 'Combo', 'Sakti', 'Unlimited', 'YouTube', 'Lazy', 'Buy', 'Package', 'Shame', 'Apps',' YGLAIN ',' Mubadzir ',' buy']</v>
      </c>
      <c r="D6827" s="3">
        <v>3.0</v>
      </c>
    </row>
    <row r="6828" ht="15.75" customHeight="1">
      <c r="A6828" s="1">
        <v>7334.0</v>
      </c>
      <c r="B6828" s="3" t="s">
        <v>6585</v>
      </c>
      <c r="C6828" s="3" t="str">
        <f>IFERROR(__xludf.DUMMYFUNCTION("GOOGLETRANSLATE(B6828,""id"",""en"")"),"['sympathy', 'slow', 'reset', 'activity']")</f>
        <v>['sympathy', 'slow', 'reset', 'activity']</v>
      </c>
      <c r="D6828" s="3">
        <v>1.0</v>
      </c>
    </row>
    <row r="6829" ht="15.75" customHeight="1">
      <c r="A6829" s="1">
        <v>7336.0</v>
      </c>
      <c r="B6829" s="3" t="s">
        <v>6586</v>
      </c>
      <c r="C6829" s="3" t="str">
        <f>IFERROR(__xludf.DUMMYFUNCTION("GOOGLETRANSLATE(B6829,""id"",""en"")"),"['Kerennn', 'Signal', 'Slalu', 'Friendly', '']")</f>
        <v>['Kerennn', 'Signal', 'Slalu', 'Friendly', '']</v>
      </c>
      <c r="D6829" s="3">
        <v>5.0</v>
      </c>
    </row>
    <row r="6830" ht="15.75" customHeight="1">
      <c r="A6830" s="1">
        <v>7337.0</v>
      </c>
      <c r="B6830" s="3" t="s">
        <v>6587</v>
      </c>
      <c r="C6830" s="3" t="str">
        <f>IFERROR(__xludf.DUMMYFUNCTION("GOOGLETRANSLATE(B6830,""id"",""en"")"),"['Network', 'ugly', 'Intrnetan', 'slow', 'buy', 'package', 'inernetan', 'quata', 'GB', 'used', 'exhaust', 'active', ' Severe ',' Original ',' Severe ',' Change ',' Tlng ',' Gantibrugi ',' Kuata ',' Harms', 'Kuata', 'Disappointed', 'Telkomsel', 'parahhhhhh"&amp;"hh', 'screenshot' , 'Reviews', 'disappointed', 'network', 'eak', 'repairs', 'switch', 'regret', 'subscribe', 'Telkomsel', 'honest', 'Please', 'fix']")</f>
        <v>['Network', 'ugly', 'Intrnetan', 'slow', 'buy', 'package', 'inernetan', 'quata', 'GB', 'used', 'exhaust', 'active', ' Severe ',' Original ',' Severe ',' Change ',' Tlng ',' Gantibrugi ',' Kuata ',' Harms', 'Kuata', 'Disappointed', 'Telkomsel', 'parahhhhhhhh', 'screenshot' , 'Reviews', 'disappointed', 'network', 'eak', 'repairs', 'switch', 'regret', 'subscribe', 'Telkomsel', 'honest', 'Please', 'fix']</v>
      </c>
      <c r="D6830" s="3">
        <v>1.0</v>
      </c>
    </row>
    <row r="6831" ht="15.75" customHeight="1">
      <c r="A6831" s="1">
        <v>7338.0</v>
      </c>
      <c r="B6831" s="3" t="s">
        <v>6588</v>
      </c>
      <c r="C6831" s="3" t="str">
        <f>IFERROR(__xludf.DUMMYFUNCTION("GOOGLETRANSLATE(B6831,""id"",""en"")"),"['Good', 'really', 'ttttttttt', '']")</f>
        <v>['Good', 'really', 'ttttttttt', '']</v>
      </c>
      <c r="D6831" s="3">
        <v>5.0</v>
      </c>
    </row>
    <row r="6832" ht="15.75" customHeight="1">
      <c r="A6832" s="1">
        <v>7339.0</v>
      </c>
      <c r="B6832" s="3" t="s">
        <v>6589</v>
      </c>
      <c r="C6832" s="3" t="str">
        <f>IFERROR(__xludf.DUMMYFUNCTION("GOOGLETRANSLATE(B6832,""id"",""en"")"),"['Love', 'Bintang', 'Please', 'Her John', 'Reinforced']")</f>
        <v>['Love', 'Bintang', 'Please', 'Her John', 'Reinforced']</v>
      </c>
      <c r="D6832" s="3">
        <v>5.0</v>
      </c>
    </row>
    <row r="6833" ht="15.75" customHeight="1">
      <c r="A6833" s="1">
        <v>7340.0</v>
      </c>
      <c r="B6833" s="3" t="s">
        <v>6590</v>
      </c>
      <c r="C6833" s="3" t="str">
        <f>IFERROR(__xludf.DUMMYFUNCTION("GOOGLETRANSLATE(B6833,""id"",""en"")"),"['Good', 'help', 'APK']")</f>
        <v>['Good', 'help', 'APK']</v>
      </c>
      <c r="D6833" s="3">
        <v>5.0</v>
      </c>
    </row>
    <row r="6834" ht="15.75" customHeight="1">
      <c r="A6834" s="1">
        <v>7342.0</v>
      </c>
      <c r="B6834" s="3" t="s">
        <v>6591</v>
      </c>
      <c r="C6834" s="3" t="str">
        <f>IFERROR(__xludf.DUMMYFUNCTION("GOOGLETRANSLATE(B6834,""id"",""en"")"),"['Season', 'buy', 'package', 'Internet', 'response', 'SMS', 'Credit', 'Cut', 'Package', 'Data', 'Enter', 'Credit', ' Nyedot ',' Data ',' Matiin ',' ']")</f>
        <v>['Season', 'buy', 'package', 'Internet', 'response', 'SMS', 'Credit', 'Cut', 'Package', 'Data', 'Enter', 'Credit', ' Nyedot ',' Data ',' Matiin ',' ']</v>
      </c>
      <c r="D6834" s="3">
        <v>1.0</v>
      </c>
    </row>
    <row r="6835" ht="15.75" customHeight="1">
      <c r="A6835" s="1">
        <v>7343.0</v>
      </c>
      <c r="B6835" s="3" t="s">
        <v>6592</v>
      </c>
      <c r="C6835" s="3" t="str">
        <f>IFERROR(__xludf.DUMMYFUNCTION("GOOGLETRANSLATE(B6835,""id"",""en"")"),"['already', 'maniac', 'provider', 'price', 'package', 'thousand', 'thousand', 'already', 'steady', 'provider', 'already', 'Worth', ' price', '']")</f>
        <v>['already', 'maniac', 'provider', 'price', 'package', 'thousand', 'thousand', 'already', 'steady', 'provider', 'already', 'Worth', ' price', '']</v>
      </c>
      <c r="D6835" s="3">
        <v>1.0</v>
      </c>
    </row>
    <row r="6836" ht="15.75" customHeight="1">
      <c r="A6836" s="1">
        <v>7344.0</v>
      </c>
      <c r="B6836" s="3" t="s">
        <v>6593</v>
      </c>
      <c r="C6836" s="3" t="str">
        <f>IFERROR(__xludf.DUMMYFUNCTION("GOOGLETRANSLATE(B6836,""id"",""en"")"),"['Telkomsel', 'signal', 'help', 'wherever']")</f>
        <v>['Telkomsel', 'signal', 'help', 'wherever']</v>
      </c>
      <c r="D6836" s="3">
        <v>5.0</v>
      </c>
    </row>
    <row r="6837" ht="15.75" customHeight="1">
      <c r="A6837" s="1">
        <v>7346.0</v>
      </c>
      <c r="B6837" s="3" t="s">
        <v>1000</v>
      </c>
      <c r="C6837" s="3" t="str">
        <f>IFERROR(__xludf.DUMMYFUNCTION("GOOGLETRANSLATE(B6837,""id"",""en"")"),"['Package', 'Promo', '']")</f>
        <v>['Package', 'Promo', '']</v>
      </c>
      <c r="D6837" s="3">
        <v>5.0</v>
      </c>
    </row>
    <row r="6838" ht="15.75" customHeight="1">
      <c r="A6838" s="1">
        <v>7347.0</v>
      </c>
      <c r="B6838" s="3" t="s">
        <v>6594</v>
      </c>
      <c r="C6838" s="3" t="str">
        <f>IFERROR(__xludf.DUMMYFUNCTION("GOOGLETRANSLATE(B6838,""id"",""en"")"),"['Credit', 'Cut', 'Bener', 'Reedem', 'Package', 'Daily', 'Check', 'Out', 'RBAN', 'Crazy', 'MAH', 'DSAAT', ' Check ',' Daily ',' Credit ',' GPP ',' PAS ',' UDH ',' CISSION ',' Credit ',' Cut ']")</f>
        <v>['Credit', 'Cut', 'Bener', 'Reedem', 'Package', 'Daily', 'Check', 'Out', 'RBAN', 'Crazy', 'MAH', 'DSAAT', ' Check ',' Daily ',' Credit ',' GPP ',' PAS ',' UDH ',' CISSION ',' Credit ',' Cut ']</v>
      </c>
      <c r="D6838" s="3">
        <v>1.0</v>
      </c>
    </row>
    <row r="6839" ht="15.75" customHeight="1">
      <c r="A6839" s="1">
        <v>7348.0</v>
      </c>
      <c r="B6839" s="3" t="s">
        <v>6595</v>
      </c>
      <c r="C6839" s="3" t="str">
        <f>IFERROR(__xludf.DUMMYFUNCTION("GOOGLETRANSLATE(B6839,""id"",""en"")"),"['Please', 'Win', 'Exchange', 'Points', 'Win']")</f>
        <v>['Please', 'Win', 'Exchange', 'Points', 'Win']</v>
      </c>
      <c r="D6839" s="3">
        <v>5.0</v>
      </c>
    </row>
    <row r="6840" ht="15.75" customHeight="1">
      <c r="A6840" s="1">
        <v>7349.0</v>
      </c>
      <c r="B6840" s="3" t="s">
        <v>6596</v>
      </c>
      <c r="C6840" s="3" t="str">
        <f>IFERROR(__xludf.DUMMYFUNCTION("GOOGLETRANSLATE(B6840,""id"",""en"")"),"['Thank you', 'help']")</f>
        <v>['Thank you', 'help']</v>
      </c>
      <c r="D6840" s="3">
        <v>5.0</v>
      </c>
    </row>
    <row r="6841" ht="15.75" customHeight="1">
      <c r="A6841" s="1">
        <v>7350.0</v>
      </c>
      <c r="B6841" s="3" t="s">
        <v>6597</v>
      </c>
      <c r="C6841" s="3" t="str">
        <f>IFERROR(__xludf.DUMMYFUNCTION("GOOGLETRANSLATE(B6841,""id"",""en"")"),"['run out', 'then', 'where', 'leftover', 'pulses', 'used', 'report', 'Telkomsel', 'Severe', '']")</f>
        <v>['run out', 'then', 'where', 'leftover', 'pulses', 'used', 'report', 'Telkomsel', 'Severe', '']</v>
      </c>
      <c r="D6841" s="3">
        <v>1.0</v>
      </c>
    </row>
    <row r="6842" ht="15.75" customHeight="1">
      <c r="A6842" s="1">
        <v>7351.0</v>
      </c>
      <c r="B6842" s="3" t="s">
        <v>6598</v>
      </c>
      <c r="C6842" s="3" t="str">
        <f>IFERROR(__xludf.DUMMYFUNCTION("GOOGLETRANSLATE(B6842,""id"",""en"")"),"['Understanding', 'instructions', 'Guidance', 'process', 'manufacture', 'application', 'etc.', '']")</f>
        <v>['Understanding', 'instructions', 'Guidance', 'process', 'manufacture', 'application', 'etc.', '']</v>
      </c>
      <c r="D6842" s="3">
        <v>5.0</v>
      </c>
    </row>
    <row r="6843" ht="15.75" customHeight="1">
      <c r="A6843" s="1">
        <v>7352.0</v>
      </c>
      <c r="B6843" s="3" t="s">
        <v>6599</v>
      </c>
      <c r="C6843" s="3" t="str">
        <f>IFERROR(__xludf.DUMMYFUNCTION("GOOGLETRANSLATE(B6843,""id"",""en"")"),"['Steady', 'spacious']")</f>
        <v>['Steady', 'spacious']</v>
      </c>
      <c r="D6843" s="3">
        <v>5.0</v>
      </c>
    </row>
    <row r="6844" ht="15.75" customHeight="1">
      <c r="A6844" s="1">
        <v>7353.0</v>
      </c>
      <c r="B6844" s="3" t="s">
        <v>6600</v>
      </c>
      <c r="C6844" s="3" t="str">
        <f>IFERROR(__xludf.DUMMYFUNCTION("GOOGLETRANSLATE(B6844,""id"",""en"")"),"['Woiii', 'Telkomsel', 'Djaringan', 'internet', 'Ancuurr', 'Lemott', 'signal', 'bar', 'down', 'again', 'please', 'fix', ' Quality ',' The network ',' LemoooooTtttt ',' Tamplate ',' satisfying ',' Thank ',' Kaaih ']")</f>
        <v>['Woiii', 'Telkomsel', 'Djaringan', 'internet', 'Ancuurr', 'Lemott', 'signal', 'bar', 'down', 'again', 'please', 'fix', ' Quality ',' The network ',' LemoooooTtttt ',' Tamplate ',' satisfying ',' Thank ',' Kaaih ']</v>
      </c>
      <c r="D6844" s="3">
        <v>1.0</v>
      </c>
    </row>
    <row r="6845" ht="15.75" customHeight="1">
      <c r="A6845" s="1">
        <v>7354.0</v>
      </c>
      <c r="B6845" s="3" t="s">
        <v>6601</v>
      </c>
      <c r="C6845" s="3" t="str">
        <f>IFERROR(__xludf.DUMMYFUNCTION("GOOGLETRANSLATE(B6845,""id"",""en"")"),"['transaction', 'easy', 'choice']")</f>
        <v>['transaction', 'easy', 'choice']</v>
      </c>
      <c r="D6845" s="3">
        <v>5.0</v>
      </c>
    </row>
    <row r="6846" ht="15.75" customHeight="1">
      <c r="A6846" s="1">
        <v>7355.0</v>
      </c>
      <c r="B6846" s="3" t="s">
        <v>6602</v>
      </c>
      <c r="C6846" s="3" t="str">
        <f>IFERROR(__xludf.DUMMYFUNCTION("GOOGLETRANSLATE(B6846,""id"",""en"")"),"['Package', 'unlimited', 'max', 'price', 'combo', 'Sakti', 'unlimited', 'price', 'operator', 'strangling', 'use', 'a little', ' Ride in ',' TTP ',' taste ',' expensive ', ""]")</f>
        <v>['Package', 'unlimited', 'max', 'price', 'combo', 'Sakti', 'unlimited', 'price', 'operator', 'strangling', 'use', 'a little', ' Ride in ',' TTP ',' taste ',' expensive ', "]</v>
      </c>
      <c r="D6846" s="3">
        <v>1.0</v>
      </c>
    </row>
    <row r="6847" ht="15.75" customHeight="1">
      <c r="A6847" s="1">
        <v>7356.0</v>
      </c>
      <c r="B6847" s="3" t="s">
        <v>6603</v>
      </c>
      <c r="C6847" s="3" t="str">
        <f>IFERROR(__xludf.DUMMYFUNCTION("GOOGLETRANSLATE(B6847,""id"",""en"")"),"['NJS', 'package', 'Telkomsel', 'expensive', 'bed', 'signal', 'slow', 'lose', 'card', 'smooth', 'pulak']")</f>
        <v>['NJS', 'package', 'Telkomsel', 'expensive', 'bed', 'signal', 'slow', 'lose', 'card', 'smooth', 'pulak']</v>
      </c>
      <c r="D6847" s="3">
        <v>1.0</v>
      </c>
    </row>
    <row r="6848" ht="15.75" customHeight="1">
      <c r="A6848" s="1">
        <v>7357.0</v>
      </c>
      <c r="B6848" s="3" t="s">
        <v>6604</v>
      </c>
      <c r="C6848" s="3" t="str">
        <f>IFERROR(__xludf.DUMMYFUNCTION("GOOGLETRANSLATE(B6848,""id"",""en"")"),"['no', 'list', 'card', 'user', '']")</f>
        <v>['no', 'list', 'card', 'user', '']</v>
      </c>
      <c r="D6848" s="3">
        <v>1.0</v>
      </c>
    </row>
    <row r="6849" ht="15.75" customHeight="1">
      <c r="A6849" s="1">
        <v>7358.0</v>
      </c>
      <c r="B6849" s="3" t="s">
        <v>6605</v>
      </c>
      <c r="C6849" s="3" t="str">
        <f>IFERROR(__xludf.DUMMYFUNCTION("GOOGLETRANSLATE(B6849,""id"",""en"")"),"['application', 'difficult', 'opened', 'recommended', 'blood', 'direct', 'stroke', 'application', 'class', 'telkmsl', ""]")</f>
        <v>['application', 'difficult', 'opened', 'recommended', 'blood', 'direct', 'stroke', 'application', 'class', 'telkmsl', "]</v>
      </c>
      <c r="D6849" s="3">
        <v>1.0</v>
      </c>
    </row>
    <row r="6850" ht="15.75" customHeight="1">
      <c r="A6850" s="1">
        <v>7359.0</v>
      </c>
      <c r="B6850" s="3" t="s">
        <v>6606</v>
      </c>
      <c r="C6850" s="3" t="str">
        <f>IFERROR(__xludf.DUMMYFUNCTION("GOOGLETRANSLATE(B6850,""id"",""en"")"),"['Convenience', 'Communicate', '']")</f>
        <v>['Convenience', 'Communicate', '']</v>
      </c>
      <c r="D6850" s="3">
        <v>5.0</v>
      </c>
    </row>
    <row r="6851" ht="15.75" customHeight="1">
      <c r="A6851" s="1">
        <v>7360.0</v>
      </c>
      <c r="B6851" s="3" t="s">
        <v>6607</v>
      </c>
      <c r="C6851" s="3" t="str">
        <f>IFERROR(__xludf.DUMMYFUNCTION("GOOGLETRANSLATE(B6851,""id"",""en"")"),"['', 'Telkomsel', 'help', ""]")</f>
        <v>['', 'Telkomsel', 'help', "]</v>
      </c>
      <c r="D6851" s="3">
        <v>5.0</v>
      </c>
    </row>
    <row r="6852" ht="15.75" customHeight="1">
      <c r="A6852" s="1">
        <v>7361.0</v>
      </c>
      <c r="B6852" s="3" t="s">
        <v>6608</v>
      </c>
      <c r="C6852" s="3" t="str">
        <f>IFERROR(__xludf.DUMMYFUNCTION("GOOGLETRANSLATE(B6852,""id"",""en"")"),"['Is easy', 'complete', 'cool', 'just']")</f>
        <v>['Is easy', 'complete', 'cool', 'just']</v>
      </c>
      <c r="D6852" s="3">
        <v>5.0</v>
      </c>
    </row>
    <row r="6853" ht="15.75" customHeight="1">
      <c r="A6853" s="1">
        <v>7362.0</v>
      </c>
      <c r="B6853" s="3" t="s">
        <v>6609</v>
      </c>
      <c r="C6853" s="3" t="str">
        <f>IFERROR(__xludf.DUMMYFUNCTION("GOOGLETRANSLATE(B6853,""id"",""en"")"),"['Signal', 'Changed', 'Change', 'Sometimes', 'Sometimes', 'Bad', 'Galumpit', 'Village', 'Cileunyi', 'Kulon', 'Kab', 'Bandung']")</f>
        <v>['Signal', 'Changed', 'Change', 'Sometimes', 'Sometimes', 'Bad', 'Galumpit', 'Village', 'Cileunyi', 'Kulon', 'Kab', 'Bandung']</v>
      </c>
      <c r="D6853" s="3">
        <v>4.0</v>
      </c>
    </row>
    <row r="6854" ht="15.75" customHeight="1">
      <c r="A6854" s="1">
        <v>7363.0</v>
      </c>
      <c r="B6854" s="3" t="s">
        <v>6610</v>
      </c>
      <c r="C6854" s="3" t="str">
        <f>IFERROR(__xludf.DUMMYFUNCTION("GOOGLETRANSLATE(B6854,""id"",""en"")"),"['Buy', 'Paketan', 'Credit', 'Closed', 'Telkomsel', 'It's better', ""]")</f>
        <v>['Buy', 'Paketan', 'Credit', 'Closed', 'Telkomsel', 'It's better', "]</v>
      </c>
      <c r="D6854" s="3">
        <v>1.0</v>
      </c>
    </row>
    <row r="6855" ht="15.75" customHeight="1">
      <c r="A6855" s="1">
        <v>7365.0</v>
      </c>
      <c r="B6855" s="3" t="s">
        <v>2700</v>
      </c>
      <c r="C6855" s="3" t="str">
        <f>IFERROR(__xludf.DUMMYFUNCTION("GOOGLETRANSLATE(B6855,""id"",""en"")"),"['easy', 'use']")</f>
        <v>['easy', 'use']</v>
      </c>
      <c r="D6855" s="3">
        <v>5.0</v>
      </c>
    </row>
    <row r="6856" ht="15.75" customHeight="1">
      <c r="A6856" s="1">
        <v>7366.0</v>
      </c>
      <c r="B6856" s="3" t="s">
        <v>6611</v>
      </c>
      <c r="C6856" s="3" t="str">
        <f>IFERROR(__xludf.DUMMYFUNCTION("GOOGLETRANSLATE(B6856,""id"",""en"")"),"['APK', 'good', 'admin', 'crazy']")</f>
        <v>['APK', 'good', 'admin', 'crazy']</v>
      </c>
      <c r="D6856" s="3">
        <v>1.0</v>
      </c>
    </row>
    <row r="6857" ht="15.75" customHeight="1">
      <c r="A6857" s="1">
        <v>7367.0</v>
      </c>
      <c r="B6857" s="3" t="s">
        <v>6612</v>
      </c>
      <c r="C6857" s="3" t="str">
        <f>IFERROR(__xludf.DUMMYFUNCTION("GOOGLETRANSLATE(B6857,""id"",""en"")"),"['Ilove', 'Telkomsel', 'Telkomsel', 'Network', 'The strongest', 'The widest', 'remote', 'area', 'hopefully', 'Telkomsel', 'best', 'Customer', ' ']")</f>
        <v>['Ilove', 'Telkomsel', 'Telkomsel', 'Network', 'The strongest', 'The widest', 'remote', 'area', 'hopefully', 'Telkomsel', 'best', 'Customer', ' ']</v>
      </c>
      <c r="D6857" s="3">
        <v>5.0</v>
      </c>
    </row>
    <row r="6858" ht="15.75" customHeight="1">
      <c r="A6858" s="1">
        <v>7368.0</v>
      </c>
      <c r="B6858" s="3" t="s">
        <v>6613</v>
      </c>
      <c r="C6858" s="3" t="str">
        <f>IFERROR(__xludf.DUMMYFUNCTION("GOOGLETRANSLATE(B6858,""id"",""en"")"),"['Try', 'Donk', 'Application', 'Open', 'Pakek', 'Internet', 'Good']")</f>
        <v>['Try', 'Donk', 'Application', 'Open', 'Pakek', 'Internet', 'Good']</v>
      </c>
      <c r="D6858" s="3">
        <v>4.0</v>
      </c>
    </row>
    <row r="6859" ht="15.75" customHeight="1">
      <c r="A6859" s="1">
        <v>7370.0</v>
      </c>
      <c r="B6859" s="3" t="s">
        <v>6614</v>
      </c>
      <c r="C6859" s="3" t="str">
        <f>IFERROR(__xludf.DUMMYFUNCTION("GOOGLETRANSLATE(B6859,""id"",""en"")"),"['Steady', 'Network', 'Telkomsel']")</f>
        <v>['Steady', 'Network', 'Telkomsel']</v>
      </c>
      <c r="D6859" s="3">
        <v>5.0</v>
      </c>
    </row>
    <row r="6860" ht="15.75" customHeight="1">
      <c r="A6860" s="1">
        <v>7371.0</v>
      </c>
      <c r="B6860" s="3" t="s">
        <v>6615</v>
      </c>
      <c r="C6860" s="3" t="str">
        <f>IFERROR(__xludf.DUMMYFUNCTION("GOOGLETRANSLATE(B6860,""id"",""en"")"),"['chaotic', 'internet', 'ilang', 'play', 'game']")</f>
        <v>['chaotic', 'internet', 'ilang', 'play', 'game']</v>
      </c>
      <c r="D6860" s="3">
        <v>1.0</v>
      </c>
    </row>
    <row r="6861" ht="15.75" customHeight="1">
      <c r="A6861" s="1">
        <v>7373.0</v>
      </c>
      <c r="B6861" s="3" t="s">
        <v>6616</v>
      </c>
      <c r="C6861" s="3" t="str">
        <f>IFERROR(__xludf.DUMMYFUNCTION("GOOGLETRANSLATE(B6861,""id"",""en"")"),"['Telkomsel', 'Points', 'reported', '']")</f>
        <v>['Telkomsel', 'Points', 'reported', '']</v>
      </c>
      <c r="D6861" s="3">
        <v>3.0</v>
      </c>
    </row>
    <row r="6862" ht="15.75" customHeight="1">
      <c r="A6862" s="1">
        <v>7374.0</v>
      </c>
      <c r="B6862" s="3" t="s">
        <v>6617</v>
      </c>
      <c r="C6862" s="3" t="str">
        <f>IFERROR(__xludf.DUMMYFUNCTION("GOOGLETRANSLATE(B6862,""id"",""en"")"),"['The network', 'ugly', 'rich', 'play', 'games',' network ',' lost ',' mah ',' hlo ',' hlo ',' kak ',' knp ',' network ',' Telkomsel ',' missing ',' please ',' fast ',' fix ',' plizz ',' kak ',' fix ',' users', 'telkomsel', 'disturbed', 'so' , 'The info',"&amp;" 'Sis', 'please', 'fast', 'repaired', '']")</f>
        <v>['The network', 'ugly', 'rich', 'play', 'games',' network ',' lost ',' mah ',' hlo ',' hlo ',' kak ',' knp ',' network ',' Telkomsel ',' missing ',' please ',' fast ',' fix ',' plizz ',' kak ',' fix ',' users', 'telkomsel', 'disturbed', 'so' , 'The info', 'Sis', 'please', 'fast', 'repaired', '']</v>
      </c>
      <c r="D6862" s="3">
        <v>1.0</v>
      </c>
    </row>
    <row r="6863" ht="15.75" customHeight="1">
      <c r="A6863" s="1">
        <v>7375.0</v>
      </c>
      <c r="B6863" s="3" t="s">
        <v>6618</v>
      </c>
      <c r="C6863" s="3" t="str">
        <f>IFERROR(__xludf.DUMMYFUNCTION("GOOGLETRANSLATE(B6863,""id"",""en"")"),"['MyTelkomsel', 'best', 'area', 'bidder', 'aji', 'bone', 'onion', 'Lampung', ""]")</f>
        <v>['MyTelkomsel', 'best', 'area', 'bidder', 'aji', 'bone', 'onion', 'Lampung', "]</v>
      </c>
      <c r="D6863" s="3">
        <v>5.0</v>
      </c>
    </row>
    <row r="6864" ht="15.75" customHeight="1">
      <c r="A6864" s="1">
        <v>7376.0</v>
      </c>
      <c r="B6864" s="3" t="s">
        <v>6619</v>
      </c>
      <c r="C6864" s="3" t="str">
        <f>IFERROR(__xludf.DUMMYFUNCTION("GOOGLETRANSLATE(B6864,""id"",""en"")"),"['Service', 'Telkomsel', 'Best']")</f>
        <v>['Service', 'Telkomsel', 'Best']</v>
      </c>
      <c r="D6864" s="3">
        <v>5.0</v>
      </c>
    </row>
    <row r="6865" ht="15.75" customHeight="1">
      <c r="A6865" s="1">
        <v>7377.0</v>
      </c>
      <c r="B6865" s="3" t="s">
        <v>6620</v>
      </c>
      <c r="C6865" s="3" t="str">
        <f>IFERROR(__xludf.DUMMYFUNCTION("GOOGLETRANSLATE(B6865,""id"",""en"")"),"['polling', 'SGT', 'annoying', 'open', 'application', 'polling', 'then']")</f>
        <v>['polling', 'SGT', 'annoying', 'open', 'application', 'polling', 'then']</v>
      </c>
      <c r="D6865" s="3">
        <v>1.0</v>
      </c>
    </row>
    <row r="6866" ht="15.75" customHeight="1">
      <c r="A6866" s="1">
        <v>7378.0</v>
      </c>
      <c r="B6866" s="3" t="s">
        <v>6621</v>
      </c>
      <c r="C6866" s="3" t="str">
        <f>IFERROR(__xludf.DUMMYFUNCTION("GOOGLETRANSLATE(B6866,""id"",""en"")"),"['Sontoloyo', 'narrated', 'gift', 'package', 'data', 'Telkomsel', 'pay attention', 'network', 'kartuku', 'run out', 'pulseku', 'suck', ' Auto ',' delete ']")</f>
        <v>['Sontoloyo', 'narrated', 'gift', 'package', 'data', 'Telkomsel', 'pay attention', 'network', 'kartuku', 'run out', 'pulseku', 'suck', ' Auto ',' delete ']</v>
      </c>
      <c r="D6866" s="3">
        <v>1.0</v>
      </c>
    </row>
    <row r="6867" ht="15.75" customHeight="1">
      <c r="A6867" s="1">
        <v>7379.0</v>
      </c>
      <c r="B6867" s="3" t="s">
        <v>968</v>
      </c>
      <c r="C6867" s="3" t="str">
        <f>IFERROR(__xludf.DUMMYFUNCTION("GOOGLETRANSLATE(B6867,""id"",""en"")"),"['application', '']")</f>
        <v>['application', '']</v>
      </c>
      <c r="D6867" s="3">
        <v>3.0</v>
      </c>
    </row>
    <row r="6868" ht="15.75" customHeight="1">
      <c r="A6868" s="1">
        <v>7380.0</v>
      </c>
      <c r="B6868" s="3" t="s">
        <v>6622</v>
      </c>
      <c r="C6868" s="3" t="str">
        <f>IFERROR(__xludf.DUMMYFUNCTION("GOOGLETRANSLATE(B6868,""id"",""en"")"),"['Tetep', 'Used', 'Seriously', 'Adin', 'Package', 'Balance', 'Buy', 'Package', 'Must', 'Left', 'Males', 'Use it']")</f>
        <v>['Tetep', 'Used', 'Seriously', 'Adin', 'Package', 'Balance', 'Buy', 'Package', 'Must', 'Left', 'Males', 'Use it']</v>
      </c>
      <c r="D6868" s="3">
        <v>1.0</v>
      </c>
    </row>
    <row r="6869" ht="15.75" customHeight="1">
      <c r="A6869" s="1">
        <v>7381.0</v>
      </c>
      <c r="B6869" s="3" t="s">
        <v>4707</v>
      </c>
      <c r="C6869" s="3" t="str">
        <f>IFERROR(__xludf.DUMMYFUNCTION("GOOGLETRANSLATE(B6869,""id"",""en"")"),"['Help', 'Simple']")</f>
        <v>['Help', 'Simple']</v>
      </c>
      <c r="D6869" s="3">
        <v>5.0</v>
      </c>
    </row>
    <row r="6870" ht="15.75" customHeight="1">
      <c r="A6870" s="1">
        <v>7382.0</v>
      </c>
      <c r="B6870" s="3" t="s">
        <v>6623</v>
      </c>
      <c r="C6870" s="3" t="str">
        <f>IFERROR(__xludf.DUMMYFUNCTION("GOOGLETRANSLATE(B6870,""id"",""en"")"),"['Internet', 'Telkomsel', 'Disconnect', 'Slow', 'Quality', 'Quality']")</f>
        <v>['Internet', 'Telkomsel', 'Disconnect', 'Slow', 'Quality', 'Quality']</v>
      </c>
      <c r="D6870" s="3">
        <v>2.0</v>
      </c>
    </row>
    <row r="6871" ht="15.75" customHeight="1">
      <c r="A6871" s="1">
        <v>7383.0</v>
      </c>
      <c r="B6871" s="3" t="s">
        <v>6624</v>
      </c>
      <c r="C6871" s="3" t="str">
        <f>IFERROR(__xludf.DUMMYFUNCTION("GOOGLETRANSLATE(B6871,""id"",""en"")"),"['Satisfied', 'Hopefully', 'Telkomsal', 'Maintain']")</f>
        <v>['Satisfied', 'Hopefully', 'Telkomsal', 'Maintain']</v>
      </c>
      <c r="D6871" s="3">
        <v>5.0</v>
      </c>
    </row>
    <row r="6872" ht="15.75" customHeight="1">
      <c r="A6872" s="1">
        <v>7384.0</v>
      </c>
      <c r="B6872" s="3" t="s">
        <v>3943</v>
      </c>
      <c r="C6872" s="3" t="str">
        <f>IFERROR(__xludf.DUMMYFUNCTION("GOOGLETRANSLATE(B6872,""id"",""en"")"),"['steady']")</f>
        <v>['steady']</v>
      </c>
      <c r="D6872" s="3">
        <v>5.0</v>
      </c>
    </row>
    <row r="6873" ht="15.75" customHeight="1">
      <c r="A6873" s="1">
        <v>7385.0</v>
      </c>
      <c r="B6873" s="3" t="s">
        <v>6625</v>
      </c>
      <c r="C6873" s="3" t="str">
        <f>IFERROR(__xludf.DUMMYFUNCTION("GOOGLETRANSLATE(B6873,""id"",""en"")"),"['price', 'quota', 'expensive', 'really', 'try', 'agam', 'cheap', 'condition', 'difficult']")</f>
        <v>['price', 'quota', 'expensive', 'really', 'try', 'agam', 'cheap', 'condition', 'difficult']</v>
      </c>
      <c r="D6873" s="3">
        <v>3.0</v>
      </c>
    </row>
    <row r="6874" ht="15.75" customHeight="1">
      <c r="A6874" s="1">
        <v>7386.0</v>
      </c>
      <c r="B6874" s="3" t="s">
        <v>6626</v>
      </c>
      <c r="C6874" s="3" t="str">
        <f>IFERROR(__xludf.DUMMYFUNCTION("GOOGLETRANSLATE(B6874,""id"",""en"")"),"['TGL', 'Nov', 'Telkomsel', 'Package', 'GB', 'for', 'bought', 'Pay', 'progress',' Notif ',' Skli ',' Pair ',' Tetep ',' Notif ',' bgtu ',' opened ',' app ',' package ',' ngeprank ',' times', 'hahahaha']")</f>
        <v>['TGL', 'Nov', 'Telkomsel', 'Package', 'GB', 'for', 'bought', 'Pay', 'progress',' Notif ',' Skli ',' Pair ',' Tetep ',' Notif ',' bgtu ',' opened ',' app ',' package ',' ngeprank ',' times', 'hahahaha']</v>
      </c>
      <c r="D6874" s="3">
        <v>1.0</v>
      </c>
    </row>
    <row r="6875" ht="15.75" customHeight="1">
      <c r="A6875" s="1">
        <v>7387.0</v>
      </c>
      <c r="B6875" s="3" t="s">
        <v>6627</v>
      </c>
      <c r="C6875" s="3" t="str">
        <f>IFERROR(__xludf.DUMMYFUNCTION("GOOGLETRANSLATE(B6875,""id"",""en"")"),"['Greetings', 'Success', 'MyTelkomselku']")</f>
        <v>['Greetings', 'Success', 'MyTelkomselku']</v>
      </c>
      <c r="D6875" s="3">
        <v>5.0</v>
      </c>
    </row>
    <row r="6876" ht="15.75" customHeight="1">
      <c r="A6876" s="1">
        <v>7388.0</v>
      </c>
      <c r="B6876" s="3" t="s">
        <v>6628</v>
      </c>
      <c r="C6876" s="3" t="str">
        <f>IFERROR(__xludf.DUMMYFUNCTION("GOOGLETRANSLATE(B6876,""id"",""en"")"),"['expensive', 'Sing', 'service', 'data', 'repaired', '']")</f>
        <v>['expensive', 'Sing', 'service', 'data', 'repaired', '']</v>
      </c>
      <c r="D6876" s="3">
        <v>4.0</v>
      </c>
    </row>
    <row r="6877" ht="15.75" customHeight="1">
      <c r="A6877" s="1">
        <v>7389.0</v>
      </c>
      <c r="B6877" s="3" t="s">
        <v>6629</v>
      </c>
      <c r="C6877" s="3" t="str">
        <f>IFERROR(__xludf.DUMMYFUNCTION("GOOGLETRANSLATE(B6877,""id"",""en"")"),"['Package', 'Inet', 'Remnant', 'Internet', 'Message', 'Enter', 'Internet', 'Package', 'Direct', 'Non', 'Activate', 'Inet', ' late ',' that way ',' night ',' quota ',' inet ',' mhn ',' telkomsel ',' fixed ',' policy ',' commit ']")</f>
        <v>['Package', 'Inet', 'Remnant', 'Internet', 'Message', 'Enter', 'Internet', 'Package', 'Direct', 'Non', 'Activate', 'Inet', ' late ',' that way ',' night ',' quota ',' inet ',' mhn ',' telkomsel ',' fixed ',' policy ',' commit ']</v>
      </c>
      <c r="D6877" s="3">
        <v>3.0</v>
      </c>
    </row>
    <row r="6878" ht="15.75" customHeight="1">
      <c r="A6878" s="1">
        <v>7390.0</v>
      </c>
      <c r="B6878" s="3" t="s">
        <v>6630</v>
      </c>
      <c r="C6878" s="3" t="str">
        <f>IFERROR(__xludf.DUMMYFUNCTION("GOOGLETRANSLATE(B6878,""id"",""en"")"),"['steady', 'package', 'cheap', '']")</f>
        <v>['steady', 'package', 'cheap', '']</v>
      </c>
      <c r="D6878" s="3">
        <v>5.0</v>
      </c>
    </row>
    <row r="6879" ht="15.75" customHeight="1">
      <c r="A6879" s="1">
        <v>7391.0</v>
      </c>
      <c r="B6879" s="3" t="s">
        <v>6631</v>
      </c>
      <c r="C6879" s="3" t="str">
        <f>IFERROR(__xludf.DUMMYFUNCTION("GOOGLETRANSLATE(B6879,""id"",""en"")"),"['The connection', 'bad', 'package', 'stay', 'Jakarta', 'connection', 'bad']")</f>
        <v>['The connection', 'bad', 'package', 'stay', 'Jakarta', 'connection', 'bad']</v>
      </c>
      <c r="D6879" s="3">
        <v>3.0</v>
      </c>
    </row>
    <row r="6880" ht="15.75" customHeight="1">
      <c r="A6880" s="1">
        <v>7392.0</v>
      </c>
      <c r="B6880" s="3" t="s">
        <v>5445</v>
      </c>
      <c r="C6880" s="3" t="str">
        <f>IFERROR(__xludf.DUMMYFUNCTION("GOOGLETRANSLATE(B6880,""id"",""en"")"),"['fast']")</f>
        <v>['fast']</v>
      </c>
      <c r="D6880" s="3">
        <v>3.0</v>
      </c>
    </row>
    <row r="6881" ht="15.75" customHeight="1">
      <c r="A6881" s="1">
        <v>7393.0</v>
      </c>
      <c r="B6881" s="3" t="s">
        <v>6632</v>
      </c>
      <c r="C6881" s="3" t="str">
        <f>IFERROR(__xludf.DUMMYFUNCTION("GOOGLETRANSLATE(B6881,""id"",""en"")"),"['Update', 'Tan', 'Error', '']")</f>
        <v>['Update', 'Tan', 'Error', '']</v>
      </c>
      <c r="D6881" s="3">
        <v>1.0</v>
      </c>
    </row>
    <row r="6882" ht="15.75" customHeight="1">
      <c r="A6882" s="1">
        <v>7394.0</v>
      </c>
      <c r="B6882" s="3" t="s">
        <v>6633</v>
      </c>
      <c r="C6882" s="3" t="str">
        <f>IFERROR(__xludf.DUMMYFUNCTION("GOOGLETRANSLATE(B6882,""id"",""en"")"),"['Happy', 'use', 'Telkomsel', 'signal', 'good', 'plus',' gift ',' Anya ',' hopefully ',' Telkomsel ',' advanced ',' ']")</f>
        <v>['Happy', 'use', 'Telkomsel', 'signal', 'good', 'plus',' gift ',' Anya ',' hopefully ',' Telkomsel ',' advanced ',' ']</v>
      </c>
      <c r="D6882" s="3">
        <v>5.0</v>
      </c>
    </row>
    <row r="6883" ht="15.75" customHeight="1">
      <c r="A6883" s="1">
        <v>7395.0</v>
      </c>
      <c r="B6883" s="3" t="s">
        <v>6634</v>
      </c>
      <c r="C6883" s="3" t="str">
        <f>IFERROR(__xludf.DUMMYFUNCTION("GOOGLETRANSLATE(B6883,""id"",""en"")"),"['signal', 'visits', 'improved']")</f>
        <v>['signal', 'visits', 'improved']</v>
      </c>
      <c r="D6883" s="3">
        <v>1.0</v>
      </c>
    </row>
    <row r="6884" ht="15.75" customHeight="1">
      <c r="A6884" s="1">
        <v>7396.0</v>
      </c>
      <c r="B6884" s="3" t="s">
        <v>6635</v>
      </c>
      <c r="C6884" s="3" t="str">
        <f>IFERROR(__xludf.DUMMYFUNCTION("GOOGLETRANSLATE(B6884,""id"",""en"")"),"['Different', 'card', 'Different', 'Price', 'Ribet', 'Advertising', 'Useful', 'Most', 'Network', 'Leet', 'little', 'a little', ' Signal ',' lost ',' poor ',' poor ',' ']")</f>
        <v>['Different', 'card', 'Different', 'Price', 'Ribet', 'Advertising', 'Useful', 'Most', 'Network', 'Leet', 'little', 'a little', ' Signal ',' lost ',' poor ',' poor ',' ']</v>
      </c>
      <c r="D6884" s="3">
        <v>1.0</v>
      </c>
    </row>
    <row r="6885" ht="15.75" customHeight="1">
      <c r="A6885" s="1">
        <v>7397.0</v>
      </c>
      <c r="B6885" s="3" t="s">
        <v>286</v>
      </c>
      <c r="C6885" s="3" t="str">
        <f>IFERROR(__xludf.DUMMYFUNCTION("GOOGLETRANSLATE(B6885,""id"",""en"")"),"['good']")</f>
        <v>['good']</v>
      </c>
      <c r="D6885" s="3">
        <v>5.0</v>
      </c>
    </row>
    <row r="6886" ht="15.75" customHeight="1">
      <c r="A6886" s="1">
        <v>7398.0</v>
      </c>
      <c r="B6886" s="3" t="s">
        <v>6636</v>
      </c>
      <c r="C6886" s="3" t="str">
        <f>IFERROR(__xludf.DUMMYFUNCTION("GOOGLETRANSLATE(B6886,""id"",""en"")"),"['Increase', 'quality', 'service', 'continuous']")</f>
        <v>['Increase', 'quality', 'service', 'continuous']</v>
      </c>
      <c r="D6886" s="3">
        <v>5.0</v>
      </c>
    </row>
    <row r="6887" ht="15.75" customHeight="1">
      <c r="A6887" s="1">
        <v>7399.0</v>
      </c>
      <c r="B6887" s="3" t="s">
        <v>6637</v>
      </c>
      <c r="C6887" s="3" t="str">
        <f>IFERROR(__xludf.DUMMYFUNCTION("GOOGLETRANSLATE(B6887,""id"",""en"")"),"['thank', 'love', 'application', 'Telkomsel', 'help', 'good', 'really']")</f>
        <v>['thank', 'love', 'application', 'Telkomsel', 'help', 'good', 'really']</v>
      </c>
      <c r="D6887" s="3">
        <v>5.0</v>
      </c>
    </row>
    <row r="6888" ht="15.75" customHeight="1">
      <c r="A6888" s="1">
        <v>7400.0</v>
      </c>
      <c r="B6888" s="3" t="s">
        <v>6638</v>
      </c>
      <c r="C6888" s="3" t="str">
        <f>IFERROR(__xludf.DUMMYFUNCTION("GOOGLETRANSLATE(B6888,""id"",""en"")"),"['quality', 'internet', 'good', 'please', 'fix', 'buy', 'quota', 'area', 'kluarga', 'area', 'kenpa', 'tdak', ' Disight ',' Consumers', 'Buy', 'Tapo', 'Enter', '']")</f>
        <v>['quality', 'internet', 'good', 'please', 'fix', 'buy', 'quota', 'area', 'kluarga', 'area', 'kenpa', 'tdak', ' Disight ',' Consumers', 'Buy', 'Tapo', 'Enter', '']</v>
      </c>
      <c r="D6888" s="3">
        <v>3.0</v>
      </c>
    </row>
    <row r="6889" ht="15.75" customHeight="1">
      <c r="A6889" s="1">
        <v>7401.0</v>
      </c>
      <c r="B6889" s="3" t="s">
        <v>6639</v>
      </c>
      <c r="C6889" s="3" t="str">
        <f>IFERROR(__xludf.DUMMYFUNCTION("GOOGLETRANSLATE(B6889,""id"",""en"")"),"['Signal', 'Telkomsel', 'Good']")</f>
        <v>['Signal', 'Telkomsel', 'Good']</v>
      </c>
      <c r="D6889" s="3">
        <v>3.0</v>
      </c>
    </row>
    <row r="6890" ht="15.75" customHeight="1">
      <c r="A6890" s="1">
        <v>7402.0</v>
      </c>
      <c r="B6890" s="3" t="s">
        <v>6640</v>
      </c>
      <c r="C6890" s="3" t="str">
        <f>IFERROR(__xludf.DUMMYFUNCTION("GOOGLETRANSLATE(B6890,""id"",""en"")"),"['Setia', 'Telkomsel']")</f>
        <v>['Setia', 'Telkomsel']</v>
      </c>
      <c r="D6890" s="3">
        <v>5.0</v>
      </c>
    </row>
    <row r="6891" ht="15.75" customHeight="1">
      <c r="A6891" s="1">
        <v>7403.0</v>
      </c>
      <c r="B6891" s="3" t="s">
        <v>6641</v>
      </c>
      <c r="C6891" s="3" t="str">
        <f>IFERROR(__xludf.DUMMYFUNCTION("GOOGLETRANSLATE(B6891,""id"",""en"")"),"['Loooohh', 'process', 'Processer', 'Thank', 'for', 'See', 'You']")</f>
        <v>['Loooohh', 'process', 'Processer', 'Thank', 'for', 'See', 'You']</v>
      </c>
      <c r="D6891" s="3">
        <v>3.0</v>
      </c>
    </row>
    <row r="6892" ht="15.75" customHeight="1">
      <c r="A6892" s="1">
        <v>7404.0</v>
      </c>
      <c r="B6892" s="3" t="s">
        <v>6642</v>
      </c>
      <c r="C6892" s="3" t="str">
        <f>IFERROR(__xludf.DUMMYFUNCTION("GOOGLETRANSLATE(B6892,""id"",""en"")"),"['times', 'buy', 'package', 'processed', 'as a result', 'bought']")</f>
        <v>['times', 'buy', 'package', 'processed', 'as a result', 'bought']</v>
      </c>
      <c r="D6892" s="3">
        <v>1.0</v>
      </c>
    </row>
    <row r="6893" ht="15.75" customHeight="1">
      <c r="A6893" s="1">
        <v>7405.0</v>
      </c>
      <c r="B6893" s="3" t="s">
        <v>2620</v>
      </c>
      <c r="C6893" s="3" t="str">
        <f>IFERROR(__xludf.DUMMYFUNCTION("GOOGLETRANSLATE(B6893,""id"",""en"")"),"Of course")</f>
        <v>Of course</v>
      </c>
      <c r="D6893" s="3">
        <v>5.0</v>
      </c>
    </row>
    <row r="6894" ht="15.75" customHeight="1">
      <c r="A6894" s="1">
        <v>7407.0</v>
      </c>
      <c r="B6894" s="3" t="s">
        <v>6643</v>
      </c>
      <c r="C6894" s="3" t="str">
        <f>IFERROR(__xludf.DUMMYFUNCTION("GOOGLETRANSLATE(B6894,""id"",""en"")"),"['Please', 'repaired', 'signal']")</f>
        <v>['Please', 'repaired', 'signal']</v>
      </c>
      <c r="D6894" s="3">
        <v>5.0</v>
      </c>
    </row>
    <row r="6895" ht="15.75" customHeight="1">
      <c r="A6895" s="1">
        <v>7408.0</v>
      </c>
      <c r="B6895" s="3" t="s">
        <v>6644</v>
      </c>
      <c r="C6895" s="3" t="str">
        <f>IFERROR(__xludf.DUMMYFUNCTION("GOOGLETRANSLATE(B6895,""id"",""en"")"),"['already', 'buy', 'package', 'unlimited', 'finished', 'regular', 'already', 'price', 'expensive', 'love', 'solution', 'no', ' misused ',' stop ',' Kayakya ',' Telkomsel ']")</f>
        <v>['already', 'buy', 'package', 'unlimited', 'finished', 'regular', 'already', 'price', 'expensive', 'love', 'solution', 'no', ' misused ',' stop ',' Kayakya ',' Telkomsel ']</v>
      </c>
      <c r="D6895" s="3">
        <v>1.0</v>
      </c>
    </row>
    <row r="6896" ht="15.75" customHeight="1">
      <c r="A6896" s="1">
        <v>7410.0</v>
      </c>
      <c r="B6896" s="3" t="s">
        <v>6645</v>
      </c>
      <c r="C6896" s="3" t="str">
        <f>IFERROR(__xludf.DUMMYFUNCTION("GOOGLETRANSLATE(B6896,""id"",""en"")"),"['quota', 'regular', 'pulse', 'used', 'meluhat', 'youtube', 'quota', 'unlimited', 'youtube', 'telkomsel', 'broken']")</f>
        <v>['quota', 'regular', 'pulse', 'used', 'meluhat', 'youtube', 'quota', 'unlimited', 'youtube', 'telkomsel', 'broken']</v>
      </c>
      <c r="D6896" s="3">
        <v>1.0</v>
      </c>
    </row>
    <row r="6897" ht="15.75" customHeight="1">
      <c r="A6897" s="1">
        <v>7411.0</v>
      </c>
      <c r="B6897" s="3" t="s">
        <v>6646</v>
      </c>
      <c r="C6897" s="3" t="str">
        <f>IFERROR(__xludf.DUMMYFUNCTION("GOOGLETRANSLATE(B6897,""id"",""en"")"),"['Mantap', 'Apply "",' ']")</f>
        <v>['Mantap', 'Apply ",' ']</v>
      </c>
      <c r="D6897" s="3">
        <v>5.0</v>
      </c>
    </row>
    <row r="6898" ht="15.75" customHeight="1">
      <c r="A6898" s="1">
        <v>7412.0</v>
      </c>
      <c r="B6898" s="3" t="s">
        <v>6647</v>
      </c>
      <c r="C6898" s="3" t="str">
        <f>IFERROR(__xludf.DUMMYFUNCTION("GOOGLETRANSLATE(B6898,""id"",""en"")"),"['pulse', 'save', 'like', 'Please', 'fix']")</f>
        <v>['pulse', 'save', 'like', 'Please', 'fix']</v>
      </c>
      <c r="D6898" s="3">
        <v>1.0</v>
      </c>
    </row>
    <row r="6899" ht="15.75" customHeight="1">
      <c r="A6899" s="1">
        <v>7413.0</v>
      </c>
      <c r="B6899" s="3" t="s">
        <v>6648</v>
      </c>
      <c r="C6899" s="3" t="str">
        <f>IFERROR(__xludf.DUMMYFUNCTION("GOOGLETRANSLATE(B6899,""id"",""en"")"),"['Please', 'sorry', 'ade', 'syg']")</f>
        <v>['Please', 'sorry', 'ade', 'syg']</v>
      </c>
      <c r="D6899" s="3">
        <v>1.0</v>
      </c>
    </row>
    <row r="6900" ht="15.75" customHeight="1">
      <c r="A6900" s="1">
        <v>7414.0</v>
      </c>
      <c r="B6900" s="3" t="s">
        <v>6649</v>
      </c>
      <c r="C6900" s="3" t="str">
        <f>IFERROR(__xludf.DUMMYFUNCTION("GOOGLETRANSLATE(B6900,""id"",""en"")"),"['easy', 'purchase', 'pulse', 'package', 'application', 'check', 'pulse', 'check', 'leftover', 'quota', 'smooth']")</f>
        <v>['easy', 'purchase', 'pulse', 'package', 'application', 'check', 'pulse', 'check', 'leftover', 'quota', 'smooth']</v>
      </c>
      <c r="D6900" s="3">
        <v>5.0</v>
      </c>
    </row>
    <row r="6901" ht="15.75" customHeight="1">
      <c r="A6901" s="1">
        <v>7415.0</v>
      </c>
      <c r="B6901" s="3" t="s">
        <v>6650</v>
      </c>
      <c r="C6901" s="3" t="str">
        <f>IFERROR(__xludf.DUMMYFUNCTION("GOOGLETRANSLATE(B6901,""id"",""en"")"),"['', 'Telkomsel', 'cheap', 'Registering', 'package', 'favorite', 'download', 'application', 'Telkomsel', 'friend', 'the application', 'steady', 'Bangat ']")</f>
        <v>['', 'Telkomsel', 'cheap', 'Registering', 'package', 'favorite', 'download', 'application', 'Telkomsel', 'friend', 'the application', 'steady', 'Bangat ']</v>
      </c>
      <c r="D6901" s="3">
        <v>5.0</v>
      </c>
    </row>
    <row r="6902" ht="15.75" customHeight="1">
      <c r="A6902" s="1">
        <v>7416.0</v>
      </c>
      <c r="B6902" s="3" t="s">
        <v>6651</v>
      </c>
      <c r="C6902" s="3" t="str">
        <f>IFERROR(__xludf.DUMMYFUNCTION("GOOGLETRANSLATE(B6902,""id"",""en"")"),"['here', 'dilapidated']")</f>
        <v>['here', 'dilapidated']</v>
      </c>
      <c r="D6902" s="3">
        <v>1.0</v>
      </c>
    </row>
    <row r="6903" ht="15.75" customHeight="1">
      <c r="A6903" s="1">
        <v>7417.0</v>
      </c>
      <c r="B6903" s="3" t="s">
        <v>6652</v>
      </c>
      <c r="C6903" s="3" t="str">
        <f>IFERROR(__xludf.DUMMYFUNCTION("GOOGLETRANSLATE(B6903,""id"",""en"")"),"['Application', 'Good', 'Telkomsel', 'Like', 'Use', 'Ribet', 'Choice']")</f>
        <v>['Application', 'Good', 'Telkomsel', 'Like', 'Use', 'Ribet', 'Choice']</v>
      </c>
      <c r="D6903" s="3">
        <v>5.0</v>
      </c>
    </row>
    <row r="6904" ht="15.75" customHeight="1">
      <c r="A6904" s="1">
        <v>7418.0</v>
      </c>
      <c r="B6904" s="3" t="s">
        <v>6653</v>
      </c>
      <c r="C6904" s="3" t="str">
        <f>IFERROR(__xludf.DUMMYFUNCTION("GOOGLETRANSLATE(B6904,""id"",""en"")"),"['Reconect', 'Klau', 'Buy', 'Package', 'Internet', 'Plisss', 'Fix']")</f>
        <v>['Reconect', 'Klau', 'Buy', 'Package', 'Internet', 'Plisss', 'Fix']</v>
      </c>
      <c r="D6904" s="3">
        <v>2.0</v>
      </c>
    </row>
    <row r="6905" ht="15.75" customHeight="1">
      <c r="A6905" s="1">
        <v>7419.0</v>
      </c>
      <c r="B6905" s="3" t="s">
        <v>6654</v>
      </c>
      <c r="C6905" s="3" t="str">
        <f>IFERROR(__xludf.DUMMYFUNCTION("GOOGLETRANSLATE(B6905,""id"",""en"")"),"['Disappointed', 'really', 'Telkom', 'buy', 'package', 'expensive', 'right', 'ngellag', 'buy', 'pulse', 'like', 'sumps',' try ',' developer ',' position ',' org ',' kayak ',' org ',' right ',' buy ',' pulse ',' sumps', 'lazy', 'make', 'telkom' , 'Want', '"&amp;"Bakar', 'Telkom', '']")</f>
        <v>['Disappointed', 'really', 'Telkom', 'buy', 'package', 'expensive', 'right', 'ngellag', 'buy', 'pulse', 'like', 'sumps',' try ',' developer ',' position ',' org ',' kayak ',' org ',' right ',' buy ',' pulse ',' sumps', 'lazy', 'make', 'telkom' , 'Want', 'Bakar', 'Telkom', '']</v>
      </c>
      <c r="D6905" s="3">
        <v>1.0</v>
      </c>
    </row>
    <row r="6906" ht="15.75" customHeight="1">
      <c r="A6906" s="1">
        <v>7420.0</v>
      </c>
      <c r="B6906" s="3" t="s">
        <v>6655</v>
      </c>
      <c r="C6906" s="3" t="str">
        <f>IFERROR(__xludf.DUMMYFUNCTION("GOOGLETRANSLATE(B6906,""id"",""en"")"),"['experienced']")</f>
        <v>['experienced']</v>
      </c>
      <c r="D6906" s="3">
        <v>5.0</v>
      </c>
    </row>
    <row r="6907" ht="15.75" customHeight="1">
      <c r="A6907" s="1">
        <v>7421.0</v>
      </c>
      <c r="B6907" s="3" t="s">
        <v>6656</v>
      </c>
      <c r="C6907" s="3" t="str">
        <f>IFERROR(__xludf.DUMMYFUNCTION("GOOGLETRANSLATE(B6907,""id"",""en"")"),"['', 'Zama', 'SMA', 'UDH', 'TELSEL', 'Network', 'in the area', 'SMD', 'smooth', 'safe', 'Jdd', 'Udh', 'Males ',' Change ',' TELSEL ',' Easy ',' Fill ',' Credit ',' Buy ',' PKET ',' Inet ',' Cheap ',' Like ',' Daily ',' Check ', 'Mayan', 'BYK', 'Gift', 'Po"&amp;"tatix', 'Trims', 'MyTelkomsel', '']")</f>
        <v>['', 'Zama', 'SMA', 'UDH', 'TELSEL', 'Network', 'in the area', 'SMD', 'smooth', 'safe', 'Jdd', 'Udh', 'Males ',' Change ',' TELSEL ',' Easy ',' Fill ',' Credit ',' Buy ',' PKET ',' Inet ',' Cheap ',' Like ',' Daily ',' Check ', 'Mayan', 'BYK', 'Gift', 'Potatix', 'Trims', 'MyTelkomsel', '']</v>
      </c>
      <c r="D6907" s="3">
        <v>4.0</v>
      </c>
    </row>
    <row r="6908" ht="15.75" customHeight="1">
      <c r="A6908" s="1">
        <v>7422.0</v>
      </c>
      <c r="B6908" s="3" t="s">
        <v>6657</v>
      </c>
      <c r="C6908" s="3" t="str">
        <f>IFERROR(__xludf.DUMMYFUNCTION("GOOGLETRANSLATE(B6908,""id"",""en"")"),"['interesting', 'Maantap', 'bbankgettt']")</f>
        <v>['interesting', 'Maantap', 'bbankgettt']</v>
      </c>
      <c r="D6908" s="3">
        <v>5.0</v>
      </c>
    </row>
    <row r="6909" ht="15.75" customHeight="1">
      <c r="A6909" s="1">
        <v>7423.0</v>
      </c>
      <c r="B6909" s="3" t="s">
        <v>2565</v>
      </c>
      <c r="C6909" s="3" t="str">
        <f>IFERROR(__xludf.DUMMYFUNCTION("GOOGLETRANSLATE(B6909,""id"",""en"")"),"['happy', 'application']")</f>
        <v>['happy', 'application']</v>
      </c>
      <c r="D6909" s="3">
        <v>5.0</v>
      </c>
    </row>
    <row r="6910" ht="15.75" customHeight="1">
      <c r="A6910" s="1">
        <v>7424.0</v>
      </c>
      <c r="B6910" s="3" t="s">
        <v>6658</v>
      </c>
      <c r="C6910" s="3" t="str">
        <f>IFERROR(__xludf.DUMMYFUNCTION("GOOGLETRANSLATE(B6910,""id"",""en"")"),"['star', 'smg', 'my apk', 'can', '']")</f>
        <v>['star', 'smg', 'my apk', 'can', '']</v>
      </c>
      <c r="D6910" s="3">
        <v>3.0</v>
      </c>
    </row>
    <row r="6911" ht="15.75" customHeight="1">
      <c r="A6911" s="1">
        <v>7425.0</v>
      </c>
      <c r="B6911" s="3" t="s">
        <v>6659</v>
      </c>
      <c r="C6911" s="3" t="str">
        <f>IFERROR(__xludf.DUMMYFUNCTION("GOOGLETRANSLATE(B6911,""id"",""en"")"),"['sorry', 'disturbing', 'pulse', 'contents',' ilang ',' where ',' internet ',' pulse ',' direct ',' zero ',' left ',' ilang ',' Where ',' please ',' update ',' pulses', 'ilang', 'Mulu', 'MLS', 'contents']")</f>
        <v>['sorry', 'disturbing', 'pulse', 'contents',' ilang ',' where ',' internet ',' pulse ',' direct ',' zero ',' left ',' ilang ',' Where ',' please ',' update ',' pulses', 'ilang', 'Mulu', 'MLS', 'contents']</v>
      </c>
      <c r="D6911" s="3">
        <v>4.0</v>
      </c>
    </row>
    <row r="6912" ht="15.75" customHeight="1">
      <c r="A6912" s="1">
        <v>7426.0</v>
      </c>
      <c r="B6912" s="3" t="s">
        <v>6660</v>
      </c>
      <c r="C6912" s="3" t="str">
        <f>IFERROR(__xludf.DUMMYFUNCTION("GOOGLETRANSLATE(B6912,""id"",""en"")"),"['Good', 'pulse', 'fast', 'run out']")</f>
        <v>['Good', 'pulse', 'fast', 'run out']</v>
      </c>
      <c r="D6912" s="3">
        <v>4.0</v>
      </c>
    </row>
    <row r="6913" ht="15.75" customHeight="1">
      <c r="A6913" s="1">
        <v>7427.0</v>
      </c>
      <c r="B6913" s="3" t="s">
        <v>6661</v>
      </c>
      <c r="C6913" s="3" t="str">
        <f>IFERROR(__xludf.DUMMYFUNCTION("GOOGLETRANSLATE(B6913,""id"",""en"")"),"['price', 'according to', 'quality', 'network', 'slow', 'forgiveness', 'impression', 'bkin', 'loss', 'org']")</f>
        <v>['price', 'according to', 'quality', 'network', 'slow', 'forgiveness', 'impression', 'bkin', 'loss', 'org']</v>
      </c>
      <c r="D6913" s="3">
        <v>1.0</v>
      </c>
    </row>
    <row r="6914" ht="15.75" customHeight="1">
      <c r="A6914" s="1">
        <v>7429.0</v>
      </c>
      <c r="B6914" s="3" t="s">
        <v>6662</v>
      </c>
      <c r="C6914" s="3" t="str">
        <f>IFERROR(__xludf.DUMMYFUNCTION("GOOGLETRANSLATE(B6914,""id"",""en"")"),"['Price', 'steady', 'signal', 'good']")</f>
        <v>['Price', 'steady', 'signal', 'good']</v>
      </c>
      <c r="D6914" s="3">
        <v>5.0</v>
      </c>
    </row>
    <row r="6915" ht="15.75" customHeight="1">
      <c r="A6915" s="1">
        <v>7430.0</v>
      </c>
      <c r="B6915" s="3" t="s">
        <v>6663</v>
      </c>
      <c r="C6915" s="3" t="str">
        <f>IFERROR(__xludf.DUMMYFUNCTION("GOOGLETRANSLATE(B6915,""id"",""en"")"),"['Help', 'Thank you', 'MyTelkomsel']")</f>
        <v>['Help', 'Thank you', 'MyTelkomsel']</v>
      </c>
      <c r="D6915" s="3">
        <v>5.0</v>
      </c>
    </row>
    <row r="6916" ht="15.75" customHeight="1">
      <c r="A6916" s="1">
        <v>7431.0</v>
      </c>
      <c r="B6916" s="3" t="s">
        <v>6664</v>
      </c>
      <c r="C6916" s="3" t="str">
        <f>IFERROR(__xludf.DUMMYFUNCTION("GOOGLETRANSLATE(B6916,""id"",""en"")"),"['hard', 'download', 'application', 'enter', 'poor', 'difficult', 'already', 'repeated', 'reset', 'link', 'sms',' enter ',' Enter ',' difficult ',' Veronika ',' help ',' dizziness']")</f>
        <v>['hard', 'download', 'application', 'enter', 'poor', 'difficult', 'already', 'repeated', 'reset', 'link', 'sms',' enter ',' Enter ',' difficult ',' Veronika ',' help ',' dizziness']</v>
      </c>
      <c r="D6916" s="3">
        <v>1.0</v>
      </c>
    </row>
    <row r="6917" ht="15.75" customHeight="1">
      <c r="A6917" s="1">
        <v>7432.0</v>
      </c>
      <c r="B6917" s="3" t="s">
        <v>6665</v>
      </c>
      <c r="C6917" s="3" t="str">
        <f>IFERROR(__xludf.DUMMYFUNCTION("GOOGLETRANSLATE(B6917,""id"",""en"")"),"['Easy', 'transact']")</f>
        <v>['Easy', 'transact']</v>
      </c>
      <c r="D6917" s="3">
        <v>5.0</v>
      </c>
    </row>
    <row r="6918" ht="15.75" customHeight="1">
      <c r="A6918" s="1">
        <v>7433.0</v>
      </c>
      <c r="B6918" s="3" t="s">
        <v>6666</v>
      </c>
      <c r="C6918" s="3" t="str">
        <f>IFERROR(__xludf.DUMMYFUNCTION("GOOGLETRANSLATE(B6918,""id"",""en"")"),"['Network', 'Terbosoookkk', '']")</f>
        <v>['Network', 'Terbosoookkk', '']</v>
      </c>
      <c r="D6918" s="3">
        <v>1.0</v>
      </c>
    </row>
    <row r="6919" ht="15.75" customHeight="1">
      <c r="A6919" s="1">
        <v>7434.0</v>
      </c>
      <c r="B6919" s="3" t="s">
        <v>6667</v>
      </c>
      <c r="C6919" s="3" t="str">
        <f>IFERROR(__xludf.DUMMYFUNCTION("GOOGLETRANSLATE(B6919,""id"",""en"")"),"['Eat', 'pulse', 'run out', 'data', '']")</f>
        <v>['Eat', 'pulse', 'run out', 'data', '']</v>
      </c>
      <c r="D6919" s="3">
        <v>2.0</v>
      </c>
    </row>
    <row r="6920" ht="15.75" customHeight="1">
      <c r="A6920" s="1">
        <v>7435.0</v>
      </c>
      <c r="B6920" s="3" t="s">
        <v>2264</v>
      </c>
      <c r="C6920" s="3" t="str">
        <f>IFERROR(__xludf.DUMMYFUNCTION("GOOGLETRANSLATE(B6920,""id"",""en"")"),"['APK', 'good']")</f>
        <v>['APK', 'good']</v>
      </c>
      <c r="D6920" s="3">
        <v>5.0</v>
      </c>
    </row>
    <row r="6921" ht="15.75" customHeight="1">
      <c r="A6921" s="1">
        <v>7436.0</v>
      </c>
      <c r="B6921" s="3" t="s">
        <v>6668</v>
      </c>
      <c r="C6921" s="3" t="str">
        <f>IFERROR(__xludf.DUMMYFUNCTION("GOOGLETRANSLATE(B6921,""id"",""en"")"),"['Package', 'Zoom', 'Pro', 'Sunday', 'BLM', 'On', 'report', 'SLAMA', 'MGU', 'BLM', 'Solution', 'repeat']")</f>
        <v>['Package', 'Zoom', 'Pro', 'Sunday', 'BLM', 'On', 'report', 'SLAMA', 'MGU', 'BLM', 'Solution', 'repeat']</v>
      </c>
      <c r="D6921" s="3">
        <v>1.0</v>
      </c>
    </row>
    <row r="6922" ht="15.75" customHeight="1">
      <c r="A6922" s="1">
        <v>7437.0</v>
      </c>
      <c r="B6922" s="3" t="s">
        <v>6669</v>
      </c>
      <c r="C6922" s="3" t="str">
        <f>IFERROR(__xludf.DUMMYFUNCTION("GOOGLETRANSLATE(B6922,""id"",""en"")"),"['Proud', 'owned', 'NKRI', 'Beloved']")</f>
        <v>['Proud', 'owned', 'NKRI', 'Beloved']</v>
      </c>
      <c r="D6922" s="3">
        <v>5.0</v>
      </c>
    </row>
    <row r="6923" ht="15.75" customHeight="1">
      <c r="A6923" s="1">
        <v>7438.0</v>
      </c>
      <c r="B6923" s="3" t="s">
        <v>6670</v>
      </c>
      <c r="C6923" s="3" t="str">
        <f>IFERROR(__xludf.DUMMYFUNCTION("GOOGLETRANSLATE(B6923,""id"",""en"")"),"['Okay', 'mantabbbb', 'jossss', 'yaaa']")</f>
        <v>['Okay', 'mantabbbb', 'jossss', 'yaaa']</v>
      </c>
      <c r="D6923" s="3">
        <v>5.0</v>
      </c>
    </row>
    <row r="6924" ht="15.75" customHeight="1">
      <c r="A6924" s="1">
        <v>7439.0</v>
      </c>
      <c r="B6924" s="3" t="s">
        <v>6671</v>
      </c>
      <c r="C6924" s="3" t="str">
        <f>IFERROR(__xludf.DUMMYFUNCTION("GOOGLETRANSLATE(B6924,""id"",""en"")"),"['Blum', 'Satisfied', 'Exchange', 'Points', 'Fail', 'then', '']")</f>
        <v>['Blum', 'Satisfied', 'Exchange', 'Points', 'Fail', 'then', '']</v>
      </c>
      <c r="D6924" s="3">
        <v>3.0</v>
      </c>
    </row>
    <row r="6925" ht="15.75" customHeight="1">
      <c r="A6925" s="1">
        <v>7440.0</v>
      </c>
      <c r="B6925" s="3" t="s">
        <v>6672</v>
      </c>
      <c r="C6925" s="3" t="str">
        <f>IFERROR(__xludf.DUMMYFUNCTION("GOOGLETRANSLATE(B6925,""id"",""en"")"),"['Improved', 'significant', 'steady']")</f>
        <v>['Improved', 'significant', 'steady']</v>
      </c>
      <c r="D6925" s="3">
        <v>5.0</v>
      </c>
    </row>
    <row r="6926" ht="15.75" customHeight="1">
      <c r="A6926" s="1">
        <v>7441.0</v>
      </c>
      <c r="B6926" s="3" t="s">
        <v>6673</v>
      </c>
      <c r="C6926" s="3" t="str">
        <f>IFERROR(__xludf.DUMMYFUNCTION("GOOGLETRANSLATE(B6926,""id"",""en"")"),"['Cool', ""]")</f>
        <v>['Cool', "]</v>
      </c>
      <c r="D6926" s="3">
        <v>5.0</v>
      </c>
    </row>
    <row r="6927" ht="15.75" customHeight="1">
      <c r="A6927" s="1">
        <v>7442.0</v>
      </c>
      <c r="B6927" s="3" t="s">
        <v>6674</v>
      </c>
      <c r="C6927" s="3" t="str">
        <f>IFERROR(__xludf.DUMMYFUNCTION("GOOGLETRANSLATE(B6927,""id"",""en"")"),"['Telkomsel', 'try', 'min']")</f>
        <v>['Telkomsel', 'try', 'min']</v>
      </c>
      <c r="D6927" s="3">
        <v>5.0</v>
      </c>
    </row>
    <row r="6928" ht="15.75" customHeight="1">
      <c r="A6928" s="1">
        <v>7443.0</v>
      </c>
      <c r="B6928" s="3" t="s">
        <v>6675</v>
      </c>
      <c r="C6928" s="3" t="str">
        <f>IFERROR(__xludf.DUMMYFUNCTION("GOOGLETRANSLATE(B6928,""id"",""en"")"),"['Good', 'application', 'makes it easy', 'buy', 'kouta', 'internet', 'love', 'really', '']")</f>
        <v>['Good', 'application', 'makes it easy', 'buy', 'kouta', 'internet', 'love', 'really', '']</v>
      </c>
      <c r="D6928" s="3">
        <v>5.0</v>
      </c>
    </row>
    <row r="6929" ht="15.75" customHeight="1">
      <c r="A6929" s="1">
        <v>7444.0</v>
      </c>
      <c r="B6929" s="3" t="s">
        <v>6676</v>
      </c>
      <c r="C6929" s="3" t="str">
        <f>IFERROR(__xludf.DUMMYFUNCTION("GOOGLETRANSLATE(B6929,""id"",""en"")"),"['Please', 'Optimize', 'LGI', 'APK', 'Open', 'Error', 'Loading', 'Recommendation', ""]")</f>
        <v>['Please', 'Optimize', 'LGI', 'APK', 'Open', 'Error', 'Loading', 'Recommendation', "]</v>
      </c>
      <c r="D6929" s="3">
        <v>1.0</v>
      </c>
    </row>
    <row r="6930" ht="15.75" customHeight="1">
      <c r="A6930" s="1">
        <v>7445.0</v>
      </c>
      <c r="B6930" s="3" t="s">
        <v>6677</v>
      </c>
      <c r="C6930" s="3" t="str">
        <f>IFERROR(__xludf.DUMMYFUNCTION("GOOGLETRANSLATE(B6930,""id"",""en"")"),"['', 'Try', 'dlu', 'boss', ""]")</f>
        <v>['', 'Try', 'dlu', 'boss', "]</v>
      </c>
      <c r="D6930" s="3">
        <v>4.0</v>
      </c>
    </row>
    <row r="6931" ht="15.75" customHeight="1">
      <c r="A6931" s="1">
        <v>7446.0</v>
      </c>
      <c r="B6931" s="3" t="s">
        <v>6678</v>
      </c>
      <c r="C6931" s="3" t="str">
        <f>IFERROR(__xludf.DUMMYFUNCTION("GOOGLETRANSLATE(B6931,""id"",""en"")"),"['interesting', 'application', '']")</f>
        <v>['interesting', 'application', '']</v>
      </c>
      <c r="D6931" s="3">
        <v>5.0</v>
      </c>
    </row>
    <row r="6932" ht="15.75" customHeight="1">
      <c r="A6932" s="1">
        <v>7447.0</v>
      </c>
      <c r="B6932" s="3" t="s">
        <v>6679</v>
      </c>
      <c r="C6932" s="3" t="str">
        <f>IFERROR(__xludf.DUMMYFUNCTION("GOOGLETRANSLATE(B6932,""id"",""en"")"),"['Telkomsl', 'Skarang', 'Kyk', 'Tahik', 'Jripping', 'Disconnect', 'Promo', 'PKET', 'Mahar', 'LGI', 'PKOK', 'BNYAK', ' KNDAL ',' TLONG ',' Oki ',' msalah ',' jngn ',' sad ',' lips', 'computer', 'need', 'information', 'bkan', 'hallucination', 'say it' , 'Sa"&amp;"d', 'TPI', 'reality', 'lie', '']")</f>
        <v>['Telkomsl', 'Skarang', 'Kyk', 'Tahik', 'Jripping', 'Disconnect', 'Promo', 'PKET', 'Mahar', 'LGI', 'PKOK', 'BNYAK', ' KNDAL ',' TLONG ',' Oki ',' msalah ',' jngn ',' sad ',' lips', 'computer', 'need', 'information', 'bkan', 'hallucination', 'say it' , 'Sad', 'TPI', 'reality', 'lie', '']</v>
      </c>
      <c r="D6932" s="3">
        <v>1.0</v>
      </c>
    </row>
    <row r="6933" ht="15.75" customHeight="1">
      <c r="A6933" s="1">
        <v>7448.0</v>
      </c>
      <c r="B6933" s="3" t="s">
        <v>6680</v>
      </c>
      <c r="C6933" s="3" t="str">
        <f>IFERROR(__xludf.DUMMYFUNCTION("GOOGLETRANSLATE(B6933,""id"",""en"")"),"['Package', 'cheap', 'yrs', 'package', 'Telkomsel', 'gapernah']")</f>
        <v>['Package', 'cheap', 'yrs', 'package', 'Telkomsel', 'gapernah']</v>
      </c>
      <c r="D6933" s="3">
        <v>5.0</v>
      </c>
    </row>
    <row r="6934" ht="15.75" customHeight="1">
      <c r="A6934" s="1">
        <v>7449.0</v>
      </c>
      <c r="B6934" s="3" t="s">
        <v>6681</v>
      </c>
      <c r="C6934" s="3" t="str">
        <f>IFERROR(__xludf.DUMMYFUNCTION("GOOGLETRANSLATE(B6934,""id"",""en"")"),"['package', 'expensive', 'network', 'internet', 'troubled', 'city', 'life', 'rich', 'forest', 'poor', ""]")</f>
        <v>['package', 'expensive', 'network', 'internet', 'troubled', 'city', 'life', 'rich', 'forest', 'poor', "]</v>
      </c>
      <c r="D6934" s="3">
        <v>1.0</v>
      </c>
    </row>
    <row r="6935" ht="15.75" customHeight="1">
      <c r="A6935" s="1">
        <v>7450.0</v>
      </c>
      <c r="B6935" s="3" t="s">
        <v>6682</v>
      </c>
      <c r="C6935" s="3" t="str">
        <f>IFERROR(__xludf.DUMMYFUNCTION("GOOGLETRANSLATE(B6935,""id"",""en"")"),"['Telkomsel', 'heart']")</f>
        <v>['Telkomsel', 'heart']</v>
      </c>
      <c r="D6935" s="3">
        <v>5.0</v>
      </c>
    </row>
    <row r="6936" ht="15.75" customHeight="1">
      <c r="A6936" s="1">
        <v>7451.0</v>
      </c>
      <c r="B6936" s="3" t="s">
        <v>6683</v>
      </c>
      <c r="C6936" s="3" t="str">
        <f>IFERROR(__xludf.DUMMYFUNCTION("GOOGLETRANSLATE(B6936,""id"",""en"")"),"['Telkomsel', 'Lawak', 'Region', 'City', 'Week', 'Leg', 'Severe', 'Network', 'City', 'Plise', 'Angles',' City ',' Note ',' Network ']")</f>
        <v>['Telkomsel', 'Lawak', 'Region', 'City', 'Week', 'Leg', 'Severe', 'Network', 'City', 'Plise', 'Angles',' City ',' Note ',' Network ']</v>
      </c>
      <c r="D6936" s="3">
        <v>1.0</v>
      </c>
    </row>
    <row r="6937" ht="15.75" customHeight="1">
      <c r="A6937" s="1">
        <v>7452.0</v>
      </c>
      <c r="B6937" s="3" t="s">
        <v>6684</v>
      </c>
      <c r="C6937" s="3" t="str">
        <f>IFERROR(__xludf.DUMMYFUNCTION("GOOGLETRANSLATE(B6937,""id"",""en"")"),"['Help', 'urgent', 'quota', ""]")</f>
        <v>['Help', 'urgent', 'quota', "]</v>
      </c>
      <c r="D6937" s="3">
        <v>5.0</v>
      </c>
    </row>
    <row r="6938" ht="15.75" customHeight="1">
      <c r="A6938" s="1">
        <v>7453.0</v>
      </c>
      <c r="B6938" s="3" t="s">
        <v>6685</v>
      </c>
      <c r="C6938" s="3" t="str">
        <f>IFERROR(__xludf.DUMMYFUNCTION("GOOGLETRANSLATE(B6938,""id"",""en"")"),"['cool', '']")</f>
        <v>['cool', '']</v>
      </c>
      <c r="D6938" s="3">
        <v>5.0</v>
      </c>
    </row>
    <row r="6939" ht="15.75" customHeight="1">
      <c r="A6939" s="1">
        <v>7454.0</v>
      </c>
      <c r="B6939" s="3" t="s">
        <v>6686</v>
      </c>
      <c r="C6939" s="3" t="str">
        <f>IFERROR(__xludf.DUMMYFUNCTION("GOOGLETRANSLATE(B6939,""id"",""en"")"),"['application', 'easy']")</f>
        <v>['application', 'easy']</v>
      </c>
      <c r="D6939" s="3">
        <v>3.0</v>
      </c>
    </row>
    <row r="6940" ht="15.75" customHeight="1">
      <c r="A6940" s="1">
        <v>7455.0</v>
      </c>
      <c r="B6940" s="3" t="s">
        <v>6687</v>
      </c>
      <c r="C6940" s="3" t="str">
        <f>IFERROR(__xludf.DUMMYFUNCTION("GOOGLETRANSLATE(B6940,""id"",""en"")"),"['Help', 'purchase', 'quota', 'other']")</f>
        <v>['Help', 'purchase', 'quota', 'other']</v>
      </c>
      <c r="D6940" s="3">
        <v>5.0</v>
      </c>
    </row>
    <row r="6941" ht="15.75" customHeight="1">
      <c r="A6941" s="1">
        <v>7456.0</v>
      </c>
      <c r="B6941" s="3" t="s">
        <v>6688</v>
      </c>
      <c r="C6941" s="3" t="str">
        <f>IFERROR(__xludf.DUMMYFUNCTION("GOOGLETRANSLATE(B6941,""id"",""en"")"),"['gymna', 'pulse', 'already', 'tacking', 'package', 'data', 'get', '']")</f>
        <v>['gymna', 'pulse', 'already', 'tacking', 'package', 'data', 'get', '']</v>
      </c>
      <c r="D6941" s="3">
        <v>1.0</v>
      </c>
    </row>
    <row r="6942" ht="15.75" customHeight="1">
      <c r="A6942" s="1">
        <v>7457.0</v>
      </c>
      <c r="B6942" s="3" t="s">
        <v>6689</v>
      </c>
      <c r="C6942" s="3" t="str">
        <f>IFERROR(__xludf.DUMMYFUNCTION("GOOGLETRANSLATE(B6942,""id"",""en"")"),"['', 'reasonable']")</f>
        <v>['', 'reasonable']</v>
      </c>
      <c r="D6942" s="3">
        <v>5.0</v>
      </c>
    </row>
    <row r="6943" ht="15.75" customHeight="1">
      <c r="A6943" s="1">
        <v>7458.0</v>
      </c>
      <c r="B6943" s="3" t="s">
        <v>6690</v>
      </c>
      <c r="C6943" s="3" t="str">
        <f>IFERROR(__xludf.DUMMYFUNCTION("GOOGLETRANSLATE(B6943,""id"",""en"")"),"['Easy', 'use it', 'promo', 'quota', 'internet', 'affordable', 'hope', 'success', ""]")</f>
        <v>['Easy', 'use it', 'promo', 'quota', 'internet', 'affordable', 'hope', 'success', "]</v>
      </c>
      <c r="D6943" s="3">
        <v>5.0</v>
      </c>
    </row>
    <row r="6944" ht="15.75" customHeight="1">
      <c r="A6944" s="1">
        <v>7459.0</v>
      </c>
      <c r="B6944" s="3" t="s">
        <v>6691</v>
      </c>
      <c r="C6944" s="3" t="str">
        <f>IFERROR(__xludf.DUMMYFUNCTION("GOOGLETRANSLATE(B6944,""id"",""en"")"),"['', 'like', 'network', 'MyTelkomsel', 'hope', 'go there', 'more', '']")</f>
        <v>['', 'like', 'network', 'MyTelkomsel', 'hope', 'go there', 'more', '']</v>
      </c>
      <c r="D6944" s="3">
        <v>5.0</v>
      </c>
    </row>
    <row r="6945" ht="15.75" customHeight="1">
      <c r="A6945" s="1">
        <v>7460.0</v>
      </c>
      <c r="B6945" s="3" t="s">
        <v>6692</v>
      </c>
      <c r="C6945" s="3" t="str">
        <f>IFERROR(__xludf.DUMMYFUNCTION("GOOGLETRANSLATE(B6945,""id"",""en"")"),"['Disappointed', 'Win', 'Price', 'Expensive', 'Doang']")</f>
        <v>['Disappointed', 'Win', 'Price', 'Expensive', 'Doang']</v>
      </c>
      <c r="D6945" s="3">
        <v>1.0</v>
      </c>
    </row>
    <row r="6946" ht="15.75" customHeight="1">
      <c r="A6946" s="1">
        <v>7461.0</v>
      </c>
      <c r="B6946" s="3" t="s">
        <v>6693</v>
      </c>
      <c r="C6946" s="3" t="str">
        <f>IFERROR(__xludf.DUMMYFUNCTION("GOOGLETRANSLATE(B6946,""id"",""en"")"),"['purchase', 'ngak', 'succeed']")</f>
        <v>['purchase', 'ngak', 'succeed']</v>
      </c>
      <c r="D6946" s="3">
        <v>1.0</v>
      </c>
    </row>
    <row r="6947" ht="15.75" customHeight="1">
      <c r="A6947" s="1">
        <v>7462.0</v>
      </c>
      <c r="B6947" s="3" t="s">
        <v>6694</v>
      </c>
      <c r="C6947" s="3" t="str">
        <f>IFERROR(__xludf.DUMMYFUNCTION("GOOGLETRANSLATE(B6947,""id"",""en"")"),"['God willing', 'moved', 'service', 'Thank you', 'expensive', 'quota', 'ugly', 'network']")</f>
        <v>['God willing', 'moved', 'service', 'Thank you', 'expensive', 'quota', 'ugly', 'network']</v>
      </c>
      <c r="D6947" s="3">
        <v>1.0</v>
      </c>
    </row>
    <row r="6948" ht="15.75" customHeight="1">
      <c r="A6948" s="1">
        <v>7463.0</v>
      </c>
      <c r="B6948" s="3" t="s">
        <v>6695</v>
      </c>
      <c r="C6948" s="3" t="str">
        <f>IFERROR(__xludf.DUMMYFUNCTION("GOOGLETRANSLATE(B6948,""id"",""en"")"),"['quota', 'government', 'pulse', 'coakes', 'disappointed', 'severe', 'pulse', 'quota', 'week']")</f>
        <v>['quota', 'government', 'pulse', 'coakes', 'disappointed', 'severe', 'pulse', 'quota', 'week']</v>
      </c>
      <c r="D6948" s="3">
        <v>1.0</v>
      </c>
    </row>
    <row r="6949" ht="15.75" customHeight="1">
      <c r="A6949" s="1">
        <v>7464.0</v>
      </c>
      <c r="B6949" s="3" t="s">
        <v>6696</v>
      </c>
      <c r="C6949" s="3" t="str">
        <f>IFERROR(__xludf.DUMMYFUNCTION("GOOGLETRANSLATE(B6949,""id"",""en"")"),"['card', 'sympathy', 'ugly', 'bad', 'BURIK', 'Maen', 'game', 'online', 'network', 'ugly']")</f>
        <v>['card', 'sympathy', 'ugly', 'bad', 'BURIK', 'Maen', 'game', 'online', 'network', 'ugly']</v>
      </c>
      <c r="D6949" s="3">
        <v>1.0</v>
      </c>
    </row>
    <row r="6950" ht="15.75" customHeight="1">
      <c r="A6950" s="1">
        <v>7465.0</v>
      </c>
      <c r="B6950" s="3" t="s">
        <v>6697</v>
      </c>
      <c r="C6950" s="3" t="str">
        <f>IFERROR(__xludf.DUMMYFUNCTION("GOOGLETRANSLATE(B6950,""id"",""en"")"),"['Okay', 'application', 'Good']")</f>
        <v>['Okay', 'application', 'Good']</v>
      </c>
      <c r="D6950" s="3">
        <v>5.0</v>
      </c>
    </row>
    <row r="6951" ht="15.75" customHeight="1">
      <c r="A6951" s="1">
        <v>7466.0</v>
      </c>
      <c r="B6951" s="3" t="s">
        <v>6698</v>
      </c>
      <c r="C6951" s="3" t="str">
        <f>IFERROR(__xludf.DUMMYFUNCTION("GOOGLETRANSLATE(B6951,""id"",""en"")"),"['Tuk', 'Blum', 'comment', ""]")</f>
        <v>['Tuk', 'Blum', 'comment', "]</v>
      </c>
      <c r="D6951" s="3">
        <v>4.0</v>
      </c>
    </row>
    <row r="6952" ht="15.75" customHeight="1">
      <c r="A6952" s="1">
        <v>7467.0</v>
      </c>
      <c r="B6952" s="3" t="s">
        <v>6699</v>
      </c>
      <c r="C6952" s="3" t="str">
        <f>IFERROR(__xludf.DUMMYFUNCTION("GOOGLETRANSLATE(B6952,""id"",""en"")"),"['Your Network', 'repaired', '']")</f>
        <v>['Your Network', 'repaired', '']</v>
      </c>
      <c r="D6952" s="3">
        <v>1.0</v>
      </c>
    </row>
    <row r="6953" ht="15.75" customHeight="1">
      <c r="A6953" s="1">
        <v>7468.0</v>
      </c>
      <c r="B6953" s="3" t="s">
        <v>6700</v>
      </c>
      <c r="C6953" s="3" t="str">
        <f>IFERROR(__xludf.DUMMYFUNCTION("GOOGLETRANSLATE(B6953,""id"",""en"")"),"['Santaplah', 'Make it easy', 'Dlm', 'transaction']")</f>
        <v>['Santaplah', 'Make it easy', 'Dlm', 'transaction']</v>
      </c>
      <c r="D6953" s="3">
        <v>5.0</v>
      </c>
    </row>
    <row r="6954" ht="15.75" customHeight="1">
      <c r="A6954" s="1">
        <v>7469.0</v>
      </c>
      <c r="B6954" s="3" t="s">
        <v>677</v>
      </c>
      <c r="C6954" s="3" t="str">
        <f>IFERROR(__xludf.DUMMYFUNCTION("GOOGLETRANSLATE(B6954,""id"",""en"")"),"['Telkomsel']")</f>
        <v>['Telkomsel']</v>
      </c>
      <c r="D6954" s="3">
        <v>3.0</v>
      </c>
    </row>
    <row r="6955" ht="15.75" customHeight="1">
      <c r="A6955" s="1">
        <v>7470.0</v>
      </c>
      <c r="B6955" s="3" t="s">
        <v>6701</v>
      </c>
      <c r="C6955" s="3" t="str">
        <f>IFERROR(__xludf.DUMMYFUNCTION("GOOGLETRANSLATE(B6955,""id"",""en"")"),"['change mind']")</f>
        <v>['change mind']</v>
      </c>
      <c r="D6955" s="3">
        <v>5.0</v>
      </c>
    </row>
    <row r="6956" ht="15.75" customHeight="1">
      <c r="A6956" s="1">
        <v>7471.0</v>
      </c>
      <c r="B6956" s="3" t="s">
        <v>6702</v>
      </c>
      <c r="C6956" s="3" t="str">
        <f>IFERROR(__xludf.DUMMYFUNCTION("GOOGLETRANSLATE(B6956,""id"",""en"")"),"['Thanks', 'Iyak', 'APK', 'SAGAT', 'Function']")</f>
        <v>['Thanks', 'Iyak', 'APK', 'SAGAT', 'Function']</v>
      </c>
      <c r="D6956" s="3">
        <v>5.0</v>
      </c>
    </row>
    <row r="6957" ht="15.75" customHeight="1">
      <c r="A6957" s="1">
        <v>7472.0</v>
      </c>
      <c r="B6957" s="3" t="s">
        <v>6703</v>
      </c>
      <c r="C6957" s="3" t="str">
        <f>IFERROR(__xludf.DUMMYFUNCTION("GOOGLETRANSLATE(B6957,""id"",""en"")"),"['Telkomsel', 'Best', 'Times', 'Credit', 'Out', 'Use']")</f>
        <v>['Telkomsel', 'Best', 'Times', 'Credit', 'Out', 'Use']</v>
      </c>
      <c r="D6957" s="3">
        <v>5.0</v>
      </c>
    </row>
    <row r="6958" ht="15.75" customHeight="1">
      <c r="A6958" s="1">
        <v>7473.0</v>
      </c>
      <c r="B6958" s="3" t="s">
        <v>6704</v>
      </c>
      <c r="C6958" s="3" t="str">
        <f>IFERROR(__xludf.DUMMYFUNCTION("GOOGLETRANSLATE(B6958,""id"",""en"")"),"['The network', 'severe', 'expensive', 'doang', 'it's good', 'network', 'good', 'rotten', 'signal', '']")</f>
        <v>['The network', 'severe', 'expensive', 'doang', 'it's good', 'network', 'good', 'rotten', 'signal', '']</v>
      </c>
      <c r="D6958" s="3">
        <v>1.0</v>
      </c>
    </row>
    <row r="6959" ht="15.75" customHeight="1">
      <c r="A6959" s="1">
        <v>7474.0</v>
      </c>
      <c r="B6959" s="3" t="s">
        <v>6705</v>
      </c>
      <c r="C6959" s="3" t="str">
        <f>IFERROR(__xludf.DUMMYFUNCTION("GOOGLETRANSLATE(B6959,""id"",""en"")"),"['Satisfied', 'pulse', 'thousand', 'buy', 'package', 'transaction', 'managed', 'appears',' sms', 'notification', 'package', 'hbis',' Credit ',' thousand ']")</f>
        <v>['Satisfied', 'pulse', 'thousand', 'buy', 'package', 'transaction', 'managed', 'appears',' sms', 'notification', 'package', 'hbis',' Credit ',' thousand ']</v>
      </c>
      <c r="D6959" s="3">
        <v>1.0</v>
      </c>
    </row>
    <row r="6960" ht="15.75" customHeight="1">
      <c r="A6960" s="1">
        <v>7475.0</v>
      </c>
      <c r="B6960" s="3" t="s">
        <v>6706</v>
      </c>
      <c r="C6960" s="3" t="str">
        <f>IFERROR(__xludf.DUMMYFUNCTION("GOOGLETRANSLATE(B6960,""id"",""en"")"),"['user', 'loyal', 'MyTelkomsel', 'The', 'Best']")</f>
        <v>['user', 'loyal', 'MyTelkomsel', 'The', 'Best']</v>
      </c>
      <c r="D6960" s="3">
        <v>5.0</v>
      </c>
    </row>
    <row r="6961" ht="15.75" customHeight="1">
      <c r="A6961" s="1">
        <v>7476.0</v>
      </c>
      <c r="B6961" s="3" t="s">
        <v>6707</v>
      </c>
      <c r="C6961" s="3" t="str">
        <f>IFERROR(__xludf.DUMMYFUNCTION("GOOGLETRANSLATE(B6961,""id"",""en"")"),"['signal', 'data', 'good', '']")</f>
        <v>['signal', 'data', 'good', '']</v>
      </c>
      <c r="D6961" s="3">
        <v>1.0</v>
      </c>
    </row>
    <row r="6962" ht="15.75" customHeight="1">
      <c r="A6962" s="1">
        <v>7477.0</v>
      </c>
      <c r="B6962" s="3" t="s">
        <v>6708</v>
      </c>
      <c r="C6962" s="3" t="str">
        <f>IFERROR(__xludf.DUMMYFUNCTION("GOOGLETRANSLATE(B6962,""id"",""en"")"),"['Network', 'well', 'ajahh', ""]")</f>
        <v>['Network', 'well', 'ajahh', "]</v>
      </c>
      <c r="D6962" s="3">
        <v>5.0</v>
      </c>
    </row>
    <row r="6963" ht="15.75" customHeight="1">
      <c r="A6963" s="1">
        <v>7478.0</v>
      </c>
      <c r="B6963" s="3" t="s">
        <v>2422</v>
      </c>
      <c r="C6963" s="3" t="str">
        <f>IFERROR(__xludf.DUMMYFUNCTION("GOOGLETRANSLATE(B6963,""id"",""en"")"),"['Comfortable', 'Telkomsel']")</f>
        <v>['Comfortable', 'Telkomsel']</v>
      </c>
      <c r="D6963" s="3">
        <v>3.0</v>
      </c>
    </row>
    <row r="6964" ht="15.75" customHeight="1">
      <c r="A6964" s="1">
        <v>7479.0</v>
      </c>
      <c r="B6964" s="3" t="s">
        <v>6709</v>
      </c>
      <c r="C6964" s="3" t="str">
        <f>IFERROR(__xludf.DUMMYFUNCTION("GOOGLETRANSLATE(B6964,""id"",""en"")"),"['Not bad', 'good', 'right', 'signal', 'good']")</f>
        <v>['Not bad', 'good', 'right', 'signal', 'good']</v>
      </c>
      <c r="D6964" s="3">
        <v>5.0</v>
      </c>
    </row>
    <row r="6965" ht="15.75" customHeight="1">
      <c r="A6965" s="1">
        <v>7481.0</v>
      </c>
      <c r="B6965" s="3" t="s">
        <v>6710</v>
      </c>
      <c r="C6965" s="3" t="str">
        <f>IFERROR(__xludf.DUMMYFUNCTION("GOOGLETRANSLATE(B6965,""id"",""en"")"),"['Severe', 'that way', 'buy', 'package', 'take', 'pulse', 'waterproof', 'men']")</f>
        <v>['Severe', 'that way', 'buy', 'package', 'take', 'pulse', 'waterproof', 'men']</v>
      </c>
      <c r="D6965" s="3">
        <v>1.0</v>
      </c>
    </row>
    <row r="6966" ht="15.75" customHeight="1">
      <c r="A6966" s="1">
        <v>7482.0</v>
      </c>
      <c r="B6966" s="3" t="s">
        <v>6711</v>
      </c>
      <c r="C6966" s="3" t="str">
        <f>IFERROR(__xludf.DUMMYFUNCTION("GOOGLETRANSLATE(B6966,""id"",""en"")"),"['Recommend']")</f>
        <v>['Recommend']</v>
      </c>
      <c r="D6966" s="3">
        <v>1.0</v>
      </c>
    </row>
    <row r="6967" ht="15.75" customHeight="1">
      <c r="A6967" s="1">
        <v>7483.0</v>
      </c>
      <c r="B6967" s="3" t="s">
        <v>6712</v>
      </c>
      <c r="C6967" s="3" t="str">
        <f>IFERROR(__xludf.DUMMYFUNCTION("GOOGLETRANSLATE(B6967,""id"",""en"")"),"['iyah', 'krna', 'pulse', 'telkom', 'jdi', 'pket', 'bro', 'phm']")</f>
        <v>['iyah', 'krna', 'pulse', 'telkom', 'jdi', 'pket', 'bro', 'phm']</v>
      </c>
      <c r="D6967" s="3">
        <v>1.0</v>
      </c>
    </row>
    <row r="6968" ht="15.75" customHeight="1">
      <c r="A6968" s="1">
        <v>7484.0</v>
      </c>
      <c r="B6968" s="3" t="s">
        <v>6713</v>
      </c>
      <c r="C6968" s="3" t="str">
        <f>IFERROR(__xludf.DUMMYFUNCTION("GOOGLETRANSLATE(B6968,""id"",""en"")"),"['', 'belongah', 'bicars', 'amu', 'buy', '']")</f>
        <v>['', 'belongah', 'bicars', 'amu', 'buy', '']</v>
      </c>
      <c r="D6968" s="3">
        <v>5.0</v>
      </c>
    </row>
    <row r="6969" ht="15.75" customHeight="1">
      <c r="A6969" s="1">
        <v>7485.0</v>
      </c>
      <c r="B6969" s="3" t="s">
        <v>6714</v>
      </c>
      <c r="C6969" s="3" t="str">
        <f>IFERROR(__xludf.DUMMYFUNCTION("GOOGLETRANSLATE(B6969,""id"",""en"")"),"['Thank you', 'Telkomsel', 'really', 'bonus', 'quota', 'signal', 'Telkomsel', 'Sometimes', 'slow', 'rich', 'loading', ""]")</f>
        <v>['Thank you', 'Telkomsel', 'really', 'bonus', 'quota', 'signal', 'Telkomsel', 'Sometimes', 'slow', 'rich', 'loading', "]</v>
      </c>
      <c r="D6969" s="3">
        <v>5.0</v>
      </c>
    </row>
    <row r="6970" ht="15.75" customHeight="1">
      <c r="A6970" s="1">
        <v>7486.0</v>
      </c>
      <c r="B6970" s="3" t="s">
        <v>6715</v>
      </c>
      <c r="C6970" s="3" t="str">
        <f>IFERROR(__xludf.DUMMYFUNCTION("GOOGLETRANSLATE(B6970,""id"",""en"")"),"['Telkomsel', 'number', 'One', 'service', 'best', 'loss',' borne ',' customer ',' good ',' job ',' Certain ',' Telkomsel ',' A troubleshoot ',' conducted ',' absurdity ',' full ',' existence ', ""]")</f>
        <v>['Telkomsel', 'number', 'One', 'service', 'best', 'loss',' borne ',' customer ',' good ',' job ',' Certain ',' Telkomsel ',' A troubleshoot ',' conducted ',' absurdity ',' full ',' existence ', "]</v>
      </c>
      <c r="D6970" s="3">
        <v>1.0</v>
      </c>
    </row>
    <row r="6971" ht="15.75" customHeight="1">
      <c r="A6971" s="1">
        <v>7487.0</v>
      </c>
      <c r="B6971" s="3" t="s">
        <v>6716</v>
      </c>
      <c r="C6971" s="3" t="str">
        <f>IFERROR(__xludf.DUMMYFUNCTION("GOOGLETRANSLATE(B6971,""id"",""en"")"),"['woi', 'network', 'times',' broken ',' njing ',' kek ',' work ',' price ',' package ',' expensive ',' TPI ',' quality ',' Kek ',' Gini ',' Corruption ',' Kelen ',' ']")</f>
        <v>['woi', 'network', 'times',' broken ',' njing ',' kek ',' work ',' price ',' package ',' expensive ',' TPI ',' quality ',' Kek ',' Gini ',' Corruption ',' Kelen ',' ']</v>
      </c>
      <c r="D6971" s="3">
        <v>1.0</v>
      </c>
    </row>
    <row r="6972" ht="15.75" customHeight="1">
      <c r="A6972" s="1">
        <v>7488.0</v>
      </c>
      <c r="B6972" s="3" t="s">
        <v>6717</v>
      </c>
      <c r="C6972" s="3" t="str">
        <f>IFERROR(__xludf.DUMMYFUNCTION("GOOGLETRANSLATE(B6972,""id"",""en"")"),"['APK', 'open', 'already', 'own', 'download', 'dlu', '']")</f>
        <v>['APK', 'open', 'already', 'own', 'download', 'dlu', '']</v>
      </c>
      <c r="D6972" s="3">
        <v>2.0</v>
      </c>
    </row>
    <row r="6973" ht="15.75" customHeight="1">
      <c r="A6973" s="1">
        <v>7490.0</v>
      </c>
      <c r="B6973" s="3" t="s">
        <v>6718</v>
      </c>
      <c r="C6973" s="3" t="str">
        <f>IFERROR(__xludf.DUMMYFUNCTION("GOOGLETRANSLATE(B6973,""id"",""en"")"),"['convenience', 'in', 'use', 'APP']")</f>
        <v>['convenience', 'in', 'use', 'APP']</v>
      </c>
      <c r="D6973" s="3">
        <v>5.0</v>
      </c>
    </row>
    <row r="6974" ht="15.75" customHeight="1">
      <c r="A6974" s="1">
        <v>7491.0</v>
      </c>
      <c r="B6974" s="3" t="s">
        <v>6719</v>
      </c>
      <c r="C6974" s="3" t="str">
        <f>IFERROR(__xludf.DUMMYFUNCTION("GOOGLETRANSLATE(B6974,""id"",""en"")"),"['Network', 'kontoofoollllllll', 'provider', 'mcam', 'babiiii', 'kontooolllllll', 'baribbbbbbbbbbb']")</f>
        <v>['Network', 'kontoofoollllllll', 'provider', 'mcam', 'babiiii', 'kontooolllllll', 'baribbbbbbbbbbb']</v>
      </c>
      <c r="D6974" s="3">
        <v>1.0</v>
      </c>
    </row>
    <row r="6975" ht="15.75" customHeight="1">
      <c r="A6975" s="1">
        <v>7492.0</v>
      </c>
      <c r="B6975" s="3" t="s">
        <v>6720</v>
      </c>
      <c r="C6975" s="3" t="str">
        <f>IFERROR(__xludf.DUMMYFUNCTION("GOOGLETRANSLATE(B6975,""id"",""en"")"),"['application', 'make it difficult', 'buy', 'package', 'gabisa']")</f>
        <v>['application', 'make it difficult', 'buy', 'package', 'gabisa']</v>
      </c>
      <c r="D6975" s="3">
        <v>1.0</v>
      </c>
    </row>
    <row r="6976" ht="15.75" customHeight="1">
      <c r="A6976" s="1">
        <v>7494.0</v>
      </c>
      <c r="B6976" s="3" t="s">
        <v>6721</v>
      </c>
      <c r="C6976" s="3" t="str">
        <f>IFERROR(__xludf.DUMMYFUNCTION("GOOGLETRANSLATE(B6976,""id"",""en"")"),"['Klau', 'Watch', 'YouTube', 'Good', 'Klau', 'Main', 'Game', 'Network', 'Kek', 'Taiiii']")</f>
        <v>['Klau', 'Watch', 'YouTube', 'Good', 'Klau', 'Main', 'Game', 'Network', 'Kek', 'Taiiii']</v>
      </c>
      <c r="D6976" s="3">
        <v>1.0</v>
      </c>
    </row>
    <row r="6977" ht="15.75" customHeight="1">
      <c r="A6977" s="1">
        <v>7495.0</v>
      </c>
      <c r="B6977" s="3" t="s">
        <v>6722</v>
      </c>
      <c r="C6977" s="3" t="str">
        <f>IFERROR(__xludf.DUMMYFUNCTION("GOOGLETRANSLATE(B6977,""id"",""en"")"),"['application', 'makes it easy', 'customer', 'please', 'fix', 'benefits', 'customer']")</f>
        <v>['application', 'makes it easy', 'customer', 'please', 'fix', 'benefits', 'customer']</v>
      </c>
      <c r="D6977" s="3">
        <v>5.0</v>
      </c>
    </row>
    <row r="6978" ht="15.75" customHeight="1">
      <c r="A6978" s="1">
        <v>7496.0</v>
      </c>
      <c r="B6978" s="3" t="s">
        <v>6723</v>
      </c>
      <c r="C6978" s="3" t="str">
        <f>IFERROR(__xludf.DUMMYFUNCTION("GOOGLETRANSLATE(B6978,""id"",""en"")"),"['expensive', 'network', 'severe']")</f>
        <v>['expensive', 'network', 'severe']</v>
      </c>
      <c r="D6978" s="3">
        <v>1.0</v>
      </c>
    </row>
    <row r="6979" ht="15.75" customHeight="1">
      <c r="A6979" s="1">
        <v>7497.0</v>
      </c>
      <c r="B6979" s="3" t="s">
        <v>6724</v>
      </c>
      <c r="C6979" s="3" t="str">
        <f>IFERROR(__xludf.DUMMYFUNCTION("GOOGLETRANSLATE(B6979,""id"",""en"")"),"['Soon', 'Severe', 'Lost', 'Lost', 'Embossed', 'Rain', ""]")</f>
        <v>['Soon', 'Severe', 'Lost', 'Lost', 'Embossed', 'Rain', "]</v>
      </c>
      <c r="D6979" s="3">
        <v>1.0</v>
      </c>
    </row>
    <row r="6980" ht="15.75" customHeight="1">
      <c r="A6980" s="1">
        <v>7498.0</v>
      </c>
      <c r="B6980" s="3" t="s">
        <v>6725</v>
      </c>
      <c r="C6980" s="3" t="str">
        <f>IFERROR(__xludf.DUMMYFUNCTION("GOOGLETRANSLATE(B6980,""id"",""en"")"),"['Disappointing', 'Credit', 'Cut', '']")</f>
        <v>['Disappointing', 'Credit', 'Cut', '']</v>
      </c>
      <c r="D6980" s="3">
        <v>1.0</v>
      </c>
    </row>
    <row r="6981" ht="15.75" customHeight="1">
      <c r="A6981" s="1">
        <v>7499.0</v>
      </c>
      <c r="B6981" s="3" t="s">
        <v>6726</v>
      </c>
      <c r="C6981" s="3" t="str">
        <f>IFERROR(__xludf.DUMMYFUNCTION("GOOGLETRANSLATE(B6981,""id"",""en"")"),"['Disappointed', 'buy', 'package', 'display', 'applied', 'Telkomsel', 'Doang', 'dipake', 'already', 'that's',' complaint ',' complaint ',' Grades', 'hours',' robots', 'down', 'service', 'Telkomsel', 'Kayak', '']")</f>
        <v>['Disappointed', 'buy', 'package', 'display', 'applied', 'Telkomsel', 'Doang', 'dipake', 'already', 'that's',' complaint ',' complaint ',' Grades', 'hours',' robots', 'down', 'service', 'Telkomsel', 'Kayak', '']</v>
      </c>
      <c r="D6981" s="3">
        <v>1.0</v>
      </c>
    </row>
    <row r="6982" ht="15.75" customHeight="1">
      <c r="A6982" s="1">
        <v>7500.0</v>
      </c>
      <c r="B6982" s="3" t="s">
        <v>6727</v>
      </c>
      <c r="C6982" s="3" t="str">
        <f>IFERROR(__xludf.DUMMYFUNCTION("GOOGLETRANSLATE(B6982,""id"",""en"")"),"['Kek', 'pig', 'Telkomsel', 'clock', 'signal', 'already', 'ngak', 'poke', 'ngak', 'signal', 'good', 'close', ' Telkomsel ',' sell ',' package ',' expensive ',' disappointed ',' gini ',' Telkomsel ',' expensive ',' quality ',' signal ',' plunder ']")</f>
        <v>['Kek', 'pig', 'Telkomsel', 'clock', 'signal', 'already', 'ngak', 'poke', 'ngak', 'signal', 'good', 'close', ' Telkomsel ',' sell ',' package ',' expensive ',' disappointed ',' gini ',' Telkomsel ',' expensive ',' quality ',' signal ',' plunder ']</v>
      </c>
      <c r="D6982" s="3">
        <v>1.0</v>
      </c>
    </row>
    <row r="6983" ht="15.75" customHeight="1">
      <c r="A6983" s="1">
        <v>7501.0</v>
      </c>
      <c r="B6983" s="3" t="s">
        <v>6728</v>
      </c>
      <c r="C6983" s="3" t="str">
        <f>IFERROR(__xludf.DUMMYFUNCTION("GOOGLETRANSLATE(B6983,""id"",""en"")"),"['Search', 'Cheap', 'Telkomsel', 'Jamin', 'Amam']")</f>
        <v>['Search', 'Cheap', 'Telkomsel', 'Jamin', 'Amam']</v>
      </c>
      <c r="D6983" s="3">
        <v>5.0</v>
      </c>
    </row>
    <row r="6984" ht="15.75" customHeight="1">
      <c r="A6984" s="1">
        <v>7503.0</v>
      </c>
      <c r="B6984" s="3" t="s">
        <v>6729</v>
      </c>
      <c r="C6984" s="3" t="str">
        <f>IFERROR(__xludf.DUMMYFUNCTION("GOOGLETRANSLATE(B6984,""id"",""en"")"),"['application', 'good', 'download', 'application', 'suggestion', 'download', 'application', 'help', 'really', 'check', 'package', 'pulse', ' Purchases', 'packages',' prices', 'cheap', 'really', '']")</f>
        <v>['application', 'good', 'download', 'application', 'suggestion', 'download', 'application', 'help', 'really', 'check', 'package', 'pulse', ' Purchases', 'packages',' prices', 'cheap', 'really', '']</v>
      </c>
      <c r="D6984" s="3">
        <v>5.0</v>
      </c>
    </row>
    <row r="6985" ht="15.75" customHeight="1">
      <c r="A6985" s="1">
        <v>7504.0</v>
      </c>
      <c r="B6985" s="3" t="s">
        <v>6730</v>
      </c>
      <c r="C6985" s="3" t="str">
        <f>IFERROR(__xludf.DUMMYFUNCTION("GOOGLETRANSLATE(B6985,""id"",""en"")"),"['Out', 'Ujan', 'signal', 'ugly', 'emotion', 'no', 'ngelag', 'please', 'fix', 'already', 'quota', 'expensive', ' TPI ',' Out ',' Ujan ',' Ngellag ',' Please ',' Fix ',' Consumer ',' Disappointed ',' ']")</f>
        <v>['Out', 'Ujan', 'signal', 'ugly', 'emotion', 'no', 'ngelag', 'please', 'fix', 'already', 'quota', 'expensive', ' TPI ',' Out ',' Ujan ',' Ngellag ',' Please ',' Fix ',' Consumer ',' Disappointed ',' ']</v>
      </c>
      <c r="D6985" s="3">
        <v>1.0</v>
      </c>
    </row>
    <row r="6986" ht="15.75" customHeight="1">
      <c r="A6986" s="1">
        <v>7505.0</v>
      </c>
      <c r="B6986" s="3" t="s">
        <v>6731</v>
      </c>
      <c r="C6986" s="3" t="str">
        <f>IFERROR(__xludf.DUMMYFUNCTION("GOOGLETRANSLATE(B6986,""id"",""en"")"),"['signal', 'plus',' taste ',' rich ',' signal ',' play ',' mobile ',' Legend ',' area ',' Cibinong ',' Bogor ',' Please ',' FIXED ',' QUALITY ',' NETWORK ',' ']")</f>
        <v>['signal', 'plus',' taste ',' rich ',' signal ',' play ',' mobile ',' Legend ',' area ',' Cibinong ',' Bogor ',' Please ',' FIXED ',' QUALITY ',' NETWORK ',' ']</v>
      </c>
      <c r="D6986" s="3">
        <v>1.0</v>
      </c>
    </row>
    <row r="6987" ht="15.75" customHeight="1">
      <c r="A6987" s="1">
        <v>7506.0</v>
      </c>
      <c r="B6987" s="3" t="s">
        <v>6732</v>
      </c>
      <c r="C6987" s="3" t="str">
        <f>IFERROR(__xludf.DUMMYFUNCTION("GOOGLETRANSLATE(B6987,""id"",""en"")"),"['Customer', 'Telkomsel', 'Free']")</f>
        <v>['Customer', 'Telkomsel', 'Free']</v>
      </c>
      <c r="D6987" s="3">
        <v>5.0</v>
      </c>
    </row>
    <row r="6988" ht="15.75" customHeight="1">
      <c r="A6988" s="1">
        <v>7507.0</v>
      </c>
      <c r="B6988" s="3" t="s">
        <v>6733</v>
      </c>
      <c r="C6988" s="3" t="str">
        <f>IFERROR(__xludf.DUMMYFUNCTION("GOOGLETRANSLATE(B6988,""id"",""en"")"),"['Woy', 'Please', 'Banyaaak', 'Wrong', 'Connect', 'Cave', 'Double', 'Number', 'Times',' Number ',' Seri ',' Connect ',' Nagih ',' Nagih ',' Debt ',' Goblokkk ',' Signal ',' Begin ',' Woyy ',' Expensive ',' Doang ',' Signal ',' Cave ',' Cave ' , 'Telkomnye"&amp;"t', 'era', 'Blom', 'Need', 'KTP', 'Times', 'Cave', 'Disappointed', '']")</f>
        <v>['Woy', 'Please', 'Banyaaak', 'Wrong', 'Connect', 'Cave', 'Double', 'Number', 'Times',' Number ',' Seri ',' Connect ',' Nagih ',' Nagih ',' Debt ',' Goblokkk ',' Signal ',' Begin ',' Woyy ',' Expensive ',' Doang ',' Signal ',' Cave ',' Cave ' , 'Telkomnyet', 'era', 'Blom', 'Need', 'KTP', 'Times', 'Cave', 'Disappointed', '']</v>
      </c>
      <c r="D6988" s="3">
        <v>1.0</v>
      </c>
    </row>
    <row r="6989" ht="15.75" customHeight="1">
      <c r="A6989" s="1">
        <v>7508.0</v>
      </c>
      <c r="B6989" s="3" t="s">
        <v>6734</v>
      </c>
      <c r="C6989" s="3" t="str">
        <f>IFERROR(__xludf.DUMMYFUNCTION("GOOGLETRANSLATE(B6989,""id"",""en"")"),"['Sanggat', 'Good', 'AFK', '']")</f>
        <v>['Sanggat', 'Good', 'AFK', '']</v>
      </c>
      <c r="D6989" s="3">
        <v>5.0</v>
      </c>
    </row>
    <row r="6990" ht="15.75" customHeight="1">
      <c r="A6990" s="1">
        <v>7509.0</v>
      </c>
      <c r="B6990" s="3" t="s">
        <v>6735</v>
      </c>
      <c r="C6990" s="3" t="str">
        <f>IFERROR(__xludf.DUMMYFUNCTION("GOOGLETRANSLATE(B6990,""id"",""en"")"),"['Woyyy', 'replace', 'loss',' Telkomsel ',' strange ',' buy ',' package ',' unlimited ',' right ',' open ',' cue ',' quota ',' main ',' credit ',' cave ',' run out ',' loss', 'gini', 'subscription', 'please', 'repaired', ""]")</f>
        <v>['Woyyy', 'replace', 'loss',' Telkomsel ',' strange ',' buy ',' package ',' unlimited ',' right ',' open ',' cue ',' quota ',' main ',' credit ',' cave ',' run out ',' loss', 'gini', 'subscription', 'please', 'repaired', "]</v>
      </c>
      <c r="D6990" s="3">
        <v>1.0</v>
      </c>
    </row>
    <row r="6991" ht="15.75" customHeight="1">
      <c r="A6991" s="1">
        <v>7510.0</v>
      </c>
      <c r="B6991" s="3" t="s">
        <v>6736</v>
      </c>
      <c r="C6991" s="3" t="str">
        <f>IFERROR(__xludf.DUMMYFUNCTION("GOOGLETRANSLATE(B6991,""id"",""en"")"),"['Telkomsel', 'Bringas',' Points', 'behavior', 'pkek', 'pulses',' already ',' so ',' fees', 'pulses',' ngak ',' ngotak ',' Officials', 'Telkomsel', 'Points',' Charging ',' reset ',' No ',' sick ',' Heart ',' Thank you ']")</f>
        <v>['Telkomsel', 'Bringas',' Points', 'behavior', 'pkek', 'pulses',' already ',' so ',' fees', 'pulses',' ngak ',' ngotak ',' Officials', 'Telkomsel', 'Points',' Charging ',' reset ',' No ',' sick ',' Heart ',' Thank you ']</v>
      </c>
      <c r="D6991" s="3">
        <v>1.0</v>
      </c>
    </row>
    <row r="6992" ht="15.75" customHeight="1">
      <c r="A6992" s="1">
        <v>7511.0</v>
      </c>
      <c r="B6992" s="3" t="s">
        <v>6737</v>
      </c>
      <c r="C6992" s="3" t="str">
        <f>IFERROR(__xludf.DUMMYFUNCTION("GOOGLETRANSLATE(B6992,""id"",""en"")"),"['love', '']")</f>
        <v>['love', '']</v>
      </c>
      <c r="D6992" s="3">
        <v>1.0</v>
      </c>
    </row>
    <row r="6993" ht="15.75" customHeight="1">
      <c r="A6993" s="1">
        <v>7512.0</v>
      </c>
      <c r="B6993" s="3" t="s">
        <v>6738</v>
      </c>
      <c r="C6993" s="3" t="str">
        <f>IFERROR(__xludf.DUMMYFUNCTION("GOOGLETRANSLATE(B6993,""id"",""en"")"),"['Oia', 'Layday', 'Layi', 'Happy', 'Telkomsel', 'No', 'Just', 'Lies',' Sheer ',' Points', 'Telkomsel', 'Useful', ' No ',' Layday ',' Undi ',' Happy ',' No ',' News', 'Win', 'Lottery', 'No', 'True', ""]")</f>
        <v>['Oia', 'Layday', 'Layi', 'Happy', 'Telkomsel', 'No', 'Just', 'Lies',' Sheer ',' Points', 'Telkomsel', 'Useful', ' No ',' Layday ',' Undi ',' Happy ',' No ',' News', 'Win', 'Lottery', 'No', 'True', "]</v>
      </c>
      <c r="D6993" s="3">
        <v>5.0</v>
      </c>
    </row>
    <row r="6994" ht="15.75" customHeight="1">
      <c r="A6994" s="1">
        <v>7513.0</v>
      </c>
      <c r="B6994" s="3" t="s">
        <v>6739</v>
      </c>
      <c r="C6994" s="3" t="str">
        <f>IFERROR(__xludf.DUMMYFUNCTION("GOOGLETRANSLATE(B6994,""id"",""en"")"),"['Ngelek', 'Lise', 'Treakk', 'Mulu', 'Dikatin', 'Lahh', 'Knp', 'Easy', 'Out', 'Pulses', 'Enggk', ""]")</f>
        <v>['Ngelek', 'Lise', 'Treakk', 'Mulu', 'Dikatin', 'Lahh', 'Knp', 'Easy', 'Out', 'Pulses', 'Enggk', "]</v>
      </c>
      <c r="D6994" s="3">
        <v>4.0</v>
      </c>
    </row>
    <row r="6995" ht="15.75" customHeight="1">
      <c r="A6995" s="1">
        <v>7514.0</v>
      </c>
      <c r="B6995" s="3" t="s">
        <v>6740</v>
      </c>
      <c r="C6995" s="3" t="str">
        <f>IFERROR(__xludf.DUMMYFUNCTION("GOOGLETRANSLATE(B6995,""id"",""en"")"),"['Disappointed', 'Telkomsel', 'Nailing', 'Points',' Have ',' Gatherin ',' Points', 'Alhamdulillah', 'Points',' Exchange ',' Kouta ',' Malem ',' Drizzle ',' Kneppun ',' Try ',' Exchange ',' Ehh ',' The answer ',' Sorry ',' Category ',' Truz ',' Pool ',' Po"&amp;"ints', 'Reting', 'Love' , 'Fix', 'Add', 'Rating', 'Thank you']")</f>
        <v>['Disappointed', 'Telkomsel', 'Nailing', 'Points',' Have ',' Gatherin ',' Points', 'Alhamdulillah', 'Points',' Exchange ',' Kouta ',' Malem ',' Drizzle ',' Kneppun ',' Try ',' Exchange ',' Ehh ',' The answer ',' Sorry ',' Category ',' Truz ',' Pool ',' Points', 'Reting', 'Love' , 'Fix', 'Add', 'Rating', 'Thank you']</v>
      </c>
      <c r="D6995" s="3">
        <v>1.0</v>
      </c>
    </row>
    <row r="6996" ht="15.75" customHeight="1">
      <c r="A6996" s="1">
        <v>7515.0</v>
      </c>
      <c r="B6996" s="3" t="s">
        <v>6741</v>
      </c>
      <c r="C6996" s="3" t="str">
        <f>IFERROR(__xludf.DUMMYFUNCTION("GOOGLETRANSLATE(B6996,""id"",""en"")"),"['best', 'satisfaction', 'customers', 'DPAT', 'Car', 'Telkomsel', 'Points', 'Routine', 'Exchange', 'Points', 'Gods', 'Allah']")</f>
        <v>['best', 'satisfaction', 'customers', 'DPAT', 'Car', 'Telkomsel', 'Points', 'Routine', 'Exchange', 'Points', 'Gods', 'Allah']</v>
      </c>
      <c r="D6996" s="3">
        <v>5.0</v>
      </c>
    </row>
    <row r="6997" ht="15.75" customHeight="1">
      <c r="A6997" s="1">
        <v>7516.0</v>
      </c>
      <c r="B6997" s="3" t="s">
        <v>6742</v>
      </c>
      <c r="C6997" s="3" t="str">
        <f>IFERROR(__xludf.DUMMYFUNCTION("GOOGLETRANSLATE(B6997,""id"",""en"")"),"['Service', 'Combo', 'Sakti', 'Lost']")</f>
        <v>['Service', 'Combo', 'Sakti', 'Lost']</v>
      </c>
      <c r="D6997" s="3">
        <v>1.0</v>
      </c>
    </row>
    <row r="6998" ht="15.75" customHeight="1">
      <c r="A6998" s="1">
        <v>7517.0</v>
      </c>
      <c r="B6998" s="3" t="s">
        <v>6743</v>
      </c>
      <c r="C6998" s="3" t="str">
        <f>IFERROR(__xludf.DUMMYFUNCTION("GOOGLETRANSLATE(B6998,""id"",""en"")"),"['Sousal', 'ugly', 'Kayak', 'Kenceng', 'watch', 'Tiktok', 'Maen', 'Game', 'Severe', 'lag', 'Ngilak', 'Gara', ' signal ',' Telkomsel ',' ugly ',' disappointed ',' really ',' cave ',' pakek ',' pakek ',' card ',' already ',' punasin ',' credit ',' emergency"&amp;" ' , 'Nagih', 'right', 'fill', 'reset', 'direct', 'cut', 'operator', 'nagih', 'customer', 'confused', 'internet', 'slow', ' Severe ',' Kayak ',' Telkomsel ',' Severe ',' Leet ',' ']")</f>
        <v>['Sousal', 'ugly', 'Kayak', 'Kenceng', 'watch', 'Tiktok', 'Maen', 'Game', 'Severe', 'lag', 'Ngilak', 'Gara', ' signal ',' Telkomsel ',' ugly ',' disappointed ',' really ',' cave ',' pakek ',' pakek ',' card ',' already ',' punasin ',' credit ',' emergency ' , 'Nagih', 'right', 'fill', 'reset', 'direct', 'cut', 'operator', 'nagih', 'customer', 'confused', 'internet', 'slow', ' Severe ',' Kayak ',' Telkomsel ',' Severe ',' Leet ',' ']</v>
      </c>
      <c r="D6998" s="3">
        <v>1.0</v>
      </c>
    </row>
    <row r="6999" ht="15.75" customHeight="1">
      <c r="A6999" s="1">
        <v>7519.0</v>
      </c>
      <c r="B6999" s="3" t="s">
        <v>6744</v>
      </c>
      <c r="C6999" s="3" t="str">
        <f>IFERROR(__xludf.DUMMYFUNCTION("GOOGLETRANSLATE(B6999,""id"",""en"")"),"['Gift', 'Lottery', 'hoax']")</f>
        <v>['Gift', 'Lottery', 'hoax']</v>
      </c>
      <c r="D6999" s="3">
        <v>1.0</v>
      </c>
    </row>
    <row r="7000" ht="15.75" customHeight="1">
      <c r="A7000" s="1">
        <v>7520.0</v>
      </c>
      <c r="B7000" s="3" t="s">
        <v>6745</v>
      </c>
      <c r="C7000" s="3" t="str">
        <f>IFERROR(__xludf.DUMMYFUNCTION("GOOGLETRANSLATE(B7000,""id"",""en"")"),"['signal', 'NPA', 'FULL']")</f>
        <v>['signal', 'NPA', 'FULL']</v>
      </c>
      <c r="D7000" s="3">
        <v>4.0</v>
      </c>
    </row>
    <row r="7001" ht="15.75" customHeight="1">
      <c r="A7001" s="1">
        <v>7521.0</v>
      </c>
      <c r="B7001" s="3" t="s">
        <v>6746</v>
      </c>
      <c r="C7001" s="3" t="str">
        <f>IFERROR(__xludf.DUMMYFUNCTION("GOOGLETRANSLATE(B7001,""id"",""en"")"),"['Save', 'easy']")</f>
        <v>['Save', 'easy']</v>
      </c>
      <c r="D7001" s="3">
        <v>4.0</v>
      </c>
    </row>
    <row r="7002" ht="15.75" customHeight="1">
      <c r="A7002" s="1">
        <v>7522.0</v>
      </c>
      <c r="B7002" s="3" t="s">
        <v>6747</v>
      </c>
      <c r="C7002" s="3" t="str">
        <f>IFERROR(__xludf.DUMMYFUNCTION("GOOGLETRANSLATE(B7002,""id"",""en"")"),"['Telkomsel', 'YTH', 'already', 'buy', 'lapse', 'unlimited', 'youtube', 'sometimes',' quota ',' main ',' sumps', 'please', ' Fix ',' System ',' Sampe ',' Broken ',' Quota ',' Main ',' Credit ',' Sampe ',' Rupiah ',' Internet ',' Bad ',' Leet ',' Good ' , "&amp;"'good', 'already', 'expensive', 'slow', 'keceke', 'heavy', ""]")</f>
        <v>['Telkomsel', 'YTH', 'already', 'buy', 'lapse', 'unlimited', 'youtube', 'sometimes',' quota ',' main ',' sumps', 'please', ' Fix ',' System ',' Sampe ',' Broken ',' Quota ',' Main ',' Credit ',' Sampe ',' Rupiah ',' Internet ',' Bad ',' Leet ',' Good ' , 'good', 'already', 'expensive', 'slow', 'keceke', 'heavy', "]</v>
      </c>
      <c r="D7002" s="3">
        <v>1.0</v>
      </c>
    </row>
    <row r="7003" ht="15.75" customHeight="1">
      <c r="A7003" s="1">
        <v>7523.0</v>
      </c>
      <c r="B7003" s="3" t="s">
        <v>6748</v>
      </c>
      <c r="C7003" s="3" t="str">
        <f>IFERROR(__xludf.DUMMYFUNCTION("GOOGLETRANSLATE(B7003,""id"",""en"")"),"['cheat', 'Telkomsel', 'poor', 'buy', 'package', 'to', 'internet', 'GB', 'Multimedia', 'YouTube', 'Game', 'GB', ' Strangely ',' YouTube ',' Sumpot ',' Paketan ',' Multimedia ',' Paketan ',' Internet ',' Hoyyyy ',' Cheat ',' Terbang ',' Move ',' Operator '"&amp;",' Next to ' , 'Cheating']")</f>
        <v>['cheat', 'Telkomsel', 'poor', 'buy', 'package', 'to', 'internet', 'GB', 'Multimedia', 'YouTube', 'Game', 'GB', ' Strangely ',' YouTube ',' Sumpot ',' Paketan ',' Multimedia ',' Paketan ',' Internet ',' Hoyyyy ',' Cheat ',' Terbang ',' Move ',' Operator ',' Next to ' , 'Cheating']</v>
      </c>
      <c r="D7003" s="3">
        <v>1.0</v>
      </c>
    </row>
    <row r="7004" ht="15.75" customHeight="1">
      <c r="A7004" s="1">
        <v>7524.0</v>
      </c>
      <c r="B7004" s="3" t="s">
        <v>6749</v>
      </c>
      <c r="C7004" s="3" t="str">
        <f>IFERROR(__xludf.DUMMYFUNCTION("GOOGLETRANSLATE(B7004,""id"",""en"")"),"['min', 'network', 'internet', 'area', 'use', 'streaming', 'maen', 'games',' maen ',' safe ',' safe ',' skrang ',' Already ',' network ',' down ',' network ',' ']")</f>
        <v>['min', 'network', 'internet', 'area', 'use', 'streaming', 'maen', 'games',' maen ',' safe ',' safe ',' skrang ',' Already ',' network ',' down ',' network ',' ']</v>
      </c>
      <c r="D7004" s="3">
        <v>1.0</v>
      </c>
    </row>
    <row r="7005" ht="15.75" customHeight="1">
      <c r="A7005" s="1">
        <v>7525.0</v>
      </c>
      <c r="B7005" s="3" t="s">
        <v>6750</v>
      </c>
      <c r="C7005" s="3" t="str">
        <f>IFERROR(__xludf.DUMMYFUNCTION("GOOGLETRANSLATE(B7005,""id"",""en"")"),"['Signal', 'card', 'Hallo', 'chat', 'clock', 'kot', 'login', 'game', 'streaming', 'regret', 'pay', 'expensive', ' Fix ',' gwa ']")</f>
        <v>['Signal', 'card', 'Hallo', 'chat', 'clock', 'kot', 'login', 'game', 'streaming', 'regret', 'pay', 'expensive', ' Fix ',' gwa ']</v>
      </c>
      <c r="D7005" s="3">
        <v>1.0</v>
      </c>
    </row>
    <row r="7006" ht="15.75" customHeight="1">
      <c r="A7006" s="1">
        <v>7527.0</v>
      </c>
      <c r="B7006" s="3" t="s">
        <v>6751</v>
      </c>
      <c r="C7006" s="3" t="str">
        <f>IFERROR(__xludf.DUMMYFUNCTION("GOOGLETRANSLATE(B7006,""id"",""en"")"),"['signalny', 'ugly', 'Telkomsel', 'cellular', 'best', '']")</f>
        <v>['signalny', 'ugly', 'Telkomsel', 'cellular', 'best', '']</v>
      </c>
      <c r="D7006" s="3">
        <v>2.0</v>
      </c>
    </row>
    <row r="7007" ht="15.75" customHeight="1">
      <c r="A7007" s="1">
        <v>7528.0</v>
      </c>
      <c r="B7007" s="3" t="s">
        <v>6752</v>
      </c>
      <c r="C7007" s="3" t="str">
        <f>IFERROR(__xludf.DUMMYFUNCTION("GOOGLETRANSLATE(B7007,""id"",""en"")"),"['Amazing', 'Thanks', 'Telkomsel', 'Forward', 'Success']")</f>
        <v>['Amazing', 'Thanks', 'Telkomsel', 'Forward', 'Success']</v>
      </c>
      <c r="D7007" s="3">
        <v>5.0</v>
      </c>
    </row>
    <row r="7008" ht="15.75" customHeight="1">
      <c r="A7008" s="1">
        <v>7529.0</v>
      </c>
      <c r="B7008" s="3" t="s">
        <v>6753</v>
      </c>
      <c r="C7008" s="3" t="str">
        <f>IFERROR(__xludf.DUMMYFUNCTION("GOOGLETRANSLATE(B7008,""id"",""en"")"),"['Disruption', 'national', 'tempo', 'signal', 'strong', 'please', 'fix', 'tekomsel', 'return', 'as strong', ""]")</f>
        <v>['Disruption', 'national', 'tempo', 'signal', 'strong', 'please', 'fix', 'tekomsel', 'return', 'as strong', "]</v>
      </c>
      <c r="D7008" s="3">
        <v>1.0</v>
      </c>
    </row>
    <row r="7009" ht="15.75" customHeight="1">
      <c r="A7009" s="1">
        <v>7530.0</v>
      </c>
      <c r="B7009" s="3" t="s">
        <v>6754</v>
      </c>
      <c r="C7009" s="3" t="str">
        <f>IFERROR(__xludf.DUMMYFUNCTION("GOOGLETRANSLATE(B7009,""id"",""en"")"),"['Please', 'sorry', 'love', 'star', 'buy', 'quota', 'unlimited', 'youtube', 'access',' youtube ',' truncated ',' quota ',' Regular ',' Nomer ',' annoyed ',' card ',' I cut home ',' replace ',' use ',' number ',' main ',' buy ',' quota ',' self-independent"&amp;" ' , 'Gojek', 'buy', 'quota', 'unlimited', 'youtube', 'access',' youtube ',' truncated ',' quota ',' self-owned ',' gojek ',' buy ',' Unlimited ',' YouTube ',' ']")</f>
        <v>['Please', 'sorry', 'love', 'star', 'buy', 'quota', 'unlimited', 'youtube', 'access',' youtube ',' truncated ',' quota ',' Regular ',' Nomer ',' annoyed ',' card ',' I cut home ',' replace ',' use ',' number ',' main ',' buy ',' quota ',' self-independent ' , 'Gojek', 'buy', 'quota', 'unlimited', 'youtube', 'access',' youtube ',' truncated ',' quota ',' self-owned ',' gojek ',' buy ',' Unlimited ',' YouTube ',' ']</v>
      </c>
      <c r="D7009" s="3">
        <v>1.0</v>
      </c>
    </row>
    <row r="7010" ht="15.75" customHeight="1">
      <c r="A7010" s="1">
        <v>7531.0</v>
      </c>
      <c r="B7010" s="3" t="s">
        <v>6755</v>
      </c>
      <c r="C7010" s="3" t="str">
        <f>IFERROR(__xludf.DUMMYFUNCTION("GOOGLETRANSLATE(B7010,""id"",""en"")"),"['Telkomsel', 'network', 'disappointing', 'network', 'rotten', 'upset', 'experience', 'disorder', 'network', 'parahhhh', ""]")</f>
        <v>['Telkomsel', 'network', 'disappointing', 'network', 'rotten', 'upset', 'experience', 'disorder', 'network', 'parahhhh', "]</v>
      </c>
      <c r="D7010" s="3">
        <v>1.0</v>
      </c>
    </row>
    <row r="7011" ht="15.75" customHeight="1">
      <c r="A7011" s="1">
        <v>7532.0</v>
      </c>
      <c r="B7011" s="3" t="s">
        <v>6756</v>
      </c>
      <c r="C7011" s="3" t="str">
        <f>IFERROR(__xludf.DUMMYFUNCTION("GOOGLETRANSLATE(B7011,""id"",""en"")"),"['choice', 'shopping', 'package', 'disappointing', '']")</f>
        <v>['choice', 'shopping', 'package', 'disappointing', '']</v>
      </c>
      <c r="D7011" s="3">
        <v>1.0</v>
      </c>
    </row>
    <row r="7012" ht="15.75" customHeight="1">
      <c r="A7012" s="1">
        <v>7533.0</v>
      </c>
      <c r="B7012" s="3" t="s">
        <v>6757</v>
      </c>
      <c r="C7012" s="3" t="str">
        <f>IFERROR(__xludf.DUMMYFUNCTION("GOOGLETRANSLATE(B7012,""id"",""en"")"),"['Network', 'slow', 'like', 'missing', 'poco', 'nfc']")</f>
        <v>['Network', 'slow', 'like', 'missing', 'poco', 'nfc']</v>
      </c>
      <c r="D7012" s="3">
        <v>1.0</v>
      </c>
    </row>
    <row r="7013" ht="15.75" customHeight="1">
      <c r="A7013" s="1">
        <v>7534.0</v>
      </c>
      <c r="B7013" s="3" t="s">
        <v>6758</v>
      </c>
      <c r="C7013" s="3" t="str">
        <f>IFERROR(__xludf.DUMMYFUNCTION("GOOGLETRANSLATE(B7013,""id"",""en"")"),"['promo', 'quota', 'main', 'tdak', 'bsa', 'open', '']")</f>
        <v>['promo', 'quota', 'main', 'tdak', 'bsa', 'open', '']</v>
      </c>
      <c r="D7013" s="3">
        <v>1.0</v>
      </c>
    </row>
    <row r="7014" ht="15.75" customHeight="1">
      <c r="A7014" s="1">
        <v>7535.0</v>
      </c>
      <c r="B7014" s="3" t="s">
        <v>6759</v>
      </c>
      <c r="C7014" s="3" t="str">
        <f>IFERROR(__xludf.DUMMYFUNCTION("GOOGLETRANSLATE(B7014,""id"",""en"")"),"['ad', 'doang', 'signal', 'strong', 'fix', 'signal', ""]")</f>
        <v>['ad', 'doang', 'signal', 'strong', 'fix', 'signal', "]</v>
      </c>
      <c r="D7014" s="3">
        <v>1.0</v>
      </c>
    </row>
    <row r="7015" ht="15.75" customHeight="1">
      <c r="A7015" s="1">
        <v>7536.0</v>
      </c>
      <c r="B7015" s="3" t="s">
        <v>6760</v>
      </c>
      <c r="C7015" s="3" t="str">
        <f>IFERROR(__xludf.DUMMYFUNCTION("GOOGLETRANSLATE(B7015,""id"",""en"")"),"['pulse', 'Sumpot', 'just', 'Fill', 'Credit', 'Cut', 'Package', 'Internet', 'OMG', 'Subscribe']")</f>
        <v>['pulse', 'Sumpot', 'just', 'Fill', 'Credit', 'Cut', 'Package', 'Internet', 'OMG', 'Subscribe']</v>
      </c>
      <c r="D7015" s="3">
        <v>1.0</v>
      </c>
    </row>
    <row r="7016" ht="15.75" customHeight="1">
      <c r="A7016" s="1">
        <v>7538.0</v>
      </c>
      <c r="B7016" s="3" t="s">
        <v>6761</v>
      </c>
      <c r="C7016" s="3" t="str">
        <f>IFERROR(__xludf.DUMMYFUNCTION("GOOGLETRANSLATE(B7016,""id"",""en"")"),"['Telkomsel', 'bankrupt', 'fill', 'pulse', 'msuk', 'clicked', 'ttp', 'sent']")</f>
        <v>['Telkomsel', 'bankrupt', 'fill', 'pulse', 'msuk', 'clicked', 'ttp', 'sent']</v>
      </c>
      <c r="D7016" s="3">
        <v>1.0</v>
      </c>
    </row>
    <row r="7017" ht="15.75" customHeight="1">
      <c r="A7017" s="1">
        <v>7539.0</v>
      </c>
      <c r="B7017" s="3" t="s">
        <v>6762</v>
      </c>
      <c r="C7017" s="3" t="str">
        <f>IFERROR(__xludf.DUMMYFUNCTION("GOOGLETRANSLATE(B7017,""id"",""en"")"),"['please', 'yahh', 'Telkomsel', 'card', 'Sultann', 'package', 'expensive', 'kayak', 'operator', 'neighbor', 'tree', 'die', ' Lights', 'Network', 'Dead', 'Siking', 'Anjinhh']")</f>
        <v>['please', 'yahh', 'Telkomsel', 'card', 'Sultann', 'package', 'expensive', 'kayak', 'operator', 'neighbor', 'tree', 'die', ' Lights', 'Network', 'Dead', 'Siking', 'Anjinhh']</v>
      </c>
      <c r="D7017" s="3">
        <v>1.0</v>
      </c>
    </row>
    <row r="7018" ht="15.75" customHeight="1">
      <c r="A7018" s="1">
        <v>7541.0</v>
      </c>
      <c r="B7018" s="3" t="s">
        <v>6763</v>
      </c>
      <c r="C7018" s="3" t="str">
        <f>IFERROR(__xludf.DUMMYFUNCTION("GOOGLETRANSLATE(B7018,""id"",""en"")"),"['signal', 'slow', 'really']")</f>
        <v>['signal', 'slow', 'really']</v>
      </c>
      <c r="D7018" s="3">
        <v>1.0</v>
      </c>
    </row>
    <row r="7019" ht="15.75" customHeight="1">
      <c r="A7019" s="1">
        <v>7542.0</v>
      </c>
      <c r="B7019" s="3" t="s">
        <v>6764</v>
      </c>
      <c r="C7019" s="3" t="str">
        <f>IFERROR(__xludf.DUMMYFUNCTION("GOOGLETRANSLATE(B7019,""id"",""en"")"),"['TELKOM', 'Open', 'Application', 'Clasroom', 'quota', 'expensive', 'signal', 'ugly', 'please', 'like', 'Telkom', 'quota', ' cheap ',' signal ',' good ',' different ',' base ',' cheat ']")</f>
        <v>['TELKOM', 'Open', 'Application', 'Clasroom', 'quota', 'expensive', 'signal', 'ugly', 'please', 'like', 'Telkom', 'quota', ' cheap ',' signal ',' good ',' different ',' base ',' cheat ']</v>
      </c>
      <c r="D7019" s="3">
        <v>1.0</v>
      </c>
    </row>
    <row r="7020" ht="15.75" customHeight="1">
      <c r="A7020" s="1">
        <v>7543.0</v>
      </c>
      <c r="B7020" s="3" t="s">
        <v>6765</v>
      </c>
      <c r="C7020" s="3" t="str">
        <f>IFERROR(__xludf.DUMMYFUNCTION("GOOGLETRANSLATE(B7020,""id"",""en"")"),"['It's easy', 'user', 'Bertrandaksi']")</f>
        <v>['It's easy', 'user', 'Bertrandaksi']</v>
      </c>
      <c r="D7020" s="3">
        <v>4.0</v>
      </c>
    </row>
    <row r="7021" ht="15.75" customHeight="1">
      <c r="A7021" s="1">
        <v>7544.0</v>
      </c>
      <c r="B7021" s="3" t="s">
        <v>6766</v>
      </c>
      <c r="C7021" s="3" t="str">
        <f>IFERROR(__xludf.DUMMYFUNCTION("GOOGLETRANSLATE(B7021,""id"",""en"")"),"['steady', 'cmn', 'application', 'appears', 'menu']")</f>
        <v>['steady', 'cmn', 'application', 'appears', 'menu']</v>
      </c>
      <c r="D7021" s="3">
        <v>5.0</v>
      </c>
    </row>
    <row r="7022" ht="15.75" customHeight="1">
      <c r="A7022" s="1">
        <v>7545.0</v>
      </c>
      <c r="B7022" s="3" t="s">
        <v>6767</v>
      </c>
      <c r="C7022" s="3" t="str">
        <f>IFERROR(__xludf.DUMMYFUNCTION("GOOGLETRANSLATE(B7022,""id"",""en"")"),"['signal', 'ugly', 'klw', 'package', 'data', 'play', 'game', 'lost', 'signal', 'klw', 'internet', 'pulse', ' Wahh ',' Kenceng ',' Nanny ',' Fraud ',' Basic ',' Severe ']")</f>
        <v>['signal', 'ugly', 'klw', 'package', 'data', 'play', 'game', 'lost', 'signal', 'klw', 'internet', 'pulse', ' Wahh ',' Kenceng ',' Nanny ',' Fraud ',' Basic ',' Severe ']</v>
      </c>
      <c r="D7022" s="3">
        <v>1.0</v>
      </c>
    </row>
    <row r="7023" ht="15.75" customHeight="1">
      <c r="A7023" s="1">
        <v>7546.0</v>
      </c>
      <c r="B7023" s="3" t="s">
        <v>6768</v>
      </c>
      <c r="C7023" s="3" t="str">
        <f>IFERROR(__xludf.DUMMYFUNCTION("GOOGLETRANSLATE(B7023,""id"",""en"")"),"['rotten', 'network', 'trouble', 'finished', 'writing', 'internet', 'zero', 'rotten']")</f>
        <v>['rotten', 'network', 'trouble', 'finished', 'writing', 'internet', 'zero', 'rotten']</v>
      </c>
      <c r="D7023" s="3">
        <v>1.0</v>
      </c>
    </row>
    <row r="7024" ht="15.75" customHeight="1">
      <c r="A7024" s="1">
        <v>7547.0</v>
      </c>
      <c r="B7024" s="3" t="s">
        <v>6769</v>
      </c>
      <c r="C7024" s="3" t="str">
        <f>IFERROR(__xludf.DUMMYFUNCTION("GOOGLETRANSLATE(B7024,""id"",""en"")"),"['Signal', 'Asuuu', 'Package', 'Mahall', 'Need', 'Kestabilannn']")</f>
        <v>['Signal', 'Asuuu', 'Package', 'Mahall', 'Need', 'Kestabilannn']</v>
      </c>
      <c r="D7024" s="3">
        <v>1.0</v>
      </c>
    </row>
    <row r="7025" ht="15.75" customHeight="1">
      <c r="A7025" s="1">
        <v>7548.0</v>
      </c>
      <c r="B7025" s="3" t="s">
        <v>6770</v>
      </c>
      <c r="C7025" s="3" t="str">
        <f>IFERROR(__xludf.DUMMYFUNCTION("GOOGLETRANSLATE(B7025,""id"",""en"")"),"['network', 'Telkomsel', 'used', 'play', 'game', 'ugly', 'nge', 'youtube', 'open', 'good', 'please', 'answer', ' ']")</f>
        <v>['network', 'Telkomsel', 'used', 'play', 'game', 'ugly', 'nge', 'youtube', 'open', 'good', 'please', 'answer', ' ']</v>
      </c>
      <c r="D7025" s="3">
        <v>1.0</v>
      </c>
    </row>
    <row r="7026" ht="15.75" customHeight="1">
      <c r="A7026" s="1">
        <v>7549.0</v>
      </c>
      <c r="B7026" s="3" t="s">
        <v>6771</v>
      </c>
      <c r="C7026" s="3" t="str">
        <f>IFERROR(__xludf.DUMMYFUNCTION("GOOGLETRANSLATE(B7026,""id"",""en"")"),"['Good', 'Application', 'Lots', 'Program', 'combo']")</f>
        <v>['Good', 'Application', 'Lots', 'Program', 'combo']</v>
      </c>
      <c r="D7026" s="3">
        <v>5.0</v>
      </c>
    </row>
    <row r="7027" ht="15.75" customHeight="1">
      <c r="A7027" s="1">
        <v>7550.0</v>
      </c>
      <c r="B7027" s="3" t="s">
        <v>6772</v>
      </c>
      <c r="C7027" s="3" t="str">
        <f>IFERROR(__xludf.DUMMYFUNCTION("GOOGLETRANSLATE(B7027,""id"",""en"")"),"['Telkomsel', 'signal', 'ugly', 'really', ""]")</f>
        <v>['Telkomsel', 'signal', 'ugly', 'really', "]</v>
      </c>
      <c r="D7027" s="3">
        <v>1.0</v>
      </c>
    </row>
    <row r="7028" ht="15.75" customHeight="1">
      <c r="A7028" s="1">
        <v>7551.0</v>
      </c>
      <c r="B7028" s="3" t="s">
        <v>6773</v>
      </c>
      <c r="C7028" s="3" t="str">
        <f>IFERROR(__xludf.DUMMYFUNCTION("GOOGLETRANSLATE(B7028,""id"",""en"")"),"['Damn', 'complaints',' Telkomsel ',' TPI ',' all ',' squeezed ',' Call ',' Call ',' Center ',' anything ',' responsibility ',' quota ',' lgsg ',' sucked ',' pulse ',' rb ',' original ',' bangse ',' mah ',' package ',' quota ',' expensive ',' signal ',' k"&amp;"ayak ' , 'Snail', 'Application', 'MyTelkomsel', 'Difficult', 'used', 'Facilities',' Payment ',' Difficult ',' Very ',' Card ',' Debit ',' Credit ',' Bener ',' Severe ',' Ngakunya ',' Provider ',' Biggest ',' Indonesia ',' Shy ',' Malaysia ',' Nignain ',' "&amp;"Quota ',' Internet ',' Cheap ',' citizens' ]")</f>
        <v>['Damn', 'complaints',' Telkomsel ',' TPI ',' all ',' squeezed ',' Call ',' Call ',' Center ',' anything ',' responsibility ',' quota ',' lgsg ',' sucked ',' pulse ',' rb ',' original ',' bangse ',' mah ',' package ',' quota ',' expensive ',' signal ',' kayak ' , 'Snail', 'Application', 'MyTelkomsel', 'Difficult', 'used', 'Facilities',' Payment ',' Difficult ',' Very ',' Card ',' Debit ',' Credit ',' Bener ',' Severe ',' Ngakunya ',' Provider ',' Biggest ',' Indonesia ',' Shy ',' Malaysia ',' Nignain ',' Quota ',' Internet ',' Cheap ',' citizens' ]</v>
      </c>
      <c r="D7028" s="3">
        <v>1.0</v>
      </c>
    </row>
    <row r="7029" ht="15.75" customHeight="1">
      <c r="A7029" s="1">
        <v>7552.0</v>
      </c>
      <c r="B7029" s="3" t="s">
        <v>6774</v>
      </c>
      <c r="C7029" s="3" t="str">
        <f>IFERROR(__xludf.DUMMYFUNCTION("GOOGLETRANSLATE(B7029,""id"",""en"")"),"['card', 'game', 'see', 'youtube', 'hang', 'task', 'gabisa', 'smooth', 'gaenak', 'udh', 'expensive', 'Gaenak', ' Quota ',' Open ',' Hadehh ',' Disappointed ']")</f>
        <v>['card', 'game', 'see', 'youtube', 'hang', 'task', 'gabisa', 'smooth', 'gaenak', 'udh', 'expensive', 'Gaenak', ' Quota ',' Open ',' Hadehh ',' Disappointed ']</v>
      </c>
      <c r="D7029" s="3">
        <v>2.0</v>
      </c>
    </row>
    <row r="7030" ht="15.75" customHeight="1">
      <c r="A7030" s="1">
        <v>7553.0</v>
      </c>
      <c r="B7030" s="3" t="s">
        <v>6775</v>
      </c>
      <c r="C7030" s="3" t="str">
        <f>IFERROR(__xludf.DUMMYFUNCTION("GOOGLETRANSLATE(B7030,""id"",""en"")"),"['Network', 'Telkomsel', 'GBLG', 'Bangett', 'Lahh', 'Disappointed']")</f>
        <v>['Network', 'Telkomsel', 'GBLG', 'Bangett', 'Lahh', 'Disappointed']</v>
      </c>
      <c r="D7030" s="3">
        <v>1.0</v>
      </c>
    </row>
    <row r="7031" ht="15.75" customHeight="1">
      <c r="A7031" s="1">
        <v>7554.0</v>
      </c>
      <c r="B7031" s="3" t="s">
        <v>6776</v>
      </c>
      <c r="C7031" s="3" t="str">
        <f>IFERROR(__xludf.DUMMYFUNCTION("GOOGLETRANSLATE(B7031,""id"",""en"")"),"['quota', 'signal', 'location', 'difficult', 'signal', 'buffering', 'quota', 'inedible', 'disappointing']")</f>
        <v>['quota', 'signal', 'location', 'difficult', 'signal', 'buffering', 'quota', 'inedible', 'disappointing']</v>
      </c>
      <c r="D7031" s="3">
        <v>2.0</v>
      </c>
    </row>
    <row r="7032" ht="15.75" customHeight="1">
      <c r="A7032" s="1">
        <v>7555.0</v>
      </c>
      <c r="B7032" s="3" t="s">
        <v>6777</v>
      </c>
      <c r="C7032" s="3" t="str">
        <f>IFERROR(__xludf.DUMMYFUNCTION("GOOGLETRANSLATE(B7032,""id"",""en"")"),"['service', 'slow', 'signal', 'slow', 'customer', 'service', 'lazy', 'work', 'kayak', 'gini', 'star', 'removed', ' Indonesia ',' already ',' pay ',' quota ',' ngelag ',' used ',' ']")</f>
        <v>['service', 'slow', 'signal', 'slow', 'customer', 'service', 'lazy', 'work', 'kayak', 'gini', 'star', 'removed', ' Indonesia ',' already ',' pay ',' quota ',' ngelag ',' used ',' ']</v>
      </c>
      <c r="D7032" s="3">
        <v>1.0</v>
      </c>
    </row>
    <row r="7033" ht="15.75" customHeight="1">
      <c r="A7033" s="1">
        <v>7556.0</v>
      </c>
      <c r="B7033" s="3" t="s">
        <v>1435</v>
      </c>
      <c r="C7033" s="3" t="str">
        <f>IFERROR(__xludf.DUMMYFUNCTION("GOOGLETRANSLATE(B7033,""id"",""en"")"),"['help', '']")</f>
        <v>['help', '']</v>
      </c>
      <c r="D7033" s="3">
        <v>5.0</v>
      </c>
    </row>
    <row r="7034" ht="15.75" customHeight="1">
      <c r="A7034" s="1">
        <v>7557.0</v>
      </c>
      <c r="B7034" s="3" t="s">
        <v>6778</v>
      </c>
      <c r="C7034" s="3" t="str">
        <f>IFERROR(__xludf.DUMMYFUNCTION("GOOGLETRANSLATE(B7034,""id"",""en"")"),"['buy', 'package', 'internet', 'tomorrow', 'quota', 'government', 'quota', 'dipake', 'gara', 'quota', 'government', 'wasted', ' Sia ',' buy ',' quota ',' signal ',' good ',' signal ',' ugly ',' Telkomsel ',' my problem ',' person ',' already ',' moved ','"&amp;" simcard ' , 'Karna', 'cheap', 'signal', 'good', 'suggestion', 'adin', 'switch', 'use', 'quota', 'severe', 'really', 'expensive', ' Buy ',' quota ']")</f>
        <v>['buy', 'package', 'internet', 'tomorrow', 'quota', 'government', 'quota', 'dipake', 'gara', 'quota', 'government', 'wasted', ' Sia ',' buy ',' quota ',' signal ',' good ',' signal ',' ugly ',' Telkomsel ',' my problem ',' person ',' already ',' moved ',' simcard ' , 'Karna', 'cheap', 'signal', 'good', 'suggestion', 'adin', 'switch', 'use', 'quota', 'severe', 'really', 'expensive', ' Buy ',' quota ']</v>
      </c>
      <c r="D7034" s="3">
        <v>1.0</v>
      </c>
    </row>
    <row r="7035" ht="15.75" customHeight="1">
      <c r="A7035" s="1">
        <v>7558.0</v>
      </c>
      <c r="B7035" s="3" t="s">
        <v>6779</v>
      </c>
      <c r="C7035" s="3" t="str">
        <f>IFERROR(__xludf.DUMMYFUNCTION("GOOGLETRANSLATE(B7035,""id"",""en"")"),"['Come', 'severe', 'signal', 'subscription', 'package', 'GB', 'signal', 'watch', 'youtube', 'loading', 'forgiveness',' rain ',' Please, 'Fix', 'Service']")</f>
        <v>['Come', 'severe', 'signal', 'subscription', 'package', 'GB', 'signal', 'watch', 'youtube', 'loading', 'forgiveness',' rain ',' Please, 'Fix', 'Service']</v>
      </c>
      <c r="D7035" s="3">
        <v>1.0</v>
      </c>
    </row>
    <row r="7036" ht="15.75" customHeight="1">
      <c r="A7036" s="1">
        <v>7559.0</v>
      </c>
      <c r="B7036" s="3" t="s">
        <v>6780</v>
      </c>
      <c r="C7036" s="3" t="str">
        <f>IFERROR(__xludf.DUMMYFUNCTION("GOOGLETRANSLATE(B7036,""id"",""en"")"),"['slow', 'yesterday', 'quota', 'gini', 'then', 'loss', 'buy', 'quota', 'expensive', ""]")</f>
        <v>['slow', 'yesterday', 'quota', 'gini', 'then', 'loss', 'buy', 'quota', 'expensive', "]</v>
      </c>
      <c r="D7036" s="3">
        <v>1.0</v>
      </c>
    </row>
    <row r="7037" ht="15.75" customHeight="1">
      <c r="A7037" s="1">
        <v>7560.0</v>
      </c>
      <c r="B7037" s="3" t="s">
        <v>6781</v>
      </c>
      <c r="C7037" s="3" t="str">
        <f>IFERROR(__xludf.DUMMYFUNCTION("GOOGLETRANSLATE(B7037,""id"",""en"")"),"['Paketan', 'expensive', 'signal', 'down', 'please', 'repair']")</f>
        <v>['Paketan', 'expensive', 'signal', 'down', 'please', 'repair']</v>
      </c>
      <c r="D7037" s="3">
        <v>3.0</v>
      </c>
    </row>
    <row r="7038" ht="15.75" customHeight="1">
      <c r="A7038" s="1">
        <v>7561.0</v>
      </c>
      <c r="B7038" s="3" t="s">
        <v>6782</v>
      </c>
      <c r="C7038" s="3" t="str">
        <f>IFERROR(__xludf.DUMMYFUNCTION("GOOGLETRANSLATE(B7038,""id"",""en"")"),"['signal', 'Telkomsel', 'down', 'times',' stay ',' Daily ',' login ',' network ',' off ',' connection ',' missed ',' daily ',' Login ',' Disappointed ',' Telkomsel ',' Please ',' Fix ',' Service ',' Send ',' SMS ',' Promo ',' Performance ',' Becus', ""]")</f>
        <v>['signal', 'Telkomsel', 'down', 'times',' stay ',' Daily ',' login ',' network ',' off ',' connection ',' missed ',' daily ',' Login ',' Disappointed ',' Telkomsel ',' Please ',' Fix ',' Service ',' Send ',' SMS ',' Promo ',' Performance ',' Becus', "]</v>
      </c>
      <c r="D7038" s="3">
        <v>1.0</v>
      </c>
    </row>
    <row r="7039" ht="15.75" customHeight="1">
      <c r="A7039" s="1">
        <v>7562.0</v>
      </c>
      <c r="B7039" s="3" t="s">
        <v>6783</v>
      </c>
      <c r="C7039" s="3" t="str">
        <f>IFERROR(__xludf.DUMMYFUNCTION("GOOGLETRANSLATE(B7039,""id"",""en"")"),"['application', 'good', 'useful', 'really']")</f>
        <v>['application', 'good', 'useful', 'really']</v>
      </c>
      <c r="D7039" s="3">
        <v>5.0</v>
      </c>
    </row>
    <row r="7040" ht="15.75" customHeight="1">
      <c r="A7040" s="1">
        <v>7563.0</v>
      </c>
      <c r="B7040" s="3" t="s">
        <v>6784</v>
      </c>
      <c r="C7040" s="3" t="str">
        <f>IFERROR(__xludf.DUMMYFUNCTION("GOOGLETRANSLATE(B7040,""id"",""en"")"),"['package', 'expensive', 'network', 'bad', 'recommendation', 'pakek', 'telkom']")</f>
        <v>['package', 'expensive', 'network', 'bad', 'recommendation', 'pakek', 'telkom']</v>
      </c>
      <c r="D7040" s="3">
        <v>1.0</v>
      </c>
    </row>
    <row r="7041" ht="15.75" customHeight="1">
      <c r="A7041" s="1">
        <v>7564.0</v>
      </c>
      <c r="B7041" s="3" t="s">
        <v>6785</v>
      </c>
      <c r="C7041" s="3" t="str">
        <f>IFERROR(__xludf.DUMMYFUNCTION("GOOGLETRANSLATE(B7041,""id"",""en"")"),"['Practical', 'buy', 'Package']")</f>
        <v>['Practical', 'buy', 'Package']</v>
      </c>
      <c r="D7041" s="3">
        <v>5.0</v>
      </c>
    </row>
    <row r="7042" ht="15.75" customHeight="1">
      <c r="A7042" s="1">
        <v>7565.0</v>
      </c>
      <c r="B7042" s="3" t="s">
        <v>6786</v>
      </c>
      <c r="C7042" s="3" t="str">
        <f>IFERROR(__xludf.DUMMYFUNCTION("GOOGLETRANSLATE(B7042,""id"",""en"")"),"['acceleration', 'internet', 'Telkomsel', 'right', 'rain', 'really', 'sad', 'slow', 'really', 'download', 'video', 'below' minutes', 'forgiveness',' expensive ',' yes', 'slow', 'yes',' speed ',' drop ',' severe ',' sorry ',' replace ',' yellow ',' right '"&amp;" , 'fullspeed']")</f>
        <v>['acceleration', 'internet', 'Telkomsel', 'right', 'rain', 'really', 'sad', 'slow', 'really', 'download', 'video', 'below' minutes', 'forgiveness',' expensive ',' yes', 'slow', 'yes',' speed ',' drop ',' severe ',' sorry ',' replace ',' yellow ',' right ' , 'fullspeed']</v>
      </c>
      <c r="D7042" s="3">
        <v>1.0</v>
      </c>
    </row>
    <row r="7043" ht="15.75" customHeight="1">
      <c r="A7043" s="1">
        <v>7566.0</v>
      </c>
      <c r="B7043" s="3" t="s">
        <v>6787</v>
      </c>
      <c r="C7043" s="3" t="str">
        <f>IFERROR(__xludf.DUMMYFUNCTION("GOOGLETRANSLATE(B7043,""id"",""en"")"),"['shocked', 'hrg', 'buy', 'pulse', 'buy', 'pulse', 'addin']")</f>
        <v>['shocked', 'hrg', 'buy', 'pulse', 'buy', 'pulse', 'addin']</v>
      </c>
      <c r="D7043" s="3">
        <v>5.0</v>
      </c>
    </row>
    <row r="7044" ht="15.75" customHeight="1">
      <c r="A7044" s="1">
        <v>7567.0</v>
      </c>
      <c r="B7044" s="3" t="s">
        <v>6788</v>
      </c>
      <c r="C7044" s="3" t="str">
        <f>IFERROR(__xludf.DUMMYFUNCTION("GOOGLETRANSLATE(B7044,""id"",""en"")"),"['Network', 'JLS', 'Mending', 'buy', 'card']")</f>
        <v>['Network', 'JLS', 'Mending', 'buy', 'card']</v>
      </c>
      <c r="D7044" s="3">
        <v>1.0</v>
      </c>
    </row>
    <row r="7045" ht="15.75" customHeight="1">
      <c r="A7045" s="1">
        <v>7568.0</v>
      </c>
      <c r="B7045" s="3" t="s">
        <v>6789</v>
      </c>
      <c r="C7045" s="3" t="str">
        <f>IFERROR(__xludf.DUMMYFUNCTION("GOOGLETRANSLATE(B7045,""id"",""en"")"),"['What', 'Telkomsel', 'Good', 'Memarah', 'Please', 'Fix']")</f>
        <v>['What', 'Telkomsel', 'Good', 'Memarah', 'Please', 'Fix']</v>
      </c>
      <c r="D7045" s="3">
        <v>1.0</v>
      </c>
    </row>
    <row r="7046" ht="15.75" customHeight="1">
      <c r="A7046" s="1">
        <v>7569.0</v>
      </c>
      <c r="B7046" s="3" t="s">
        <v>6790</v>
      </c>
      <c r="C7046" s="3" t="str">
        <f>IFERROR(__xludf.DUMMYFUNCTION("GOOGLETRANSLATE(B7046,""id"",""en"")"),"['Siip', 'Anyway']")</f>
        <v>['Siip', 'Anyway']</v>
      </c>
      <c r="D7046" s="3">
        <v>5.0</v>
      </c>
    </row>
    <row r="7047" ht="15.75" customHeight="1">
      <c r="A7047" s="1">
        <v>7570.0</v>
      </c>
      <c r="B7047" s="3" t="s">
        <v>4805</v>
      </c>
      <c r="C7047" s="3" t="str">
        <f>IFERROR(__xludf.DUMMYFUNCTION("GOOGLETRANSLATE(B7047,""id"",""en"")"),"['Price', 'package', 'expensive']")</f>
        <v>['Price', 'package', 'expensive']</v>
      </c>
      <c r="D7047" s="3">
        <v>3.0</v>
      </c>
    </row>
    <row r="7048" ht="15.75" customHeight="1">
      <c r="A7048" s="1">
        <v>7571.0</v>
      </c>
      <c r="B7048" s="3" t="s">
        <v>6791</v>
      </c>
      <c r="C7048" s="3" t="str">
        <f>IFERROR(__xludf.DUMMYFUNCTION("GOOGLETRANSLATE(B7048,""id"",""en"")"),"['easy', 'buy', 'pulse']")</f>
        <v>['easy', 'buy', 'pulse']</v>
      </c>
      <c r="D7048" s="3">
        <v>4.0</v>
      </c>
    </row>
    <row r="7049" ht="15.75" customHeight="1">
      <c r="A7049" s="1">
        <v>7572.0</v>
      </c>
      <c r="B7049" s="3" t="s">
        <v>6792</v>
      </c>
      <c r="C7049" s="3" t="str">
        <f>IFERROR(__xludf.DUMMYFUNCTION("GOOGLETRANSLATE(B7049,""id"",""en"")"),"['network', 'Telkomsel', 'Severe', 'credit', 'missing', 'pulse', 'leftover', 'buy', 'data', 'quota', 'rb', 'skrg', ' Remaining ',' RB ',' Disappointed ',' ']")</f>
        <v>['network', 'Telkomsel', 'Severe', 'credit', 'missing', 'pulse', 'leftover', 'buy', 'data', 'quota', 'rb', 'skrg', ' Remaining ',' RB ',' Disappointed ',' ']</v>
      </c>
      <c r="D7049" s="3">
        <v>1.0</v>
      </c>
    </row>
    <row r="7050" ht="15.75" customHeight="1">
      <c r="A7050" s="1">
        <v>7573.0</v>
      </c>
      <c r="B7050" s="3" t="s">
        <v>6793</v>
      </c>
      <c r="C7050" s="3" t="str">
        <f>IFERROR(__xludf.DUMMYFUNCTION("GOOGLETRANSLATE(B7050,""id"",""en"")"),"['bad', 'Telkomsel', 'pulse', 'run out', 'pay', 'package', 'emergency', 'already', 'paid', 'debt', 'paid', 'paid', ' His name is', 'Rentenir']")</f>
        <v>['bad', 'Telkomsel', 'pulse', 'run out', 'pay', 'package', 'emergency', 'already', 'paid', 'debt', 'paid', 'paid', ' His name is', 'Rentenir']</v>
      </c>
      <c r="D7050" s="3">
        <v>1.0</v>
      </c>
    </row>
    <row r="7051" ht="15.75" customHeight="1">
      <c r="A7051" s="1">
        <v>7574.0</v>
      </c>
      <c r="B7051" s="3" t="s">
        <v>6794</v>
      </c>
      <c r="C7051" s="3" t="str">
        <f>IFERROR(__xludf.DUMMYFUNCTION("GOOGLETRANSLATE(B7051,""id"",""en"")"),"['Application', 'Useful', 'Benefits']")</f>
        <v>['Application', 'Useful', 'Benefits']</v>
      </c>
      <c r="D7051" s="3">
        <v>4.0</v>
      </c>
    </row>
    <row r="7052" ht="15.75" customHeight="1">
      <c r="A7052" s="1">
        <v>7575.0</v>
      </c>
      <c r="B7052" s="3" t="s">
        <v>6795</v>
      </c>
      <c r="C7052" s="3" t="str">
        <f>IFERROR(__xludf.DUMMYFUNCTION("GOOGLETRANSLATE(B7052,""id"",""en"")"),"['', 'satisfying', 'network', 'josss']")</f>
        <v>['', 'satisfying', 'network', 'josss']</v>
      </c>
      <c r="D7052" s="3">
        <v>5.0</v>
      </c>
    </row>
    <row r="7053" ht="15.75" customHeight="1">
      <c r="A7053" s="1">
        <v>7576.0</v>
      </c>
      <c r="B7053" s="3" t="s">
        <v>6796</v>
      </c>
      <c r="C7053" s="3" t="str">
        <f>IFERROR(__xludf.DUMMYFUNCTION("GOOGLETRANSLATE(B7053,""id"",""en"")"),"['Min', 'knpa', 'missing', 'unlimitedmax', 'disappointed', 'min', 'card', 'cheerful', 'unlimitedmax', 'at least', 'no', 'min', ' cheerful']")</f>
        <v>['Min', 'knpa', 'missing', 'unlimitedmax', 'disappointed', 'min', 'card', 'cheerful', 'unlimitedmax', 'at least', 'no', 'min', ' cheerful']</v>
      </c>
      <c r="D7053" s="3">
        <v>1.0</v>
      </c>
    </row>
    <row r="7054" ht="15.75" customHeight="1">
      <c r="A7054" s="1">
        <v>7577.0</v>
      </c>
      <c r="B7054" s="3" t="s">
        <v>6797</v>
      </c>
      <c r="C7054" s="3" t="str">
        <f>IFERROR(__xludf.DUMMYFUNCTION("GOOGLETRANSLATE(B7054,""id"",""en"")"),"['Bad', 'bad', 'bad', 'original', 'network', 'bad', 'eager', 'buy', 'Telkomsel']")</f>
        <v>['Bad', 'bad', 'bad', 'original', 'network', 'bad', 'eager', 'buy', 'Telkomsel']</v>
      </c>
      <c r="D7054" s="3">
        <v>1.0</v>
      </c>
    </row>
    <row r="7055" ht="15.75" customHeight="1">
      <c r="A7055" s="1">
        <v>7578.0</v>
      </c>
      <c r="B7055" s="3" t="s">
        <v>6798</v>
      </c>
      <c r="C7055" s="3" t="str">
        <f>IFERROR(__xludf.DUMMYFUNCTION("GOOGLETRANSLATE(B7055,""id"",""en"")"),"['Hope it is useful']")</f>
        <v>['Hope it is useful']</v>
      </c>
      <c r="D7055" s="3">
        <v>5.0</v>
      </c>
    </row>
    <row r="7056" ht="15.75" customHeight="1">
      <c r="A7056" s="1">
        <v>7579.0</v>
      </c>
      <c r="B7056" s="3" t="s">
        <v>6799</v>
      </c>
      <c r="C7056" s="3" t="str">
        <f>IFERROR(__xludf.DUMMYFUNCTION("GOOGLETRANSLATE(B7056,""id"",""en"")"),"['easy', 'check', 'pulse', 'data', 'story', 'Kandala', 'card', 'Lasung', 'served', 'complaints',' minutes', 'obstacle', ' Cards', 'Direct', 'BERES', '']")</f>
        <v>['easy', 'check', 'pulse', 'data', 'story', 'Kandala', 'card', 'Lasung', 'served', 'complaints',' minutes', 'obstacle', ' Cards', 'Direct', 'BERES', '']</v>
      </c>
      <c r="D7056" s="3">
        <v>5.0</v>
      </c>
    </row>
    <row r="7057" ht="15.75" customHeight="1">
      <c r="A7057" s="1">
        <v>7580.0</v>
      </c>
      <c r="B7057" s="3" t="s">
        <v>6800</v>
      </c>
      <c r="C7057" s="3" t="str">
        <f>IFERROR(__xludf.DUMMYFUNCTION("GOOGLETRANSLATE(B7057,""id"",""en"")"),"['signal', 'network', 'bad', 'package', 'expensive', '']")</f>
        <v>['signal', 'network', 'bad', 'package', 'expensive', '']</v>
      </c>
      <c r="D7057" s="3">
        <v>3.0</v>
      </c>
    </row>
    <row r="7058" ht="15.75" customHeight="1">
      <c r="A7058" s="1">
        <v>7581.0</v>
      </c>
      <c r="B7058" s="3" t="s">
        <v>313</v>
      </c>
      <c r="C7058" s="3" t="str">
        <f>IFERROR(__xludf.DUMMYFUNCTION("GOOGLETRANSLATE(B7058,""id"",""en"")"),"['signal']")</f>
        <v>['signal']</v>
      </c>
      <c r="D7058" s="3">
        <v>5.0</v>
      </c>
    </row>
    <row r="7059" ht="15.75" customHeight="1">
      <c r="A7059" s="1">
        <v>7582.0</v>
      </c>
      <c r="B7059" s="3" t="s">
        <v>6801</v>
      </c>
      <c r="C7059" s="3" t="str">
        <f>IFERROR(__xludf.DUMMYFUNCTION("GOOGLETRANSLATE(B7059,""id"",""en"")"),"['Severe', 'really', 'signal', 'severe', 'severe']")</f>
        <v>['Severe', 'really', 'signal', 'severe', 'severe']</v>
      </c>
      <c r="D7059" s="3">
        <v>1.0</v>
      </c>
    </row>
    <row r="7060" ht="15.75" customHeight="1">
      <c r="A7060" s="1">
        <v>7583.0</v>
      </c>
      <c r="B7060" s="3" t="s">
        <v>6802</v>
      </c>
      <c r="C7060" s="3" t="str">
        <f>IFERROR(__xludf.DUMMYFUNCTION("GOOGLETRANSLATE(B7060,""id"",""en"")"),"['Sis', 'sekrng', 'contents', 'pay', 'use', 'shoopepay', 'pdhal']")</f>
        <v>['Sis', 'sekrng', 'contents', 'pay', 'use', 'shoopepay', 'pdhal']</v>
      </c>
      <c r="D7060" s="3">
        <v>2.0</v>
      </c>
    </row>
    <row r="7061" ht="15.75" customHeight="1">
      <c r="A7061" s="1">
        <v>7584.0</v>
      </c>
      <c r="B7061" s="3" t="s">
        <v>6803</v>
      </c>
      <c r="C7061" s="3" t="str">
        <f>IFERROR(__xludf.DUMMYFUNCTION("GOOGLETRANSLATE(B7061,""id"",""en"")"),"['signal', 'please', 'fix', 'work', 'disturbed']")</f>
        <v>['signal', 'please', 'fix', 'work', 'disturbed']</v>
      </c>
      <c r="D7061" s="3">
        <v>2.0</v>
      </c>
    </row>
    <row r="7062" ht="15.75" customHeight="1">
      <c r="A7062" s="1">
        <v>7585.0</v>
      </c>
      <c r="B7062" s="3" t="s">
        <v>6804</v>
      </c>
      <c r="C7062" s="3" t="str">
        <f>IFERROR(__xludf.DUMMYFUNCTION("GOOGLETRANSLATE(B7062,""id"",""en"")"),"['quota', 'GB', 'internet', 'sumps', 'pulses', 'darling', 'my mother']")</f>
        <v>['quota', 'GB', 'internet', 'sumps', 'pulses', 'darling', 'my mother']</v>
      </c>
      <c r="D7062" s="3">
        <v>1.0</v>
      </c>
    </row>
    <row r="7063" ht="15.75" customHeight="1">
      <c r="A7063" s="1">
        <v>7586.0</v>
      </c>
      <c r="B7063" s="3" t="s">
        <v>6805</v>
      </c>
      <c r="C7063" s="3" t="str">
        <f>IFERROR(__xludf.DUMMYFUNCTION("GOOGLETRANSLATE(B7063,""id"",""en"")"),"['slow', 'update', 'difficult', 'quantity', 'open', 'the application', 'process', 'run out', 'pulse', ""]")</f>
        <v>['slow', 'update', 'difficult', 'quantity', 'open', 'the application', 'process', 'run out', 'pulse', "]</v>
      </c>
      <c r="D7063" s="3">
        <v>1.0</v>
      </c>
    </row>
    <row r="7064" ht="15.75" customHeight="1">
      <c r="A7064" s="1">
        <v>7587.0</v>
      </c>
      <c r="B7064" s="3" t="s">
        <v>6806</v>
      </c>
      <c r="C7064" s="3" t="str">
        <f>IFERROR(__xludf.DUMMYFUNCTION("GOOGLETRANSLATE(B7064,""id"",""en"")"),"['The application', 'slow', 'Please', 'Fix', 'Thank you']")</f>
        <v>['The application', 'slow', 'Please', 'Fix', 'Thank you']</v>
      </c>
      <c r="D7064" s="3">
        <v>3.0</v>
      </c>
    </row>
    <row r="7065" ht="15.75" customHeight="1">
      <c r="A7065" s="1">
        <v>7588.0</v>
      </c>
      <c r="B7065" s="3" t="s">
        <v>6807</v>
      </c>
      <c r="C7065" s="3" t="str">
        <f>IFERROR(__xludf.DUMMYFUNCTION("GOOGLETRANSLATE(B7065,""id"",""en"")"),"['network', 'slow', 'cook', 'home', 'city', 'jamkot', 'told', 'house', 'jamkot', 'please', 'fix', 'house', ' Goa ',' ']")</f>
        <v>['network', 'slow', 'cook', 'home', 'city', 'jamkot', 'told', 'house', 'jamkot', 'please', 'fix', 'house', ' Goa ',' ']</v>
      </c>
      <c r="D7065" s="3">
        <v>1.0</v>
      </c>
    </row>
    <row r="7066" ht="15.75" customHeight="1">
      <c r="A7066" s="1">
        <v>7589.0</v>
      </c>
      <c r="B7066" s="3" t="s">
        <v>6808</v>
      </c>
      <c r="C7066" s="3" t="str">
        <f>IFERROR(__xludf.DUMMYFUNCTION("GOOGLETRANSLATE(B7066,""id"",""en"")"),"['Cheap']")</f>
        <v>['Cheap']</v>
      </c>
      <c r="D7066" s="3">
        <v>3.0</v>
      </c>
    </row>
    <row r="7067" ht="15.75" customHeight="1">
      <c r="A7067" s="1">
        <v>7590.0</v>
      </c>
      <c r="B7067" s="3" t="s">
        <v>6809</v>
      </c>
      <c r="C7067" s="3" t="str">
        <f>IFERROR(__xludf.DUMMYFUNCTION("GOOGLETRANSLATE(B7067,""id"",""en"")"),"['Hope', 'in the future', 'repairs', 'network', 'evenly', 'throughout', 'Nusantara', 'star', 'dlu', 'mksih']")</f>
        <v>['Hope', 'in the future', 'repairs', 'network', 'evenly', 'throughout', 'Nusantara', 'star', 'dlu', 'mksih']</v>
      </c>
      <c r="D7067" s="3">
        <v>4.0</v>
      </c>
    </row>
    <row r="7068" ht="15.75" customHeight="1">
      <c r="A7068" s="1">
        <v>7591.0</v>
      </c>
      <c r="B7068" s="3" t="s">
        <v>6810</v>
      </c>
      <c r="C7068" s="3" t="str">
        <f>IFERROR(__xludf.DUMMYFUNCTION("GOOGLETRANSLATE(B7068,""id"",""en"")"),"['Wow', 'cheap', 'nampol']")</f>
        <v>['Wow', 'cheap', 'nampol']</v>
      </c>
      <c r="D7068" s="3">
        <v>4.0</v>
      </c>
    </row>
    <row r="7069" ht="15.75" customHeight="1">
      <c r="A7069" s="1">
        <v>7592.0</v>
      </c>
      <c r="B7069" s="3" t="s">
        <v>6811</v>
      </c>
      <c r="C7069" s="3" t="str">
        <f>IFERROR(__xludf.DUMMYFUNCTION("GOOGLETRANSLATE(B7069,""id"",""en"")"),"['Paketan', 'Telkomsel', 'Expensive', 'Network', 'Disorders', 'Hadeh', 'Sumbut']")</f>
        <v>['Paketan', 'Telkomsel', 'Expensive', 'Network', 'Disorders', 'Hadeh', 'Sumbut']</v>
      </c>
      <c r="D7069" s="3">
        <v>2.0</v>
      </c>
    </row>
    <row r="7070" ht="15.75" customHeight="1">
      <c r="A7070" s="1">
        <v>7593.0</v>
      </c>
      <c r="B7070" s="3" t="s">
        <v>6812</v>
      </c>
      <c r="C7070" s="3" t="str">
        <f>IFERROR(__xludf.DUMMYFUNCTION("GOOGLETRANSLATE(B7070,""id"",""en"")"),"['signal', 'no', 'already', 'steady']")</f>
        <v>['signal', 'no', 'already', 'steady']</v>
      </c>
      <c r="D7070" s="3">
        <v>4.0</v>
      </c>
    </row>
    <row r="7071" ht="15.75" customHeight="1">
      <c r="A7071" s="1">
        <v>7594.0</v>
      </c>
      <c r="B7071" s="3" t="s">
        <v>6813</v>
      </c>
      <c r="C7071" s="3" t="str">
        <f>IFERROR(__xludf.DUMMYFUNCTION("GOOGLETRANSLATE(B7071,""id"",""en"")"),"['Package', 'Unlimited', 'YouTube', 'Cut', 'Quota', 'Main', 'Out', 'Quota', 'Main', 'Credit', 'ITS', 'Yesterday', ' Normal ',' Normal ',' Asuuu ']")</f>
        <v>['Package', 'Unlimited', 'YouTube', 'Cut', 'Quota', 'Main', 'Out', 'Quota', 'Main', 'Credit', 'ITS', 'Yesterday', ' Normal ',' Normal ',' Asuuu ']</v>
      </c>
      <c r="D7071" s="3">
        <v>1.0</v>
      </c>
    </row>
    <row r="7072" ht="15.75" customHeight="1">
      <c r="A7072" s="1">
        <v>7595.0</v>
      </c>
      <c r="B7072" s="3" t="s">
        <v>6814</v>
      </c>
      <c r="C7072" s="3" t="str">
        <f>IFERROR(__xludf.DUMMYFUNCTION("GOOGLETRANSLATE(B7072,""id"",""en"")"),"['signal', 'Telkomsel', 'ugly', 'quota', 'buy', 'open', 'dikasi', 'free', 'buy', 'quota', 'telkomsel']")</f>
        <v>['signal', 'Telkomsel', 'ugly', 'quota', 'buy', 'open', 'dikasi', 'free', 'buy', 'quota', 'telkomsel']</v>
      </c>
      <c r="D7072" s="3">
        <v>1.0</v>
      </c>
    </row>
    <row r="7073" ht="15.75" customHeight="1">
      <c r="A7073" s="1">
        <v>7596.0</v>
      </c>
      <c r="B7073" s="3" t="s">
        <v>6815</v>
      </c>
      <c r="C7073" s="3" t="str">
        <f>IFERROR(__xludf.DUMMYFUNCTION("GOOGLETRANSLATE(B7073,""id"",""en"")"),"['Good', 'Package', 'Special', 'Menu', 'Telkomsel', 'Playstore']")</f>
        <v>['Good', 'Package', 'Special', 'Menu', 'Telkomsel', 'Playstore']</v>
      </c>
      <c r="D7073" s="3">
        <v>5.0</v>
      </c>
    </row>
    <row r="7074" ht="15.75" customHeight="1">
      <c r="A7074" s="1">
        <v>7597.0</v>
      </c>
      <c r="B7074" s="3" t="s">
        <v>6816</v>
      </c>
      <c r="C7074" s="3" t="str">
        <f>IFERROR(__xludf.DUMMYFUNCTION("GOOGLETRANSLATE(B7074,""id"",""en"")"),"['Diet', 'Jaya', 'Telkomsel']")</f>
        <v>['Diet', 'Jaya', 'Telkomsel']</v>
      </c>
      <c r="D7074" s="3">
        <v>5.0</v>
      </c>
    </row>
    <row r="7075" ht="15.75" customHeight="1">
      <c r="A7075" s="1">
        <v>7598.0</v>
      </c>
      <c r="B7075" s="3" t="s">
        <v>6817</v>
      </c>
      <c r="C7075" s="3" t="str">
        <f>IFERROR(__xludf.DUMMYFUNCTION("GOOGLETRANSLATE(B7075,""id"",""en"")"),"['Good', 'satisfied']")</f>
        <v>['Good', 'satisfied']</v>
      </c>
      <c r="D7075" s="3">
        <v>5.0</v>
      </c>
    </row>
    <row r="7076" ht="15.75" customHeight="1">
      <c r="A7076" s="1">
        <v>7599.0</v>
      </c>
      <c r="B7076" s="3" t="s">
        <v>6818</v>
      </c>
      <c r="C7076" s="3" t="str">
        <f>IFERROR(__xludf.DUMMYFUNCTION("GOOGLETRANSLATE(B7076,""id"",""en"")"),"['number', 'chat', 'gift', 'lottery', 'vocer', 'pulse', 'million', 'want', 'ask', 'direct', 'mytelcomsel', 'hold', ' Lottery ',' because ',' gift ',' lottery ',' mytelcomsel ']")</f>
        <v>['number', 'chat', 'gift', 'lottery', 'vocer', 'pulse', 'million', 'want', 'ask', 'direct', 'mytelcomsel', 'hold', ' Lottery ',' because ',' gift ',' lottery ',' mytelcomsel ']</v>
      </c>
      <c r="D7076" s="3">
        <v>3.0</v>
      </c>
    </row>
    <row r="7077" ht="15.75" customHeight="1">
      <c r="A7077" s="1">
        <v>7600.0</v>
      </c>
      <c r="B7077" s="3" t="s">
        <v>6819</v>
      </c>
      <c r="C7077" s="3" t="str">
        <f>IFERROR(__xludf.DUMMYFUNCTION("GOOGLETRANSLATE(B7077,""id"",""en"")"),"['ugly', 'package', 'combo', 'unlimited', 'replace', 'expensive']")</f>
        <v>['ugly', 'package', 'combo', 'unlimited', 'replace', 'expensive']</v>
      </c>
      <c r="D7077" s="3">
        <v>1.0</v>
      </c>
    </row>
    <row r="7078" ht="15.75" customHeight="1">
      <c r="A7078" s="1">
        <v>7601.0</v>
      </c>
      <c r="B7078" s="3" t="s">
        <v>6820</v>
      </c>
      <c r="C7078" s="3" t="str">
        <f>IFERROR(__xludf.DUMMYFUNCTION("GOOGLETRANSLATE(B7078,""id"",""en"")"),"[ 'Instaaaallllll', 'signal', 'bosok', 'blood', 'OMG', 'hilaaaaaaaaaaaaaaaaaaaaaaaaaaaaaaaaaaaaaaaaaaaaaaaaaaaaaaaaaaaaaaaaaaaaaaaaaaaaaaaaaaaaaaaaaaaaaaaaaaaaaaaaaaaaaaaaaaaaaaaaaaaaaaaaaaaaaaaaaaaaaaaaaaaaaaaaaaaaaaaaaaaaaaaaaaaaaaaaaaaaaaaaaaaaaaa', 'a"&amp;"aaaaaaaaaa', 'aaaaaaaaaaaaaaaaaaaaaaaaaaaaaaaaaaaaaaaaaaaaaaaaaaaaaaaaaaaaaaaaaaaaaaaaaaaaaaaaaaaaaaaaaaaaaaaaaaaaaaaaannnnnnnnnnnnnnnggggggggggggggggggggggggggggggggggggggggggggggggggggggggggggggggggggggggggggggggg', 'OMG', 'nyaaaaaaaaaaaaaaaaaaa']")</f>
        <v>[ 'Instaaaallllll', 'signal', 'bosok', 'blood', 'OMG', 'hilaaaaaaaaaaaaaaaaaaaaaaaaaaaaaaaaaaaaaaaaaaaaaaaaaaaaaaaaaaaaaaaaaaaaaaaaaaaaaaaaaaaaaaaaaaaaaaaaaaaaaaaaaaaaaaaaaaaaaaaaaaaaaaaaaaaaaaaaaaaaaaaaaaaaaaaaaaaaaaaaaaaaaaaaaaaaaaaaaaaaaaaaaaaaaaa', 'aaaaaaaaaaa', 'aaaaaaaaaaaaaaaaaaaaaaaaaaaaaaaaaaaaaaaaaaaaaaaaaaaaaaaaaaaaaaaaaaaaaaaaaaaaaaaaaaaaaaaaaaaaaaaaaaaaaaaaannnnnnnnnnnnnnnggggggggggggggggggggggggggggggggggggggggggggggggggggggggggggggggggggggggggggggggg', 'OMG', 'nyaaaaaaaaaaaaaaaaaaa']</v>
      </c>
      <c r="D7078" s="3">
        <v>1.0</v>
      </c>
    </row>
    <row r="7079" ht="15.75" customHeight="1">
      <c r="A7079" s="1">
        <v>7602.0</v>
      </c>
      <c r="B7079" s="3" t="s">
        <v>6821</v>
      </c>
      <c r="C7079" s="3" t="str">
        <f>IFERROR(__xludf.DUMMYFUNCTION("GOOGLETRANSLATE(B7079,""id"",""en"")"),"['Likes', 'Helping', 'Thank you', 'Telkomsel', ""]")</f>
        <v>['Likes', 'Helping', 'Thank you', 'Telkomsel', "]</v>
      </c>
      <c r="D7079" s="3">
        <v>5.0</v>
      </c>
    </row>
    <row r="7080" ht="15.75" customHeight="1">
      <c r="A7080" s="1">
        <v>7603.0</v>
      </c>
      <c r="B7080" s="3" t="s">
        <v>6822</v>
      </c>
      <c r="C7080" s="3" t="str">
        <f>IFERROR(__xludf.DUMMYFUNCTION("GOOGLETRANSLATE(B7080,""id"",""en"")"),"['Steady', 'unique']")</f>
        <v>['Steady', 'unique']</v>
      </c>
      <c r="D7080" s="3">
        <v>5.0</v>
      </c>
    </row>
    <row r="7081" ht="15.75" customHeight="1">
      <c r="A7081" s="1">
        <v>7604.0</v>
      </c>
      <c r="B7081" s="3" t="s">
        <v>6823</v>
      </c>
      <c r="C7081" s="3" t="str">
        <f>IFERROR(__xludf.DUMMYFUNCTION("GOOGLETRANSLATE(B7081,""id"",""en"")"),"['', 'talk']")</f>
        <v>['', 'talk']</v>
      </c>
      <c r="D7081" s="3">
        <v>5.0</v>
      </c>
    </row>
    <row r="7082" ht="15.75" customHeight="1">
      <c r="A7082" s="1">
        <v>7605.0</v>
      </c>
      <c r="B7082" s="3" t="s">
        <v>4606</v>
      </c>
      <c r="C7082" s="3" t="str">
        <f>IFERROR(__xludf.DUMMYFUNCTION("GOOGLETRANSLATE(B7082,""id"",""en"")"),"['Lally', 'promo']")</f>
        <v>['Lally', 'promo']</v>
      </c>
      <c r="D7082" s="3">
        <v>4.0</v>
      </c>
    </row>
    <row r="7083" ht="15.75" customHeight="1">
      <c r="A7083" s="1">
        <v>7606.0</v>
      </c>
      <c r="B7083" s="3" t="s">
        <v>6824</v>
      </c>
      <c r="C7083" s="3" t="str">
        <f>IFERROR(__xludf.DUMMYFUNCTION("GOOGLETRANSLATE(B7083,""id"",""en"")"),"['difficult', 'times', 'network', 'tapanuli', 'north', 'rain', 'please', 'fix', 'thank you']")</f>
        <v>['difficult', 'times', 'network', 'tapanuli', 'north', 'rain', 'please', 'fix', 'thank you']</v>
      </c>
      <c r="D7083" s="3">
        <v>1.0</v>
      </c>
    </row>
    <row r="7084" ht="15.75" customHeight="1">
      <c r="A7084" s="1">
        <v>7607.0</v>
      </c>
      <c r="B7084" s="3" t="s">
        <v>6825</v>
      </c>
      <c r="C7084" s="3" t="str">
        <f>IFERROR(__xludf.DUMMYFUNCTION("GOOGLETRANSLATE(B7084,""id"",""en"")"),"['Help', 'Purchase', 'Package', 'Data', 'Internet']")</f>
        <v>['Help', 'Purchase', 'Package', 'Data', 'Internet']</v>
      </c>
      <c r="D7084" s="3">
        <v>5.0</v>
      </c>
    </row>
    <row r="7085" ht="15.75" customHeight="1">
      <c r="A7085" s="1">
        <v>7609.0</v>
      </c>
      <c r="B7085" s="3" t="s">
        <v>6826</v>
      </c>
      <c r="C7085" s="3" t="str">
        <f>IFERROR(__xludf.DUMMYFUNCTION("GOOGLETRANSLATE(B7085,""id"",""en"")"),"['Rain', 'Dead', 'Lights', 'Network', 'Damaged', 'Severe', 'Telkomsel', 'Severe']")</f>
        <v>['Rain', 'Dead', 'Lights', 'Network', 'Damaged', 'Severe', 'Telkomsel', 'Severe']</v>
      </c>
      <c r="D7085" s="3">
        <v>1.0</v>
      </c>
    </row>
    <row r="7086" ht="15.75" customHeight="1">
      <c r="A7086" s="1">
        <v>7610.0</v>
      </c>
      <c r="B7086" s="3" t="s">
        <v>6827</v>
      </c>
      <c r="C7086" s="3" t="str">
        <f>IFERROR(__xludf.DUMMYFUNCTION("GOOGLETRANSLATE(B7086,""id"",""en"")"),"['Cheap', 'package']")</f>
        <v>['Cheap', 'package']</v>
      </c>
      <c r="D7086" s="3">
        <v>5.0</v>
      </c>
    </row>
    <row r="7087" ht="15.75" customHeight="1">
      <c r="A7087" s="1">
        <v>7611.0</v>
      </c>
      <c r="B7087" s="3" t="s">
        <v>6828</v>
      </c>
      <c r="C7087" s="3" t="str">
        <f>IFERROR(__xludf.DUMMYFUNCTION("GOOGLETRANSLATE(B7087,""id"",""en"")"),"['Telkomsel', 'how', 'The network', 'Disappointed', 'Telkomsel', 'Disappointed', 'Main', 'Game', 'Lag', 'Gara', 'Sinyal', 'Ngak', ' motion ',' beg ',' signal ',' repaired ']")</f>
        <v>['Telkomsel', 'how', 'The network', 'Disappointed', 'Telkomsel', 'Disappointed', 'Main', 'Game', 'Lag', 'Gara', 'Sinyal', 'Ngak', ' motion ',' beg ',' signal ',' repaired ']</v>
      </c>
      <c r="D7087" s="3">
        <v>1.0</v>
      </c>
    </row>
    <row r="7088" ht="15.75" customHeight="1">
      <c r="A7088" s="1">
        <v>7612.0</v>
      </c>
      <c r="B7088" s="3" t="s">
        <v>6829</v>
      </c>
      <c r="C7088" s="3" t="str">
        <f>IFERROR(__xludf.DUMMYFUNCTION("GOOGLETRANSLATE(B7088,""id"",""en"")"),"['signal', 'like', 'difficult', '']")</f>
        <v>['signal', 'like', 'difficult', '']</v>
      </c>
      <c r="D7088" s="3">
        <v>4.0</v>
      </c>
    </row>
    <row r="7089" ht="15.75" customHeight="1">
      <c r="A7089" s="1">
        <v>7613.0</v>
      </c>
      <c r="B7089" s="3" t="s">
        <v>6830</v>
      </c>
      <c r="C7089" s="3" t="str">
        <f>IFERROR(__xludf.DUMMYFUNCTION("GOOGLETRANSLATE(B7089,""id"",""en"")"),"['Uda', 'Install', 'told', 'Download', '']")</f>
        <v>['Uda', 'Install', 'told', 'Download', '']</v>
      </c>
      <c r="D7089" s="3">
        <v>5.0</v>
      </c>
    </row>
    <row r="7090" ht="15.75" customHeight="1">
      <c r="A7090" s="1">
        <v>7614.0</v>
      </c>
      <c r="B7090" s="3" t="s">
        <v>6831</v>
      </c>
      <c r="C7090" s="3" t="str">
        <f>IFERROR(__xludf.DUMMYFUNCTION("GOOGLETRANSLATE(B7090,""id"",""en"")"),"['expensive', 'card']")</f>
        <v>['expensive', 'card']</v>
      </c>
      <c r="D7090" s="3">
        <v>4.0</v>
      </c>
    </row>
    <row r="7091" ht="15.75" customHeight="1">
      <c r="A7091" s="1">
        <v>7615.0</v>
      </c>
      <c r="B7091" s="3" t="s">
        <v>6832</v>
      </c>
      <c r="C7091" s="3" t="str">
        <f>IFERROR(__xludf.DUMMYFUNCTION("GOOGLETRANSLATE(B7091,""id"",""en"")"),"['Open', 'APK', 'Install', 'reset', 'Install', 'reset', 'opened', 'wasteful', 'quota']")</f>
        <v>['Open', 'APK', 'Install', 'reset', 'Install', 'reset', 'opened', 'wasteful', 'quota']</v>
      </c>
      <c r="D7091" s="3">
        <v>1.0</v>
      </c>
    </row>
    <row r="7092" ht="15.75" customHeight="1">
      <c r="A7092" s="1">
        <v>7616.0</v>
      </c>
      <c r="B7092" s="3" t="s">
        <v>6833</v>
      </c>
      <c r="C7092" s="3" t="str">
        <f>IFERROR(__xludf.DUMMYFUNCTION("GOOGLETRANSLATE(B7092,""id"",""en"")"),"['coi', 'network', 'lalot', 'download', 'application', 'nyesel', 'karna', 'download', 'application', 'regret', '']")</f>
        <v>['coi', 'network', 'lalot', 'download', 'application', 'nyesel', 'karna', 'download', 'application', 'regret', '']</v>
      </c>
      <c r="D7092" s="3">
        <v>1.0</v>
      </c>
    </row>
    <row r="7093" ht="15.75" customHeight="1">
      <c r="A7093" s="1">
        <v>7617.0</v>
      </c>
      <c r="B7093" s="3" t="s">
        <v>6834</v>
      </c>
      <c r="C7093" s="3" t="str">
        <f>IFERROR(__xludf.DUMMYFUNCTION("GOOGLETRANSLATE(B7093,""id"",""en"")"),"['priority', 'package', 'internet', 'priority', 'usage', 'quota', 'internet', 'deadline', 'kecan']")</f>
        <v>['priority', 'package', 'internet', 'priority', 'usage', 'quota', 'internet', 'deadline', 'kecan']</v>
      </c>
      <c r="D7093" s="3">
        <v>2.0</v>
      </c>
    </row>
    <row r="7094" ht="15.75" customHeight="1">
      <c r="A7094" s="1">
        <v>7618.0</v>
      </c>
      <c r="B7094" s="3" t="s">
        <v>6835</v>
      </c>
      <c r="C7094" s="3" t="str">
        <f>IFERROR(__xludf.DUMMYFUNCTION("GOOGLETRANSLATE(B7094,""id"",""en"")"),"['confused', 'card', 'ilang', 'busy', 'work', 'unreg', 'card', 'no', 'grapari', 'confused', 'set', 'schedule', ' Kesono ',' Didiemin ',' Max ',' Nik ',' Hmm ']")</f>
        <v>['confused', 'card', 'ilang', 'busy', 'work', 'unreg', 'card', 'no', 'grapari', 'confused', 'set', 'schedule', ' Kesono ',' Didiemin ',' Max ',' Nik ',' Hmm ']</v>
      </c>
      <c r="D7094" s="3">
        <v>4.0</v>
      </c>
    </row>
    <row r="7095" ht="15.75" customHeight="1">
      <c r="A7095" s="1">
        <v>7619.0</v>
      </c>
      <c r="B7095" s="3" t="s">
        <v>6836</v>
      </c>
      <c r="C7095" s="3" t="str">
        <f>IFERROR(__xludf.DUMMYFUNCTION("GOOGLETRANSLATE(B7095,""id"",""en"")"),"['oath', 'application', 'update', 'mulu', 'udh', 'buy', 'to' youtube ',' because ',' blm ',' update ',' quota ',' The main ',' reduced ',' GB ',' Pulak ', ""]")</f>
        <v>['oath', 'application', 'update', 'mulu', 'udh', 'buy', 'to' youtube ',' because ',' blm ',' update ',' quota ',' The main ',' reduced ',' GB ',' Pulak ', "]</v>
      </c>
      <c r="D7095" s="3">
        <v>1.0</v>
      </c>
    </row>
    <row r="7096" ht="15.75" customHeight="1">
      <c r="A7096" s="1">
        <v>7620.0</v>
      </c>
      <c r="B7096" s="3" t="s">
        <v>6837</v>
      </c>
      <c r="C7096" s="3" t="str">
        <f>IFERROR(__xludf.DUMMYFUNCTION("GOOGLETRANSLATE(B7096,""id"",""en"")"),"['Cheap', 'fast', 'complete']")</f>
        <v>['Cheap', 'fast', 'complete']</v>
      </c>
      <c r="D7096" s="3">
        <v>5.0</v>
      </c>
    </row>
    <row r="7097" ht="15.75" customHeight="1">
      <c r="A7097" s="1">
        <v>7621.0</v>
      </c>
      <c r="B7097" s="3" t="s">
        <v>6838</v>
      </c>
      <c r="C7097" s="3" t="str">
        <f>IFERROR(__xludf.DUMMYFUNCTION("GOOGLETRANSLATE(B7097,""id"",""en"")"),"['Help', 'buy', 'pulse', 'internet', 'etc.', 'easy', 'access', '']")</f>
        <v>['Help', 'buy', 'pulse', 'internet', 'etc.', 'easy', 'access', '']</v>
      </c>
      <c r="D7097" s="3">
        <v>5.0</v>
      </c>
    </row>
    <row r="7098" ht="15.75" customHeight="1">
      <c r="A7098" s="1">
        <v>7622.0</v>
      </c>
      <c r="B7098" s="3" t="s">
        <v>6839</v>
      </c>
      <c r="C7098" s="3" t="str">
        <f>IFERROR(__xludf.DUMMYFUNCTION("GOOGLETRANSLATE(B7098,""id"",""en"")"),"['Alhamdulillah', 'Telkomsel', 'Safe', 'Easy', 'Forward', 'Telkomsel', 'In the future', ""]")</f>
        <v>['Alhamdulillah', 'Telkomsel', 'Safe', 'Easy', 'Forward', 'Telkomsel', 'In the future', "]</v>
      </c>
      <c r="D7098" s="3">
        <v>5.0</v>
      </c>
    </row>
    <row r="7099" ht="15.75" customHeight="1">
      <c r="A7099" s="1">
        <v>7623.0</v>
      </c>
      <c r="B7099" s="3" t="s">
        <v>6840</v>
      </c>
      <c r="C7099" s="3" t="str">
        <f>IFERROR(__xludf.DUMMYFUNCTION("GOOGLETRANSLATE(B7099,""id"",""en"")"),"['The application', 'steady', 'deh', 'basically', 'eager', 'download']")</f>
        <v>['The application', 'steady', 'deh', 'basically', 'eager', 'download']</v>
      </c>
      <c r="D7099" s="3">
        <v>5.0</v>
      </c>
    </row>
    <row r="7100" ht="15.75" customHeight="1">
      <c r="A7100" s="1">
        <v>7624.0</v>
      </c>
      <c r="B7100" s="3" t="s">
        <v>6841</v>
      </c>
      <c r="C7100" s="3" t="str">
        <f>IFERROR(__xludf.DUMMYFUNCTION("GOOGLETRANSLATE(B7100,""id"",""en"")"),"['Tsel', 'Lemotttt', 'Bangettt', 'lag', 'play', 'dead', 'Mulu', 'Lost', 'Mulu', 'Gara', 'Gara', 'Lemotttttt', ' ']")</f>
        <v>['Tsel', 'Lemotttt', 'Bangettt', 'lag', 'play', 'dead', 'Mulu', 'Lost', 'Mulu', 'Gara', 'Gara', 'Lemotttttt', ' ']</v>
      </c>
      <c r="D7100" s="3">
        <v>1.0</v>
      </c>
    </row>
    <row r="7101" ht="15.75" customHeight="1">
      <c r="A7101" s="1">
        <v>7625.0</v>
      </c>
      <c r="B7101" s="3" t="s">
        <v>6842</v>
      </c>
      <c r="C7101" s="3" t="str">
        <f>IFERROR(__xludf.DUMMYFUNCTION("GOOGLETRANSLATE(B7101,""id"",""en"")"),"['Please', 'Bagusin', 'Network', 'Nyaa', 'yaa', 'right', 'play', 'game', ""]")</f>
        <v>['Please', 'Bagusin', 'Network', 'Nyaa', 'yaa', 'right', 'play', 'game', "]</v>
      </c>
      <c r="D7101" s="3">
        <v>1.0</v>
      </c>
    </row>
    <row r="7102" ht="15.75" customHeight="1">
      <c r="A7102" s="1">
        <v>7626.0</v>
      </c>
      <c r="B7102" s="3" t="s">
        <v>6843</v>
      </c>
      <c r="C7102" s="3" t="str">
        <f>IFERROR(__xludf.DUMMYFUNCTION("GOOGLETRANSLATE(B7102,""id"",""en"")"),"['Maintain', 'Network', 'Bad', 'Maintain', 'Price', 'Package', 'Expensive', 'User', 'Tsel', 'Decide', 'Leave', 'Tsel', ' Yng ',' tsel ',' yng ',' network ',' widest ',' skrng ',' tsel ',' network ',' worst ',' world ']")</f>
        <v>['Maintain', 'Network', 'Bad', 'Maintain', 'Price', 'Package', 'Expensive', 'User', 'Tsel', 'Decide', 'Leave', 'Tsel', ' Yng ',' tsel ',' yng ',' network ',' widest ',' skrng ',' tsel ',' network ',' worst ',' world ']</v>
      </c>
      <c r="D7102" s="3">
        <v>1.0</v>
      </c>
    </row>
    <row r="7103" ht="15.75" customHeight="1">
      <c r="A7103" s="1">
        <v>7627.0</v>
      </c>
      <c r="B7103" s="3" t="s">
        <v>6844</v>
      </c>
      <c r="C7103" s="3" t="str">
        <f>IFERROR(__xludf.DUMMYFUNCTION("GOOGLETRANSLATE(B7103,""id"",""en"")"),"['knapa', 'buy', 'package', 'contents',' pulse ',' buy ',' package ',' kombo ',' sakti ',' click ',' writing ',' buy ',' colored ',' red ',' click ',' bought ',' please ',' sampe ',' victim ',' pulse ',' put together ',' do ',' please ',' lined ',' here '"&amp;" , 'strange']")</f>
        <v>['knapa', 'buy', 'package', 'contents',' pulse ',' buy ',' package ',' kombo ',' sakti ',' click ',' writing ',' buy ',' colored ',' red ',' click ',' bought ',' please ',' sampe ',' victim ',' pulse ',' put together ',' do ',' please ',' lined ',' here ' , 'strange']</v>
      </c>
      <c r="D7103" s="3">
        <v>1.0</v>
      </c>
    </row>
    <row r="7104" ht="15.75" customHeight="1">
      <c r="A7104" s="1">
        <v>7628.0</v>
      </c>
      <c r="B7104" s="3" t="s">
        <v>6845</v>
      </c>
      <c r="C7104" s="3" t="str">
        <f>IFERROR(__xludf.DUMMYFUNCTION("GOOGLETRANSLATE(B7104,""id"",""en"")"),"['satisfying', 'price', 'changed', 'changed', 'signal', 'setabilia', 'expensive']")</f>
        <v>['satisfying', 'price', 'changed', 'changed', 'signal', 'setabilia', 'expensive']</v>
      </c>
      <c r="D7104" s="3">
        <v>1.0</v>
      </c>
    </row>
    <row r="7105" ht="15.75" customHeight="1">
      <c r="A7105" s="1">
        <v>7629.0</v>
      </c>
      <c r="B7105" s="3" t="s">
        <v>6846</v>
      </c>
      <c r="C7105" s="3" t="str">
        <f>IFERROR(__xludf.DUMMYFUNCTION("GOOGLETRANSLATE(B7105,""id"",""en"")"),"['Helping', 'network', 'extensive', 'remote', 'village', '']")</f>
        <v>['Helping', 'network', 'extensive', 'remote', 'village', '']</v>
      </c>
      <c r="D7105" s="3">
        <v>5.0</v>
      </c>
    </row>
    <row r="7106" ht="15.75" customHeight="1">
      <c r="A7106" s="1">
        <v>7631.0</v>
      </c>
      <c r="B7106" s="3" t="s">
        <v>6847</v>
      </c>
      <c r="C7106" s="3" t="str">
        <f>IFERROR(__xludf.DUMMYFUNCTION("GOOGLETRANSLATE(B7106,""id"",""en"")"),"['TPI', 'Please', 'Fix', 'Dalh', 'Price', 'PKET', 'Internet', 'Trludu', 'MHL', ""]")</f>
        <v>['TPI', 'Please', 'Fix', 'Dalh', 'Price', 'PKET', 'Internet', 'Trludu', 'MHL', "]</v>
      </c>
      <c r="D7106" s="3">
        <v>5.0</v>
      </c>
    </row>
    <row r="7107" ht="15.75" customHeight="1">
      <c r="A7107" s="1">
        <v>7632.0</v>
      </c>
      <c r="B7107" s="3" t="s">
        <v>6848</v>
      </c>
      <c r="C7107" s="3" t="str">
        <f>IFERROR(__xludf.DUMMYFUNCTION("GOOGLETRANSLATE(B7107,""id"",""en"")"),"['woi', 'anjg', 'fill in', 'pulse', 'rb', 'pdhl', 'package', 'pulse', 'leftover', 'rb', 'emng', 'suck', ' Gara ',' Gara ',' data ',' cellular ',' life ',' sumps', 'leftover', 'rb', 'squeezed', 'pig', 'card', 'gblk', 'reverse' , 'Credit', 'Demand', 'Telkom"&amp;"sel', '']")</f>
        <v>['woi', 'anjg', 'fill in', 'pulse', 'rb', 'pdhl', 'package', 'pulse', 'leftover', 'rb', 'emng', 'suck', ' Gara ',' Gara ',' data ',' cellular ',' life ',' sumps', 'leftover', 'rb', 'squeezed', 'pig', 'card', 'gblk', 'reverse' , 'Credit', 'Demand', 'Telkomsel', '']</v>
      </c>
      <c r="D7107" s="3">
        <v>1.0</v>
      </c>
    </row>
    <row r="7108" ht="15.75" customHeight="1">
      <c r="A7108" s="1">
        <v>7633.0</v>
      </c>
      <c r="B7108" s="3" t="s">
        <v>6849</v>
      </c>
      <c r="C7108" s="3" t="str">
        <f>IFERROR(__xludf.DUMMYFUNCTION("GOOGLETRANSLATE(B7108,""id"",""en"")"),"['Severe', 'really', 'Quality', 'internet', 'leftover', 'quota', 'GB', 'browsing', 'slow', 'slow', 'failed', 'connect', ' Open ',' YouTube ',' See ',' Video ',' Jamet ',' Severe ',' FAILURE ',' Connect ',' Codisi ',' Signal ',' Full ',' Network ',' Telkom"&amp;"sel ' , 'poor', 'really', 'stingy', 'internet', 'stupid', '']")</f>
        <v>['Severe', 'really', 'Quality', 'internet', 'leftover', 'quota', 'GB', 'browsing', 'slow', 'slow', 'failed', 'connect', ' Open ',' YouTube ',' See ',' Video ',' Jamet ',' Severe ',' FAILURE ',' Connect ',' Codisi ',' Signal ',' Full ',' Network ',' Telkomsel ' , 'poor', 'really', 'stingy', 'internet', 'stupid', '']</v>
      </c>
      <c r="D7108" s="3">
        <v>1.0</v>
      </c>
    </row>
    <row r="7109" ht="15.75" customHeight="1">
      <c r="A7109" s="1">
        <v>7634.0</v>
      </c>
      <c r="B7109" s="3" t="s">
        <v>6850</v>
      </c>
      <c r="C7109" s="3" t="str">
        <f>IFERROR(__xludf.DUMMYFUNCTION("GOOGLETRANSLATE(B7109,""id"",""en"")"),"['no', 'price', 'package', 'internet', 'sympathy', 'Telkomsel', 'price', 'cheap', 'GB', 'package', 'internet', 'Telkomsel', ' Cheap ',' quota ',' no ',' ']")</f>
        <v>['no', 'price', 'package', 'internet', 'sympathy', 'Telkomsel', 'price', 'cheap', 'GB', 'package', 'internet', 'Telkomsel', ' Cheap ',' quota ',' no ',' ']</v>
      </c>
      <c r="D7109" s="3">
        <v>1.0</v>
      </c>
    </row>
    <row r="7110" ht="15.75" customHeight="1">
      <c r="A7110" s="1">
        <v>7635.0</v>
      </c>
      <c r="B7110" s="3" t="s">
        <v>6851</v>
      </c>
      <c r="C7110" s="3" t="str">
        <f>IFERROR(__xludf.DUMMYFUNCTION("GOOGLETRANSLATE(B7110,""id"",""en"")"),"['love', 'star', 'response', 'try', 'check', 'number', 'use', 'package', 'monthly', 'expensive', 'expensive', 'dominant', ' extra ',' pulse ',' browsing ',' SAJ ',' Alemot ',' really ',' Telkomsel ',' disappointed ',' really ',' comen ',' love ',' number "&amp;"',' see ' , 'coment', 'bad', 'service', 'provider', '']")</f>
        <v>['love', 'star', 'response', 'try', 'check', 'number', 'use', 'package', 'monthly', 'expensive', 'expensive', 'dominant', ' extra ',' pulse ',' browsing ',' SAJ ',' Alemot ',' really ',' Telkomsel ',' disappointed ',' really ',' comen ',' love ',' number ',' see ' , 'coment', 'bad', 'service', 'provider', '']</v>
      </c>
      <c r="D7110" s="3">
        <v>1.0</v>
      </c>
    </row>
    <row r="7111" ht="15.75" customHeight="1">
      <c r="A7111" s="1">
        <v>7636.0</v>
      </c>
      <c r="B7111" s="3" t="s">
        <v>6852</v>
      </c>
      <c r="C7111" s="3" t="str">
        <f>IFERROR(__xludf.DUMMYFUNCTION("GOOGLETRANSLATE(B7111,""id"",""en"")"),"['Help', 'at the same time', 'BNR', 'BNR', 'Thanks', 'Telkomsel']")</f>
        <v>['Help', 'at the same time', 'BNR', 'BNR', 'Thanks', 'Telkomsel']</v>
      </c>
      <c r="D7111" s="3">
        <v>5.0</v>
      </c>
    </row>
    <row r="7112" ht="15.75" customHeight="1">
      <c r="A7112" s="1">
        <v>7637.0</v>
      </c>
      <c r="B7112" s="3" t="s">
        <v>6853</v>
      </c>
      <c r="C7112" s="3" t="str">
        <f>IFERROR(__xludf.DUMMYFUNCTION("GOOGLETRANSLATE(B7112,""id"",""en"")"),"['Telkomsel', 'please', 'signaling', 'missing', 'embossed', '']")</f>
        <v>['Telkomsel', 'please', 'signaling', 'missing', 'embossed', '']</v>
      </c>
      <c r="D7112" s="3">
        <v>2.0</v>
      </c>
    </row>
    <row r="7113" ht="15.75" customHeight="1">
      <c r="A7113" s="1">
        <v>7638.0</v>
      </c>
      <c r="B7113" s="3" t="s">
        <v>6854</v>
      </c>
      <c r="C7113" s="3" t="str">
        <f>IFERROR(__xludf.DUMMYFUNCTION("GOOGLETRANSLATE(B7113,""id"",""en"")"),"['internet', 'buy', 'Telkomsel', 'try']")</f>
        <v>['internet', 'buy', 'Telkomsel', 'try']</v>
      </c>
      <c r="D7113" s="3">
        <v>1.0</v>
      </c>
    </row>
    <row r="7114" ht="15.75" customHeight="1">
      <c r="A7114" s="1">
        <v>7639.0</v>
      </c>
      <c r="B7114" s="3" t="s">
        <v>6855</v>
      </c>
      <c r="C7114" s="3" t="str">
        <f>IFERROR(__xludf.DUMMYFUNCTION("GOOGLETRANSLATE(B7114,""id"",""en"")"),"['access',' Google ',' Play ',' Store ',' right ',' Download ',' Upadet ',' App ',' Access', 'Google', 'Play', 'Store', ' Mending ',' replaced ',' access', 'Google', 'fast', 'UDH', 'access',' Google ',' slow ',' Play ',' Store ',' draw ',' wrong ' , 'off'"&amp;", 'klau', 'kayak', 'gini', 'rating', 'app', 'down']")</f>
        <v>['access',' Google ',' Play ',' Store ',' right ',' Download ',' Upadet ',' App ',' Access', 'Google', 'Play', 'Store', ' Mending ',' replaced ',' access', 'Google', 'fast', 'UDH', 'access',' Google ',' slow ',' Play ',' Store ',' draw ',' wrong ' , 'off', 'klau', 'kayak', 'gini', 'rating', 'app', 'down']</v>
      </c>
      <c r="D7114" s="3">
        <v>1.0</v>
      </c>
    </row>
    <row r="7115" ht="15.75" customHeight="1">
      <c r="A7115" s="1">
        <v>7640.0</v>
      </c>
      <c r="B7115" s="3" t="s">
        <v>6856</v>
      </c>
      <c r="C7115" s="3" t="str">
        <f>IFERROR(__xludf.DUMMYFUNCTION("GOOGLETRANSLATE(B7115,""id"",""en"")"),"['signal', 'good', 'top', 'markotop']")</f>
        <v>['signal', 'good', 'top', 'markotop']</v>
      </c>
      <c r="D7115" s="3">
        <v>5.0</v>
      </c>
    </row>
    <row r="7116" ht="15.75" customHeight="1">
      <c r="A7116" s="1">
        <v>7641.0</v>
      </c>
      <c r="B7116" s="3" t="s">
        <v>6857</v>
      </c>
      <c r="C7116" s="3" t="str">
        <f>IFERROR(__xludf.DUMMYFUNCTION("GOOGLETRANSLATE(B7116,""id"",""en"")"),"['Mantab', 'buy', 'package', 'directly', 'enter', 'package', '']")</f>
        <v>['Mantab', 'buy', 'package', 'directly', 'enter', 'package', '']</v>
      </c>
      <c r="D7116" s="3">
        <v>4.0</v>
      </c>
    </row>
    <row r="7117" ht="15.75" customHeight="1">
      <c r="A7117" s="1">
        <v>7642.0</v>
      </c>
      <c r="B7117" s="3" t="s">
        <v>6858</v>
      </c>
      <c r="C7117" s="3" t="str">
        <f>IFERROR(__xludf.DUMMYFUNCTION("GOOGLETRANSLATE(B7117,""id"",""en"")"),"['application', 'good', 'help', 'makes it easier', 'transaction', '']")</f>
        <v>['application', 'good', 'help', 'makes it easier', 'transaction', '']</v>
      </c>
      <c r="D7117" s="3">
        <v>5.0</v>
      </c>
    </row>
    <row r="7118" ht="15.75" customHeight="1">
      <c r="A7118" s="1">
        <v>7643.0</v>
      </c>
      <c r="B7118" s="3" t="s">
        <v>6859</v>
      </c>
      <c r="C7118" s="3" t="str">
        <f>IFERROR(__xludf.DUMMYFUNCTION("GOOGLETRANSLATE(B7118,""id"",""en"")"),"['Down', 'Star', 'Send', 'Package', 'Number', '']")</f>
        <v>['Down', 'Star', 'Send', 'Package', 'Number', '']</v>
      </c>
      <c r="D7118" s="3">
        <v>4.0</v>
      </c>
    </row>
    <row r="7119" ht="15.75" customHeight="1">
      <c r="A7119" s="1">
        <v>7644.0</v>
      </c>
      <c r="B7119" s="3" t="s">
        <v>6860</v>
      </c>
      <c r="C7119" s="3" t="str">
        <f>IFERROR(__xludf.DUMMYFUNCTION("GOOGLETRANSLATE(B7119,""id"",""en"")"),"['Telkomsel', 'here', 'network', 'jelekkkk', 'quota', 'ttp', 'jelekkkk', 'can', 'award', 'network', 'the fastest', 'network', ' Jelekkk ',' ']")</f>
        <v>['Telkomsel', 'here', 'network', 'jelekkkk', 'quota', 'ttp', 'jelekkkk', 'can', 'award', 'network', 'the fastest', 'network', ' Jelekkk ',' ']</v>
      </c>
      <c r="D7119" s="3">
        <v>1.0</v>
      </c>
    </row>
    <row r="7120" ht="15.75" customHeight="1">
      <c r="A7120" s="1">
        <v>7645.0</v>
      </c>
      <c r="B7120" s="3" t="s">
        <v>6861</v>
      </c>
      <c r="C7120" s="3" t="str">
        <f>IFERROR(__xludf.DUMMYFUNCTION("GOOGLETRANSLATE(B7120,""id"",""en"")"),"['application', 'good', 'good', 'job']")</f>
        <v>['application', 'good', 'good', 'job']</v>
      </c>
      <c r="D7120" s="3">
        <v>5.0</v>
      </c>
    </row>
    <row r="7121" ht="15.75" customHeight="1">
      <c r="A7121" s="1">
        <v>7646.0</v>
      </c>
      <c r="B7121" s="3" t="s">
        <v>6862</v>
      </c>
      <c r="C7121" s="3" t="str">
        <f>IFERROR(__xludf.DUMMYFUNCTION("GOOGLETRANSLATE(B7121,""id"",""en"")"),"['Help', 'makes it easy', 'users', 'Telkomsel', 'Thankss', 'Telkomsel', 'Pokonya', 'The', 'Best', 'Lahhh']")</f>
        <v>['Help', 'makes it easy', 'users', 'Telkomsel', 'Thankss', 'Telkomsel', 'Pokonya', 'The', 'Best', 'Lahhh']</v>
      </c>
      <c r="D7121" s="3">
        <v>5.0</v>
      </c>
    </row>
    <row r="7122" ht="15.75" customHeight="1">
      <c r="A7122" s="1">
        <v>7647.0</v>
      </c>
      <c r="B7122" s="3" t="s">
        <v>6863</v>
      </c>
      <c r="C7122" s="3" t="str">
        <f>IFERROR(__xludf.DUMMYFUNCTION("GOOGLETRANSLATE(B7122,""id"",""en"")"),"['Help', 'maintenance', 'needs', 'pulse', 'urgent', 'wherever', 'fast', 'easy', ""]")</f>
        <v>['Help', 'maintenance', 'needs', 'pulse', 'urgent', 'wherever', 'fast', 'easy', "]</v>
      </c>
      <c r="D7122" s="3">
        <v>5.0</v>
      </c>
    </row>
    <row r="7123" ht="15.75" customHeight="1">
      <c r="A7123" s="1">
        <v>7648.0</v>
      </c>
      <c r="B7123" s="3" t="s">
        <v>6864</v>
      </c>
      <c r="C7123" s="3" t="str">
        <f>IFERROR(__xludf.DUMMYFUNCTION("GOOGLETRANSLATE(B7123,""id"",""en"")"),"['Telkomsel', 'signal', 'good', 'area', 'th', 'smooth', 'SKR', 'mbambet', 'signal']")</f>
        <v>['Telkomsel', 'signal', 'good', 'area', 'th', 'smooth', 'SKR', 'mbambet', 'signal']</v>
      </c>
      <c r="D7123" s="3">
        <v>1.0</v>
      </c>
    </row>
    <row r="7124" ht="15.75" customHeight="1">
      <c r="A7124" s="1">
        <v>7649.0</v>
      </c>
      <c r="B7124" s="3" t="s">
        <v>6865</v>
      </c>
      <c r="C7124" s="3" t="str">
        <f>IFERROR(__xludf.DUMMYFUNCTION("GOOGLETRANSLATE(B7124,""id"",""en"")"),"['Muyak', 'open', 'appears', 'bid', 'loan', 'package', 'data', 'thousand', 'impressed', 'force']")</f>
        <v>['Muyak', 'open', 'appears', 'bid', 'loan', 'package', 'data', 'thousand', 'impressed', 'force']</v>
      </c>
      <c r="D7124" s="3">
        <v>2.0</v>
      </c>
    </row>
    <row r="7125" ht="15.75" customHeight="1">
      <c r="A7125" s="1">
        <v>7651.0</v>
      </c>
      <c r="B7125" s="3" t="s">
        <v>6866</v>
      </c>
      <c r="C7125" s="3" t="str">
        <f>IFERROR(__xludf.DUMMYFUNCTION("GOOGLETRANSLATE(B7125,""id"",""en"")"),"['Not', 'Bad', 'Increase', 'Kusats']")</f>
        <v>['Not', 'Bad', 'Increase', 'Kusats']</v>
      </c>
      <c r="D7125" s="3">
        <v>5.0</v>
      </c>
    </row>
    <row r="7126" ht="15.75" customHeight="1">
      <c r="A7126" s="1">
        <v>7652.0</v>
      </c>
      <c r="B7126" s="3" t="s">
        <v>6867</v>
      </c>
      <c r="C7126" s="3" t="str">
        <f>IFERROR(__xludf.DUMMYFUNCTION("GOOGLETRANSLATE(B7126,""id"",""en"")"),"['Honey', 'already', 'Exchange', 'Points', 'Win', 'Lottery', 'Cheat', 'Application', '']")</f>
        <v>['Honey', 'already', 'Exchange', 'Points', 'Win', 'Lottery', 'Cheat', 'Application', '']</v>
      </c>
      <c r="D7126" s="3">
        <v>2.0</v>
      </c>
    </row>
    <row r="7127" ht="15.75" customHeight="1">
      <c r="A7127" s="1">
        <v>7653.0</v>
      </c>
      <c r="B7127" s="3" t="s">
        <v>6868</v>
      </c>
      <c r="C7127" s="3" t="str">
        <f>IFERROR(__xludf.DUMMYFUNCTION("GOOGLETRANSLATE(B7127,""id"",""en"")"),"['Useful', 'Practical', 'Ribet', ""]")</f>
        <v>['Useful', 'Practical', 'Ribet', "]</v>
      </c>
      <c r="D7127" s="3">
        <v>5.0</v>
      </c>
    </row>
    <row r="7128" ht="15.75" customHeight="1">
      <c r="A7128" s="1">
        <v>7654.0</v>
      </c>
      <c r="B7128" s="3" t="s">
        <v>6869</v>
      </c>
      <c r="C7128" s="3" t="str">
        <f>IFERROR(__xludf.DUMMYFUNCTION("GOOGLETRANSLATE(B7128,""id"",""en"")"),"['Ribet', 'card', 'Hallo', 'Bagusan', 'Change', 'Prepaid', 'Sorry', ""]")</f>
        <v>['Ribet', 'card', 'Hallo', 'Bagusan', 'Change', 'Prepaid', 'Sorry', "]</v>
      </c>
      <c r="D7128" s="3">
        <v>1.0</v>
      </c>
    </row>
    <row r="7129" ht="15.75" customHeight="1">
      <c r="A7129" s="1">
        <v>7655.0</v>
      </c>
      <c r="B7129" s="3" t="s">
        <v>6870</v>
      </c>
      <c r="C7129" s="3" t="str">
        <f>IFERROR(__xludf.DUMMYFUNCTION("GOOGLETRANSLATE(B7129,""id"",""en"")"),"['best', '']")</f>
        <v>['best', '']</v>
      </c>
      <c r="D7129" s="3">
        <v>5.0</v>
      </c>
    </row>
    <row r="7130" ht="15.75" customHeight="1">
      <c r="A7130" s="1">
        <v>7656.0</v>
      </c>
      <c r="B7130" s="3" t="s">
        <v>6871</v>
      </c>
      <c r="C7130" s="3" t="str">
        <f>IFERROR(__xludf.DUMMYFUNCTION("GOOGLETRANSLATE(B7130,""id"",""en"")"),"['violator', 'loyal', 'trobble', 'then', 'network', 'data', 'hours',' work ',' clock ',' busy ',' violator ',' blur ',' Profider ',' Next to ',' ']")</f>
        <v>['violator', 'loyal', 'trobble', 'then', 'network', 'data', 'hours',' work ',' clock ',' busy ',' violator ',' blur ',' Profider ',' Next to ',' ']</v>
      </c>
      <c r="D7130" s="3">
        <v>3.0</v>
      </c>
    </row>
    <row r="7131" ht="15.75" customHeight="1">
      <c r="A7131" s="1">
        <v>7657.0</v>
      </c>
      <c r="B7131" s="3" t="s">
        <v>6872</v>
      </c>
      <c r="C7131" s="3" t="str">
        <f>IFERROR(__xludf.DUMMYFUNCTION("GOOGLETRANSLATE(B7131,""id"",""en"")"),"['Disappointed', 'Telkomsel', 'price', 'package', 'internet', 'expensive', 'network', 'lost', 'annoying', 'ajg', 'so', 'mending', ' Colently ',' price ',' package ',' internet ']")</f>
        <v>['Disappointed', 'Telkomsel', 'price', 'package', 'internet', 'expensive', 'network', 'lost', 'annoying', 'ajg', 'so', 'mending', ' Colently ',' price ',' package ',' internet ']</v>
      </c>
      <c r="D7131" s="3">
        <v>1.0</v>
      </c>
    </row>
    <row r="7132" ht="15.75" customHeight="1">
      <c r="A7132" s="1">
        <v>7658.0</v>
      </c>
      <c r="B7132" s="3" t="s">
        <v>6873</v>
      </c>
      <c r="C7132" s="3" t="str">
        <f>IFERROR(__xludf.DUMMYFUNCTION("GOOGLETRANSLATE(B7132,""id"",""en"")"),"['updated', 'buy', 'package', 'Please', 'repaired', 'min']")</f>
        <v>['updated', 'buy', 'package', 'Please', 'repaired', 'min']</v>
      </c>
      <c r="D7132" s="3">
        <v>1.0</v>
      </c>
    </row>
    <row r="7133" ht="15.75" customHeight="1">
      <c r="A7133" s="1">
        <v>7659.0</v>
      </c>
      <c r="B7133" s="3" t="s">
        <v>6874</v>
      </c>
      <c r="C7133" s="3" t="str">
        <f>IFERROR(__xludf.DUMMYFUNCTION("GOOGLETRANSLATE(B7133,""id"",""en"")"),"['makes it easier', 'process', 'use', ""]")</f>
        <v>['makes it easier', 'process', 'use', "]</v>
      </c>
      <c r="D7133" s="3">
        <v>5.0</v>
      </c>
    </row>
    <row r="7134" ht="15.75" customHeight="1">
      <c r="A7134" s="1">
        <v>7660.0</v>
      </c>
      <c r="B7134" s="3" t="s">
        <v>6875</v>
      </c>
      <c r="C7134" s="3" t="str">
        <f>IFERROR(__xludf.DUMMYFUNCTION("GOOGLETRANSLATE(B7134,""id"",""en"")"),"['heart', 'heart', 'fraud']")</f>
        <v>['heart', 'heart', 'fraud']</v>
      </c>
      <c r="D7134" s="3">
        <v>1.0</v>
      </c>
    </row>
    <row r="7135" ht="15.75" customHeight="1">
      <c r="A7135" s="1">
        <v>7662.0</v>
      </c>
      <c r="B7135" s="3" t="s">
        <v>6876</v>
      </c>
      <c r="C7135" s="3" t="str">
        <f>IFERROR(__xludf.DUMMYFUNCTION("GOOGLETRANSLATE(B7135,""id"",""en"")"),"['expensive', 'MyTelkomsel', 'contents', 'pulse', 'counters']")</f>
        <v>['expensive', 'MyTelkomsel', 'contents', 'pulse', 'counters']</v>
      </c>
      <c r="D7135" s="3">
        <v>3.0</v>
      </c>
    </row>
    <row r="7136" ht="15.75" customHeight="1">
      <c r="A7136" s="1">
        <v>7663.0</v>
      </c>
      <c r="B7136" s="3" t="s">
        <v>6877</v>
      </c>
      <c r="C7136" s="3" t="str">
        <f>IFERROR(__xludf.DUMMYFUNCTION("GOOGLETRANSLATE(B7136,""id"",""en"")"),"['Signal', 'Telkomsel', 'cheats',' package ',' speed ',' data ',' equivalent ',' good ',' connection ',' rotten ',' reduce ',' speed ',' Data ',' sell ',' community ',' Telkomsel ',' corrupt ', ""]")</f>
        <v>['Signal', 'Telkomsel', 'cheats',' package ',' speed ',' data ',' equivalent ',' good ',' connection ',' rotten ',' reduce ',' speed ',' Data ',' sell ',' community ',' Telkomsel ',' corrupt ', "]</v>
      </c>
      <c r="D7136" s="3">
        <v>1.0</v>
      </c>
    </row>
    <row r="7137" ht="15.75" customHeight="1">
      <c r="A7137" s="1">
        <v>7664.0</v>
      </c>
      <c r="B7137" s="3" t="s">
        <v>6878</v>
      </c>
      <c r="C7137" s="3" t="str">
        <f>IFERROR(__xludf.DUMMYFUNCTION("GOOGLETRANSLATE(B7137,""id"",""en"")"),"['Fast', 'Fast', 'Response']")</f>
        <v>['Fast', 'Fast', 'Response']</v>
      </c>
      <c r="D7137" s="3">
        <v>5.0</v>
      </c>
    </row>
    <row r="7138" ht="15.75" customHeight="1">
      <c r="A7138" s="1">
        <v>7665.0</v>
      </c>
      <c r="B7138" s="3" t="s">
        <v>6879</v>
      </c>
      <c r="C7138" s="3" t="str">
        <f>IFERROR(__xludf.DUMMYFUNCTION("GOOGLETRANSLATE(B7138,""id"",""en"")"),"['Good', 'service', 'Telkomsel']")</f>
        <v>['Good', 'service', 'Telkomsel']</v>
      </c>
      <c r="D7138" s="3">
        <v>5.0</v>
      </c>
    </row>
    <row r="7139" ht="15.75" customHeight="1">
      <c r="A7139" s="1">
        <v>7666.0</v>
      </c>
      <c r="B7139" s="3" t="s">
        <v>6880</v>
      </c>
      <c r="C7139" s="3" t="str">
        <f>IFERROR(__xludf.DUMMYFUNCTION("GOOGLETRANSLATE(B7139,""id"",""en"")"),"['Severe', 'Sinyal', 'Use', 'Telkom', 'Severe', 'Network', 'Greetings', 'Dri', 'Driver', 'Gojek']")</f>
        <v>['Severe', 'Sinyal', 'Use', 'Telkom', 'Severe', 'Network', 'Greetings', 'Dri', 'Driver', 'Gojek']</v>
      </c>
      <c r="D7139" s="3">
        <v>1.0</v>
      </c>
    </row>
    <row r="7140" ht="15.75" customHeight="1">
      <c r="A7140" s="1">
        <v>7668.0</v>
      </c>
      <c r="B7140" s="3" t="s">
        <v>6881</v>
      </c>
      <c r="C7140" s="3" t="str">
        <f>IFERROR(__xludf.DUMMYFUNCTION("GOOGLETRANSLATE(B7140,""id"",""en"")"),"['Help', 'Thank you']")</f>
        <v>['Help', 'Thank you']</v>
      </c>
      <c r="D7140" s="3">
        <v>5.0</v>
      </c>
    </row>
    <row r="7141" ht="15.75" customHeight="1">
      <c r="A7141" s="1">
        <v>7669.0</v>
      </c>
      <c r="B7141" s="3" t="s">
        <v>6882</v>
      </c>
      <c r="C7141" s="3" t="str">
        <f>IFERROR(__xludf.DUMMYFUNCTION("GOOGLETRANSLATE(B7141,""id"",""en"")"),"['Satisfied', 'good', 'easy', 'cheap', 'dlm', 'purchase', 'hope', 'level', ""]")</f>
        <v>['Satisfied', 'good', 'easy', 'cheap', 'dlm', 'purchase', 'hope', 'level', "]</v>
      </c>
      <c r="D7141" s="3">
        <v>4.0</v>
      </c>
    </row>
    <row r="7142" ht="15.75" customHeight="1">
      <c r="A7142" s="1">
        <v>7670.0</v>
      </c>
      <c r="B7142" s="3" t="s">
        <v>6883</v>
      </c>
      <c r="C7142" s="3" t="str">
        <f>IFERROR(__xludf.DUMMYFUNCTION("GOOGLETRANSLATE(B7142,""id"",""en"")"),"['Telkomsel', 'Credit', 'Cut', 'Change', 'It's', '']")</f>
        <v>['Telkomsel', 'Credit', 'Cut', 'Change', 'It's', '']</v>
      </c>
      <c r="D7142" s="3">
        <v>1.0</v>
      </c>
    </row>
    <row r="7143" ht="15.75" customHeight="1">
      <c r="A7143" s="1">
        <v>7671.0</v>
      </c>
      <c r="B7143" s="3" t="s">
        <v>6884</v>
      </c>
      <c r="C7143" s="3" t="str">
        <f>IFERROR(__xludf.DUMMYFUNCTION("GOOGLETRANSLATE(B7143,""id"",""en"")"),"['signal', 'emotion']")</f>
        <v>['signal', 'emotion']</v>
      </c>
      <c r="D7143" s="3">
        <v>1.0</v>
      </c>
    </row>
    <row r="7144" ht="15.75" customHeight="1">
      <c r="A7144" s="1">
        <v>7672.0</v>
      </c>
      <c r="B7144" s="3" t="s">
        <v>6885</v>
      </c>
      <c r="C7144" s="3" t="str">
        <f>IFERROR(__xludf.DUMMYFUNCTION("GOOGLETRANSLATE(B7144,""id"",""en"")"),"['price', 'quota', 'lapse', 'then', 'unlimited', 'rise', 'buy', 'pulse', 'complicated']")</f>
        <v>['price', 'quota', 'lapse', 'then', 'unlimited', 'rise', 'buy', 'pulse', 'complicated']</v>
      </c>
      <c r="D7144" s="3">
        <v>1.0</v>
      </c>
    </row>
    <row r="7145" ht="15.75" customHeight="1">
      <c r="A7145" s="1">
        <v>7673.0</v>
      </c>
      <c r="B7145" s="3" t="s">
        <v>6886</v>
      </c>
      <c r="C7145" s="3" t="str">
        <f>IFERROR(__xludf.DUMMYFUNCTION("GOOGLETRANSLATE(B7145,""id"",""en"")"),"['home', 'level', 'network']")</f>
        <v>['home', 'level', 'network']</v>
      </c>
      <c r="D7145" s="3">
        <v>5.0</v>
      </c>
    </row>
    <row r="7146" ht="15.75" customHeight="1">
      <c r="A7146" s="1">
        <v>7674.0</v>
      </c>
      <c r="B7146" s="3" t="s">
        <v>6887</v>
      </c>
      <c r="C7146" s="3" t="str">
        <f>IFERROR(__xludf.DUMMYFUNCTION("GOOGLETRANSLATE(B7146,""id"",""en"")"),"['Telkomsel', 'contents',' credit ',' direct ',' truncated ',' truncated ',' Males', 'bet', 'please', 'TELKOMSEL', 'TELKOMSEL', ' "", 'buy', 'credit', 'lol', '']")</f>
        <v>['Telkomsel', 'contents',' credit ',' direct ',' truncated ',' truncated ',' Males', 'bet', 'please', 'TELKOMSEL', 'TELKOMSEL', ' ", 'buy', 'credit', 'lol', '']</v>
      </c>
      <c r="D7146" s="3">
        <v>1.0</v>
      </c>
    </row>
    <row r="7147" ht="15.75" customHeight="1">
      <c r="A7147" s="1">
        <v>7675.0</v>
      </c>
      <c r="B7147" s="3" t="s">
        <v>6888</v>
      </c>
      <c r="C7147" s="3" t="str">
        <f>IFERROR(__xludf.DUMMYFUNCTION("GOOGLETRANSLATE(B7147,""id"",""en"")"),"['Exchange', 'Points', 'Package']")</f>
        <v>['Exchange', 'Points', 'Package']</v>
      </c>
      <c r="D7147" s="3">
        <v>5.0</v>
      </c>
    </row>
    <row r="7148" ht="15.75" customHeight="1">
      <c r="A7148" s="1">
        <v>7676.0</v>
      </c>
      <c r="B7148" s="3" t="s">
        <v>6889</v>
      </c>
      <c r="C7148" s="3" t="str">
        <f>IFERROR(__xludf.DUMMYFUNCTION("GOOGLETRANSLATE(B7148,""id"",""en"")"),"['Please', 'Paketan', 'Out', 'Pulses', 'Take', 'Biarin', 'Fill']")</f>
        <v>['Please', 'Paketan', 'Out', 'Pulses', 'Take', 'Biarin', 'Fill']</v>
      </c>
      <c r="D7148" s="3">
        <v>5.0</v>
      </c>
    </row>
    <row r="7149" ht="15.75" customHeight="1">
      <c r="A7149" s="1">
        <v>7677.0</v>
      </c>
      <c r="B7149" s="3" t="s">
        <v>6890</v>
      </c>
      <c r="C7149" s="3" t="str">
        <f>IFERROR(__xludf.DUMMYFUNCTION("GOOGLETRANSLATE(B7149,""id"",""en"")"),"['Fix', 'Love', 'Star', 'Install', 'Android', '']")</f>
        <v>['Fix', 'Love', 'Star', 'Install', 'Android', '']</v>
      </c>
      <c r="D7149" s="3">
        <v>1.0</v>
      </c>
    </row>
    <row r="7150" ht="15.75" customHeight="1">
      <c r="A7150" s="1">
        <v>7679.0</v>
      </c>
      <c r="B7150" s="3" t="s">
        <v>6891</v>
      </c>
      <c r="C7150" s="3" t="str">
        <f>IFERROR(__xludf.DUMMYFUNCTION("GOOGLETRANSLATE(B7150,""id"",""en"")"),"['application', 'eat', 'power', 'run out', 'open', 'warning', 'use', 'battery']")</f>
        <v>['application', 'eat', 'power', 'run out', 'open', 'warning', 'use', 'battery']</v>
      </c>
      <c r="D7150" s="3">
        <v>2.0</v>
      </c>
    </row>
    <row r="7151" ht="15.75" customHeight="1">
      <c r="A7151" s="1">
        <v>7680.0</v>
      </c>
      <c r="B7151" s="3" t="s">
        <v>6892</v>
      </c>
      <c r="C7151" s="3" t="str">
        <f>IFERROR(__xludf.DUMMYFUNCTION("GOOGLETRANSLATE(B7151,""id"",""en"")"),"['quota', 'expensive', 'quality', 'ugly', 'hadeh']")</f>
        <v>['quota', 'expensive', 'quality', 'ugly', 'hadeh']</v>
      </c>
      <c r="D7151" s="3">
        <v>1.0</v>
      </c>
    </row>
    <row r="7152" ht="15.75" customHeight="1">
      <c r="A7152" s="1">
        <v>7681.0</v>
      </c>
      <c r="B7152" s="3" t="s">
        <v>6893</v>
      </c>
      <c r="C7152" s="3" t="str">
        <f>IFERROR(__xludf.DUMMYFUNCTION("GOOGLETRANSLATE(B7152,""id"",""en"")"),"['Horrified', 'Horrified', 'Tired', 'Wait', 'Network']")</f>
        <v>['Horrified', 'Horrified', 'Tired', 'Wait', 'Network']</v>
      </c>
      <c r="D7152" s="3">
        <v>1.0</v>
      </c>
    </row>
    <row r="7153" ht="15.75" customHeight="1">
      <c r="A7153" s="1">
        <v>7682.0</v>
      </c>
      <c r="B7153" s="3" t="s">
        <v>6894</v>
      </c>
      <c r="C7153" s="3" t="str">
        <f>IFERROR(__xludf.DUMMYFUNCTION("GOOGLETRANSLATE(B7153,""id"",""en"")"),"['Telkomsel', 'provider', 'cave', 'already', 'buy', 'quota', 'unlimited', 'youtube', 'right', 'watch', 'youtube', 'quota', ' Regular ',' Cave ',' Sumpot ',' Cave ',' Chat ',' Gada ',' Help ',' company ',' APAN ',' SIH ',' Fraudster ',' cheat ',' loss' , '"&amp;"cave']")</f>
        <v>['Telkomsel', 'provider', 'cave', 'already', 'buy', 'quota', 'unlimited', 'youtube', 'right', 'watch', 'youtube', 'quota', ' Regular ',' Cave ',' Sumpot ',' Cave ',' Chat ',' Gada ',' Help ',' company ',' APAN ',' SIH ',' Fraudster ',' cheat ',' loss' , 'cave']</v>
      </c>
      <c r="D7153" s="3">
        <v>1.0</v>
      </c>
    </row>
    <row r="7154" ht="15.75" customHeight="1">
      <c r="A7154" s="1">
        <v>7684.0</v>
      </c>
      <c r="B7154" s="3" t="s">
        <v>6895</v>
      </c>
      <c r="C7154" s="3" t="str">
        <f>IFERROR(__xludf.DUMMYFUNCTION("GOOGLETRANSLATE(B7154,""id"",""en"")"),"['Disappointed', 'quota', 'bnyak', 'usage', 'non', 'quota', 'pulse', 'RbU', 'lost', 'Maren', 'Rbu', 'lost', ' Bngkrut ',' mah ',' gini ', ""]")</f>
        <v>['Disappointed', 'quota', 'bnyak', 'usage', 'non', 'quota', 'pulse', 'RbU', 'lost', 'Maren', 'Rbu', 'lost', ' Bngkrut ',' mah ',' gini ', "]</v>
      </c>
      <c r="D7154" s="3">
        <v>1.0</v>
      </c>
    </row>
    <row r="7155" ht="15.75" customHeight="1">
      <c r="A7155" s="1">
        <v>7686.0</v>
      </c>
      <c r="B7155" s="3" t="s">
        <v>6896</v>
      </c>
      <c r="C7155" s="3" t="str">
        <f>IFERROR(__xludf.DUMMYFUNCTION("GOOGLETRANSLATE(B7155,""id"",""en"")"),"['telkomselbaik', 'mang send', 'package', 'free']")</f>
        <v>['telkomselbaik', 'mang send', 'package', 'free']</v>
      </c>
      <c r="D7155" s="3">
        <v>5.0</v>
      </c>
    </row>
    <row r="7156" ht="15.75" customHeight="1">
      <c r="A7156" s="1">
        <v>7687.0</v>
      </c>
      <c r="B7156" s="3" t="s">
        <v>6897</v>
      </c>
      <c r="C7156" s="3" t="str">
        <f>IFERROR(__xludf.DUMMYFUNCTION("GOOGLETRANSLATE(B7156,""id"",""en"")"),"['steady', 'pokonya', 'mah']")</f>
        <v>['steady', 'pokonya', 'mah']</v>
      </c>
      <c r="D7156" s="3">
        <v>5.0</v>
      </c>
    </row>
    <row r="7157" ht="15.75" customHeight="1">
      <c r="A7157" s="1">
        <v>7688.0</v>
      </c>
      <c r="B7157" s="3" t="s">
        <v>6898</v>
      </c>
      <c r="C7157" s="3" t="str">
        <f>IFERROR(__xludf.DUMMYFUNCTION("GOOGLETRANSLATE(B7157,""id"",""en"")"),"['card', 'expensive', 'already', 'mesk', 'card', 'strangehh']")</f>
        <v>['card', 'expensive', 'already', 'mesk', 'card', 'strangehh']</v>
      </c>
      <c r="D7157" s="3">
        <v>1.0</v>
      </c>
    </row>
    <row r="7158" ht="15.75" customHeight="1">
      <c r="A7158" s="1">
        <v>7689.0</v>
      </c>
      <c r="B7158" s="3" t="s">
        <v>6899</v>
      </c>
      <c r="C7158" s="3" t="str">
        <f>IFERROR(__xludf.DUMMYFUNCTION("GOOGLETRANSLATE(B7158,""id"",""en"")"),"['Disappointed', 'I', 'I', 'user', 'Telkomsel', 'era', 'junior high school', 'until', 'skrg', 'get', 'quota', 'combo', ' Sakti ',' RB ',' I ',' buy ',' card ',' get ',' ']")</f>
        <v>['Disappointed', 'I', 'I', 'user', 'Telkomsel', 'era', 'junior high school', 'until', 'skrg', 'get', 'quota', 'combo', ' Sakti ',' RB ',' I ',' buy ',' card ',' get ',' ']</v>
      </c>
      <c r="D7158" s="3">
        <v>1.0</v>
      </c>
    </row>
    <row r="7159" ht="15.75" customHeight="1">
      <c r="A7159" s="1">
        <v>7690.0</v>
      </c>
      <c r="B7159" s="3" t="s">
        <v>6900</v>
      </c>
      <c r="C7159" s="3" t="str">
        <f>IFERROR(__xludf.DUMMYFUNCTION("GOOGLETRANSLATE(B7159,""id"",""en"")"),"['Maintained', 'signal', ""]")</f>
        <v>['Maintained', 'signal', "]</v>
      </c>
      <c r="D7159" s="3">
        <v>5.0</v>
      </c>
    </row>
    <row r="7160" ht="15.75" customHeight="1">
      <c r="A7160" s="1">
        <v>7691.0</v>
      </c>
      <c r="B7160" s="3" t="s">
        <v>6901</v>
      </c>
      <c r="C7160" s="3" t="str">
        <f>IFERROR(__xludf.DUMMYFUNCTION("GOOGLETRANSLATE(B7160,""id"",""en"")"),"['pulse', 'sucked', 'lngsung', 'pdhl', 'telephone', 'use', 'wifi', 'use', 'intenet', 'gmna', 'telkomsel', 'hobby', ' okay ',' child ',' jga ',' it happened ',' told ',' email ',' Telkomsel ',' solution ']")</f>
        <v>['pulse', 'sucked', 'lngsung', 'pdhl', 'telephone', 'use', 'wifi', 'use', 'intenet', 'gmna', 'telkomsel', 'hobby', ' okay ',' child ',' jga ',' it happened ',' told ',' email ',' Telkomsel ',' solution ']</v>
      </c>
      <c r="D7160" s="3">
        <v>1.0</v>
      </c>
    </row>
    <row r="7161" ht="15.75" customHeight="1">
      <c r="A7161" s="1">
        <v>7692.0</v>
      </c>
      <c r="B7161" s="3" t="s">
        <v>6902</v>
      </c>
      <c r="C7161" s="3" t="str">
        <f>IFERROR(__xludf.DUMMYFUNCTION("GOOGLETRANSLATE(B7161,""id"",""en"")"),"['Purchase', 'Playstore', 'Credit', 'Adequate', 'Description', 'Credit', 'Adequate', 'Complaints', 'Have', 'Waiting']")</f>
        <v>['Purchase', 'Playstore', 'Credit', 'Adequate', 'Description', 'Credit', 'Adequate', 'Complaints', 'Have', 'Waiting']</v>
      </c>
      <c r="D7161" s="3">
        <v>1.0</v>
      </c>
    </row>
    <row r="7162" ht="15.75" customHeight="1">
      <c r="A7162" s="1">
        <v>7693.0</v>
      </c>
      <c r="B7162" s="3" t="s">
        <v>6903</v>
      </c>
      <c r="C7162" s="3" t="str">
        <f>IFERROR(__xludf.DUMMYFUNCTION("GOOGLETRANSLATE(B7162,""id"",""en"")"),"['Good', 'Sometimes', 'like', 'Nge', 'lag']")</f>
        <v>['Good', 'Sometimes', 'like', 'Nge', 'lag']</v>
      </c>
      <c r="D7162" s="3">
        <v>4.0</v>
      </c>
    </row>
    <row r="7163" ht="15.75" customHeight="1">
      <c r="A7163" s="1">
        <v>7694.0</v>
      </c>
      <c r="B7163" s="3" t="s">
        <v>6904</v>
      </c>
      <c r="C7163" s="3" t="str">
        <f>IFERROR(__xludf.DUMMYFUNCTION("GOOGLETRANSLATE(B7163,""id"",""en"")"),"['Easy', 'entry']")</f>
        <v>['Easy', 'entry']</v>
      </c>
      <c r="D7163" s="3">
        <v>4.0</v>
      </c>
    </row>
    <row r="7164" ht="15.75" customHeight="1">
      <c r="A7164" s="1">
        <v>7695.0</v>
      </c>
      <c r="B7164" s="3" t="s">
        <v>6905</v>
      </c>
      <c r="C7164" s="3" t="str">
        <f>IFERROR(__xludf.DUMMYFUNCTION("GOOGLETRANSLATE(B7164,""id"",""en"")"),"['Belom', 'Win', 'Lottery']")</f>
        <v>['Belom', 'Win', 'Lottery']</v>
      </c>
      <c r="D7164" s="3">
        <v>2.0</v>
      </c>
    </row>
    <row r="7165" ht="15.75" customHeight="1">
      <c r="A7165" s="1">
        <v>7696.0</v>
      </c>
      <c r="B7165" s="3" t="s">
        <v>6906</v>
      </c>
      <c r="C7165" s="3" t="str">
        <f>IFERROR(__xludf.DUMMYFUNCTION("GOOGLETRANSLATE(B7165,""id"",""en"")"),"['Signal', 'Quality', 'Best']")</f>
        <v>['Signal', 'Quality', 'Best']</v>
      </c>
      <c r="D7165" s="3">
        <v>4.0</v>
      </c>
    </row>
    <row r="7166" ht="15.75" customHeight="1">
      <c r="A7166" s="1">
        <v>7697.0</v>
      </c>
      <c r="B7166" s="3" t="s">
        <v>6907</v>
      </c>
      <c r="C7166" s="3" t="str">
        <f>IFERROR(__xludf.DUMMYFUNCTION("GOOGLETRANSLATE(B7166,""id"",""en"")"),"['Steady', 'App', 'MyTelkomsel', '']")</f>
        <v>['Steady', 'App', 'MyTelkomsel', '']</v>
      </c>
      <c r="D7166" s="3">
        <v>5.0</v>
      </c>
    </row>
    <row r="7167" ht="15.75" customHeight="1">
      <c r="A7167" s="1">
        <v>7698.0</v>
      </c>
      <c r="B7167" s="3" t="s">
        <v>6908</v>
      </c>
      <c r="C7167" s="3" t="str">
        <f>IFERROR(__xludf.DUMMYFUNCTION("GOOGLETRANSLATE(B7167,""id"",""en"")"),"['Network', 'ngeleg', 'price', 'doang', 'expensive', 'network', 'good']")</f>
        <v>['Network', 'ngeleg', 'price', 'doang', 'expensive', 'network', 'good']</v>
      </c>
      <c r="D7167" s="3">
        <v>1.0</v>
      </c>
    </row>
    <row r="7168" ht="15.75" customHeight="1">
      <c r="A7168" s="1">
        <v>7699.0</v>
      </c>
      <c r="B7168" s="3" t="s">
        <v>6909</v>
      </c>
      <c r="C7168" s="3" t="str">
        <f>IFERROR(__xludf.DUMMYFUNCTION("GOOGLETRANSLATE(B7168,""id"",""en"")"),"['Read', 'Facilitated', 'Affairs', 'Amin', ""]")</f>
        <v>['Read', 'Facilitated', 'Affairs', 'Amin', "]</v>
      </c>
      <c r="D7168" s="3">
        <v>5.0</v>
      </c>
    </row>
    <row r="7169" ht="15.75" customHeight="1">
      <c r="A7169" s="1">
        <v>7700.0</v>
      </c>
      <c r="B7169" s="3" t="s">
        <v>6910</v>
      </c>
      <c r="C7169" s="3" t="str">
        <f>IFERROR(__xludf.DUMMYFUNCTION("GOOGLETRANSLATE(B7169,""id"",""en"")"),"['signal', 'network', 'ugly', 'price', 'expensive', 'tired', 'moved', 'provider', 'Telkomsel']")</f>
        <v>['signal', 'network', 'ugly', 'price', 'expensive', 'tired', 'moved', 'provider', 'Telkomsel']</v>
      </c>
      <c r="D7169" s="3">
        <v>1.0</v>
      </c>
    </row>
    <row r="7170" ht="15.75" customHeight="1">
      <c r="A7170" s="1">
        <v>7701.0</v>
      </c>
      <c r="B7170" s="3" t="s">
        <v>6911</v>
      </c>
      <c r="C7170" s="3" t="str">
        <f>IFERROR(__xludf.DUMMYFUNCTION("GOOGLETRANSLATE(B7170,""id"",""en"")"),"['Paketan', 'expensive', 'network', 'rotten', 'Telkomsel', 'kyk', 'dlu', 'telkomsel', 'skrng', 'bad', 'kyk', 'dlu', ' network', '']")</f>
        <v>['Paketan', 'expensive', 'network', 'rotten', 'Telkomsel', 'kyk', 'dlu', 'telkomsel', 'skrng', 'bad', 'kyk', 'dlu', ' network', '']</v>
      </c>
      <c r="D7170" s="3">
        <v>1.0</v>
      </c>
    </row>
    <row r="7171" ht="15.75" customHeight="1">
      <c r="A7171" s="1">
        <v>7703.0</v>
      </c>
      <c r="B7171" s="3" t="s">
        <v>6912</v>
      </c>
      <c r="C7171" s="3" t="str">
        <f>IFERROR(__xludf.DUMMYFUNCTION("GOOGLETRANSLATE(B7171,""id"",""en"")"),"['easy', 'fast', 'membatu', 'contents', 'pulse', 'internet', 'left']")</f>
        <v>['easy', 'fast', 'membatu', 'contents', 'pulse', 'internet', 'left']</v>
      </c>
      <c r="D7171" s="3">
        <v>5.0</v>
      </c>
    </row>
    <row r="7172" ht="15.75" customHeight="1">
      <c r="A7172" s="1">
        <v>7704.0</v>
      </c>
      <c r="B7172" s="3" t="s">
        <v>6913</v>
      </c>
      <c r="C7172" s="3" t="str">
        <f>IFERROR(__xludf.DUMMYFUNCTION("GOOGLETRANSLATE(B7172,""id"",""en"")"),"['signal', 'chaotic']")</f>
        <v>['signal', 'chaotic']</v>
      </c>
      <c r="D7172" s="3">
        <v>3.0</v>
      </c>
    </row>
    <row r="7173" ht="15.75" customHeight="1">
      <c r="A7173" s="1">
        <v>7705.0</v>
      </c>
      <c r="B7173" s="3" t="s">
        <v>6914</v>
      </c>
      <c r="C7173" s="3" t="str">
        <f>IFERROR(__xludf.DUMMYFUNCTION("GOOGLETRANSLATE(B7173,""id"",""en"")"),"['Internet', 'max']")</f>
        <v>['Internet', 'max']</v>
      </c>
      <c r="D7173" s="3">
        <v>5.0</v>
      </c>
    </row>
    <row r="7174" ht="15.75" customHeight="1">
      <c r="A7174" s="1">
        <v>7706.0</v>
      </c>
      <c r="B7174" s="3" t="s">
        <v>6915</v>
      </c>
      <c r="C7174" s="3" t="str">
        <f>IFERROR(__xludf.DUMMYFUNCTION("GOOGLETRANSLATE(B7174,""id"",""en"")"),"['oath', 'pulses',' eaten ',' poured ',' please ',' Sis', 'that's',' student ',' jdi ',' pulse ',' Ditelen ',' expenditure ',' JDI ',' Fold ',' Dri ', ""]")</f>
        <v>['oath', 'pulses',' eaten ',' poured ',' please ',' Sis', 'that's',' student ',' jdi ',' pulse ',' Ditelen ',' expenditure ',' JDI ',' Fold ',' Dri ', "]</v>
      </c>
      <c r="D7174" s="3">
        <v>1.0</v>
      </c>
    </row>
    <row r="7175" ht="15.75" customHeight="1">
      <c r="A7175" s="1">
        <v>7707.0</v>
      </c>
      <c r="B7175" s="3" t="s">
        <v>6916</v>
      </c>
      <c r="C7175" s="3" t="str">
        <f>IFERROR(__xludf.DUMMYFUNCTION("GOOGLETRANSLATE(B7175,""id"",""en"")"),"['quick response', '']")</f>
        <v>['quick response', '']</v>
      </c>
      <c r="D7175" s="3">
        <v>5.0</v>
      </c>
    </row>
    <row r="7176" ht="15.75" customHeight="1">
      <c r="A7176" s="1">
        <v>7708.0</v>
      </c>
      <c r="B7176" s="3" t="s">
        <v>6917</v>
      </c>
      <c r="C7176" s="3" t="str">
        <f>IFERROR(__xludf.DUMMYFUNCTION("GOOGLETRANSLATE(B7176,""id"",""en"")"),"['Buy', 'Package', 'Combo', 'Sakti']")</f>
        <v>['Buy', 'Package', 'Combo', 'Sakti']</v>
      </c>
      <c r="D7176" s="3">
        <v>5.0</v>
      </c>
    </row>
    <row r="7177" ht="15.75" customHeight="1">
      <c r="A7177" s="1">
        <v>7709.0</v>
      </c>
      <c r="B7177" s="3" t="s">
        <v>6918</v>
      </c>
      <c r="C7177" s="3" t="str">
        <f>IFERROR(__xludf.DUMMYFUNCTION("GOOGLETRANSLATE(B7177,""id"",""en"")"),"['Service', 'slow']")</f>
        <v>['Service', 'slow']</v>
      </c>
      <c r="D7177" s="3">
        <v>1.0</v>
      </c>
    </row>
    <row r="7178" ht="15.75" customHeight="1">
      <c r="A7178" s="1">
        <v>7710.0</v>
      </c>
      <c r="B7178" s="3" t="s">
        <v>6919</v>
      </c>
      <c r="C7178" s="3" t="str">
        <f>IFERROR(__xludf.DUMMYFUNCTION("GOOGLETRANSLATE(B7178,""id"",""en"")"),"['Package', 'data', 'expensive', 'expensive', 'network', 'get', 'cloudy', 'slow', 'like', 'exis',' pay ',' expensive ',' Kayak ',' internet ',' cheap ']")</f>
        <v>['Package', 'data', 'expensive', 'expensive', 'network', 'get', 'cloudy', 'slow', 'like', 'exis',' pay ',' expensive ',' Kayak ',' internet ',' cheap ']</v>
      </c>
      <c r="D7178" s="3">
        <v>1.0</v>
      </c>
    </row>
    <row r="7179" ht="15.75" customHeight="1">
      <c r="A7179" s="1">
        <v>7711.0</v>
      </c>
      <c r="B7179" s="3" t="s">
        <v>1884</v>
      </c>
      <c r="C7179" s="3" t="str">
        <f>IFERROR(__xludf.DUMMYFUNCTION("GOOGLETRANSLATE(B7179,""id"",""en"")"),"['APK', 'good', 'really']")</f>
        <v>['APK', 'good', 'really']</v>
      </c>
      <c r="D7179" s="3">
        <v>5.0</v>
      </c>
    </row>
    <row r="7180" ht="15.75" customHeight="1">
      <c r="A7180" s="1">
        <v>7712.0</v>
      </c>
      <c r="B7180" s="3" t="s">
        <v>6920</v>
      </c>
      <c r="C7180" s="3" t="str">
        <f>IFERROR(__xludf.DUMMYFUNCTION("GOOGLETRANSLATE(B7180,""id"",""en"")"),"['Telkomsel', 'KNPA', 'Perform', 'Telkomsel', 'decreases',' use ',' internet ',' Susa ',' Network ',' skrang ',' Mah ',' down ',' Stay ',' forest ']")</f>
        <v>['Telkomsel', 'KNPA', 'Perform', 'Telkomsel', 'decreases',' use ',' internet ',' Susa ',' Network ',' skrang ',' Mah ',' down ',' Stay ',' forest ']</v>
      </c>
      <c r="D7180" s="3">
        <v>1.0</v>
      </c>
    </row>
    <row r="7181" ht="15.75" customHeight="1">
      <c r="A7181" s="1">
        <v>7713.0</v>
      </c>
      <c r="B7181" s="3" t="s">
        <v>6921</v>
      </c>
      <c r="C7181" s="3" t="str">
        <f>IFERROR(__xludf.DUMMYFUNCTION("GOOGLETRANSLATE(B7181,""id"",""en"")"),"['Buy', 'Package', 'Success', 'Check', 'zero']")</f>
        <v>['Buy', 'Package', 'Success', 'Check', 'zero']</v>
      </c>
      <c r="D7181" s="3">
        <v>1.0</v>
      </c>
    </row>
    <row r="7182" ht="15.75" customHeight="1">
      <c r="A7182" s="1">
        <v>7714.0</v>
      </c>
      <c r="B7182" s="3" t="s">
        <v>6922</v>
      </c>
      <c r="C7182" s="3" t="str">
        <f>IFERROR(__xludf.DUMMYFUNCTION("GOOGLETRANSLATE(B7182,""id"",""en"")"),"['TOP', 'FAIL', 'Item', 'Game', 'Credit', 'Cutting', 'Sia', 'Sia', 'Telkomsel', 'Please', 'Check', 'Erri', ' top ',' cut ',' pulse ',' name ',' thief ',' that's']")</f>
        <v>['TOP', 'FAIL', 'Item', 'Game', 'Credit', 'Cutting', 'Sia', 'Sia', 'Telkomsel', 'Please', 'Check', 'Erri', ' top ',' cut ',' pulse ',' name ',' thief ',' that's']</v>
      </c>
      <c r="D7182" s="3">
        <v>1.0</v>
      </c>
    </row>
    <row r="7183" ht="15.75" customHeight="1">
      <c r="A7183" s="1">
        <v>7715.0</v>
      </c>
      <c r="B7183" s="3" t="s">
        <v>6923</v>
      </c>
      <c r="C7183" s="3" t="str">
        <f>IFERROR(__xludf.DUMMYFUNCTION("GOOGLETRANSLATE(B7183,""id"",""en"")"),"['Kerreen', 'Aajjaa', 'Tsel', 'already', 'Lammaa', 'apk', 'Delete', 'Krna', 'Load', 'skrg', 'download', 'allamak', ' Kerreen ',' Abiiss', 'sorry', 'yaa', 'ndesoo', '']")</f>
        <v>['Kerreen', 'Aajjaa', 'Tsel', 'already', 'Lammaa', 'apk', 'Delete', 'Krna', 'Load', 'skrg', 'download', 'allamak', ' Kerreen ',' Abiiss', 'sorry', 'yaa', 'ndesoo', '']</v>
      </c>
      <c r="D7183" s="3">
        <v>5.0</v>
      </c>
    </row>
    <row r="7184" ht="15.75" customHeight="1">
      <c r="A7184" s="1">
        <v>7717.0</v>
      </c>
      <c r="B7184" s="3" t="s">
        <v>6924</v>
      </c>
      <c r="C7184" s="3" t="str">
        <f>IFERROR(__xludf.DUMMYFUNCTION("GOOGLETRANSLATE(B7184,""id"",""en"")"),"['Telkomsel', 'contents',' pulse ',' rb ',' pulse ',' cut ',' rb ',' take ',' quota ',' emergency ',' take ',' quota ',' Emergency ',' please ',' Telkomsel ']")</f>
        <v>['Telkomsel', 'contents',' pulse ',' rb ',' pulse ',' cut ',' rb ',' take ',' quota ',' emergency ',' take ',' quota ',' Emergency ',' please ',' Telkomsel ']</v>
      </c>
      <c r="D7184" s="3">
        <v>1.0</v>
      </c>
    </row>
    <row r="7185" ht="15.75" customHeight="1">
      <c r="A7185" s="1">
        <v>7718.0</v>
      </c>
      <c r="B7185" s="3" t="s">
        <v>6925</v>
      </c>
      <c r="C7185" s="3" t="str">
        <f>IFERROR(__xludf.DUMMYFUNCTION("GOOGLETRANSLATE(B7185,""id"",""en"")"),"['signal', 'ugly', 'severe', 'original', 'mah']")</f>
        <v>['signal', 'ugly', 'severe', 'original', 'mah']</v>
      </c>
      <c r="D7185" s="3">
        <v>1.0</v>
      </c>
    </row>
    <row r="7186" ht="15.75" customHeight="1">
      <c r="A7186" s="1">
        <v>7720.0</v>
      </c>
      <c r="B7186" s="3" t="s">
        <v>6926</v>
      </c>
      <c r="C7186" s="3" t="str">
        <f>IFERROR(__xludf.DUMMYFUNCTION("GOOGLETRANSLATE(B7186,""id"",""en"")"),"['Good', 'times']")</f>
        <v>['Good', 'times']</v>
      </c>
      <c r="D7186" s="3">
        <v>5.0</v>
      </c>
    </row>
    <row r="7187" ht="15.75" customHeight="1">
      <c r="A7187" s="1">
        <v>7721.0</v>
      </c>
      <c r="B7187" s="3" t="s">
        <v>6927</v>
      </c>
      <c r="C7187" s="3" t="str">
        <f>IFERROR(__xludf.DUMMYFUNCTION("GOOGLETRANSLATE(B7187,""id"",""en"")"),"['Rich', 'Peket', 'Internet']")</f>
        <v>['Rich', 'Peket', 'Internet']</v>
      </c>
      <c r="D7187" s="3">
        <v>1.0</v>
      </c>
    </row>
    <row r="7188" ht="15.75" customHeight="1">
      <c r="A7188" s="1">
        <v>7722.0</v>
      </c>
      <c r="B7188" s="3" t="s">
        <v>6928</v>
      </c>
      <c r="C7188" s="3" t="str">
        <f>IFERROR(__xludf.DUMMYFUNCTION("GOOGLETRANSLATE(B7188,""id"",""en"")"),"['like', 'sound', 'enter']")</f>
        <v>['like', 'sound', 'enter']</v>
      </c>
      <c r="D7188" s="3">
        <v>5.0</v>
      </c>
    </row>
    <row r="7189" ht="15.75" customHeight="1">
      <c r="A7189" s="1">
        <v>7723.0</v>
      </c>
      <c r="B7189" s="3" t="s">
        <v>6929</v>
      </c>
      <c r="C7189" s="3" t="str">
        <f>IFERROR(__xludf.DUMMYFUNCTION("GOOGLETRANSLATE(B7189,""id"",""en"")"),"['Dozens', 'Telkomsel', 'SGT', 'Satisfied', 'Service', 'The Network']")</f>
        <v>['Dozens', 'Telkomsel', 'SGT', 'Satisfied', 'Service', 'The Network']</v>
      </c>
      <c r="D7189" s="3">
        <v>5.0</v>
      </c>
    </row>
    <row r="7190" ht="15.75" customHeight="1">
      <c r="A7190" s="1">
        <v>7724.0</v>
      </c>
      <c r="B7190" s="3" t="s">
        <v>6930</v>
      </c>
      <c r="C7190" s="3" t="str">
        <f>IFERROR(__xludf.DUMMYFUNCTION("GOOGLETRANSLATE(B7190,""id"",""en"")"),"['Mesih', 'bug']")</f>
        <v>['Mesih', 'bug']</v>
      </c>
      <c r="D7190" s="3">
        <v>2.0</v>
      </c>
    </row>
    <row r="7191" ht="15.75" customHeight="1">
      <c r="A7191" s="1">
        <v>7725.0</v>
      </c>
      <c r="B7191" s="3" t="s">
        <v>6931</v>
      </c>
      <c r="C7191" s="3" t="str">
        <f>IFERROR(__xludf.DUMMYFUNCTION("GOOGLETRANSLATE(B7191,""id"",""en"")"),"['signal', 'ilang', 'fix', 'woi', 'rich', 'gini', 'pke', 'card', 'already', 'package', 'expensive', 'signal', ' network ',' ilang ',' stupid ']")</f>
        <v>['signal', 'ilang', 'fix', 'woi', 'rich', 'gini', 'pke', 'card', 'already', 'package', 'expensive', 'signal', ' network ',' ilang ',' stupid ']</v>
      </c>
      <c r="D7191" s="3">
        <v>1.0</v>
      </c>
    </row>
    <row r="7192" ht="15.75" customHeight="1">
      <c r="A7192" s="1">
        <v>7726.0</v>
      </c>
      <c r="B7192" s="3" t="s">
        <v>6932</v>
      </c>
      <c r="C7192" s="3" t="str">
        <f>IFERROR(__xludf.DUMMYFUNCTION("GOOGLETRANSLATE(B7192,""id"",""en"")"),"['Please', 'Sorry', 'signal', 'internet', 'sympathy', 'difficult', 'slow', 'really', '']")</f>
        <v>['Please', 'Sorry', 'signal', 'internet', 'sympathy', 'difficult', 'slow', 'really', '']</v>
      </c>
      <c r="D7192" s="3">
        <v>1.0</v>
      </c>
    </row>
    <row r="7193" ht="15.75" customHeight="1">
      <c r="A7193" s="1">
        <v>7727.0</v>
      </c>
      <c r="B7193" s="3" t="s">
        <v>2651</v>
      </c>
      <c r="C7193" s="3" t="str">
        <f>IFERROR(__xludf.DUMMYFUNCTION("GOOGLETRANSLATE(B7193,""id"",""en"")"),"['information']")</f>
        <v>['information']</v>
      </c>
      <c r="D7193" s="3">
        <v>5.0</v>
      </c>
    </row>
    <row r="7194" ht="15.75" customHeight="1">
      <c r="A7194" s="1">
        <v>7728.0</v>
      </c>
      <c r="B7194" s="3" t="s">
        <v>6933</v>
      </c>
      <c r="C7194" s="3" t="str">
        <f>IFERROR(__xludf.DUMMYFUNCTION("GOOGLETRANSLATE(B7194,""id"",""en"")"),"['package', 'fast', 'run out']")</f>
        <v>['package', 'fast', 'run out']</v>
      </c>
      <c r="D7194" s="3">
        <v>1.0</v>
      </c>
    </row>
    <row r="7195" ht="15.75" customHeight="1">
      <c r="A7195" s="1">
        <v>7729.0</v>
      </c>
      <c r="B7195" s="3" t="s">
        <v>6934</v>
      </c>
      <c r="C7195" s="3" t="str">
        <f>IFERROR(__xludf.DUMMYFUNCTION("GOOGLETRANSLATE(B7195,""id"",""en"")"),"['Safety', 'Sushes', 'Telkomsel']")</f>
        <v>['Safety', 'Sushes', 'Telkomsel']</v>
      </c>
      <c r="D7195" s="3">
        <v>3.0</v>
      </c>
    </row>
    <row r="7196" ht="15.75" customHeight="1">
      <c r="A7196" s="1">
        <v>7730.0</v>
      </c>
      <c r="B7196" s="3" t="s">
        <v>6935</v>
      </c>
      <c r="C7196" s="3" t="str">
        <f>IFERROR(__xludf.DUMMYFUNCTION("GOOGLETRANSLATE(B7196,""id"",""en"")"),"['expensive', 'doang', 'package', 'slow', 'network']")</f>
        <v>['expensive', 'doang', 'package', 'slow', 'network']</v>
      </c>
      <c r="D7196" s="3">
        <v>1.0</v>
      </c>
    </row>
    <row r="7197" ht="15.75" customHeight="1">
      <c r="A7197" s="1">
        <v>7731.0</v>
      </c>
      <c r="B7197" s="3" t="s">
        <v>6936</v>
      </c>
      <c r="C7197" s="3" t="str">
        <f>IFERROR(__xludf.DUMMYFUNCTION("GOOGLETRANSLATE(B7197,""id"",""en"")"),"['makes it easier', 'have', 'card', 'Telkomsel']")</f>
        <v>['makes it easier', 'have', 'card', 'Telkomsel']</v>
      </c>
      <c r="D7197" s="3">
        <v>5.0</v>
      </c>
    </row>
    <row r="7198" ht="15.75" customHeight="1">
      <c r="A7198" s="1">
        <v>7732.0</v>
      </c>
      <c r="B7198" s="3" t="s">
        <v>298</v>
      </c>
      <c r="C7198" s="3" t="str">
        <f>IFERROR(__xludf.DUMMYFUNCTION("GOOGLETRANSLATE(B7198,""id"",""en"")"),"['APK', 'good', 'help']")</f>
        <v>['APK', 'good', 'help']</v>
      </c>
      <c r="D7198" s="3">
        <v>5.0</v>
      </c>
    </row>
    <row r="7199" ht="15.75" customHeight="1">
      <c r="A7199" s="1">
        <v>7733.0</v>
      </c>
      <c r="B7199" s="3" t="s">
        <v>6937</v>
      </c>
      <c r="C7199" s="3" t="str">
        <f>IFERROR(__xludf.DUMMYFUNCTION("GOOGLETRANSLATE(B7199,""id"",""en"")"),"['Sinyal', 'down', 'work', 'online', 'buy', 'package', 'expensive', 'really', 'please', 'inniin', 'comfortable']")</f>
        <v>['Sinyal', 'down', 'work', 'online', 'buy', 'package', 'expensive', 'really', 'please', 'inniin', 'comfortable']</v>
      </c>
      <c r="D7199" s="3">
        <v>1.0</v>
      </c>
    </row>
    <row r="7200" ht="15.75" customHeight="1">
      <c r="A7200" s="1">
        <v>7734.0</v>
      </c>
      <c r="B7200" s="3" t="s">
        <v>6938</v>
      </c>
      <c r="C7200" s="3" t="str">
        <f>IFERROR(__xludf.DUMMYFUNCTION("GOOGLETRANSLATE(B7200,""id"",""en"")"),"['buy', 'Package', 'Kouta', 'watch', 'TPI', 'used', 'watch', 'kouta', 'regular', 'suck', 'purpose', 'accountability', ' Telkomsel ',' Balikin ',' Package ',' Activate ',' Package ',' Watch ',' Expensive ',' Purchased ',' No ',' Used ',' Fraud ',' His name"&amp;" ', ""]")</f>
        <v>['buy', 'Package', 'Kouta', 'watch', 'TPI', 'used', 'watch', 'kouta', 'regular', 'suck', 'purpose', 'accountability', ' Telkomsel ',' Balikin ',' Package ',' Activate ',' Package ',' Watch ',' Expensive ',' Purchased ',' No ',' Used ',' Fraud ',' His name ', "]</v>
      </c>
      <c r="D7200" s="3">
        <v>1.0</v>
      </c>
    </row>
    <row r="7201" ht="15.75" customHeight="1">
      <c r="A7201" s="1">
        <v>7735.0</v>
      </c>
      <c r="B7201" s="3" t="s">
        <v>6939</v>
      </c>
      <c r="C7201" s="3" t="str">
        <f>IFERROR(__xludf.DUMMYFUNCTION("GOOGLETRANSLATE(B7201,""id"",""en"")"),"['Please', 'Sorry', 'I', 'Enter', 'Application', 'Error', 'MLU', 'GUE', 'WIFI', 'KNP', 'PLIS', 'RESPONS']")</f>
        <v>['Please', 'Sorry', 'I', 'Enter', 'Application', 'Error', 'MLU', 'GUE', 'WIFI', 'KNP', 'PLIS', 'RESPONS']</v>
      </c>
      <c r="D7201" s="3">
        <v>1.0</v>
      </c>
    </row>
    <row r="7202" ht="15.75" customHeight="1">
      <c r="A7202" s="1">
        <v>7736.0</v>
      </c>
      <c r="B7202" s="3" t="s">
        <v>6940</v>
      </c>
      <c r="C7202" s="3" t="str">
        <f>IFERROR(__xludf.DUMMYFUNCTION("GOOGLETRANSLATE(B7202,""id"",""en"")"),"['KPD', 'Dear', 'Telkomsel', 'along with', 'The ranks',' Thank you ',' Convenience ',' Benefits', 'KPD', 'Layers',' Community ',' Merevieu ',' Please, 'Bekasi', 'Regency', 'North', 'main', 'Babelan', 'Tarumajaya', 'The network', 'multiply', 'fix', 'easy',"&amp;" 'access', 'difficulty' , 'Service', 'Telkomsel', 'Thank you', 'Telkomsel', 'Just', 'Best', 'Regard', ""]")</f>
        <v>['KPD', 'Dear', 'Telkomsel', 'along with', 'The ranks',' Thank you ',' Convenience ',' Benefits', 'KPD', 'Layers',' Community ',' Merevieu ',' Please, 'Bekasi', 'Regency', 'North', 'main', 'Babelan', 'Tarumajaya', 'The network', 'multiply', 'fix', 'easy', 'access', 'difficulty' , 'Service', 'Telkomsel', 'Thank you', 'Telkomsel', 'Just', 'Best', 'Regard', "]</v>
      </c>
      <c r="D7202" s="3">
        <v>5.0</v>
      </c>
    </row>
    <row r="7203" ht="15.75" customHeight="1">
      <c r="A7203" s="1">
        <v>7737.0</v>
      </c>
      <c r="B7203" s="3" t="s">
        <v>5464</v>
      </c>
      <c r="C7203" s="3" t="str">
        <f>IFERROR(__xludf.DUMMYFUNCTION("GOOGLETRANSLATE(B7203,""id"",""en"")"),"['pulse', 'Sumpot']")</f>
        <v>['pulse', 'Sumpot']</v>
      </c>
      <c r="D7203" s="3">
        <v>1.0</v>
      </c>
    </row>
    <row r="7204" ht="15.75" customHeight="1">
      <c r="A7204" s="1">
        <v>7738.0</v>
      </c>
      <c r="B7204" s="3" t="s">
        <v>6941</v>
      </c>
      <c r="C7204" s="3" t="str">
        <f>IFERROR(__xludf.DUMMYFUNCTION("GOOGLETRANSLATE(B7204,""id"",""en"")"),"['Difficult', 'open', 'MyTelkomsel', 'Please', 'Help', 'Helped', 'Buy', 'Package']")</f>
        <v>['Difficult', 'open', 'MyTelkomsel', 'Please', 'Help', 'Helped', 'Buy', 'Package']</v>
      </c>
      <c r="D7204" s="3">
        <v>3.0</v>
      </c>
    </row>
    <row r="7205" ht="15.75" customHeight="1">
      <c r="A7205" s="1">
        <v>7739.0</v>
      </c>
      <c r="B7205" s="3" t="s">
        <v>6942</v>
      </c>
      <c r="C7205" s="3" t="str">
        <f>IFERROR(__xludf.DUMMYFUNCTION("GOOGLETRANSLATE(B7205,""id"",""en"")"),"['Telkomsel', 'Leading', 'Josss']")</f>
        <v>['Telkomsel', 'Leading', 'Josss']</v>
      </c>
      <c r="D7205" s="3">
        <v>5.0</v>
      </c>
    </row>
    <row r="7206" ht="15.75" customHeight="1">
      <c r="A7206" s="1">
        <v>7740.0</v>
      </c>
      <c r="B7206" s="3" t="s">
        <v>6943</v>
      </c>
      <c r="C7206" s="3" t="str">
        <f>IFERROR(__xludf.DUMMYFUNCTION("GOOGLETRANSLATE(B7206,""id"",""en"")"),"['knp', 'ngelag', 'really', 'wibu']")</f>
        <v>['knp', 'ngelag', 'really', 'wibu']</v>
      </c>
      <c r="D7206" s="3">
        <v>1.0</v>
      </c>
    </row>
    <row r="7207" ht="15.75" customHeight="1">
      <c r="A7207" s="1">
        <v>7741.0</v>
      </c>
      <c r="B7207" s="3" t="s">
        <v>6944</v>
      </c>
      <c r="C7207" s="3" t="str">
        <f>IFERROR(__xludf.DUMMYFUNCTION("GOOGLETRANSLATE(B7207,""id"",""en"")"),"['Telkomsel', 'error', 'quota', 'network']")</f>
        <v>['Telkomsel', 'error', 'quota', 'network']</v>
      </c>
      <c r="D7207" s="3">
        <v>1.0</v>
      </c>
    </row>
    <row r="7208" ht="15.75" customHeight="1">
      <c r="A7208" s="1">
        <v>7743.0</v>
      </c>
      <c r="B7208" s="3" t="s">
        <v>6945</v>
      </c>
      <c r="C7208" s="3" t="str">
        <f>IFERROR(__xludf.DUMMYFUNCTION("GOOGLETRANSLATE(B7208,""id"",""en"")"),"['Buy', 'Package', 'Thinking', 'YouTube', 'Luka', 'Corn', 'Quota', 'YouTube', 'Kekeke', 'TPI', 'Data', 'Dihatain', ' Used ',' ']")</f>
        <v>['Buy', 'Package', 'Thinking', 'YouTube', 'Luka', 'Corn', 'Quota', 'YouTube', 'Kekeke', 'TPI', 'Data', 'Dihatain', ' Used ',' ']</v>
      </c>
      <c r="D7208" s="3">
        <v>2.0</v>
      </c>
    </row>
    <row r="7209" ht="15.75" customHeight="1">
      <c r="A7209" s="1">
        <v>7744.0</v>
      </c>
      <c r="B7209" s="3" t="s">
        <v>6946</v>
      </c>
      <c r="C7209" s="3" t="str">
        <f>IFERROR(__xludf.DUMMYFUNCTION("GOOGLETRANSLATE(B7209,""id"",""en"")"),"['Katux', 'Provider', 'Best', 'TPI', 'Lalodx', 'Forgiveness', '']")</f>
        <v>['Katux', 'Provider', 'Best', 'TPI', 'Lalodx', 'Forgiveness', '']</v>
      </c>
      <c r="D7209" s="3">
        <v>1.0</v>
      </c>
    </row>
    <row r="7210" ht="15.75" customHeight="1">
      <c r="A7210" s="1">
        <v>7745.0</v>
      </c>
      <c r="B7210" s="3" t="s">
        <v>6947</v>
      </c>
      <c r="C7210" s="3" t="str">
        <f>IFERROR(__xludf.DUMMYFUNCTION("GOOGLETRANSLATE(B7210,""id"",""en"")"),"['Network', 'Telkomsel', 'night', 'down', 'in the area', '']")</f>
        <v>['Network', 'Telkomsel', 'night', 'down', 'in the area', '']</v>
      </c>
      <c r="D7210" s="3">
        <v>2.0</v>
      </c>
    </row>
    <row r="7211" ht="15.75" customHeight="1">
      <c r="A7211" s="1">
        <v>7746.0</v>
      </c>
      <c r="B7211" s="3" t="s">
        <v>6948</v>
      </c>
      <c r="C7211" s="3" t="str">
        <f>IFERROR(__xludf.DUMMYFUNCTION("GOOGLETRANSLATE(B7211,""id"",""en"")"),"['Ngellag', 'network', 'like', 'missing', 'expensive', 'price', '']")</f>
        <v>['Ngellag', 'network', 'like', 'missing', 'expensive', 'price', '']</v>
      </c>
      <c r="D7211" s="3">
        <v>1.0</v>
      </c>
    </row>
    <row r="7212" ht="15.75" customHeight="1">
      <c r="A7212" s="1">
        <v>7747.0</v>
      </c>
      <c r="B7212" s="3" t="s">
        <v>6949</v>
      </c>
      <c r="C7212" s="3" t="str">
        <f>IFERROR(__xludf.DUMMYFUNCTION("GOOGLETRANSLATE(B7212,""id"",""en"")"),"['Network', 'Wamena', 'ping', 'stable', 'use', 'Telkomsel', 'good', ""]")</f>
        <v>['Network', 'Wamena', 'ping', 'stable', 'use', 'Telkomsel', 'good', "]</v>
      </c>
      <c r="D7212" s="3">
        <v>1.0</v>
      </c>
    </row>
    <row r="7213" ht="15.75" customHeight="1">
      <c r="A7213" s="1">
        <v>7748.0</v>
      </c>
      <c r="B7213" s="3" t="s">
        <v>6950</v>
      </c>
      <c r="C7213" s="3" t="str">
        <f>IFERROR(__xludf.DUMMYFUNCTION("GOOGLETRANSLATE(B7213,""id"",""en"")"),"['cave', 'love', 'star', 'price', 'quota', 'thousand']")</f>
        <v>['cave', 'love', 'star', 'price', 'quota', 'thousand']</v>
      </c>
      <c r="D7213" s="3">
        <v>2.0</v>
      </c>
    </row>
    <row r="7214" ht="15.75" customHeight="1">
      <c r="A7214" s="1">
        <v>7749.0</v>
      </c>
      <c r="B7214" s="3" t="s">
        <v>6951</v>
      </c>
      <c r="C7214" s="3" t="str">
        <f>IFERROR(__xludf.DUMMYFUNCTION("GOOGLETRANSLATE(B7214,""id"",""en"")"),"['Sorry', 'Telkomsel', 'already', 'as fast', 'Telkomsel', 'SMP', 'already', 'taste', 'friend', 'signal', 'signal', 'like', ' Drop ',' slow ',' staple ',' already ',' as fast as', 'honest', 'disappointed', 'defend', 'quality', 'signal']")</f>
        <v>['Sorry', 'Telkomsel', 'already', 'as fast', 'Telkomsel', 'SMP', 'already', 'taste', 'friend', 'signal', 'signal', 'like', ' Drop ',' slow ',' staple ',' already ',' as fast as', 'honest', 'disappointed', 'defend', 'quality', 'signal']</v>
      </c>
      <c r="D7214" s="3">
        <v>2.0</v>
      </c>
    </row>
    <row r="7215" ht="15.75" customHeight="1">
      <c r="A7215" s="1">
        <v>7750.0</v>
      </c>
      <c r="B7215" s="3" t="s">
        <v>6952</v>
      </c>
      <c r="C7215" s="3" t="str">
        <f>IFERROR(__xludf.DUMMYFUNCTION("GOOGLETRANSLATE(B7215,""id"",""en"")"),"['perfec', 'deh', 'just']")</f>
        <v>['perfec', 'deh', 'just']</v>
      </c>
      <c r="D7215" s="3">
        <v>5.0</v>
      </c>
    </row>
    <row r="7216" ht="15.75" customHeight="1">
      <c r="A7216" s="1">
        <v>7751.0</v>
      </c>
      <c r="B7216" s="3" t="s">
        <v>6953</v>
      </c>
      <c r="C7216" s="3" t="str">
        <f>IFERROR(__xludf.DUMMYFUNCTION("GOOGLETRANSLATE(B7216,""id"",""en"")"),"['Telkomsel', 'Nge', 'lag', 'signal', 'interrupted', 'really', 'please', 'fix', 'network', ""]")</f>
        <v>['Telkomsel', 'Nge', 'lag', 'signal', 'interrupted', 'really', 'please', 'fix', 'network', "]</v>
      </c>
      <c r="D7216" s="3">
        <v>1.0</v>
      </c>
    </row>
    <row r="7217" ht="15.75" customHeight="1">
      <c r="A7217" s="1">
        <v>7752.0</v>
      </c>
      <c r="B7217" s="3" t="s">
        <v>6954</v>
      </c>
      <c r="C7217" s="3" t="str">
        <f>IFERROR(__xludf.DUMMYFUNCTION("GOOGLETRANSLATE(B7217,""id"",""en"")"),"['ugly', 'buy', 'package', 'many', 'TPI', 'package']")</f>
        <v>['ugly', 'buy', 'package', 'many', 'TPI', 'package']</v>
      </c>
      <c r="D7217" s="3">
        <v>1.0</v>
      </c>
    </row>
    <row r="7218" ht="15.75" customHeight="1">
      <c r="A7218" s="1">
        <v>7753.0</v>
      </c>
      <c r="B7218" s="3" t="s">
        <v>6955</v>
      </c>
      <c r="C7218" s="3" t="str">
        <f>IFERROR(__xludf.DUMMYFUNCTION("GOOGLETRANSLATE(B7218,""id"",""en"")"),"['Telkomsel', 'threat', 'wind', 'Ujan', 'dead', 'lamp', 'lag', 'card', 'expensive', 'network', 'cheap', '']")</f>
        <v>['Telkomsel', 'threat', 'wind', 'Ujan', 'dead', 'lamp', 'lag', 'card', 'expensive', 'network', 'cheap', '']</v>
      </c>
      <c r="D7218" s="3">
        <v>1.0</v>
      </c>
    </row>
    <row r="7219" ht="15.75" customHeight="1">
      <c r="A7219" s="1">
        <v>7754.0</v>
      </c>
      <c r="B7219" s="3" t="s">
        <v>6956</v>
      </c>
      <c r="C7219" s="3" t="str">
        <f>IFERROR(__xludf.DUMMYFUNCTION("GOOGLETRANSLATE(B7219,""id"",""en"")"),"['App', 'Really', 'Help', ""]")</f>
        <v>['App', 'Really', 'Help', "]</v>
      </c>
      <c r="D7219" s="3">
        <v>5.0</v>
      </c>
    </row>
    <row r="7220" ht="15.75" customHeight="1">
      <c r="A7220" s="1">
        <v>7755.0</v>
      </c>
      <c r="B7220" s="3" t="s">
        <v>6957</v>
      </c>
      <c r="C7220" s="3" t="str">
        <f>IFERROR(__xludf.DUMMYFUNCTION("GOOGLETRANSLATE(B7220,""id"",""en"")"),"['Good', 'easy', 'transaction', 'purchase', '']")</f>
        <v>['Good', 'easy', 'transaction', 'purchase', '']</v>
      </c>
      <c r="D7220" s="3">
        <v>5.0</v>
      </c>
    </row>
    <row r="7221" ht="15.75" customHeight="1">
      <c r="A7221" s="1">
        <v>7756.0</v>
      </c>
      <c r="B7221" s="3" t="s">
        <v>6958</v>
      </c>
      <c r="C7221" s="3" t="str">
        <f>IFERROR(__xludf.DUMMYFUNCTION("GOOGLETRANSLATE(B7221,""id"",""en"")"),"['buy', 'Package', 'Internet', 'Via', 'APK', 'MyTelkom', 'Payment', 'Success',' Via ',' Ovo ',' Quota ',' Increases', ' History ',' Purchase ',' Service ',' Slow ',' Clock ',' Waiting ',' Response ',' Process', 'Check', 'Slow', 'Day', 'Increases',' Quota "&amp;"' , '']")</f>
        <v>['buy', 'Package', 'Internet', 'Via', 'APK', 'MyTelkom', 'Payment', 'Success',' Via ',' Ovo ',' Quota ',' Increases', ' History ',' Purchase ',' Service ',' Slow ',' Clock ',' Waiting ',' Response ',' Process', 'Check', 'Slow', 'Day', 'Increases',' Quota ' , '']</v>
      </c>
      <c r="D7221" s="3">
        <v>1.0</v>
      </c>
    </row>
    <row r="7222" ht="15.75" customHeight="1">
      <c r="A7222" s="1">
        <v>7757.0</v>
      </c>
      <c r="B7222" s="3" t="s">
        <v>6959</v>
      </c>
      <c r="C7222" s="3" t="str">
        <f>IFERROR(__xludf.DUMMYFUNCTION("GOOGLETRANSLATE(B7222,""id"",""en"")"),"['Sorry', 'love', 'star', 'love', 'features',' rotten ',' use ',' card ',' Telkomsel ',' rate ',' love ',' bot ',' giver ',' Review ',' emang ',' malunya ']")</f>
        <v>['Sorry', 'love', 'star', 'love', 'features',' rotten ',' use ',' card ',' Telkomsel ',' rate ',' love ',' bot ',' giver ',' Review ',' emang ',' malunya ']</v>
      </c>
      <c r="D7222" s="3">
        <v>1.0</v>
      </c>
    </row>
    <row r="7223" ht="15.75" customHeight="1">
      <c r="A7223" s="1">
        <v>7758.0</v>
      </c>
      <c r="B7223" s="3" t="s">
        <v>6960</v>
      </c>
      <c r="C7223" s="3" t="str">
        <f>IFERROR(__xludf.DUMMYFUNCTION("GOOGLETRANSLATE(B7223,""id"",""en"")"),"['developed']")</f>
        <v>['developed']</v>
      </c>
      <c r="D7223" s="3">
        <v>5.0</v>
      </c>
    </row>
    <row r="7224" ht="15.75" customHeight="1">
      <c r="A7224" s="1">
        <v>7759.0</v>
      </c>
      <c r="B7224" s="3" t="s">
        <v>6961</v>
      </c>
      <c r="C7224" s="3" t="str">
        <f>IFERROR(__xludf.DUMMYFUNCTION("GOOGLETRANSLATE(B7224,""id"",""en"")"),"['uda', 'network', 'Telkomsel', 'price', 'expensive', 'network', 'cheap', 'alias',' slow ',' slow ',' mending ',' switch ',' card', '']")</f>
        <v>['uda', 'network', 'Telkomsel', 'price', 'expensive', 'network', 'cheap', 'alias',' slow ',' slow ',' mending ',' switch ',' card', '']</v>
      </c>
      <c r="D7224" s="3">
        <v>1.0</v>
      </c>
    </row>
    <row r="7225" ht="15.75" customHeight="1">
      <c r="A7225" s="1">
        <v>7760.0</v>
      </c>
      <c r="B7225" s="3" t="s">
        <v>885</v>
      </c>
      <c r="C7225" s="3" t="str">
        <f>IFERROR(__xludf.DUMMYFUNCTION("GOOGLETRANSLATE(B7225,""id"",""en"")"),"['Good', 'application']")</f>
        <v>['Good', 'application']</v>
      </c>
      <c r="D7225" s="3">
        <v>3.0</v>
      </c>
    </row>
    <row r="7226" ht="15.75" customHeight="1">
      <c r="A7226" s="1">
        <v>7761.0</v>
      </c>
      <c r="B7226" s="3" t="s">
        <v>6962</v>
      </c>
      <c r="C7226" s="3" t="str">
        <f>IFERROR(__xludf.DUMMYFUNCTION("GOOGLETRANSLATE(B7226,""id"",""en"")"),"['fill', 'pulse', 'sumps',' mulu ',' please ',' repaired ',' system ',' min ',' troubling ',' sumps', 'gpp', 'many', ' ']")</f>
        <v>['fill', 'pulse', 'sumps',' mulu ',' please ',' repaired ',' system ',' min ',' troubling ',' sumps', 'gpp', 'many', ' ']</v>
      </c>
      <c r="D7226" s="3">
        <v>1.0</v>
      </c>
    </row>
    <row r="7227" ht="15.75" customHeight="1">
      <c r="A7227" s="1">
        <v>7762.0</v>
      </c>
      <c r="B7227" s="3" t="s">
        <v>6963</v>
      </c>
      <c r="C7227" s="3" t="str">
        <f>IFERROR(__xludf.DUMMYFUNCTION("GOOGLETRANSLATE(B7227,""id"",""en"")"),"['Application', 'spent', 'money', 'people', 'Wait', 'OTP', 'ATM', 'Maap', 'Doang', 'Customer', 'Error', 'Direct', ' Disconnect ',' Maap ',' Asuuuuu ',' ']")</f>
        <v>['Application', 'spent', 'money', 'people', 'Wait', 'OTP', 'ATM', 'Maap', 'Doang', 'Customer', 'Error', 'Direct', ' Disconnect ',' Maap ',' Asuuuuu ',' ']</v>
      </c>
      <c r="D7227" s="3">
        <v>1.0</v>
      </c>
    </row>
    <row r="7228" ht="15.75" customHeight="1">
      <c r="A7228" s="1">
        <v>7763.0</v>
      </c>
      <c r="B7228" s="3" t="s">
        <v>6964</v>
      </c>
      <c r="C7228" s="3" t="str">
        <f>IFERROR(__xludf.DUMMYFUNCTION("GOOGLETRANSLATE(B7228,""id"",""en"")"),"['Expensive', 'Jaringn', 'Bgus']")</f>
        <v>['Expensive', 'Jaringn', 'Bgus']</v>
      </c>
      <c r="D7228" s="3">
        <v>1.0</v>
      </c>
    </row>
    <row r="7229" ht="15.75" customHeight="1">
      <c r="A7229" s="1">
        <v>7764.0</v>
      </c>
      <c r="B7229" s="3" t="s">
        <v>6965</v>
      </c>
      <c r="C7229" s="3" t="str">
        <f>IFERROR(__xludf.DUMMYFUNCTION("GOOGLETRANSLATE(B7229,""id"",""en"")"),"['Buy', 'Paketan', 'Telkomsel', 'Cheap']")</f>
        <v>['Buy', 'Paketan', 'Telkomsel', 'Cheap']</v>
      </c>
      <c r="D7229" s="3">
        <v>5.0</v>
      </c>
    </row>
    <row r="7230" ht="15.75" customHeight="1">
      <c r="A7230" s="1">
        <v>7765.0</v>
      </c>
      <c r="B7230" s="3" t="s">
        <v>6966</v>
      </c>
      <c r="C7230" s="3" t="str">
        <f>IFERROR(__xludf.DUMMYFUNCTION("GOOGLETRANSLATE(B7230,""id"",""en"")"),"['use', 'data', 'super', 'slow', 'used', 'in the city', 'complaints',' direct ',' repair ',' network ',' smooth ',' data ',' Thanks', 'Love', 'Telkomsel']")</f>
        <v>['use', 'data', 'super', 'slow', 'used', 'in the city', 'complaints',' direct ',' repair ',' network ',' smooth ',' data ',' Thanks', 'Love', 'Telkomsel']</v>
      </c>
      <c r="D7230" s="3">
        <v>4.0</v>
      </c>
    </row>
    <row r="7231" ht="15.75" customHeight="1">
      <c r="A7231" s="1">
        <v>7766.0</v>
      </c>
      <c r="B7231" s="3" t="s">
        <v>6967</v>
      </c>
      <c r="C7231" s="3" t="str">
        <f>IFERROR(__xludf.DUMMYFUNCTION("GOOGLETRANSLATE(B7231,""id"",""en"")"),"['fun', 'join', 'cooperation']")</f>
        <v>['fun', 'join', 'cooperation']</v>
      </c>
      <c r="D7231" s="3">
        <v>5.0</v>
      </c>
    </row>
    <row r="7232" ht="15.75" customHeight="1">
      <c r="A7232" s="1">
        <v>7767.0</v>
      </c>
      <c r="B7232" s="3" t="s">
        <v>6968</v>
      </c>
      <c r="C7232" s="3" t="str">
        <f>IFERROR(__xludf.DUMMYFUNCTION("GOOGLETRANSLATE(B7232,""id"",""en"")"),"['The application', 'good', 'sometimes', 'response', 'point', 'entry', 'until', 'clock', 'transaction']")</f>
        <v>['The application', 'good', 'sometimes', 'response', 'point', 'entry', 'until', 'clock', 'transaction']</v>
      </c>
      <c r="D7232" s="3">
        <v>4.0</v>
      </c>
    </row>
    <row r="7233" ht="15.75" customHeight="1">
      <c r="A7233" s="1">
        <v>7768.0</v>
      </c>
      <c r="B7233" s="3" t="s">
        <v>6969</v>
      </c>
      <c r="C7233" s="3" t="str">
        <f>IFERROR(__xludf.DUMMYFUNCTION("GOOGLETRANSLATE(B7233,""id"",""en"")"),"['Application', 'Help', 'Skali', 'Price', 'Package', 'Data']")</f>
        <v>['Application', 'Help', 'Skali', 'Price', 'Package', 'Data']</v>
      </c>
      <c r="D7233" s="3">
        <v>4.0</v>
      </c>
    </row>
    <row r="7234" ht="15.75" customHeight="1">
      <c r="A7234" s="1">
        <v>7769.0</v>
      </c>
      <c r="B7234" s="3" t="s">
        <v>6970</v>
      </c>
      <c r="C7234" s="3" t="str">
        <f>IFERROR(__xludf.DUMMYFUNCTION("GOOGLETRANSLATE(B7234,""id"",""en"")"),"['Anyway', 'Baguuuuuussssss', 'Complete', 'Features', 'Features', 'Offered', 'Anyway', 'Mantap', ""]")</f>
        <v>['Anyway', 'Baguuuuuussssss', 'Complete', 'Features', 'Features', 'Offered', 'Anyway', 'Mantap', "]</v>
      </c>
      <c r="D7234" s="3">
        <v>5.0</v>
      </c>
    </row>
    <row r="7235" ht="15.75" customHeight="1">
      <c r="A7235" s="1">
        <v>7770.0</v>
      </c>
      <c r="B7235" s="3" t="s">
        <v>6971</v>
      </c>
      <c r="C7235" s="3" t="str">
        <f>IFERROR(__xludf.DUMMYFUNCTION("GOOGLETRANSLATE(B7235,""id"",""en"")"),"['fast', 'access']")</f>
        <v>['fast', 'access']</v>
      </c>
      <c r="D7235" s="3">
        <v>5.0</v>
      </c>
    </row>
    <row r="7236" ht="15.75" customHeight="1">
      <c r="A7236" s="1">
        <v>7771.0</v>
      </c>
      <c r="B7236" s="3" t="s">
        <v>6972</v>
      </c>
      <c r="C7236" s="3" t="str">
        <f>IFERROR(__xludf.DUMMYFUNCTION("GOOGLETRANSLATE(B7236,""id"",""en"")"),"['package', 'expensive', 'network', 'Kek', 'cheap']")</f>
        <v>['package', 'expensive', 'network', 'Kek', 'cheap']</v>
      </c>
      <c r="D7236" s="3">
        <v>1.0</v>
      </c>
    </row>
    <row r="7237" ht="15.75" customHeight="1">
      <c r="A7237" s="1">
        <v>7772.0</v>
      </c>
      <c r="B7237" s="3" t="s">
        <v>6973</v>
      </c>
      <c r="C7237" s="3" t="str">
        <f>IFERROR(__xludf.DUMMYFUNCTION("GOOGLETRANSLATE(B7237,""id"",""en"")"),"['expensive', 'good', 'network', 'slow', 'assessment', 'star', 'love', ""]")</f>
        <v>['expensive', 'good', 'network', 'slow', 'assessment', 'star', 'love', "]</v>
      </c>
      <c r="D7237" s="3">
        <v>1.0</v>
      </c>
    </row>
    <row r="7238" ht="15.75" customHeight="1">
      <c r="A7238" s="1">
        <v>7773.0</v>
      </c>
      <c r="B7238" s="3" t="s">
        <v>6974</v>
      </c>
      <c r="C7238" s="3" t="str">
        <f>IFERROR(__xludf.DUMMYFUNCTION("GOOGLETRANSLATE(B7238,""id"",""en"")"),"['wonder', 'comment', 'disappointed', '']")</f>
        <v>['wonder', 'comment', 'disappointed', '']</v>
      </c>
      <c r="D7238" s="3">
        <v>5.0</v>
      </c>
    </row>
    <row r="7239" ht="15.75" customHeight="1">
      <c r="A7239" s="1">
        <v>7774.0</v>
      </c>
      <c r="B7239" s="3" t="s">
        <v>6975</v>
      </c>
      <c r="C7239" s="3" t="str">
        <f>IFERROR(__xludf.DUMMYFUNCTION("GOOGLETRANSLATE(B7239,""id"",""en"")"),"['hope', 'really', 'Telkomsel', 'package', 'monthly', 'cheap', 'quota', 'Gede', ""]")</f>
        <v>['hope', 'really', 'Telkomsel', 'package', 'monthly', 'cheap', 'quota', 'Gede', "]</v>
      </c>
      <c r="D7239" s="3">
        <v>5.0</v>
      </c>
    </row>
    <row r="7240" ht="15.75" customHeight="1">
      <c r="A7240" s="1">
        <v>7776.0</v>
      </c>
      <c r="B7240" s="3" t="s">
        <v>6976</v>
      </c>
      <c r="C7240" s="3" t="str">
        <f>IFERROR(__xludf.DUMMYFUNCTION("GOOGLETRANSLATE(B7240,""id"",""en"")"),"['already', 'many years', 'bbrp', 'ugly', 'orbit', 'pdhl', 'max', ""]")</f>
        <v>['already', 'many years', 'bbrp', 'ugly', 'orbit', 'pdhl', 'max', "]</v>
      </c>
      <c r="D7240" s="3">
        <v>1.0</v>
      </c>
    </row>
    <row r="7241" ht="15.75" customHeight="1">
      <c r="A7241" s="1">
        <v>7777.0</v>
      </c>
      <c r="B7241" s="3" t="s">
        <v>1866</v>
      </c>
      <c r="C7241" s="3" t="str">
        <f>IFERROR(__xludf.DUMMYFUNCTION("GOOGLETRANSLATE(B7241,""id"",""en"")"),"['present', '']")</f>
        <v>['present', '']</v>
      </c>
      <c r="D7241" s="3">
        <v>3.0</v>
      </c>
    </row>
    <row r="7242" ht="15.75" customHeight="1">
      <c r="A7242" s="1">
        <v>7778.0</v>
      </c>
      <c r="B7242" s="3" t="s">
        <v>6977</v>
      </c>
      <c r="C7242" s="3" t="str">
        <f>IFERROR(__xludf.DUMMYFUNCTION("GOOGLETRANSLATE(B7242,""id"",""en"")"),"['satisfying', 'darling', 'package', 'price']")</f>
        <v>['satisfying', 'darling', 'package', 'price']</v>
      </c>
      <c r="D7242" s="3">
        <v>4.0</v>
      </c>
    </row>
    <row r="7243" ht="15.75" customHeight="1">
      <c r="A7243" s="1">
        <v>7779.0</v>
      </c>
      <c r="B7243" s="3" t="s">
        <v>6978</v>
      </c>
      <c r="C7243" s="3" t="str">
        <f>IFERROR(__xludf.DUMMYFUNCTION("GOOGLETRANSLATE(B7243,""id"",""en"")"),"['Package', 'unlimited', 'harmed', 'buy', 'package', 'expensive', 'according to', 'service', 'Switch', 'card']")</f>
        <v>['Package', 'unlimited', 'harmed', 'buy', 'package', 'expensive', 'according to', 'service', 'Switch', 'card']</v>
      </c>
      <c r="D7243" s="3">
        <v>1.0</v>
      </c>
    </row>
    <row r="7244" ht="15.75" customHeight="1">
      <c r="A7244" s="1">
        <v>7780.0</v>
      </c>
      <c r="B7244" s="3" t="s">
        <v>6979</v>
      </c>
      <c r="C7244" s="3" t="str">
        <f>IFERROR(__xludf.DUMMYFUNCTION("GOOGLETRANSLATE(B7244,""id"",""en"")"),"['how', 'APK', 'Nggk', 'times', 'open', 'his writing', 'error', 'server', 'that's']")</f>
        <v>['how', 'APK', 'Nggk', 'times', 'open', 'his writing', 'error', 'server', 'that's']</v>
      </c>
      <c r="D7244" s="3">
        <v>1.0</v>
      </c>
    </row>
    <row r="7245" ht="15.75" customHeight="1">
      <c r="A7245" s="1">
        <v>7781.0</v>
      </c>
      <c r="B7245" s="3" t="s">
        <v>6980</v>
      </c>
      <c r="C7245" s="3" t="str">
        <f>IFERROR(__xludf.DUMMYFUNCTION("GOOGLETRANSLATE(B7245,""id"",""en"")"),"['package', 'affordable']")</f>
        <v>['package', 'affordable']</v>
      </c>
      <c r="D7245" s="3">
        <v>5.0</v>
      </c>
    </row>
    <row r="7246" ht="15.75" customHeight="1">
      <c r="A7246" s="1">
        <v>7782.0</v>
      </c>
      <c r="B7246" s="3" t="s">
        <v>6981</v>
      </c>
      <c r="C7246" s="3" t="str">
        <f>IFERROR(__xludf.DUMMYFUNCTION("GOOGLETRANSLATE(B7246,""id"",""en"")"),"['quota', 'wasteful', 'really', ""]")</f>
        <v>['quota', 'wasteful', 'really', "]</v>
      </c>
      <c r="D7246" s="3">
        <v>1.0</v>
      </c>
    </row>
    <row r="7247" ht="15.75" customHeight="1">
      <c r="A7247" s="1">
        <v>7783.0</v>
      </c>
      <c r="B7247" s="3" t="s">
        <v>6982</v>
      </c>
      <c r="C7247" s="3" t="str">
        <f>IFERROR(__xludf.DUMMYFUNCTION("GOOGLETRANSLATE(B7247,""id"",""en"")"),"['Come', 'Gajelas', 'application', 'Fill', 'Package', 'Credit', 'Adequate', 'then', 'UDH', 'Pulses', 'Buy', 'Package', 'Package']")</f>
        <v>['Come', 'Gajelas', 'application', 'Fill', 'Package', 'Credit', 'Adequate', 'then', 'UDH', 'Pulses', 'Buy', 'Package', 'Package']</v>
      </c>
      <c r="D7247" s="3">
        <v>1.0</v>
      </c>
    </row>
    <row r="7248" ht="15.75" customHeight="1">
      <c r="A7248" s="1">
        <v>7784.0</v>
      </c>
      <c r="B7248" s="3" t="s">
        <v>6983</v>
      </c>
      <c r="C7248" s="3" t="str">
        <f>IFERROR(__xludf.DUMMYFUNCTION("GOOGLETRANSLATE(B7248,""id"",""en"")"),"['love', 'star', 'because', 'perfection', 'belongs', 'Lord']")</f>
        <v>['love', 'star', 'because', 'perfection', 'belongs', 'Lord']</v>
      </c>
      <c r="D7248" s="3">
        <v>1.0</v>
      </c>
    </row>
    <row r="7249" ht="15.75" customHeight="1">
      <c r="A7249" s="1">
        <v>7785.0</v>
      </c>
      <c r="B7249" s="3" t="s">
        <v>6984</v>
      </c>
      <c r="C7249" s="3" t="str">
        <f>IFERROR(__xludf.DUMMYFUNCTION("GOOGLETRANSLATE(B7249,""id"",""en"")"),"['easy', 'buy', 'package', 'data', 'mytelkomsel', 'easy', 'understand', 'fast', 'process']")</f>
        <v>['easy', 'buy', 'package', 'data', 'mytelkomsel', 'easy', 'understand', 'fast', 'process']</v>
      </c>
      <c r="D7249" s="3">
        <v>5.0</v>
      </c>
    </row>
    <row r="7250" ht="15.75" customHeight="1">
      <c r="A7250" s="1">
        <v>7786.0</v>
      </c>
      <c r="B7250" s="3" t="s">
        <v>6985</v>
      </c>
      <c r="C7250" s="3" t="str">
        <f>IFERROR(__xludf.DUMMYFUNCTION("GOOGLETRANSLATE(B7250,""id"",""en"")"),"['easy', 'buy', 'package', 'pulse']")</f>
        <v>['easy', 'buy', 'package', 'pulse']</v>
      </c>
      <c r="D7250" s="3">
        <v>5.0</v>
      </c>
    </row>
    <row r="7251" ht="15.75" customHeight="1">
      <c r="A7251" s="1">
        <v>7787.0</v>
      </c>
      <c r="B7251" s="3" t="s">
        <v>6986</v>
      </c>
      <c r="C7251" s="3" t="str">
        <f>IFERROR(__xludf.DUMMYFUNCTION("GOOGLETRANSLATE(B7251,""id"",""en"")"),"['Mimin', '']")</f>
        <v>['Mimin', '']</v>
      </c>
      <c r="D7251" s="3">
        <v>5.0</v>
      </c>
    </row>
    <row r="7252" ht="15.75" customHeight="1">
      <c r="A7252" s="1">
        <v>7788.0</v>
      </c>
      <c r="B7252" s="3" t="s">
        <v>6987</v>
      </c>
      <c r="C7252" s="3" t="str">
        <f>IFERROR(__xludf.DUMMYFUNCTION("GOOGLETRANSLATE(B7252,""id"",""en"")"),"['Good', 'Sekrng', 'Cheap', 'Package', 'Telkomsel']")</f>
        <v>['Good', 'Sekrng', 'Cheap', 'Package', 'Telkomsel']</v>
      </c>
      <c r="D7252" s="3">
        <v>5.0</v>
      </c>
    </row>
    <row r="7253" ht="15.75" customHeight="1">
      <c r="A7253" s="1">
        <v>7789.0</v>
      </c>
      <c r="B7253" s="3" t="s">
        <v>6988</v>
      </c>
      <c r="C7253" s="3" t="str">
        <f>IFERROR(__xludf.DUMMYFUNCTION("GOOGLETRANSLATE(B7253,""id"",""en"")"),"['Card', 'Telkomsel', 'Satisfied', 'Telkomsel', 'Telkomsel', 'Network', 'Movers', 'Movers', 'Indonesia', ""]")</f>
        <v>['Card', 'Telkomsel', 'Satisfied', 'Telkomsel', 'Telkomsel', 'Network', 'Movers', 'Movers', 'Indonesia', "]</v>
      </c>
      <c r="D7253" s="3">
        <v>5.0</v>
      </c>
    </row>
    <row r="7254" ht="15.75" customHeight="1">
      <c r="A7254" s="1">
        <v>7790.0</v>
      </c>
      <c r="B7254" s="3" t="s">
        <v>6989</v>
      </c>
      <c r="C7254" s="3" t="str">
        <f>IFERROR(__xludf.DUMMYFUNCTION("GOOGLETRANSLATE(B7254,""id"",""en"")"),"['Telkomsel', 'package', 'cheap', 'affordable', 'expensive', 'speed', 'download', 'internet', 'telkomsel', 'doubt', 'fast', 'stable', ' conditions', 'weather', 'bad', 'appeal', 'operator', 'thank', 'love', ""]")</f>
        <v>['Telkomsel', 'package', 'cheap', 'affordable', 'expensive', 'speed', 'download', 'internet', 'telkomsel', 'doubt', 'fast', 'stable', ' conditions', 'weather', 'bad', 'appeal', 'operator', 'thank', 'love', "]</v>
      </c>
      <c r="D7254" s="3">
        <v>5.0</v>
      </c>
    </row>
    <row r="7255" ht="15.75" customHeight="1">
      <c r="A7255" s="1">
        <v>7791.0</v>
      </c>
      <c r="B7255" s="3" t="s">
        <v>6990</v>
      </c>
      <c r="C7255" s="3" t="str">
        <f>IFERROR(__xludf.DUMMYFUNCTION("GOOGLETRANSLATE(B7255,""id"",""en"")"),"['Telkomsel', 'Understand']")</f>
        <v>['Telkomsel', 'Understand']</v>
      </c>
      <c r="D7255" s="3">
        <v>5.0</v>
      </c>
    </row>
    <row r="7256" ht="15.75" customHeight="1">
      <c r="A7256" s="1">
        <v>7792.0</v>
      </c>
      <c r="B7256" s="3" t="s">
        <v>6991</v>
      </c>
      <c r="C7256" s="3" t="str">
        <f>IFERROR(__xludf.DUMMYFUNCTION("GOOGLETRANSLATE(B7256,""id"",""en"")"),"['deficiency', 'feature', 'shipping', 'gift', 'choice', 'payment', 'pulse', 'code', 'otp', 'apply', 'minute', 'sent', ' SMS ',' Direct ',' code ',' screen ',' POP ',' Open ',' SMS ',' SMS ',' opened ',' Telkomsel ',' menu ',' missing ',' repeated ' , 'rep"&amp;"eated', 'ride', 'star', 'star', 'try', 'alternative', 'additional', 'sms', 'voice', 'note', 'code', 'etc.']")</f>
        <v>['deficiency', 'feature', 'shipping', 'gift', 'choice', 'payment', 'pulse', 'code', 'otp', 'apply', 'minute', 'sent', ' SMS ',' Direct ',' code ',' screen ',' POP ',' Open ',' SMS ',' SMS ',' opened ',' Telkomsel ',' menu ',' missing ',' repeated ' , 'repeated', 'ride', 'star', 'star', 'try', 'alternative', 'additional', 'sms', 'voice', 'note', 'code', 'etc.']</v>
      </c>
      <c r="D7256" s="3">
        <v>1.0</v>
      </c>
    </row>
    <row r="7257" ht="15.75" customHeight="1">
      <c r="A7257" s="1">
        <v>7793.0</v>
      </c>
      <c r="B7257" s="3" t="s">
        <v>6992</v>
      </c>
      <c r="C7257" s="3" t="str">
        <f>IFERROR(__xludf.DUMMYFUNCTION("GOOGLETRANSLATE(B7257,""id"",""en"")"),"['Application', 'supports',' where ',' run out ',' package ',' unlimited ',' buy ',' lap ',' pay ',' buy ',' pulse ',' top ',' very']")</f>
        <v>['Application', 'supports',' where ',' run out ',' package ',' unlimited ',' buy ',' lap ',' pay ',' buy ',' pulse ',' top ',' very']</v>
      </c>
      <c r="D7257" s="3">
        <v>5.0</v>
      </c>
    </row>
    <row r="7258" ht="15.75" customHeight="1">
      <c r="A7258" s="1">
        <v>7794.0</v>
      </c>
      <c r="B7258" s="3" t="s">
        <v>6993</v>
      </c>
      <c r="C7258" s="3" t="str">
        <f>IFERROR(__xludf.DUMMYFUNCTION("GOOGLETRANSLATE(B7258,""id"",""en"")"),"['Good', 'Buy', 'Package', 'APK', 'Telkomsel']")</f>
        <v>['Good', 'Buy', 'Package', 'APK', 'Telkomsel']</v>
      </c>
      <c r="D7258" s="3">
        <v>5.0</v>
      </c>
    </row>
    <row r="7259" ht="15.75" customHeight="1">
      <c r="A7259" s="1">
        <v>7795.0</v>
      </c>
      <c r="B7259" s="3" t="s">
        <v>6994</v>
      </c>
      <c r="C7259" s="3" t="str">
        <f>IFERROR(__xludf.DUMMYFUNCTION("GOOGLETRANSLATE(B7259,""id"",""en"")"),"['Manaf']")</f>
        <v>['Manaf']</v>
      </c>
      <c r="D7259" s="3">
        <v>5.0</v>
      </c>
    </row>
    <row r="7260" ht="15.75" customHeight="1">
      <c r="A7260" s="1">
        <v>7796.0</v>
      </c>
      <c r="B7260" s="3" t="s">
        <v>6995</v>
      </c>
      <c r="C7260" s="3" t="str">
        <f>IFERROR(__xludf.DUMMYFUNCTION("GOOGLETRANSLATE(B7260,""id"",""en"")"),"['Please', 'Fix', 'Quality', 'Network', 'Improve', 'Rates', 'Come', 'Bad', 'Quality', 'Network', 'Internet']")</f>
        <v>['Please', 'Fix', 'Quality', 'Network', 'Improve', 'Rates', 'Come', 'Bad', 'Quality', 'Network', 'Internet']</v>
      </c>
      <c r="D7260" s="3">
        <v>1.0</v>
      </c>
    </row>
    <row r="7261" ht="15.75" customHeight="1">
      <c r="A7261" s="1">
        <v>7797.0</v>
      </c>
      <c r="B7261" s="3" t="s">
        <v>6996</v>
      </c>
      <c r="C7261" s="3" t="str">
        <f>IFERROR(__xludf.DUMMYFUNCTION("GOOGLETRANSLATE(B7261,""id"",""en"")"),"['Steady', 'cheap', 'festive', 'package']")</f>
        <v>['Steady', 'cheap', 'festive', 'package']</v>
      </c>
      <c r="D7261" s="3">
        <v>5.0</v>
      </c>
    </row>
    <row r="7262" ht="15.75" customHeight="1">
      <c r="A7262" s="1">
        <v>7798.0</v>
      </c>
      <c r="B7262" s="3" t="s">
        <v>6997</v>
      </c>
      <c r="C7262" s="3" t="str">
        <f>IFERROR(__xludf.DUMMYFUNCTION("GOOGLETRANSLATE(B7262,""id"",""en"")"),"['bill', 'increases',' usage ',' quota ',' tetep ',' please ',' admin ',' gave ',' price ',' stable ',' card ',' internet ',' ']")</f>
        <v>['bill', 'increases',' usage ',' quota ',' tetep ',' please ',' admin ',' gave ',' price ',' stable ',' card ',' internet ',' ']</v>
      </c>
      <c r="D7262" s="3">
        <v>3.0</v>
      </c>
    </row>
    <row r="7263" ht="15.75" customHeight="1">
      <c r="A7263" s="1">
        <v>7799.0</v>
      </c>
      <c r="B7263" s="3" t="s">
        <v>6998</v>
      </c>
      <c r="C7263" s="3" t="str">
        <f>IFERROR(__xludf.DUMMYFUNCTION("GOOGLETRANSLATE(B7263,""id"",""en"")"),"['difficult', 'opened', 'bother', 'bother']")</f>
        <v>['difficult', 'opened', 'bother', 'bother']</v>
      </c>
      <c r="D7263" s="3">
        <v>2.0</v>
      </c>
    </row>
    <row r="7264" ht="15.75" customHeight="1">
      <c r="A7264" s="1">
        <v>7800.0</v>
      </c>
      <c r="B7264" s="3" t="s">
        <v>6999</v>
      </c>
      <c r="C7264" s="3" t="str">
        <f>IFERROR(__xludf.DUMMYFUNCTION("GOOGLETRANSLATE(B7264,""id"",""en"")"),"['car']")</f>
        <v>['car']</v>
      </c>
      <c r="D7264" s="3">
        <v>5.0</v>
      </c>
    </row>
    <row r="7265" ht="15.75" customHeight="1">
      <c r="A7265" s="1">
        <v>7801.0</v>
      </c>
      <c r="B7265" s="3" t="s">
        <v>7000</v>
      </c>
      <c r="C7265" s="3" t="str">
        <f>IFERROR(__xludf.DUMMYFUNCTION("GOOGLETRANSLATE(B7265,""id"",""en"")"),"['Package', 'Combo', 'Sakti', 'Just', 'Kuita', 'Main', 'Sudh', 'Out', 'Msih', 'Quota', 'Multumedia', 'Sosmed', ' etc. ',' TPI ',' Maen ',' Speed ​​',' KB ',' Bad ',' Kapok ',' Buy ',' Quota ',' Combo ',' Sakti ',' pure ']")</f>
        <v>['Package', 'Combo', 'Sakti', 'Just', 'Kuita', 'Main', 'Sudh', 'Out', 'Msih', 'Quota', 'Multumedia', 'Sosmed', ' etc. ',' TPI ',' Maen ',' Speed ​​',' KB ',' Bad ',' Kapok ',' Buy ',' Quota ',' Combo ',' Sakti ',' pure ']</v>
      </c>
      <c r="D7265" s="3">
        <v>1.0</v>
      </c>
    </row>
    <row r="7266" ht="15.75" customHeight="1">
      <c r="A7266" s="1">
        <v>7802.0</v>
      </c>
      <c r="B7266" s="3" t="s">
        <v>7001</v>
      </c>
      <c r="C7266" s="3" t="str">
        <f>IFERROR(__xludf.DUMMYFUNCTION("GOOGLETRANSLATE(B7266,""id"",""en"")"),"['Buy', 'Package', 'Balance', 'Gopay', 'Ter', 'Take']")</f>
        <v>['Buy', 'Package', 'Balance', 'Gopay', 'Ter', 'Take']</v>
      </c>
      <c r="D7266" s="3">
        <v>1.0</v>
      </c>
    </row>
    <row r="7267" ht="15.75" customHeight="1">
      <c r="A7267" s="1">
        <v>7803.0</v>
      </c>
      <c r="B7267" s="3" t="s">
        <v>7002</v>
      </c>
      <c r="C7267" s="3" t="str">
        <f>IFERROR(__xludf.DUMMYFUNCTION("GOOGLETRANSLATE(B7267,""id"",""en"")"),"['Steady', 'OGB', '']")</f>
        <v>['Steady', 'OGB', '']</v>
      </c>
      <c r="D7267" s="3">
        <v>5.0</v>
      </c>
    </row>
    <row r="7268" ht="15.75" customHeight="1">
      <c r="A7268" s="1">
        <v>7804.0</v>
      </c>
      <c r="B7268" s="3" t="s">
        <v>7003</v>
      </c>
      <c r="C7268" s="3" t="str">
        <f>IFERROR(__xludf.DUMMYFUNCTION("GOOGLETRANSLATE(B7268,""id"",""en"")"),"['Application', 'slow']")</f>
        <v>['Application', 'slow']</v>
      </c>
      <c r="D7268" s="3">
        <v>1.0</v>
      </c>
    </row>
    <row r="7269" ht="15.75" customHeight="1">
      <c r="A7269" s="1">
        <v>7805.0</v>
      </c>
      <c r="B7269" s="3" t="s">
        <v>7004</v>
      </c>
      <c r="C7269" s="3" t="str">
        <f>IFERROR(__xludf.DUMMYFUNCTION("GOOGLETRANSLATE(B7269,""id"",""en"")"),"['Help', 'fast', 'process']")</f>
        <v>['Help', 'fast', 'process']</v>
      </c>
      <c r="D7269" s="3">
        <v>5.0</v>
      </c>
    </row>
    <row r="7270" ht="15.75" customHeight="1">
      <c r="A7270" s="1">
        <v>7806.0</v>
      </c>
      <c r="B7270" s="3" t="s">
        <v>7005</v>
      </c>
      <c r="C7270" s="3" t="str">
        <f>IFERROR(__xludf.DUMMYFUNCTION("GOOGLETRANSLATE(B7270,""id"",""en"")"),"['Work']")</f>
        <v>['Work']</v>
      </c>
      <c r="D7270" s="3">
        <v>5.0</v>
      </c>
    </row>
    <row r="7271" ht="15.75" customHeight="1">
      <c r="A7271" s="1">
        <v>7807.0</v>
      </c>
      <c r="B7271" s="3" t="s">
        <v>7006</v>
      </c>
      <c r="C7271" s="3" t="str">
        <f>IFERROR(__xludf.DUMMYFUNCTION("GOOGLETRANSLATE(B7271,""id"",""en"")"),"['Lemot', 'really', 'Loading']")</f>
        <v>['Lemot', 'really', 'Loading']</v>
      </c>
      <c r="D7271" s="3">
        <v>1.0</v>
      </c>
    </row>
    <row r="7272" ht="15.75" customHeight="1">
      <c r="A7272" s="1">
        <v>7808.0</v>
      </c>
      <c r="B7272" s="3" t="s">
        <v>7007</v>
      </c>
      <c r="C7272" s="3" t="str">
        <f>IFERROR(__xludf.DUMMYFUNCTION("GOOGLETRANSLATE(B7272,""id"",""en"")"),"['easy', 'buy', 'package', 'data', 'clarification', '']")</f>
        <v>['easy', 'buy', 'package', 'data', 'clarification', '']</v>
      </c>
      <c r="D7272" s="3">
        <v>5.0</v>
      </c>
    </row>
    <row r="7273" ht="15.75" customHeight="1">
      <c r="A7273" s="1">
        <v>7809.0</v>
      </c>
      <c r="B7273" s="3" t="s">
        <v>7008</v>
      </c>
      <c r="C7273" s="3" t="str">
        <f>IFERROR(__xludf.DUMMYFUNCTION("GOOGLETRANSLATE(B7273,""id"",""en"")"),"['Error', 'Telkomsel', 'Buqt', 'Buy', 'Package', 'Application', '']")</f>
        <v>['Error', 'Telkomsel', 'Buqt', 'Buy', 'Package', 'Application', '']</v>
      </c>
      <c r="D7273" s="3">
        <v>1.0</v>
      </c>
    </row>
    <row r="7274" ht="15.75" customHeight="1">
      <c r="A7274" s="1">
        <v>7811.0</v>
      </c>
      <c r="B7274" s="3" t="s">
        <v>7009</v>
      </c>
      <c r="C7274" s="3" t="str">
        <f>IFERROR(__xludf.DUMMYFUNCTION("GOOGLETRANSLATE(B7274,""id"",""en"")"),"['How', 'pulse', 'pull', 'package', 'buy']")</f>
        <v>['How', 'pulse', 'pull', 'package', 'buy']</v>
      </c>
      <c r="D7274" s="3">
        <v>2.0</v>
      </c>
    </row>
    <row r="7275" ht="15.75" customHeight="1">
      <c r="A7275" s="1">
        <v>7812.0</v>
      </c>
      <c r="B7275" s="3" t="s">
        <v>7010</v>
      </c>
      <c r="C7275" s="3" t="str">
        <f>IFERROR(__xludf.DUMMYFUNCTION("GOOGLETRANSLATE(B7275,""id"",""en"")"),"['signal', 'in the area', 'good']")</f>
        <v>['signal', 'in the area', 'good']</v>
      </c>
      <c r="D7275" s="3">
        <v>3.0</v>
      </c>
    </row>
    <row r="7276" ht="15.75" customHeight="1">
      <c r="A7276" s="1">
        <v>7813.0</v>
      </c>
      <c r="B7276" s="3" t="s">
        <v>7011</v>
      </c>
      <c r="C7276" s="3" t="str">
        <f>IFERROR(__xludf.DUMMYFUNCTION("GOOGLETRANSLATE(B7276,""id"",""en"")"),"['buy', 'quota', 'Telkomsel', 'problematic', 'at the same time', 'condition', 'quota', 'lecture', 'tidk', 'buy', 'disappointed']")</f>
        <v>['buy', 'quota', 'Telkomsel', 'problematic', 'at the same time', 'condition', 'quota', 'lecture', 'tidk', 'buy', 'disappointed']</v>
      </c>
      <c r="D7276" s="3">
        <v>1.0</v>
      </c>
    </row>
    <row r="7277" ht="15.75" customHeight="1">
      <c r="A7277" s="1">
        <v>7814.0</v>
      </c>
      <c r="B7277" s="3" t="s">
        <v>7012</v>
      </c>
      <c r="C7277" s="3" t="str">
        <f>IFERROR(__xludf.DUMMYFUNCTION("GOOGLETRANSLATE(B7277,""id"",""en"")"),"['signal', 'ugly', 'better', ""]")</f>
        <v>['signal', 'ugly', 'better', "]</v>
      </c>
      <c r="D7277" s="3">
        <v>1.0</v>
      </c>
    </row>
    <row r="7278" ht="15.75" customHeight="1">
      <c r="A7278" s="1">
        <v>7815.0</v>
      </c>
      <c r="B7278" s="3" t="s">
        <v>7013</v>
      </c>
      <c r="C7278" s="3" t="str">
        <f>IFERROR(__xludf.DUMMYFUNCTION("GOOGLETRANSLATE(B7278,""id"",""en"")"),"['App', 'good', 'buy', 'package', 'aka', 'disorder', 'system']")</f>
        <v>['App', 'good', 'buy', 'package', 'aka', 'disorder', 'system']</v>
      </c>
      <c r="D7278" s="3">
        <v>1.0</v>
      </c>
    </row>
    <row r="7279" ht="15.75" customHeight="1">
      <c r="A7279" s="1">
        <v>7816.0</v>
      </c>
      <c r="B7279" s="3" t="s">
        <v>7014</v>
      </c>
      <c r="C7279" s="3" t="str">
        <f>IFERROR(__xludf.DUMMYFUNCTION("GOOGLETRANSLATE(B7279,""id"",""en"")"),"['The network', 'slow', 'really', 'Telkomsel', 'name', 'good', 'Males',' buy ',' package ',' internet ',' slow ',' slow ',' Complaints', 'answers',' Refresh ',' Terosss', 'Sampe', 'Good', 'Network', 'What', 'Customer', 'Satisfied', 'Network', 'Lemot', ""]")</f>
        <v>['The network', 'slow', 'really', 'Telkomsel', 'name', 'good', 'Males',' buy ',' package ',' internet ',' slow ',' slow ',' Complaints', 'answers',' Refresh ',' Terosss', 'Sampe', 'Good', 'Network', 'What', 'Customer', 'Satisfied', 'Network', 'Lemot', "]</v>
      </c>
      <c r="D7279" s="3">
        <v>1.0</v>
      </c>
    </row>
    <row r="7280" ht="15.75" customHeight="1">
      <c r="A7280" s="1">
        <v>7817.0</v>
      </c>
      <c r="B7280" s="3" t="s">
        <v>7015</v>
      </c>
      <c r="C7280" s="3" t="str">
        <f>IFERROR(__xludf.DUMMYFUNCTION("GOOGLETRANSLATE(B7280,""id"",""en"")"),"['steal', 'pulse', 'person', 'chi', 'troubling', '']")</f>
        <v>['steal', 'pulse', 'person', 'chi', 'troubling', '']</v>
      </c>
      <c r="D7280" s="3">
        <v>1.0</v>
      </c>
    </row>
    <row r="7281" ht="15.75" customHeight="1">
      <c r="A7281" s="1">
        <v>7818.0</v>
      </c>
      <c r="B7281" s="3" t="s">
        <v>7016</v>
      </c>
      <c r="C7281" s="3" t="str">
        <f>IFERROR(__xludf.DUMMYFUNCTION("GOOGLETRANSLATE(B7281,""id"",""en"")"),"['bangse', 'provider', 'fill in', 'pulse', 'abis',' take-up ',' kaga ',' dipake ',' ampe ',' abis', 'rb', 'lazy', ' Fig ',' Credit ',' Skrang ',' Turn ',' Buy ',' Package ',' Call ',' Daily ',' Choice ',' Package ',' Call ',' Sli ',' strange ' , 'cave', '"&amp;"see', 'see', 'mending', 'pawn', 'provider', 'laen', 'drpd', 'card', 'rot']")</f>
        <v>['bangse', 'provider', 'fill in', 'pulse', 'abis',' take-up ',' kaga ',' dipake ',' ampe ',' abis', 'rb', 'lazy', ' Fig ',' Credit ',' Skrang ',' Turn ',' Buy ',' Package ',' Call ',' Daily ',' Choice ',' Package ',' Call ',' Sli ',' strange ' , 'cave', 'see', 'see', 'mending', 'pawn', 'provider', 'laen', 'drpd', 'card', 'rot']</v>
      </c>
      <c r="D7281" s="3">
        <v>1.0</v>
      </c>
    </row>
    <row r="7282" ht="15.75" customHeight="1">
      <c r="A7282" s="1">
        <v>7819.0</v>
      </c>
      <c r="B7282" s="3" t="s">
        <v>7017</v>
      </c>
      <c r="C7282" s="3" t="str">
        <f>IFERROR(__xludf.DUMMYFUNCTION("GOOGLETRANSLATE(B7282,""id"",""en"")"),"['sucked', 'pulse', 'gakjelas', 'emang', 'pulses', 'sometimes', 'need', 'really', 'udh', 'ilang', 'pulse', 'disorder']")</f>
        <v>['sucked', 'pulse', 'gakjelas', 'emang', 'pulses', 'sometimes', 'need', 'really', 'udh', 'ilang', 'pulse', 'disorder']</v>
      </c>
      <c r="D7282" s="3">
        <v>2.0</v>
      </c>
    </row>
    <row r="7283" ht="15.75" customHeight="1">
      <c r="A7283" s="1">
        <v>7820.0</v>
      </c>
      <c r="B7283" s="3" t="s">
        <v>7018</v>
      </c>
      <c r="C7283" s="3" t="str">
        <f>IFERROR(__xludf.DUMMYFUNCTION("GOOGLETRANSLATE(B7283,""id"",""en"")"),"['Disappointed', 'Telkomsel', 'package', 'price', 'quality', 'logical', 'combo', 'saktinya', 'threat', ""]")</f>
        <v>['Disappointed', 'Telkomsel', 'package', 'price', 'quality', 'logical', 'combo', 'saktinya', 'threat', "]</v>
      </c>
      <c r="D7283" s="3">
        <v>1.0</v>
      </c>
    </row>
    <row r="7284" ht="15.75" customHeight="1">
      <c r="A7284" s="1">
        <v>7821.0</v>
      </c>
      <c r="B7284" s="3" t="s">
        <v>7019</v>
      </c>
      <c r="C7284" s="3" t="str">
        <f>IFERROR(__xludf.DUMMYFUNCTION("GOOGLETRANSLATE(B7284,""id"",""en"")"),"['Steady', 'NGK', 'Ribet']")</f>
        <v>['Steady', 'NGK', 'Ribet']</v>
      </c>
      <c r="D7284" s="3">
        <v>5.0</v>
      </c>
    </row>
    <row r="7285" ht="15.75" customHeight="1">
      <c r="A7285" s="1">
        <v>7822.0</v>
      </c>
      <c r="B7285" s="3" t="s">
        <v>7020</v>
      </c>
      <c r="C7285" s="3" t="str">
        <f>IFERROR(__xludf.DUMMYFUNCTION("GOOGLETRANSLATE(B7285,""id"",""en"")"),"['package', 'run out', 'automatically', 'eat', 'pulse', 'as a result', 'credit', 'disappear', 'left', 'disappointed', 'Telkomsel', 'famous',' Like ',' ngilangin ',' pulse ']")</f>
        <v>['package', 'run out', 'automatically', 'eat', 'pulse', 'as a result', 'credit', 'disappear', 'left', 'disappointed', 'Telkomsel', 'famous',' Like ',' ngilangin ',' pulse ']</v>
      </c>
      <c r="D7285" s="3">
        <v>1.0</v>
      </c>
    </row>
    <row r="7286" ht="15.75" customHeight="1">
      <c r="A7286" s="1">
        <v>7823.0</v>
      </c>
      <c r="B7286" s="3" t="s">
        <v>7021</v>
      </c>
      <c r="C7286" s="3" t="str">
        <f>IFERROR(__xludf.DUMMYFUNCTION("GOOGLETRANSLATE(B7286,""id"",""en"")"),"['Fix', 'bug', 'palalu', 'cave', 'buy', 'quota', 'disorder', 'mulu']")</f>
        <v>['Fix', 'bug', 'palalu', 'cave', 'buy', 'quota', 'disorder', 'mulu']</v>
      </c>
      <c r="D7286" s="3">
        <v>5.0</v>
      </c>
    </row>
    <row r="7287" ht="15.75" customHeight="1">
      <c r="A7287" s="1">
        <v>7824.0</v>
      </c>
      <c r="B7287" s="3" t="s">
        <v>7022</v>
      </c>
      <c r="C7287" s="3" t="str">
        <f>IFERROR(__xludf.DUMMYFUNCTION("GOOGLETRANSLATE(B7287,""id"",""en"")"),"['signal', 'repair']")</f>
        <v>['signal', 'repair']</v>
      </c>
      <c r="D7287" s="3">
        <v>1.0</v>
      </c>
    </row>
    <row r="7288" ht="15.75" customHeight="1">
      <c r="A7288" s="1">
        <v>7825.0</v>
      </c>
      <c r="B7288" s="3" t="s">
        <v>7023</v>
      </c>
      <c r="C7288" s="3" t="str">
        <f>IFERROR(__xludf.DUMMYFUNCTION("GOOGLETRANSLATE(B7288,""id"",""en"")"),"['buy', 'card', 'Telkomsel', 'suggestion', 'buy', 'pulse', 'run out', 'Cut "",' Telkomsel ',' provider ',' cheat ']")</f>
        <v>['buy', 'card', 'Telkomsel', 'suggestion', 'buy', 'pulse', 'run out', 'Cut ",' Telkomsel ',' provider ',' cheat ']</v>
      </c>
      <c r="D7288" s="3">
        <v>1.0</v>
      </c>
    </row>
    <row r="7289" ht="15.75" customHeight="1">
      <c r="A7289" s="1">
        <v>7826.0</v>
      </c>
      <c r="B7289" s="3" t="s">
        <v>7024</v>
      </c>
      <c r="C7289" s="3" t="str">
        <f>IFERROR(__xludf.DUMMYFUNCTION("GOOGLETRANSLATE(B7289,""id"",""en"")"),"['Please', 'Network', 'Dragus', 'Main', 'Leg', 'Main', 'Game', 'See', 'YouTube']")</f>
        <v>['Please', 'Network', 'Dragus', 'Main', 'Leg', 'Main', 'Game', 'See', 'YouTube']</v>
      </c>
      <c r="D7289" s="3">
        <v>1.0</v>
      </c>
    </row>
    <row r="7290" ht="15.75" customHeight="1">
      <c r="A7290" s="1">
        <v>7827.0</v>
      </c>
      <c r="B7290" s="3" t="s">
        <v>7025</v>
      </c>
      <c r="C7290" s="3" t="str">
        <f>IFERROR(__xludf.DUMMYFUNCTION("GOOGLETRANSLATE(B7290,""id"",""en"")"),"['crazy', 'contents', 'plz', 'dikinalnya', 'success', 'card', 'gada', 'taja']")</f>
        <v>['crazy', 'contents', 'plz', 'dikinalnya', 'success', 'card', 'gada', 'taja']</v>
      </c>
      <c r="D7290" s="3">
        <v>1.0</v>
      </c>
    </row>
    <row r="7291" ht="15.75" customHeight="1">
      <c r="A7291" s="1">
        <v>7828.0</v>
      </c>
      <c r="B7291" s="3" t="s">
        <v>7026</v>
      </c>
      <c r="C7291" s="3" t="str">
        <f>IFERROR(__xludf.DUMMYFUNCTION("GOOGLETRANSLATE(B7291,""id"",""en"")"),"['', 'pulse', 'ilang', 'leftover', 'buy', 'pulse', 'buy', 'package', 'price', 'stay', 'silver']")</f>
        <v>['', 'pulse', 'ilang', 'leftover', 'buy', 'pulse', 'buy', 'package', 'price', 'stay', 'silver']</v>
      </c>
      <c r="D7291" s="3">
        <v>1.0</v>
      </c>
    </row>
    <row r="7292" ht="15.75" customHeight="1">
      <c r="A7292" s="1">
        <v>7829.0</v>
      </c>
      <c r="B7292" s="3" t="s">
        <v>7027</v>
      </c>
      <c r="C7292" s="3" t="str">
        <f>IFERROR(__xludf.DUMMYFUNCTION("GOOGLETRANSLATE(B7292,""id"",""en"")"),"['DPET', 'Bonus', 'Cool']")</f>
        <v>['DPET', 'Bonus', 'Cool']</v>
      </c>
      <c r="D7292" s="3">
        <v>5.0</v>
      </c>
    </row>
    <row r="7293" ht="15.75" customHeight="1">
      <c r="A7293" s="1">
        <v>7830.0</v>
      </c>
      <c r="B7293" s="3" t="s">
        <v>7028</v>
      </c>
      <c r="C7293" s="3" t="str">
        <f>IFERROR(__xludf.DUMMYFUNCTION("GOOGLETRANSLATE(B7293,""id"",""en"")"),"['like', 'enter', 'login']")</f>
        <v>['like', 'enter', 'login']</v>
      </c>
      <c r="D7293" s="3">
        <v>1.0</v>
      </c>
    </row>
    <row r="7294" ht="15.75" customHeight="1">
      <c r="A7294" s="1">
        <v>7831.0</v>
      </c>
      <c r="B7294" s="3" t="s">
        <v>7029</v>
      </c>
      <c r="C7294" s="3" t="str">
        <f>IFERROR(__xludf.DUMMYFUNCTION("GOOGLETRANSLATE(B7294,""id"",""en"")"),"['Steady', 'fast', 'accurate']")</f>
        <v>['Steady', 'fast', 'accurate']</v>
      </c>
      <c r="D7294" s="3">
        <v>5.0</v>
      </c>
    </row>
    <row r="7295" ht="15.75" customHeight="1">
      <c r="A7295" s="1">
        <v>7832.0</v>
      </c>
      <c r="B7295" s="3" t="s">
        <v>3837</v>
      </c>
      <c r="C7295" s="3" t="str">
        <f>IFERROR(__xludf.DUMMYFUNCTION("GOOGLETRANSLATE(B7295,""id"",""en"")"),"['promo', 'interesting']")</f>
        <v>['promo', 'interesting']</v>
      </c>
      <c r="D7295" s="3">
        <v>1.0</v>
      </c>
    </row>
    <row r="7296" ht="15.75" customHeight="1">
      <c r="A7296" s="1">
        <v>7833.0</v>
      </c>
      <c r="B7296" s="3" t="s">
        <v>7030</v>
      </c>
      <c r="C7296" s="3" t="str">
        <f>IFERROR(__xludf.DUMMYFUNCTION("GOOGLETRANSLATE(B7296,""id"",""en"")"),"['Package', 'Telkomsel', 'quota', 'price', 'quota', 'plus',' example ',' combo ',' sakti ',' thousand ',' thousand ',' thousand ',' The quota ',' GB ',' Mending ',' Change ',' Card ',' Telkomsel ',' Package ',' Expensive ',' Disappointed ',' Reduce ',' St"&amp;"ar ', ""]")</f>
        <v>['Package', 'Telkomsel', 'quota', 'price', 'quota', 'plus',' example ',' combo ',' sakti ',' thousand ',' thousand ',' thousand ',' The quota ',' GB ',' Mending ',' Change ',' Card ',' Telkomsel ',' Package ',' Expensive ',' Disappointed ',' Reduce ',' Star ', "]</v>
      </c>
      <c r="D7296" s="3">
        <v>2.0</v>
      </c>
    </row>
    <row r="7297" ht="15.75" customHeight="1">
      <c r="A7297" s="1">
        <v>7834.0</v>
      </c>
      <c r="B7297" s="3" t="s">
        <v>7031</v>
      </c>
      <c r="C7297" s="3" t="str">
        <f>IFERROR(__xludf.DUMMYFUNCTION("GOOGLETRANSLATE(B7297,""id"",""en"")"),"['Telkomsel', 'lag', 'lost', 'Indosat', 'Indosat', 'Change', 'card', 'please', 'strengthen', 'network', 'Kek', 'Yesterday']")</f>
        <v>['Telkomsel', 'lag', 'lost', 'Indosat', 'Indosat', 'Change', 'card', 'please', 'strengthen', 'network', 'Kek', 'Yesterday']</v>
      </c>
      <c r="D7297" s="3">
        <v>1.0</v>
      </c>
    </row>
    <row r="7298" ht="15.75" customHeight="1">
      <c r="A7298" s="1">
        <v>7835.0</v>
      </c>
      <c r="B7298" s="3" t="s">
        <v>7032</v>
      </c>
      <c r="C7298" s="3" t="str">
        <f>IFERROR(__xludf.DUMMYFUNCTION("GOOGLETRANSLATE(B7298,""id"",""en"")"),"['mantapppppp', 'pokonya']")</f>
        <v>['mantapppppp', 'pokonya']</v>
      </c>
      <c r="D7298" s="3">
        <v>1.0</v>
      </c>
    </row>
    <row r="7299" ht="15.75" customHeight="1">
      <c r="A7299" s="1">
        <v>7836.0</v>
      </c>
      <c r="B7299" s="3" t="s">
        <v>7033</v>
      </c>
      <c r="C7299" s="3" t="str">
        <f>IFERROR(__xludf.DUMMYFUNCTION("GOOGLETRANSLATE(B7299,""id"",""en"")"),"['Fake', 'Points', 'Redeem']")</f>
        <v>['Fake', 'Points', 'Redeem']</v>
      </c>
      <c r="D7299" s="3">
        <v>1.0</v>
      </c>
    </row>
    <row r="7300" ht="15.75" customHeight="1">
      <c r="A7300" s="1">
        <v>7837.0</v>
      </c>
      <c r="B7300" s="3" t="s">
        <v>7034</v>
      </c>
      <c r="C7300" s="3" t="str">
        <f>IFERROR(__xludf.DUMMYFUNCTION("GOOGLETRANSLATE(B7300,""id"",""en"")"),"['Signal', 'Telkomsel', 'Rich', 'Anjingg "",""]")</f>
        <v>['Signal', 'Telkomsel', 'Rich', 'Anjingg ","]</v>
      </c>
      <c r="D7300" s="3">
        <v>1.0</v>
      </c>
    </row>
    <row r="7301" ht="15.75" customHeight="1">
      <c r="A7301" s="1">
        <v>7839.0</v>
      </c>
      <c r="B7301" s="3" t="s">
        <v>7035</v>
      </c>
      <c r="C7301" s="3" t="str">
        <f>IFERROR(__xludf.DUMMYFUNCTION("GOOGLETRANSLATE(B7301,""id"",""en"")"),"['application', 'error', 'buy', 'package', 'complicated', 'system', 'disorder', 'aneeeh']")</f>
        <v>['application', 'error', 'buy', 'package', 'complicated', 'system', 'disorder', 'aneeeh']</v>
      </c>
      <c r="D7301" s="3">
        <v>1.0</v>
      </c>
    </row>
    <row r="7302" ht="15.75" customHeight="1">
      <c r="A7302" s="1">
        <v>7841.0</v>
      </c>
      <c r="B7302" s="3" t="s">
        <v>7036</v>
      </c>
      <c r="C7302" s="3" t="str">
        <f>IFERROR(__xludf.DUMMYFUNCTION("GOOGLETRANSLATE(B7302,""id"",""en"")"),"['Hopefully', 'service', 'Telkomsel', 'Increase']")</f>
        <v>['Hopefully', 'service', 'Telkomsel', 'Increase']</v>
      </c>
      <c r="D7302" s="3">
        <v>5.0</v>
      </c>
    </row>
    <row r="7303" ht="15.75" customHeight="1">
      <c r="A7303" s="1">
        <v>7842.0</v>
      </c>
      <c r="B7303" s="3" t="s">
        <v>7037</v>
      </c>
      <c r="C7303" s="3" t="str">
        <f>IFERROR(__xludf.DUMMYFUNCTION("GOOGLETRANSLATE(B7303,""id"",""en"")"),"['The use', 'buy', 'combo', 'sick', 'expensive', 'signal', 'ugly', 'gini', 'used', 'buy', 'paketan', 'slow', ' really ',' play ',' game ',' Telkomsel ',' already ',' worth ',' use ',' ']")</f>
        <v>['The use', 'buy', 'combo', 'sick', 'expensive', 'signal', 'ugly', 'gini', 'used', 'buy', 'paketan', 'slow', ' really ',' play ',' game ',' Telkomsel ',' already ',' worth ',' use ',' ']</v>
      </c>
      <c r="D7303" s="3">
        <v>1.0</v>
      </c>
    </row>
    <row r="7304" ht="15.75" customHeight="1">
      <c r="A7304" s="1">
        <v>7843.0</v>
      </c>
      <c r="B7304" s="3" t="s">
        <v>7038</v>
      </c>
      <c r="C7304" s="3" t="str">
        <f>IFERROR(__xludf.DUMMYFUNCTION("GOOGLETRANSLATE(B7304,""id"",""en"")"),"['acting', 'fast', 'trouble', 'disappointing', 'customers', '']")</f>
        <v>['acting', 'fast', 'trouble', 'disappointing', 'customers', '']</v>
      </c>
      <c r="D7304" s="3">
        <v>1.0</v>
      </c>
    </row>
    <row r="7305" ht="15.75" customHeight="1">
      <c r="A7305" s="1">
        <v>7845.0</v>
      </c>
      <c r="B7305" s="3" t="s">
        <v>7039</v>
      </c>
      <c r="C7305" s="3" t="str">
        <f>IFERROR(__xludf.DUMMYFUNCTION("GOOGLETRANSLATE(B7305,""id"",""en"")"),"['', 'Knp', 'buy', 'Package', 'Telkom', 'On', 'AJG', 'Package', 'UDH', 'Abis', 'How', ""]")</f>
        <v>['', 'Knp', 'buy', 'Package', 'Telkom', 'On', 'AJG', 'Package', 'UDH', 'Abis', 'How', "]</v>
      </c>
      <c r="D7305" s="3">
        <v>1.0</v>
      </c>
    </row>
    <row r="7306" ht="15.75" customHeight="1">
      <c r="A7306" s="1">
        <v>7846.0</v>
      </c>
      <c r="B7306" s="3" t="s">
        <v>6565</v>
      </c>
      <c r="C7306" s="3" t="str">
        <f>IFERROR(__xludf.DUMMYFUNCTION("GOOGLETRANSLATE(B7306,""id"",""en"")"),"['disappointing', '']")</f>
        <v>['disappointing', '']</v>
      </c>
      <c r="D7306" s="3">
        <v>1.0</v>
      </c>
    </row>
    <row r="7307" ht="15.75" customHeight="1">
      <c r="A7307" s="1">
        <v>7847.0</v>
      </c>
      <c r="B7307" s="3" t="s">
        <v>7040</v>
      </c>
      <c r="C7307" s="3" t="str">
        <f>IFERROR(__xludf.DUMMYFUNCTION("GOOGLETRANSLATE(B7307,""id"",""en"")"),"['signal', 'bdoh']")</f>
        <v>['signal', 'bdoh']</v>
      </c>
      <c r="D7307" s="3">
        <v>1.0</v>
      </c>
    </row>
    <row r="7308" ht="15.75" customHeight="1">
      <c r="A7308" s="1">
        <v>7848.0</v>
      </c>
      <c r="B7308" s="3" t="s">
        <v>7041</v>
      </c>
      <c r="C7308" s="3" t="str">
        <f>IFERROR(__xludf.DUMMYFUNCTION("GOOGLETRANSLATE(B7308,""id"",""en"")"),"['night', 'signal', 'arising', 'lost', 'times',' work ',' signal ',' missing ',' embossed ',' base ',' eat ',' salary ',' blind ',' times', 'damned', 'times']")</f>
        <v>['night', 'signal', 'arising', 'lost', 'times',' work ',' signal ',' missing ',' embossed ',' base ',' eat ',' salary ',' blind ',' times', 'damned', 'times']</v>
      </c>
      <c r="D7308" s="3">
        <v>1.0</v>
      </c>
    </row>
    <row r="7309" ht="15.75" customHeight="1">
      <c r="A7309" s="1">
        <v>7849.0</v>
      </c>
      <c r="B7309" s="3" t="s">
        <v>7042</v>
      </c>
      <c r="C7309" s="3" t="str">
        <f>IFERROR(__xludf.DUMMYFUNCTION("GOOGLETRANSLATE(B7309,""id"",""en"")"),"['pokonya', 'joss']")</f>
        <v>['pokonya', 'joss']</v>
      </c>
      <c r="D7309" s="3">
        <v>5.0</v>
      </c>
    </row>
    <row r="7310" ht="15.75" customHeight="1">
      <c r="A7310" s="1">
        <v>7850.0</v>
      </c>
      <c r="B7310" s="3" t="s">
        <v>7043</v>
      </c>
      <c r="C7310" s="3" t="str">
        <f>IFERROR(__xludf.DUMMYFUNCTION("GOOGLETRANSLATE(B7310,""id"",""en"")"),"['', 'Teros', 'signal', 'stable']")</f>
        <v>['', 'Teros', 'signal', 'stable']</v>
      </c>
      <c r="D7310" s="3">
        <v>2.0</v>
      </c>
    </row>
    <row r="7311" ht="15.75" customHeight="1">
      <c r="A7311" s="1">
        <v>7851.0</v>
      </c>
      <c r="B7311" s="3" t="s">
        <v>7044</v>
      </c>
      <c r="C7311" s="3" t="str">
        <f>IFERROR(__xludf.DUMMYFUNCTION("GOOGLETRANSLATE(B7311,""id"",""en"")"),"['knapa', 'quota', 'bnyak', 'signal', 'full', 'slow', 'forgiveness', 'already']")</f>
        <v>['knapa', 'quota', 'bnyak', 'signal', 'full', 'slow', 'forgiveness', 'already']</v>
      </c>
      <c r="D7311" s="3">
        <v>5.0</v>
      </c>
    </row>
    <row r="7312" ht="15.75" customHeight="1">
      <c r="A7312" s="1">
        <v>7852.0</v>
      </c>
      <c r="B7312" s="3" t="s">
        <v>7045</v>
      </c>
      <c r="C7312" s="3" t="str">
        <f>IFERROR(__xludf.DUMMYFUNCTION("GOOGLETRANSLATE(B7312,""id"",""en"")"),"['expensive', 'price', 'package']")</f>
        <v>['expensive', 'price', 'package']</v>
      </c>
      <c r="D7312" s="3">
        <v>3.0</v>
      </c>
    </row>
    <row r="7313" ht="15.75" customHeight="1">
      <c r="A7313" s="1">
        <v>7853.0</v>
      </c>
      <c r="B7313" s="3" t="s">
        <v>7046</v>
      </c>
      <c r="C7313" s="3" t="str">
        <f>IFERROR(__xludf.DUMMYFUNCTION("GOOGLETRANSLATE(B7313,""id"",""en"")"),"['really', 'buy', 'package', 'internet', 'disorder', 'system', 'please', 'try', 'minute', 'right', 'try', ' Tetep ',' Masi ',' Troubled ',' Gajelas', '']")</f>
        <v>['really', 'buy', 'package', 'internet', 'disorder', 'system', 'please', 'try', 'minute', 'right', 'try', ' Tetep ',' Masi ',' Troubled ',' Gajelas', '']</v>
      </c>
      <c r="D7313" s="3">
        <v>2.0</v>
      </c>
    </row>
    <row r="7314" ht="15.75" customHeight="1">
      <c r="A7314" s="1">
        <v>7855.0</v>
      </c>
      <c r="B7314" s="3" t="s">
        <v>7047</v>
      </c>
      <c r="C7314" s="3" t="str">
        <f>IFERROR(__xludf.DUMMYFUNCTION("GOOGLETRANSLATE(B7314,""id"",""en"")"),"['pulse', 'I', 'ilang', 'Pedahal', 'buy']")</f>
        <v>['pulse', 'I', 'ilang', 'Pedahal', 'buy']</v>
      </c>
      <c r="D7314" s="3">
        <v>1.0</v>
      </c>
    </row>
    <row r="7315" ht="15.75" customHeight="1">
      <c r="A7315" s="1">
        <v>7856.0</v>
      </c>
      <c r="B7315" s="3" t="s">
        <v>7048</v>
      </c>
      <c r="C7315" s="3" t="str">
        <f>IFERROR(__xludf.DUMMYFUNCTION("GOOGLETRANSLATE(B7315,""id"",""en"")"),"['Package', 'promo', 'buy', 'description', 'disorder']")</f>
        <v>['Package', 'promo', 'buy', 'description', 'disorder']</v>
      </c>
      <c r="D7315" s="3">
        <v>2.0</v>
      </c>
    </row>
    <row r="7316" ht="15.75" customHeight="1">
      <c r="A7316" s="1">
        <v>7857.0</v>
      </c>
      <c r="B7316" s="3" t="s">
        <v>7049</v>
      </c>
      <c r="C7316" s="3" t="str">
        <f>IFERROR(__xludf.DUMMYFUNCTION("GOOGLETRANSLATE(B7316,""id"",""en"")"),"['internet', 'slow', 'father', 'smooth', 'loss', 'work', 'slow', 'price', 'according to', 'quality', ""]")</f>
        <v>['internet', 'slow', 'father', 'smooth', 'loss', 'work', 'slow', 'price', 'according to', 'quality', "]</v>
      </c>
      <c r="D7316" s="3">
        <v>1.0</v>
      </c>
    </row>
    <row r="7317" ht="15.75" customHeight="1">
      <c r="A7317" s="1">
        <v>7858.0</v>
      </c>
      <c r="B7317" s="3" t="s">
        <v>7050</v>
      </c>
      <c r="C7317" s="3" t="str">
        <f>IFERROR(__xludf.DUMMYFUNCTION("GOOGLETRANSLATE(B7317,""id"",""en"")"),"['Method', 'Payment', 'Limited', 'Monetary', 'Good', 'Casback', 'Credit', 'Package', 'Data', 'Effective', 'Limina', 'Hangus',' term ',' short ',' network ',' connection ',' internet ',' stable ']")</f>
        <v>['Method', 'Payment', 'Limited', 'Monetary', 'Good', 'Casback', 'Credit', 'Package', 'Data', 'Effective', 'Limina', 'Hangus',' term ',' short ',' network ',' connection ',' internet ',' stable ']</v>
      </c>
      <c r="D7317" s="3">
        <v>3.0</v>
      </c>
    </row>
    <row r="7318" ht="15.75" customHeight="1">
      <c r="A7318" s="1">
        <v>7859.0</v>
      </c>
      <c r="B7318" s="3" t="s">
        <v>7051</v>
      </c>
      <c r="C7318" s="3" t="str">
        <f>IFERROR(__xludf.DUMMYFUNCTION("GOOGLETRANSLATE(B7318,""id"",""en"")"),"['quota', 'game', 'skrng', 'cuk', 'check', 'yaa', 'quota', 'jugak', 'pakek', 'Disny', 'hostar', 'per month', ' Steady ',' Deh ',' Telkom ',' just ',' May ',' Telkom ',' discount ',' package ',' kbh ',' cheap ',' so ',' wear ',' that's' , 'Kyk', 'Diskin', "&amp;"'Gedek', 'Sis']")</f>
        <v>['quota', 'game', 'skrng', 'cuk', 'check', 'yaa', 'quota', 'jugak', 'pakek', 'Disny', 'hostar', 'per month', ' Steady ',' Deh ',' Telkom ',' just ',' May ',' Telkom ',' discount ',' package ',' kbh ',' cheap ',' so ',' wear ',' that's' , 'Kyk', 'Diskin', 'Gedek', 'Sis']</v>
      </c>
      <c r="D7318" s="3">
        <v>5.0</v>
      </c>
    </row>
    <row r="7319" ht="15.75" customHeight="1">
      <c r="A7319" s="1">
        <v>7860.0</v>
      </c>
      <c r="B7319" s="3" t="s">
        <v>7052</v>
      </c>
      <c r="C7319" s="3" t="str">
        <f>IFERROR(__xludf.DUMMYFUNCTION("GOOGLETRANSLATE(B7319,""id"",""en"")"),"['Network', 'weak', 'SBY', 'North', 'KPS', 'Mdy', 'Internet', 'Paketan', 'Price', 'Gojek', 'Helped', 'Buy', ' Telkomsel ']")</f>
        <v>['Network', 'weak', 'SBY', 'North', 'KPS', 'Mdy', 'Internet', 'Paketan', 'Price', 'Gojek', 'Helped', 'Buy', ' Telkomsel ']</v>
      </c>
      <c r="D7319" s="3">
        <v>1.0</v>
      </c>
    </row>
    <row r="7320" ht="15.75" customHeight="1">
      <c r="A7320" s="1">
        <v>7861.0</v>
      </c>
      <c r="B7320" s="3" t="s">
        <v>7053</v>
      </c>
      <c r="C7320" s="3" t="str">
        <f>IFERROR(__xludf.DUMMYFUNCTION("GOOGLETRANSLATE(B7320,""id"",""en"")"),"['Diamond', 'mlnya']")</f>
        <v>['Diamond', 'mlnya']</v>
      </c>
      <c r="D7320" s="3">
        <v>5.0</v>
      </c>
    </row>
    <row r="7321" ht="15.75" customHeight="1">
      <c r="A7321" s="1">
        <v>7862.0</v>
      </c>
      <c r="B7321" s="3" t="s">
        <v>7054</v>
      </c>
      <c r="C7321" s="3" t="str">
        <f>IFERROR(__xludf.DUMMYFUNCTION("GOOGLETRANSLATE(B7321,""id"",""en"")"),"['Trima', 'Ksh', 'Service', 'Good']")</f>
        <v>['Trima', 'Ksh', 'Service', 'Good']</v>
      </c>
      <c r="D7321" s="3">
        <v>5.0</v>
      </c>
    </row>
    <row r="7322" ht="15.75" customHeight="1">
      <c r="A7322" s="1">
        <v>7863.0</v>
      </c>
      <c r="B7322" s="3" t="s">
        <v>7055</v>
      </c>
      <c r="C7322" s="3" t="str">
        <f>IFERROR(__xludf.DUMMYFUNCTION("GOOGLETRANSLATE(B7322,""id"",""en"")"),"['oath', 'wrong', 'contents',' pulse ',' card ',' telkom ',' telkom ',' most ',' tax ',' contents', 'pulse', 'directly', ' Cut ',' quota ',' emergency ',' pulse ',' contents', 'reduced', 'reason', 'find', 'sickening', 'card', 'prime', ""]")</f>
        <v>['oath', 'wrong', 'contents',' pulse ',' card ',' telkom ',' telkom ',' most ',' tax ',' contents', 'pulse', 'directly', ' Cut ',' quota ',' emergency ',' pulse ',' contents', 'reduced', 'reason', 'find', 'sickening', 'card', 'prime', "]</v>
      </c>
      <c r="D7322" s="3">
        <v>1.0</v>
      </c>
    </row>
    <row r="7323" ht="15.75" customHeight="1">
      <c r="A7323" s="1">
        <v>7864.0</v>
      </c>
      <c r="B7323" s="3" t="s">
        <v>7056</v>
      </c>
      <c r="C7323" s="3" t="str">
        <f>IFERROR(__xludf.DUMMYFUNCTION("GOOGLETRANSLATE(B7323,""id"",""en"")"),"['Tollolll', 'Ngurass', 'Credit', 'Ijung']")</f>
        <v>['Tollolll', 'Ngurass', 'Credit', 'Ijung']</v>
      </c>
      <c r="D7323" s="3">
        <v>1.0</v>
      </c>
    </row>
    <row r="7324" ht="15.75" customHeight="1">
      <c r="A7324" s="1">
        <v>7865.0</v>
      </c>
      <c r="B7324" s="3" t="s">
        <v>7057</v>
      </c>
      <c r="C7324" s="3" t="str">
        <f>IFERROR(__xludf.DUMMYFUNCTION("GOOGLETRANSLATE(B7324,""id"",""en"")"),"['sorry', 'bro', 'buy', 'package', 'Telkomsel', 'writing', 'sorry', 'disorder', 'system', 'download', 'time', 'play', ' Store ',' writing ',' Disruption ',' then ']")</f>
        <v>['sorry', 'bro', 'buy', 'package', 'Telkomsel', 'writing', 'sorry', 'disorder', 'system', 'download', 'time', 'play', ' Store ',' writing ',' Disruption ',' then ']</v>
      </c>
      <c r="D7324" s="3">
        <v>2.0</v>
      </c>
    </row>
    <row r="7325" ht="15.75" customHeight="1">
      <c r="A7325" s="1">
        <v>7866.0</v>
      </c>
      <c r="B7325" s="3" t="s">
        <v>7058</v>
      </c>
      <c r="C7325" s="3" t="str">
        <f>IFERROR(__xludf.DUMMYFUNCTION("GOOGLETRANSLATE(B7325,""id"",""en"")"),"['Package', 'cheap', 'on display', 'buy', 'Mending', 'Display', 'Deh', 'PHP', 'promo', 'bought', 'disappointed', 'night', ' signal ',' like ',' missing ',' signs', 'icon', 'signal', 'safety']")</f>
        <v>['Package', 'cheap', 'on display', 'buy', 'Mending', 'Display', 'Deh', 'PHP', 'promo', 'bought', 'disappointed', 'night', ' signal ',' like ',' missing ',' signs', 'icon', 'signal', 'safety']</v>
      </c>
      <c r="D7325" s="3">
        <v>1.0</v>
      </c>
    </row>
    <row r="7326" ht="15.75" customHeight="1">
      <c r="A7326" s="1">
        <v>7867.0</v>
      </c>
      <c r="B7326" s="3" t="s">
        <v>7059</v>
      </c>
      <c r="C7326" s="3" t="str">
        <f>IFERROR(__xludf.DUMMYFUNCTION("GOOGLETRANSLATE(B7326,""id"",""en"")"),"['Provider', 'BUMN', 'Sinyal', 'ugly', 'number', 'dead', 'lights',' signal ',' ilang ',' stay ',' city ',' signal ',' in village']")</f>
        <v>['Provider', 'BUMN', 'Sinyal', 'ugly', 'number', 'dead', 'lights',' signal ',' ilang ',' stay ',' city ',' signal ',' in village']</v>
      </c>
      <c r="D7326" s="3">
        <v>1.0</v>
      </c>
    </row>
    <row r="7327" ht="15.75" customHeight="1">
      <c r="A7327" s="1">
        <v>7868.0</v>
      </c>
      <c r="B7327" s="3" t="s">
        <v>7060</v>
      </c>
      <c r="C7327" s="3" t="str">
        <f>IFERROR(__xludf.DUMMYFUNCTION("GOOGLETRANSLATE(B7327,""id"",""en"")"),"['already', 'many years',' use ',' Telkomsel ',' made ',' disappointed ',' package ',' data ',' buy ',' kayak ',' coercion ',' balance ',' package ',' data ',' annoyed ',' pulse ',' sumps', 'quota', 'as a result', 'buy', 'package', 'quota', 'filled', 'net"&amp;"work', 'down' , 'Slow', 'Severe', '']")</f>
        <v>['already', 'many years',' use ',' Telkomsel ',' made ',' disappointed ',' package ',' data ',' buy ',' kayak ',' coercion ',' balance ',' package ',' data ',' annoyed ',' pulse ',' sumps', 'quota', 'as a result', 'buy', 'package', 'quota', 'filled', 'network', 'down' , 'Slow', 'Severe', '']</v>
      </c>
      <c r="D7327" s="3">
        <v>1.0</v>
      </c>
    </row>
    <row r="7328" ht="15.75" customHeight="1">
      <c r="A7328" s="1">
        <v>7869.0</v>
      </c>
      <c r="B7328" s="3" t="s">
        <v>7061</v>
      </c>
      <c r="C7328" s="3" t="str">
        <f>IFERROR(__xludf.DUMMYFUNCTION("GOOGLETRANSLATE(B7328,""id"",""en"")"),"['Lally', 'error', 'star']")</f>
        <v>['Lally', 'error', 'star']</v>
      </c>
      <c r="D7328" s="3">
        <v>2.0</v>
      </c>
    </row>
    <row r="7329" ht="15.75" customHeight="1">
      <c r="A7329" s="1">
        <v>7870.0</v>
      </c>
      <c r="B7329" s="3" t="s">
        <v>7062</v>
      </c>
      <c r="C7329" s="3" t="str">
        <f>IFERROR(__xludf.DUMMYFUNCTION("GOOGLETRANSLATE(B7329,""id"",""en"")"),"['Maky', 'Ngilake', 'Provider']")</f>
        <v>['Maky', 'Ngilake', 'Provider']</v>
      </c>
      <c r="D7329" s="3">
        <v>1.0</v>
      </c>
    </row>
    <row r="7330" ht="15.75" customHeight="1">
      <c r="A7330" s="1">
        <v>7872.0</v>
      </c>
      <c r="B7330" s="3" t="s">
        <v>7063</v>
      </c>
      <c r="C7330" s="3" t="str">
        <f>IFERROR(__xludf.DUMMYFUNCTION("GOOGLETRANSLATE(B7330,""id"",""en"")"),"['package', 'quota', 'expensive', 'package', 'GB', 'thousand', 'thousand', 'card', 'Telkom', 'Sakti', 'already', 'subscribe', ' Premium ']")</f>
        <v>['package', 'quota', 'expensive', 'package', 'GB', 'thousand', 'thousand', 'card', 'Telkom', 'Sakti', 'already', 'subscribe', ' Premium ']</v>
      </c>
      <c r="D7330" s="3">
        <v>3.0</v>
      </c>
    </row>
    <row r="7331" ht="15.75" customHeight="1">
      <c r="A7331" s="1">
        <v>7873.0</v>
      </c>
      <c r="B7331" s="3" t="s">
        <v>7064</v>
      </c>
      <c r="C7331" s="3" t="str">
        <f>IFERROR(__xludf.DUMMYFUNCTION("GOOGLETRANSLATE(B7331,""id"",""en"")"),"['Telkomsel', 'emang', 'pant', 'hri', 'find', 'missing', 'network', 'price', 'perfect', 'quality', 'kek', 'taik', ' Buqt ',' Telkomsel ',' Provide ',' Network ',' Internet ',' Good ',' Mending ',' Conscious', 'Sell', 'Name', 'Doang', 'Weather', 'Bright' ,"&amp;" 'TPI', 'ilang', 'Network', 'Sometimes', 'Afternoon', 'Sometimes', 'Morning']")</f>
        <v>['Telkomsel', 'emang', 'pant', 'hri', 'find', 'missing', 'network', 'price', 'perfect', 'quality', 'kek', 'taik', ' Buqt ',' Telkomsel ',' Provide ',' Network ',' Internet ',' Good ',' Mending ',' Conscious', 'Sell', 'Name', 'Doang', 'Weather', 'Bright' , 'TPI', 'ilang', 'Network', 'Sometimes', 'Afternoon', 'Sometimes', 'Morning']</v>
      </c>
      <c r="D7331" s="3">
        <v>1.0</v>
      </c>
    </row>
    <row r="7332" ht="15.75" customHeight="1">
      <c r="A7332" s="1">
        <v>7874.0</v>
      </c>
      <c r="B7332" s="3" t="s">
        <v>7065</v>
      </c>
      <c r="C7332" s="3" t="str">
        <f>IFERROR(__xludf.DUMMYFUNCTION("GOOGLETRANSLATE(B7332,""id"",""en"")"),"['Credit', 'Reduced', 'Package', 'Internet', '']")</f>
        <v>['Credit', 'Reduced', 'Package', 'Internet', '']</v>
      </c>
      <c r="D7332" s="3">
        <v>1.0</v>
      </c>
    </row>
    <row r="7333" ht="15.75" customHeight="1">
      <c r="A7333" s="1">
        <v>7875.0</v>
      </c>
      <c r="B7333" s="3" t="s">
        <v>7066</v>
      </c>
      <c r="C7333" s="3" t="str">
        <f>IFERROR(__xludf.DUMMYFUNCTION("GOOGLETRANSLATE(B7333,""id"",""en"")"),"['easy', 'detail', 'pulse', 'package', 'choice']")</f>
        <v>['easy', 'detail', 'pulse', 'package', 'choice']</v>
      </c>
      <c r="D7333" s="3">
        <v>5.0</v>
      </c>
    </row>
    <row r="7334" ht="15.75" customHeight="1">
      <c r="A7334" s="1">
        <v>7876.0</v>
      </c>
      <c r="B7334" s="3" t="s">
        <v>7067</v>
      </c>
      <c r="C7334" s="3" t="str">
        <f>IFERROR(__xludf.DUMMYFUNCTION("GOOGLETRANSLATE(B7334,""id"",""en"")"),"['Wear', 'Telkomsel', 'seconds',' Packagein ',' Telkomsel ',' Credit ',' Contact ',' Respon ',' Slow ',' Have ',' Waiting ',' Kah ',' Telkomsel ',' Waiting ',' Activities', 'Boring', 'After', 'Breaking', 'Cart', 'Change', 'Card', 'Response', ""]")</f>
        <v>['Wear', 'Telkomsel', 'seconds',' Packagein ',' Telkomsel ',' Credit ',' Contact ',' Respon ',' Slow ',' Have ',' Waiting ',' Kah ',' Telkomsel ',' Waiting ',' Activities', 'Boring', 'After', 'Breaking', 'Cart', 'Change', 'Card', 'Response', "]</v>
      </c>
      <c r="D7334" s="3">
        <v>1.0</v>
      </c>
    </row>
    <row r="7335" ht="15.75" customHeight="1">
      <c r="A7335" s="1">
        <v>7877.0</v>
      </c>
      <c r="B7335" s="3" t="s">
        <v>7068</v>
      </c>
      <c r="C7335" s="3" t="str">
        <f>IFERROR(__xludf.DUMMYFUNCTION("GOOGLETRANSLATE(B7335,""id"",""en"")"),"['disappointed', 'network', 'slow', 'list', 'package', 'data', 'promo', 'fake', 'reason', 'system', 'busy', 'blah', ' Bla ',' business', 'promo', 'hoax', '']")</f>
        <v>['disappointed', 'network', 'slow', 'list', 'package', 'data', 'promo', 'fake', 'reason', 'system', 'busy', 'blah', ' Bla ',' business', 'promo', 'hoax', '']</v>
      </c>
      <c r="D7335" s="3">
        <v>1.0</v>
      </c>
    </row>
    <row r="7336" ht="15.75" customHeight="1">
      <c r="A7336" s="1">
        <v>7878.0</v>
      </c>
      <c r="B7336" s="3" t="s">
        <v>7069</v>
      </c>
      <c r="C7336" s="3" t="str">
        <f>IFERROR(__xludf.DUMMYFUNCTION("GOOGLETRANSLATE(B7336,""id"",""en"")"),"['Ngellag', 'disorder', 'APK', 'garbage', '']")</f>
        <v>['Ngellag', 'disorder', 'APK', 'garbage', '']</v>
      </c>
      <c r="D7336" s="3">
        <v>1.0</v>
      </c>
    </row>
    <row r="7337" ht="15.75" customHeight="1">
      <c r="A7337" s="1">
        <v>7879.0</v>
      </c>
      <c r="B7337" s="3" t="s">
        <v>7070</v>
      </c>
      <c r="C7337" s="3" t="str">
        <f>IFERROR(__xludf.DUMMYFUNCTION("GOOGLETRANSLATE(B7337,""id"",""en"")"),"['crazy', 'expensive', 'really', 'package', 'Telkomsel', '']")</f>
        <v>['crazy', 'expensive', 'really', 'package', 'Telkomsel', '']</v>
      </c>
      <c r="D7337" s="3">
        <v>2.0</v>
      </c>
    </row>
    <row r="7338" ht="15.75" customHeight="1">
      <c r="A7338" s="1">
        <v>7880.0</v>
      </c>
      <c r="B7338" s="3" t="s">
        <v>7071</v>
      </c>
      <c r="C7338" s="3" t="str">
        <f>IFERROR(__xludf.DUMMYFUNCTION("GOOGLETRANSLATE(B7338,""id"",""en"")"),"['Helpful', 'user', 'Telkomsel', '']")</f>
        <v>['Helpful', 'user', 'Telkomsel', '']</v>
      </c>
      <c r="D7338" s="3">
        <v>5.0</v>
      </c>
    </row>
    <row r="7339" ht="15.75" customHeight="1">
      <c r="A7339" s="1">
        <v>7882.0</v>
      </c>
      <c r="B7339" s="3" t="s">
        <v>7072</v>
      </c>
      <c r="C7339" s="3" t="str">
        <f>IFERROR(__xludf.DUMMYFUNCTION("GOOGLETRANSLATE(B7339,""id"",""en"")"),"['Yesterday', 'buy', 'pulse', 'chat', 'call', 'center', 'veronika', 'pulse', 'finished', 'sucked', 'dahal', 'used', ' cmn ',' kb ',' doang ',' ngeselin ',' original ',' telkomsel ',' udh ',' network ',' slow ',' facility ',' makadian ',' really ',' salty "&amp;"' ]")</f>
        <v>['Yesterday', 'buy', 'pulse', 'chat', 'call', 'center', 'veronika', 'pulse', 'finished', 'sucked', 'dahal', 'used', ' cmn ',' kb ',' doang ',' ngeselin ',' original ',' telkomsel ',' udh ',' network ',' slow ',' facility ',' makadian ',' really ',' salty ' ]</v>
      </c>
      <c r="D7339" s="3">
        <v>1.0</v>
      </c>
    </row>
    <row r="7340" ht="15.75" customHeight="1">
      <c r="A7340" s="1">
        <v>7883.0</v>
      </c>
      <c r="B7340" s="3" t="s">
        <v>7073</v>
      </c>
      <c r="C7340" s="3" t="str">
        <f>IFERROR(__xludf.DUMMYFUNCTION("GOOGLETRANSLATE(B7340,""id"",""en"")"),"['Leet', 'ugly', 'destroyed', 'connection', 'bad', 'network', 'dilapidated', '']")</f>
        <v>['Leet', 'ugly', 'destroyed', 'connection', 'bad', 'network', 'dilapidated', '']</v>
      </c>
      <c r="D7340" s="3">
        <v>1.0</v>
      </c>
    </row>
    <row r="7341" ht="15.75" customHeight="1">
      <c r="A7341" s="1">
        <v>7884.0</v>
      </c>
      <c r="B7341" s="3" t="s">
        <v>7074</v>
      </c>
      <c r="C7341" s="3" t="str">
        <f>IFERROR(__xludf.DUMMYFUNCTION("GOOGLETRANSLATE(B7341,""id"",""en"")"),"['Disruption', 'system']")</f>
        <v>['Disruption', 'system']</v>
      </c>
      <c r="D7341" s="3">
        <v>1.0</v>
      </c>
    </row>
    <row r="7342" ht="15.75" customHeight="1">
      <c r="A7342" s="1">
        <v>7885.0</v>
      </c>
      <c r="B7342" s="3" t="s">
        <v>7075</v>
      </c>
      <c r="C7342" s="3" t="str">
        <f>IFERROR(__xludf.DUMMYFUNCTION("GOOGLETRANSLATE(B7342,""id"",""en"")"),"['application', 'buy', 'package', 'difficult', 'forgiveness', 'disorder', 'connection', 'then']")</f>
        <v>['application', 'buy', 'package', 'difficult', 'forgiveness', 'disorder', 'connection', 'then']</v>
      </c>
      <c r="D7342" s="3">
        <v>1.0</v>
      </c>
    </row>
    <row r="7343" ht="15.75" customHeight="1">
      <c r="A7343" s="1">
        <v>7886.0</v>
      </c>
      <c r="B7343" s="3" t="s">
        <v>7076</v>
      </c>
      <c r="C7343" s="3" t="str">
        <f>IFERROR(__xludf.DUMMYFUNCTION("GOOGLETRANSLATE(B7343,""id"",""en"")"),"['Process', 'CPAT', 'PKOK', 'MANTAP']")</f>
        <v>['Process', 'CPAT', 'PKOK', 'MANTAP']</v>
      </c>
      <c r="D7343" s="3">
        <v>5.0</v>
      </c>
    </row>
    <row r="7344" ht="15.75" customHeight="1">
      <c r="A7344" s="1">
        <v>7887.0</v>
      </c>
      <c r="B7344" s="3" t="s">
        <v>7077</v>
      </c>
      <c r="C7344" s="3" t="str">
        <f>IFERROR(__xludf.DUMMYFUNCTION("GOOGLETRANSLATE(B7344,""id"",""en"")"),"['pulse', 'package', 'expensive', 'minimal', 'stingy', 'active', 'short', 'really', 'active']")</f>
        <v>['pulse', 'package', 'expensive', 'minimal', 'stingy', 'active', 'short', 'really', 'active']</v>
      </c>
      <c r="D7344" s="3">
        <v>1.0</v>
      </c>
    </row>
    <row r="7345" ht="15.75" customHeight="1">
      <c r="A7345" s="1">
        <v>7888.0</v>
      </c>
      <c r="B7345" s="3" t="s">
        <v>7078</v>
      </c>
      <c r="C7345" s="3" t="str">
        <f>IFERROR(__xludf.DUMMYFUNCTION("GOOGLETRANSLATE(B7345,""id"",""en"")"),"['no', 'intention', 'promo', 'no', 'on display', 'promo', 'reason', 'disorder', 'system', 'what', 'php']")</f>
        <v>['no', 'intention', 'promo', 'no', 'on display', 'promo', 'reason', 'disorder', 'system', 'what', 'php']</v>
      </c>
      <c r="D7345" s="3">
        <v>1.0</v>
      </c>
    </row>
    <row r="7346" ht="15.75" customHeight="1">
      <c r="A7346" s="1">
        <v>7889.0</v>
      </c>
      <c r="B7346" s="3" t="s">
        <v>7079</v>
      </c>
      <c r="C7346" s="3" t="str">
        <f>IFERROR(__xludf.DUMMYFUNCTION("GOOGLETRANSLATE(B7346,""id"",""en"")"),"['Cheap', 'really', 'cok']")</f>
        <v>['Cheap', 'really', 'cok']</v>
      </c>
      <c r="D7346" s="3">
        <v>5.0</v>
      </c>
    </row>
    <row r="7347" ht="15.75" customHeight="1">
      <c r="A7347" s="1">
        <v>7890.0</v>
      </c>
      <c r="B7347" s="3" t="s">
        <v>2774</v>
      </c>
      <c r="C7347" s="3" t="str">
        <f>IFERROR(__xludf.DUMMYFUNCTION("GOOGLETRANSLATE(B7347,""id"",""en"")"),"['', 'Telkomsel', 'Good']")</f>
        <v>['', 'Telkomsel', 'Good']</v>
      </c>
      <c r="D7347" s="3">
        <v>5.0</v>
      </c>
    </row>
    <row r="7348" ht="15.75" customHeight="1">
      <c r="A7348" s="1">
        <v>7891.0</v>
      </c>
      <c r="B7348" s="3" t="s">
        <v>7080</v>
      </c>
      <c r="C7348" s="3" t="str">
        <f>IFERROR(__xludf.DUMMYFUNCTION("GOOGLETRANSLATE(B7348,""id"",""en"")"),"['package', 'quota', 'rare', 'package', 'cheerful', '']")</f>
        <v>['package', 'quota', 'rare', 'package', 'cheerful', '']</v>
      </c>
      <c r="D7348" s="3">
        <v>1.0</v>
      </c>
    </row>
    <row r="7349" ht="15.75" customHeight="1">
      <c r="A7349" s="1">
        <v>7892.0</v>
      </c>
      <c r="B7349" s="3" t="s">
        <v>7081</v>
      </c>
      <c r="C7349" s="3" t="str">
        <f>IFERROR(__xludf.DUMMYFUNCTION("GOOGLETRANSLATE(B7349,""id"",""en"")"),"['Pakek', 'Reduced', 'Expensive']")</f>
        <v>['Pakek', 'Reduced', 'Expensive']</v>
      </c>
      <c r="D7349" s="3">
        <v>1.0</v>
      </c>
    </row>
    <row r="7350" ht="15.75" customHeight="1">
      <c r="A7350" s="1">
        <v>7893.0</v>
      </c>
      <c r="B7350" s="3" t="s">
        <v>7082</v>
      </c>
      <c r="C7350" s="3" t="str">
        <f>IFERROR(__xludf.DUMMYFUNCTION("GOOGLETRANSLATE(B7350,""id"",""en"")"),"['How', 'Telkomsel', 'here', 'ugly', 'price', 'expensive', 'night', 'buy', 'omg', 'blm', 'a day', 'open', ' shopee ',' connection ',' failed ',' mulu ',' position ',' city ',' bandung ',' forest ',' lose ',' skrg ', ""]")</f>
        <v>['How', 'Telkomsel', 'here', 'ugly', 'price', 'expensive', 'night', 'buy', 'omg', 'blm', 'a day', 'open', ' shopee ',' connection ',' failed ',' mulu ',' position ',' city ',' bandung ',' forest ',' lose ',' skrg ', "]</v>
      </c>
      <c r="D7350" s="3">
        <v>1.0</v>
      </c>
    </row>
    <row r="7351" ht="15.75" customHeight="1">
      <c r="A7351" s="1">
        <v>7894.0</v>
      </c>
      <c r="B7351" s="3" t="s">
        <v>7083</v>
      </c>
      <c r="C7351" s="3" t="str">
        <f>IFERROR(__xludf.DUMMYFUNCTION("GOOGLETRANSLATE(B7351,""id"",""en"")"),"['Telkomsel', 'expensive', 'dog']")</f>
        <v>['Telkomsel', 'expensive', 'dog']</v>
      </c>
      <c r="D7351" s="3">
        <v>1.0</v>
      </c>
    </row>
    <row r="7352" ht="15.75" customHeight="1">
      <c r="A7352" s="1">
        <v>7895.0</v>
      </c>
      <c r="B7352" s="3" t="s">
        <v>7084</v>
      </c>
      <c r="C7352" s="3" t="str">
        <f>IFERROR(__xludf.DUMMYFUNCTION("GOOGLETRANSLATE(B7352,""id"",""en"")"),"['Try', 'pke', 'application', 'buy', 'package', 'kgk', 'aesthan', 'check', 'connection', 'open', 'app', 'bs']")</f>
        <v>['Try', 'pke', 'application', 'buy', 'package', 'kgk', 'aesthan', 'check', 'connection', 'open', 'app', 'bs']</v>
      </c>
      <c r="D7352" s="3">
        <v>1.0</v>
      </c>
    </row>
    <row r="7353" ht="15.75" customHeight="1">
      <c r="A7353" s="1">
        <v>7896.0</v>
      </c>
      <c r="B7353" s="3" t="s">
        <v>7085</v>
      </c>
      <c r="C7353" s="3" t="str">
        <f>IFERROR(__xludf.DUMMYFUNCTION("GOOGLETRANSLATE(B7353,""id"",""en"")"),"['Update', 'silly', 'Telkomsel', 'Package', 'Tel', 'JDI', 'Konyolll']")</f>
        <v>['Update', 'silly', 'Telkomsel', 'Package', 'Tel', 'JDI', 'Konyolll']</v>
      </c>
      <c r="D7353" s="3">
        <v>1.0</v>
      </c>
    </row>
    <row r="7354" ht="15.75" customHeight="1">
      <c r="A7354" s="1">
        <v>7897.0</v>
      </c>
      <c r="B7354" s="3" t="s">
        <v>7086</v>
      </c>
      <c r="C7354" s="3" t="str">
        <f>IFERROR(__xludf.DUMMYFUNCTION("GOOGLETRANSLATE(B7354,""id"",""en"")"),"['Good', 'really', 'help']")</f>
        <v>['Good', 'really', 'help']</v>
      </c>
      <c r="D7354" s="3">
        <v>5.0</v>
      </c>
    </row>
    <row r="7355" ht="15.75" customHeight="1">
      <c r="A7355" s="1">
        <v>7898.0</v>
      </c>
      <c r="B7355" s="3" t="s">
        <v>7087</v>
      </c>
      <c r="C7355" s="3" t="str">
        <f>IFERROR(__xludf.DUMMYFUNCTION("GOOGLETRANSLATE(B7355,""id"",""en"")"),"['right', 'buy', 'quota', 'something', 'wrong', 'quota', 'please', 'help']")</f>
        <v>['right', 'buy', 'quota', 'something', 'wrong', 'quota', 'please', 'help']</v>
      </c>
      <c r="D7355" s="3">
        <v>2.0</v>
      </c>
    </row>
    <row r="7356" ht="15.75" customHeight="1">
      <c r="A7356" s="1">
        <v>7899.0</v>
      </c>
      <c r="B7356" s="3" t="s">
        <v>7088</v>
      </c>
      <c r="C7356" s="3" t="str">
        <f>IFERROR(__xludf.DUMMYFUNCTION("GOOGLETRANSLATE(B7356,""id"",""en"")"),"['Lemotttttt', 'application', 'update', 'no', 'signal', 'sekranga', 'difficult', 'mood', 'broken', 'rain', ""]")</f>
        <v>['Lemotttttt', 'application', 'update', 'no', 'signal', 'sekranga', 'difficult', 'mood', 'broken', 'rain', "]</v>
      </c>
      <c r="D7356" s="3">
        <v>5.0</v>
      </c>
    </row>
    <row r="7357" ht="15.75" customHeight="1">
      <c r="A7357" s="1">
        <v>7900.0</v>
      </c>
      <c r="B7357" s="3" t="s">
        <v>7089</v>
      </c>
      <c r="C7357" s="3" t="str">
        <f>IFERROR(__xludf.DUMMYFUNCTION("GOOGLETRANSLATE(B7357,""id"",""en"")"),"['Teruntuk', 'Telkomsel', 'Please', 'fix', 'error', 'fast', 'tired', 'online', 'maximum', 'value', 'down', 'because' package ',' internet ',' Nge ',' lag ',' severe ',' signal ',' missing ',' Please ',' fix ']")</f>
        <v>['Teruntuk', 'Telkomsel', 'Please', 'fix', 'error', 'fast', 'tired', 'online', 'maximum', 'value', 'down', 'because' package ',' internet ',' Nge ',' lag ',' severe ',' signal ',' missing ',' Please ',' fix ']</v>
      </c>
      <c r="D7357" s="3">
        <v>1.0</v>
      </c>
    </row>
    <row r="7358" ht="15.75" customHeight="1">
      <c r="A7358" s="1">
        <v>7901.0</v>
      </c>
      <c r="B7358" s="3" t="s">
        <v>7090</v>
      </c>
      <c r="C7358" s="3" t="str">
        <f>IFERROR(__xludf.DUMMYFUNCTION("GOOGLETRANSLATE(B7358,""id"",""en"")"),"['Bigssssssss', 'bangetttttttt', 'application', '']")</f>
        <v>['Bigssssssss', 'bangetttttttt', 'application', '']</v>
      </c>
      <c r="D7358" s="3">
        <v>5.0</v>
      </c>
    </row>
    <row r="7359" ht="15.75" customHeight="1">
      <c r="A7359" s="1">
        <v>7902.0</v>
      </c>
      <c r="B7359" s="3" t="s">
        <v>7091</v>
      </c>
      <c r="C7359" s="3" t="str">
        <f>IFERROR(__xludf.DUMMYFUNCTION("GOOGLETRANSLATE(B7359,""id"",""en"")"),"['buy', 'package', 'difficult']")</f>
        <v>['buy', 'package', 'difficult']</v>
      </c>
      <c r="D7359" s="3">
        <v>1.0</v>
      </c>
    </row>
    <row r="7360" ht="15.75" customHeight="1">
      <c r="A7360" s="1">
        <v>7903.0</v>
      </c>
      <c r="B7360" s="3" t="s">
        <v>7092</v>
      </c>
      <c r="C7360" s="3" t="str">
        <f>IFERROR(__xludf.DUMMYFUNCTION("GOOGLETRANSLATE(B7360,""id"",""en"")"),"['Bgus', 'Margnt']")</f>
        <v>['Bgus', 'Margnt']</v>
      </c>
      <c r="D7360" s="3">
        <v>5.0</v>
      </c>
    </row>
    <row r="7361" ht="15.75" customHeight="1">
      <c r="A7361" s="1">
        <v>7904.0</v>
      </c>
      <c r="B7361" s="3" t="s">
        <v>7093</v>
      </c>
      <c r="C7361" s="3" t="str">
        <f>IFERROR(__xludf.DUMMYFUNCTION("GOOGLETRANSLATE(B7361,""id"",""en"")"),"['Honest', 'Move', 'Dri', 'sympathy', 'use', 'sympathy', 'honest', 'signal', 'connection', 'sympathy', 'battered', 'pisan', ' speeding ',' really ',' regretting ']")</f>
        <v>['Honest', 'Move', 'Dri', 'sympathy', 'use', 'sympathy', 'honest', 'signal', 'connection', 'sympathy', 'battered', 'pisan', ' speeding ',' really ',' regretting ']</v>
      </c>
      <c r="D7361" s="3">
        <v>1.0</v>
      </c>
    </row>
    <row r="7362" ht="15.75" customHeight="1">
      <c r="A7362" s="1">
        <v>7905.0</v>
      </c>
      <c r="B7362" s="3" t="s">
        <v>7094</v>
      </c>
      <c r="C7362" s="3" t="str">
        <f>IFERROR(__xludf.DUMMYFUNCTION("GOOGLETRANSLATE(B7362,""id"",""en"")"),"['Application', 'Help', 'leftover', 'pulse', 'leftover', 'kouta', 'promo', 'bonus', 'etc.']")</f>
        <v>['Application', 'Help', 'leftover', 'pulse', 'leftover', 'kouta', 'promo', 'bonus', 'etc.']</v>
      </c>
      <c r="D7362" s="3">
        <v>4.0</v>
      </c>
    </row>
    <row r="7363" ht="15.75" customHeight="1">
      <c r="A7363" s="1">
        <v>7906.0</v>
      </c>
      <c r="B7363" s="3" t="s">
        <v>7095</v>
      </c>
      <c r="C7363" s="3" t="str">
        <f>IFERROR(__xludf.DUMMYFUNCTION("GOOGLETRANSLATE(B7363,""id"",""en"")"),"['Help', 'really', ""]")</f>
        <v>['Help', 'really', "]</v>
      </c>
      <c r="D7363" s="3">
        <v>5.0</v>
      </c>
    </row>
    <row r="7364" ht="15.75" customHeight="1">
      <c r="A7364" s="1">
        <v>7907.0</v>
      </c>
      <c r="B7364" s="3" t="s">
        <v>7096</v>
      </c>
      <c r="C7364" s="3" t="str">
        <f>IFERROR(__xludf.DUMMYFUNCTION("GOOGLETRANSLATE(B7364,""id"",""en"")"),"['thank', 'love', 'Telkomsel', 'return', 'price', 'purchase', 'package', 'quota', 'rb', 'signal', 'Telkomsel', 'sometimes',' slow ',' era ',' loyal ',' use ',' Telkomsel ',' Telkomsel ',' responsive ',' Telkomsel ',' promo ',' best ', ""]")</f>
        <v>['thank', 'love', 'Telkomsel', 'return', 'price', 'purchase', 'package', 'quota', 'rb', 'signal', 'Telkomsel', 'sometimes',' slow ',' era ',' loyal ',' use ',' Telkomsel ',' Telkomsel ',' responsive ',' Telkomsel ',' promo ',' best ', "]</v>
      </c>
      <c r="D7364" s="3">
        <v>5.0</v>
      </c>
    </row>
    <row r="7365" ht="15.75" customHeight="1">
      <c r="A7365" s="1">
        <v>7908.0</v>
      </c>
      <c r="B7365" s="3" t="s">
        <v>7097</v>
      </c>
      <c r="C7365" s="3" t="str">
        <f>IFERROR(__xludf.DUMMYFUNCTION("GOOGLETRANSLATE(B7365,""id"",""en"")"),"['Sexose', 'best', '']")</f>
        <v>['Sexose', 'best', '']</v>
      </c>
      <c r="D7365" s="3">
        <v>5.0</v>
      </c>
    </row>
    <row r="7366" ht="15.75" customHeight="1">
      <c r="A7366" s="1">
        <v>7909.0</v>
      </c>
      <c r="B7366" s="3" t="s">
        <v>7098</v>
      </c>
      <c r="C7366" s="3" t="str">
        <f>IFERROR(__xludf.DUMMYFUNCTION("GOOGLETRANSLATE(B7366,""id"",""en"")"),"['Cool', 'It's easy', 'Customer', 'Good', 'Jobs', 'Telkomsel']")</f>
        <v>['Cool', 'It's easy', 'Customer', 'Good', 'Jobs', 'Telkomsel']</v>
      </c>
      <c r="D7366" s="3">
        <v>5.0</v>
      </c>
    </row>
    <row r="7367" ht="15.75" customHeight="1">
      <c r="A7367" s="1">
        <v>7910.0</v>
      </c>
      <c r="B7367" s="3" t="s">
        <v>7099</v>
      </c>
      <c r="C7367" s="3" t="str">
        <f>IFERROR(__xludf.DUMMYFUNCTION("GOOGLETRANSLATE(B7367,""id"",""en"")"),"['Hi', 'Mimin', 'Tarip', 'Package', 'Min', 'Promo', 'Nambah', 'Expensive', 'Please', 'Promo', 'Cheap', 'Cheap', ' Kasian ',' pke ',' card ',' Telkomsel ',' hope ',' listen ',' promo ',' amin ']")</f>
        <v>['Hi', 'Mimin', 'Tarip', 'Package', 'Min', 'Promo', 'Nambah', 'Expensive', 'Please', 'Promo', 'Cheap', 'Cheap', ' Kasian ',' pke ',' card ',' Telkomsel ',' hope ',' listen ',' promo ',' amin ']</v>
      </c>
      <c r="D7367" s="3">
        <v>5.0</v>
      </c>
    </row>
    <row r="7368" ht="15.75" customHeight="1">
      <c r="A7368" s="1">
        <v>7911.0</v>
      </c>
      <c r="B7368" s="3" t="s">
        <v>286</v>
      </c>
      <c r="C7368" s="3" t="str">
        <f>IFERROR(__xludf.DUMMYFUNCTION("GOOGLETRANSLATE(B7368,""id"",""en"")"),"['good']")</f>
        <v>['good']</v>
      </c>
      <c r="D7368" s="3">
        <v>5.0</v>
      </c>
    </row>
    <row r="7369" ht="15.75" customHeight="1">
      <c r="A7369" s="1">
        <v>7912.0</v>
      </c>
      <c r="B7369" s="3" t="s">
        <v>7100</v>
      </c>
      <c r="C7369" s="3" t="str">
        <f>IFERROR(__xludf.DUMMYFUNCTION("GOOGLETRANSLATE(B7369,""id"",""en"")"),"['Steady', 'signal']")</f>
        <v>['Steady', 'signal']</v>
      </c>
      <c r="D7369" s="3">
        <v>5.0</v>
      </c>
    </row>
    <row r="7370" ht="15.75" customHeight="1">
      <c r="A7370" s="1">
        <v>7913.0</v>
      </c>
      <c r="B7370" s="3" t="s">
        <v>7101</v>
      </c>
      <c r="C7370" s="3" t="str">
        <f>IFERROR(__xludf.DUMMYFUNCTION("GOOGLETRANSLATE(B7370,""id"",""en"")"),"['buy', 'quota', 'contents', 'drama', 'system', 'error', 'mulu', 'poor']")</f>
        <v>['buy', 'quota', 'contents', 'drama', 'system', 'error', 'mulu', 'poor']</v>
      </c>
      <c r="D7370" s="3">
        <v>1.0</v>
      </c>
    </row>
    <row r="7371" ht="15.75" customHeight="1">
      <c r="A7371" s="1">
        <v>7914.0</v>
      </c>
      <c r="B7371" s="3" t="s">
        <v>7102</v>
      </c>
      <c r="C7371" s="3" t="str">
        <f>IFERROR(__xludf.DUMMYFUNCTION("GOOGLETRANSLATE(B7371,""id"",""en"")"),"['App', 'disappointing', 'slow', 'troubles']")</f>
        <v>['App', 'disappointing', 'slow', 'troubles']</v>
      </c>
      <c r="D7371" s="3">
        <v>1.0</v>
      </c>
    </row>
    <row r="7372" ht="15.75" customHeight="1">
      <c r="A7372" s="1">
        <v>7915.0</v>
      </c>
      <c r="B7372" s="3" t="s">
        <v>7103</v>
      </c>
      <c r="C7372" s="3" t="str">
        <f>IFERROR(__xludf.DUMMYFUNCTION("GOOGLETRANSLATE(B7372,""id"",""en"")"),"['heavy', 'road', 'potato']")</f>
        <v>['heavy', 'road', 'potato']</v>
      </c>
      <c r="D7372" s="3">
        <v>1.0</v>
      </c>
    </row>
    <row r="7373" ht="15.75" customHeight="1">
      <c r="A7373" s="1">
        <v>7916.0</v>
      </c>
      <c r="B7373" s="3" t="s">
        <v>7104</v>
      </c>
      <c r="C7373" s="3" t="str">
        <f>IFERROR(__xludf.DUMMYFUNCTION("GOOGLETRANSLATE(B7373,""id"",""en"")"),"['customer', 'loyal', 'tekomsel', 'good', 'smooth', 'pulse', 'buy', 'package', 'internet', 'please', 'responded']")</f>
        <v>['customer', 'loyal', 'tekomsel', 'good', 'smooth', 'pulse', 'buy', 'package', 'internet', 'please', 'responded']</v>
      </c>
      <c r="D7373" s="3">
        <v>5.0</v>
      </c>
    </row>
    <row r="7374" ht="15.75" customHeight="1">
      <c r="A7374" s="1">
        <v>7917.0</v>
      </c>
      <c r="B7374" s="3" t="s">
        <v>7105</v>
      </c>
      <c r="C7374" s="3" t="str">
        <f>IFERROR(__xludf.DUMMYFUNCTION("GOOGLETRANSLATE(B7374,""id"",""en"")"),"['', 'fix', 'signal']")</f>
        <v>['', 'fix', 'signal']</v>
      </c>
      <c r="D7374" s="3">
        <v>5.0</v>
      </c>
    </row>
    <row r="7375" ht="15.75" customHeight="1">
      <c r="A7375" s="1">
        <v>7918.0</v>
      </c>
      <c r="B7375" s="3" t="s">
        <v>7106</v>
      </c>
      <c r="C7375" s="3" t="str">
        <f>IFERROR(__xludf.DUMMYFUNCTION("GOOGLETRANSLATE(B7375,""id"",""en"")"),"['Redem', 'Point', 'Pulse', 'PNH', 'Enter', 'Smntra', 'Point', 'Cutting', 'Exchange', 'Point', 'Balance', 'Link', ' Direct ',' enter ',' count ',' minutes ',' knp ',' pulse ',' smpe ',' in 'entry', 'really', 'disappointed', 'heavy', 'Telkomsel' , 'Respons"&amp;"e', 'satisfying', 'PDHL', 'Report', 'GraPARI', 'Nearest', 'hope', 'Learning', 'Cust', 'Telkomsel', 'poor', 'Telkomsel', ' gift ',' pulse ',' gimmick ',' doank ',' exp ',' pke ',' msh ',' bnus']")</f>
        <v>['Redem', 'Point', 'Pulse', 'PNH', 'Enter', 'Smntra', 'Point', 'Cutting', 'Exchange', 'Point', 'Balance', 'Link', ' Direct ',' enter ',' count ',' minutes ',' knp ',' pulse ',' smpe ',' in 'entry', 'really', 'disappointed', 'heavy', 'Telkomsel' , 'Response', 'satisfying', 'PDHL', 'Report', 'GraPARI', 'Nearest', 'hope', 'Learning', 'Cust', 'Telkomsel', 'poor', 'Telkomsel', ' gift ',' pulse ',' gimmick ',' doank ',' exp ',' pke ',' msh ',' bnus']</v>
      </c>
      <c r="D7375" s="3">
        <v>1.0</v>
      </c>
    </row>
    <row r="7376" ht="15.75" customHeight="1">
      <c r="A7376" s="1">
        <v>7919.0</v>
      </c>
      <c r="B7376" s="3" t="s">
        <v>7107</v>
      </c>
      <c r="C7376" s="3" t="str">
        <f>IFERROR(__xludf.DUMMYFUNCTION("GOOGLETRANSLATE(B7376,""id"",""en"")"),"['Telkomsel', 'how', 'update', 'gabisa', 'buy', 'packetan', 'lahhhhh']")</f>
        <v>['Telkomsel', 'how', 'update', 'gabisa', 'buy', 'packetan', 'lahhhhh']</v>
      </c>
      <c r="D7376" s="3">
        <v>1.0</v>
      </c>
    </row>
    <row r="7377" ht="15.75" customHeight="1">
      <c r="A7377" s="1">
        <v>7920.0</v>
      </c>
      <c r="B7377" s="3" t="s">
        <v>7108</v>
      </c>
      <c r="C7377" s="3" t="str">
        <f>IFERROR(__xludf.DUMMYFUNCTION("GOOGLETRANSLATE(B7377,""id"",""en"")"),"['Telkomsel', 'quota', 'internet', 'expensive', 'really', 'different', 'operator']")</f>
        <v>['Telkomsel', 'quota', 'internet', 'expensive', 'really', 'different', 'operator']</v>
      </c>
      <c r="D7377" s="3">
        <v>1.0</v>
      </c>
    </row>
    <row r="7378" ht="15.75" customHeight="1">
      <c r="A7378" s="1">
        <v>7921.0</v>
      </c>
      <c r="B7378" s="3" t="s">
        <v>7109</v>
      </c>
      <c r="C7378" s="3" t="str">
        <f>IFERROR(__xludf.DUMMYFUNCTION("GOOGLETRANSLATE(B7378,""id"",""en"")"),"['min', 'the application', 'please', 'check', 'likes',' force ',' close ',' plus', 'application', 'loading', 'heavy', 'plus',' Error ',' disorder ',' system ',' etc. ']")</f>
        <v>['min', 'the application', 'please', 'check', 'likes',' force ',' close ',' plus', 'application', 'loading', 'heavy', 'plus',' Error ',' disorder ',' system ',' etc. ']</v>
      </c>
      <c r="D7378" s="3">
        <v>2.0</v>
      </c>
    </row>
    <row r="7379" ht="15.75" customHeight="1">
      <c r="A7379" s="1">
        <v>7922.0</v>
      </c>
      <c r="B7379" s="3" t="s">
        <v>7110</v>
      </c>
      <c r="C7379" s="3" t="str">
        <f>IFERROR(__xludf.DUMMYFUNCTION("GOOGLETRANSLATE(B7379,""id"",""en"")"),"['Pre', 'Pay', 'Package', 'Out', 'Credit', 'Credit', 'Sucked', 'Recognition', 'Customer', 'Vampire', 'Separated', 'Data', ' pulse', '']")</f>
        <v>['Pre', 'Pay', 'Package', 'Out', 'Credit', 'Credit', 'Sucked', 'Recognition', 'Customer', 'Vampire', 'Separated', 'Data', ' pulse', '']</v>
      </c>
      <c r="D7379" s="3">
        <v>1.0</v>
      </c>
    </row>
    <row r="7380" ht="15.75" customHeight="1">
      <c r="A7380" s="1">
        <v>7923.0</v>
      </c>
      <c r="B7380" s="3" t="s">
        <v>7111</v>
      </c>
      <c r="C7380" s="3" t="str">
        <f>IFERROR(__xludf.DUMMYFUNCTION("GOOGLETRANSLATE(B7380,""id"",""en"")"),"['proud', 'sympathy', 'country', 'network', 'top', 'really', 'slow', 'thank', 'love', 'sympathy', ""]")</f>
        <v>['proud', 'sympathy', 'country', 'network', 'top', 'really', 'slow', 'thank', 'love', 'sympathy', "]</v>
      </c>
      <c r="D7380" s="3">
        <v>5.0</v>
      </c>
    </row>
    <row r="7381" ht="15.75" customHeight="1">
      <c r="A7381" s="1">
        <v>7924.0</v>
      </c>
      <c r="B7381" s="3" t="s">
        <v>7112</v>
      </c>
      <c r="C7381" s="3" t="str">
        <f>IFERROR(__xludf.DUMMYFUNCTION("GOOGLETRANSLATE(B7381,""id"",""en"")"),"['signal', 'slow', 'pulse', 'lost', 'how', 'intention', 'work', 'person', 'work', 'hard', 'pay', 'use', ' Money ',' Muluk ',' Muluk ',' Ngeluh ',' Risk ',' Workers', 'Understand', '']")</f>
        <v>['signal', 'slow', 'pulse', 'lost', 'how', 'intention', 'work', 'person', 'work', 'hard', 'pay', 'use', ' Money ',' Muluk ',' Muluk ',' Ngeluh ',' Risk ',' Workers', 'Understand', '']</v>
      </c>
      <c r="D7381" s="3">
        <v>1.0</v>
      </c>
    </row>
    <row r="7382" ht="15.75" customHeight="1">
      <c r="A7382" s="1">
        <v>7925.0</v>
      </c>
      <c r="B7382" s="3" t="s">
        <v>7113</v>
      </c>
      <c r="C7382" s="3" t="str">
        <f>IFERROR(__xludf.DUMMYFUNCTION("GOOGLETRANSLATE(B7382,""id"",""en"")"),"['signal', 'good', 'Telkomsel', 'easy']")</f>
        <v>['signal', 'good', 'Telkomsel', 'easy']</v>
      </c>
      <c r="D7382" s="3">
        <v>5.0</v>
      </c>
    </row>
    <row r="7383" ht="15.75" customHeight="1">
      <c r="A7383" s="1">
        <v>7926.0</v>
      </c>
      <c r="B7383" s="3" t="s">
        <v>7114</v>
      </c>
      <c r="C7383" s="3" t="str">
        <f>IFERROR(__xludf.DUMMYFUNCTION("GOOGLETRANSLATE(B7383,""id"",""en"")"),"['Telkomsel', 'dlu', 'his motto', 'network', 'strong', 'now', 'mulempe', 'lose', 'network', 'get', 'cloud', 'a little', ' Kocar ',' Macir ',' Signal ',' ']")</f>
        <v>['Telkomsel', 'dlu', 'his motto', 'network', 'strong', 'now', 'mulempe', 'lose', 'network', 'get', 'cloud', 'a little', ' Kocar ',' Macir ',' Signal ',' ']</v>
      </c>
      <c r="D7383" s="3">
        <v>1.0</v>
      </c>
    </row>
    <row r="7384" ht="15.75" customHeight="1">
      <c r="A7384" s="1">
        <v>7927.0</v>
      </c>
      <c r="B7384" s="3" t="s">
        <v>7115</v>
      </c>
      <c r="C7384" s="3" t="str">
        <f>IFERROR(__xludf.DUMMYFUNCTION("GOOGLETRANSLATE(B7384,""id"",""en"")"),"['promo', 'multiptenize']")</f>
        <v>['promo', 'multiptenize']</v>
      </c>
      <c r="D7384" s="3">
        <v>3.0</v>
      </c>
    </row>
    <row r="7385" ht="15.75" customHeight="1">
      <c r="A7385" s="1">
        <v>7928.0</v>
      </c>
      <c r="B7385" s="3" t="s">
        <v>7116</v>
      </c>
      <c r="C7385" s="3" t="str">
        <f>IFERROR(__xludf.DUMMYFUNCTION("GOOGLETRANSLATE(B7385,""id"",""en"")"),"['notification', 'promo', 'lie', 'just', 'right', 'click', 'notification', 'promo', 'already', 'really', 'appear', 'notification', ' Notifications', 'Ngebohyin', 'Open', 'Application']")</f>
        <v>['notification', 'promo', 'lie', 'just', 'right', 'click', 'notification', 'promo', 'already', 'really', 'appear', 'notification', ' Notifications', 'Ngebohyin', 'Open', 'Application']</v>
      </c>
      <c r="D7385" s="3">
        <v>1.0</v>
      </c>
    </row>
    <row r="7386" ht="15.75" customHeight="1">
      <c r="A7386" s="1">
        <v>7929.0</v>
      </c>
      <c r="B7386" s="3" t="s">
        <v>7117</v>
      </c>
      <c r="C7386" s="3" t="str">
        <f>IFERROR(__xludf.DUMMYFUNCTION("GOOGLETRANSLATE(B7386,""id"",""en"")"),"['', 'star', 'DLU', 'pls', 'Rbu', 'check', 'leftover', 'Rbu']")</f>
        <v>['', 'star', 'DLU', 'pls', 'Rbu', 'check', 'leftover', 'Rbu']</v>
      </c>
      <c r="D7386" s="3">
        <v>2.0</v>
      </c>
    </row>
    <row r="7387" ht="15.75" customHeight="1">
      <c r="A7387" s="1">
        <v>7930.0</v>
      </c>
      <c r="B7387" s="3" t="s">
        <v>7118</v>
      </c>
      <c r="C7387" s="3" t="str">
        <f>IFERROR(__xludf.DUMMYFUNCTION("GOOGLETRANSLATE(B7387,""id"",""en"")"),"['network', 'Telkomsel', 'surfing', 'bad', 'Network', 'Hopefully', 'improvement', 'in the future', ""]")</f>
        <v>['network', 'Telkomsel', 'surfing', 'bad', 'Network', 'Hopefully', 'improvement', 'in the future', "]</v>
      </c>
      <c r="D7387" s="3">
        <v>1.0</v>
      </c>
    </row>
    <row r="7388" ht="15.75" customHeight="1">
      <c r="A7388" s="1">
        <v>7931.0</v>
      </c>
      <c r="B7388" s="3" t="s">
        <v>7119</v>
      </c>
      <c r="C7388" s="3" t="str">
        <f>IFERROR(__xludf.DUMMYFUNCTION("GOOGLETRANSLATE(B7388,""id"",""en"")"),"['', 'pulse', 'cave', 'spare', 'siii', 'activated', 'udh', 'gajelasss', 'bngettt']")</f>
        <v>['', 'pulse', 'cave', 'spare', 'siii', 'activated', 'udh', 'gajelasss', 'bngettt']</v>
      </c>
      <c r="D7388" s="3">
        <v>1.0</v>
      </c>
    </row>
    <row r="7389" ht="15.75" customHeight="1">
      <c r="A7389" s="1">
        <v>7932.0</v>
      </c>
      <c r="B7389" s="3" t="s">
        <v>968</v>
      </c>
      <c r="C7389" s="3" t="str">
        <f>IFERROR(__xludf.DUMMYFUNCTION("GOOGLETRANSLATE(B7389,""id"",""en"")"),"['application', '']")</f>
        <v>['application', '']</v>
      </c>
      <c r="D7389" s="3">
        <v>5.0</v>
      </c>
    </row>
    <row r="7390" ht="15.75" customHeight="1">
      <c r="A7390" s="1">
        <v>7933.0</v>
      </c>
      <c r="B7390" s="3" t="s">
        <v>7120</v>
      </c>
      <c r="C7390" s="3" t="str">
        <f>IFERROR(__xludf.DUMMYFUNCTION("GOOGLETRANSLATE(B7390,""id"",""en"")"),"['Price', 'package', 'expensive']")</f>
        <v>['Price', 'package', 'expensive']</v>
      </c>
      <c r="D7390" s="3">
        <v>1.0</v>
      </c>
    </row>
    <row r="7391" ht="15.75" customHeight="1">
      <c r="A7391" s="1">
        <v>7934.0</v>
      </c>
      <c r="B7391" s="3" t="s">
        <v>7121</v>
      </c>
      <c r="C7391" s="3" t="str">
        <f>IFERROR(__xludf.DUMMYFUNCTION("GOOGLETRANSLATE(B7391,""id"",""en"")"),"['njeeeng', 'cave', 'login', '']")</f>
        <v>['njeeeng', 'cave', 'login', '']</v>
      </c>
      <c r="D7391" s="3">
        <v>1.0</v>
      </c>
    </row>
    <row r="7392" ht="15.75" customHeight="1">
      <c r="A7392" s="1">
        <v>7935.0</v>
      </c>
      <c r="B7392" s="3" t="s">
        <v>7122</v>
      </c>
      <c r="C7392" s="3" t="str">
        <f>IFERROR(__xludf.DUMMYFUNCTION("GOOGLETRANSLATE(B7392,""id"",""en"")"),"['Disappointed', 'Telkomsel', 'Iming', 'Package', 'Cheap', 'Writing', 'Pas', 'Buy', 'Update', 'Application', 'Mulu', 'The result']")</f>
        <v>['Disappointed', 'Telkomsel', 'Iming', 'Package', 'Cheap', 'Writing', 'Pas', 'Buy', 'Update', 'Application', 'Mulu', 'The result']</v>
      </c>
      <c r="D7392" s="3">
        <v>1.0</v>
      </c>
    </row>
    <row r="7393" ht="15.75" customHeight="1">
      <c r="A7393" s="1">
        <v>7936.0</v>
      </c>
      <c r="B7393" s="3" t="s">
        <v>7123</v>
      </c>
      <c r="C7393" s="3" t="str">
        <f>IFERROR(__xludf.DUMMYFUNCTION("GOOGLETRANSLATE(B7393,""id"",""en"")"),"['Switch', 'Points', 'Difficult']")</f>
        <v>['Switch', 'Points', 'Difficult']</v>
      </c>
      <c r="D7393" s="3">
        <v>5.0</v>
      </c>
    </row>
    <row r="7394" ht="15.75" customHeight="1">
      <c r="A7394" s="1">
        <v>7937.0</v>
      </c>
      <c r="B7394" s="3" t="s">
        <v>7124</v>
      </c>
      <c r="C7394" s="3" t="str">
        <f>IFERROR(__xludf.DUMMYFUNCTION("GOOGLETRANSLATE(B7394,""id"",""en"")"),"['Error', 'Package', 'buy', 'Please', 'Published', '']")</f>
        <v>['Error', 'Package', 'buy', 'Please', 'Published', '']</v>
      </c>
      <c r="D7394" s="3">
        <v>1.0</v>
      </c>
    </row>
    <row r="7395" ht="15.75" customHeight="1">
      <c r="A7395" s="1">
        <v>7938.0</v>
      </c>
      <c r="B7395" s="3" t="s">
        <v>7125</v>
      </c>
      <c r="C7395" s="3" t="str">
        <f>IFERROR(__xludf.DUMMYFUNCTION("GOOGLETRANSLATE(B7395,""id"",""en"")"),"['Buy', 'package', 'difficult', 'really', 'disorder', 'mulu', 'application']")</f>
        <v>['Buy', 'package', 'difficult', 'really', 'disorder', 'mulu', 'application']</v>
      </c>
      <c r="D7395" s="3">
        <v>1.0</v>
      </c>
    </row>
    <row r="7396" ht="15.75" customHeight="1">
      <c r="A7396" s="1">
        <v>7939.0</v>
      </c>
      <c r="B7396" s="3" t="s">
        <v>7126</v>
      </c>
      <c r="C7396" s="3" t="str">
        <f>IFERROR(__xludf.DUMMYFUNCTION("GOOGLETRANSLATE(B7396,""id"",""en"")"),"['knp', 'buy', 'package', 'no']")</f>
        <v>['knp', 'buy', 'package', 'no']</v>
      </c>
      <c r="D7396" s="3">
        <v>2.0</v>
      </c>
    </row>
    <row r="7397" ht="15.75" customHeight="1">
      <c r="A7397" s="1">
        <v>7940.0</v>
      </c>
      <c r="B7397" s="3" t="s">
        <v>7127</v>
      </c>
      <c r="C7397" s="3" t="str">
        <f>IFERROR(__xludf.DUMMYFUNCTION("GOOGLETRANSLATE(B7397,""id"",""en"")"),"['loss',' Karene ',' buy ',' package ',' connection ',' transaction ',' failed ',' etc. ',' pulse ',' run out ',' accept ',' package ',' Data ',' anything ',' data ',' dead ',' please ',' Telkomsel ',' Restore ',' loss', 'so', 'emphasize', 'Please', 'atte"&amp;"ntion', ""]")</f>
        <v>['loss',' Karene ',' buy ',' package ',' connection ',' transaction ',' failed ',' etc. ',' pulse ',' run out ',' accept ',' package ',' Data ',' anything ',' data ',' dead ',' please ',' Telkomsel ',' Restore ',' loss', 'so', 'emphasize', 'Please', 'attention', "]</v>
      </c>
      <c r="D7397" s="3">
        <v>1.0</v>
      </c>
    </row>
    <row r="7398" ht="15.75" customHeight="1">
      <c r="A7398" s="1">
        <v>7941.0</v>
      </c>
      <c r="B7398" s="3" t="s">
        <v>7128</v>
      </c>
      <c r="C7398" s="3" t="str">
        <f>IFERROR(__xludf.DUMMYFUNCTION("GOOGLETRANSLATE(B7398,""id"",""en"")"),"['Telkomsel', 'Marriage', 'Where', 'Convenience', 'Communication']")</f>
        <v>['Telkomsel', 'Marriage', 'Where', 'Convenience', 'Communication']</v>
      </c>
      <c r="D7398" s="3">
        <v>5.0</v>
      </c>
    </row>
    <row r="7399" ht="15.75" customHeight="1">
      <c r="A7399" s="1">
        <v>7942.0</v>
      </c>
      <c r="B7399" s="3" t="s">
        <v>7129</v>
      </c>
      <c r="C7399" s="3" t="str">
        <f>IFERROR(__xludf.DUMMYFUNCTION("GOOGLETRANSLATE(B7399,""id"",""en"")"),"['buy', 'package', 'data', 'because', 'disorder', 'mksud', 'ngeselin', 'buy', 'debt']")</f>
        <v>['buy', 'package', 'data', 'because', 'disorder', 'mksud', 'ngeselin', 'buy', 'debt']</v>
      </c>
      <c r="D7399" s="3">
        <v>1.0</v>
      </c>
    </row>
    <row r="7400" ht="15.75" customHeight="1">
      <c r="A7400" s="1">
        <v>7943.0</v>
      </c>
      <c r="B7400" s="3" t="s">
        <v>7130</v>
      </c>
      <c r="C7400" s="3" t="str">
        <f>IFERROR(__xludf.DUMMYFUNCTION("GOOGLETRANSLATE(B7400,""id"",""en"")"),"['Please', 'equalized', 'purchase', 'package', 'data', 'mytelkomsel', 'nmor', 'krna', 'lbih', 'cheap', 'card']")</f>
        <v>['Please', 'equalized', 'purchase', 'package', 'data', 'mytelkomsel', 'nmor', 'krna', 'lbih', 'cheap', 'card']</v>
      </c>
      <c r="D7400" s="3">
        <v>3.0</v>
      </c>
    </row>
    <row r="7401" ht="15.75" customHeight="1">
      <c r="A7401" s="1">
        <v>7944.0</v>
      </c>
      <c r="B7401" s="3" t="s">
        <v>7131</v>
      </c>
      <c r="C7401" s="3" t="str">
        <f>IFERROR(__xludf.DUMMYFUNCTION("GOOGLETRANSLATE(B7401,""id"",""en"")"),"['application', 'connection', 'slow', 'count on', 'pay', 'win', 'name', 'doang', 'application', 'opened', 'noments',' assessment ',' His assistance ',' Application ',' Estetikesthetics', 'Its Function']")</f>
        <v>['application', 'connection', 'slow', 'count on', 'pay', 'win', 'name', 'doang', 'application', 'opened', 'noments',' assessment ',' His assistance ',' Application ',' Estetikesthetics', 'Its Function']</v>
      </c>
      <c r="D7401" s="3">
        <v>1.0</v>
      </c>
    </row>
    <row r="7402" ht="15.75" customHeight="1">
      <c r="A7402" s="1">
        <v>7945.0</v>
      </c>
      <c r="B7402" s="3" t="s">
        <v>2264</v>
      </c>
      <c r="C7402" s="3" t="str">
        <f>IFERROR(__xludf.DUMMYFUNCTION("GOOGLETRANSLATE(B7402,""id"",""en"")"),"['APK', 'good']")</f>
        <v>['APK', 'good']</v>
      </c>
      <c r="D7402" s="3">
        <v>3.0</v>
      </c>
    </row>
    <row r="7403" ht="15.75" customHeight="1">
      <c r="A7403" s="1">
        <v>7946.0</v>
      </c>
      <c r="B7403" s="3" t="s">
        <v>7132</v>
      </c>
      <c r="C7403" s="3" t="str">
        <f>IFERROR(__xludf.DUMMYFUNCTION("GOOGLETRANSLATE(B7403,""id"",""en"")"),"['PKK', 'Test', 'already', 'later', 'chaotic', 'service', 'quota', 'sya', 'pulse', 'sya', 'sumps',' run out ',' fill in ',' pulse ',' fill in ',' pket ',' Inter ',' apps', 'telko', 'always',' disruption ',' pulse ',' sya ',' terkss']")</f>
        <v>['PKK', 'Test', 'already', 'later', 'chaotic', 'service', 'quota', 'sya', 'pulse', 'sya', 'sumps',' run out ',' fill in ',' pulse ',' fill in ',' pket ',' Inter ',' apps', 'telko', 'always',' disruption ',' pulse ',' sya ',' terkss']</v>
      </c>
      <c r="D7403" s="3">
        <v>1.0</v>
      </c>
    </row>
    <row r="7404" ht="15.75" customHeight="1">
      <c r="A7404" s="1">
        <v>7947.0</v>
      </c>
      <c r="B7404" s="3" t="s">
        <v>7133</v>
      </c>
      <c r="C7404" s="3" t="str">
        <f>IFERROR(__xludf.DUMMYFUNCTION("GOOGLETRANSLATE(B7404,""id"",""en"")"),"['Steady', 'please', 'love', 'cheap']")</f>
        <v>['Steady', 'please', 'love', 'cheap']</v>
      </c>
      <c r="D7404" s="3">
        <v>5.0</v>
      </c>
    </row>
    <row r="7405" ht="15.75" customHeight="1">
      <c r="A7405" s="1">
        <v>7948.0</v>
      </c>
      <c r="B7405" s="3" t="s">
        <v>7134</v>
      </c>
      <c r="C7405" s="3" t="str">
        <f>IFERROR(__xludf.DUMMYFUNCTION("GOOGLETRANSLATE(B7405,""id"",""en"")"),"['The network', 'Laknat', 'Review', 'I', 'deleted']")</f>
        <v>['The network', 'Laknat', 'Review', 'I', 'deleted']</v>
      </c>
      <c r="D7405" s="3">
        <v>1.0</v>
      </c>
    </row>
    <row r="7406" ht="15.75" customHeight="1">
      <c r="A7406" s="1">
        <v>7949.0</v>
      </c>
      <c r="B7406" s="3" t="s">
        <v>7135</v>
      </c>
      <c r="C7406" s="3" t="str">
        <f>IFERROR(__xludf.DUMMYFUNCTION("GOOGLETRANSLATE(B7406,""id"",""en"")"),"['Wear', 'Telkomsel', 'Network', 'Good', 'here', 'Price', 'Quota', 'Expensive', 'Sometimes',' Signal ',' ilang ',' Pedged ',' Fix ',' donk ',' signal ',' gift ',' told ',' exchange ',' point ',' get ',' exchanged ',' wae ',' ora ',' exchanged ',' point ' "&amp;", 'WLO', 'loyal', 'use', 'Telkomsel']")</f>
        <v>['Wear', 'Telkomsel', 'Network', 'Good', 'here', 'Price', 'Quota', 'Expensive', 'Sometimes',' Signal ',' ilang ',' Pedged ',' Fix ',' donk ',' signal ',' gift ',' told ',' exchange ',' point ',' get ',' exchanged ',' wae ',' ora ',' exchanged ',' point ' , 'WLO', 'loyal', 'use', 'Telkomsel']</v>
      </c>
      <c r="D7406" s="3">
        <v>3.0</v>
      </c>
    </row>
    <row r="7407" ht="15.75" customHeight="1">
      <c r="A7407" s="1">
        <v>7950.0</v>
      </c>
      <c r="B7407" s="3" t="s">
        <v>7136</v>
      </c>
      <c r="C7407" s="3" t="str">
        <f>IFERROR(__xludf.DUMMYFUNCTION("GOOGLETRANSLATE(B7407,""id"",""en"")"),"['installed', 'Android', '']")</f>
        <v>['installed', 'Android', '']</v>
      </c>
      <c r="D7407" s="3">
        <v>2.0</v>
      </c>
    </row>
    <row r="7408" ht="15.75" customHeight="1">
      <c r="A7408" s="1">
        <v>7951.0</v>
      </c>
      <c r="B7408" s="3" t="s">
        <v>7137</v>
      </c>
      <c r="C7408" s="3" t="str">
        <f>IFERROR(__xludf.DUMMYFUNCTION("GOOGLETRANSLATE(B7408,""id"",""en"")"),"['Disappointed', 'Telkomsel', 'Quota', 'Tetep', 'Open', 'Telkomsel', 'Cutting', 'Credit', 'Monitor', 'Data', 'Open', 'Already', ' Sumpot ',' Disappointed ',' Anyway ']")</f>
        <v>['Disappointed', 'Telkomsel', 'Quota', 'Tetep', 'Open', 'Telkomsel', 'Cutting', 'Credit', 'Monitor', 'Data', 'Open', 'Already', ' Sumpot ',' Disappointed ',' Anyway ']</v>
      </c>
      <c r="D7408" s="3">
        <v>1.0</v>
      </c>
    </row>
    <row r="7409" ht="15.75" customHeight="1">
      <c r="A7409" s="1">
        <v>7952.0</v>
      </c>
      <c r="B7409" s="3" t="s">
        <v>7138</v>
      </c>
      <c r="C7409" s="3" t="str">
        <f>IFERROR(__xludf.DUMMYFUNCTION("GOOGLETRANSLATE(B7409,""id"",""en"")"),"['Perbak', ""]")</f>
        <v>['Perbak', "]</v>
      </c>
      <c r="D7409" s="3">
        <v>4.0</v>
      </c>
    </row>
    <row r="7410" ht="15.75" customHeight="1">
      <c r="A7410" s="1">
        <v>7953.0</v>
      </c>
      <c r="B7410" s="3" t="s">
        <v>7139</v>
      </c>
      <c r="C7410" s="3" t="str">
        <f>IFERROR(__xludf.DUMMYFUNCTION("GOOGLETRANSLATE(B7410,""id"",""en"")"),"['parahhhhh', 'application', 'spend', 'pulse']")</f>
        <v>['parahhhhh', 'application', 'spend', 'pulse']</v>
      </c>
      <c r="D7410" s="3">
        <v>1.0</v>
      </c>
    </row>
    <row r="7411" ht="15.75" customHeight="1">
      <c r="A7411" s="1">
        <v>7954.0</v>
      </c>
      <c r="B7411" s="3" t="s">
        <v>7140</v>
      </c>
      <c r="C7411" s="3" t="str">
        <f>IFERROR(__xludf.DUMMYFUNCTION("GOOGLETRANSLATE(B7411,""id"",""en"")"),"['signal', 'ugly', 'download', 'MB', 'Hanpir', 'Minute']")</f>
        <v>['signal', 'ugly', 'download', 'MB', 'Hanpir', 'Minute']</v>
      </c>
      <c r="D7411" s="3">
        <v>1.0</v>
      </c>
    </row>
    <row r="7412" ht="15.75" customHeight="1">
      <c r="A7412" s="1">
        <v>7955.0</v>
      </c>
      <c r="B7412" s="3" t="s">
        <v>7141</v>
      </c>
      <c r="C7412" s="3" t="str">
        <f>IFERROR(__xludf.DUMMYFUNCTION("GOOGLETRANSLATE(B7412,""id"",""en"")"),"['Full', 'Singal', 'Mantab']")</f>
        <v>['Full', 'Singal', 'Mantab']</v>
      </c>
      <c r="D7412" s="3">
        <v>5.0</v>
      </c>
    </row>
    <row r="7413" ht="15.75" customHeight="1">
      <c r="A7413" s="1">
        <v>7956.0</v>
      </c>
      <c r="B7413" s="3" t="s">
        <v>7142</v>
      </c>
      <c r="C7413" s="3" t="str">
        <f>IFERROR(__xludf.DUMMYFUNCTION("GOOGLETRANSLATE(B7413,""id"",""en"")"),"['Delicious', 'Telkomsel', 'Help', 'Thanks', ""]")</f>
        <v>['Delicious', 'Telkomsel', 'Help', 'Thanks', "]</v>
      </c>
      <c r="D7413" s="3">
        <v>4.0</v>
      </c>
    </row>
    <row r="7414" ht="15.75" customHeight="1">
      <c r="A7414" s="1">
        <v>7957.0</v>
      </c>
      <c r="B7414" s="3" t="s">
        <v>7143</v>
      </c>
      <c r="C7414" s="3" t="str">
        <f>IFERROR(__xludf.DUMMYFUNCTION("GOOGLETRANSLATE(B7414,""id"",""en"")"),"['Good', 'BBERKembang']")</f>
        <v>['Good', 'BBERKembang']</v>
      </c>
      <c r="D7414" s="3">
        <v>5.0</v>
      </c>
    </row>
    <row r="7415" ht="15.75" customHeight="1">
      <c r="A7415" s="1">
        <v>7959.0</v>
      </c>
      <c r="B7415" s="3" t="s">
        <v>7144</v>
      </c>
      <c r="C7415" s="3" t="str">
        <f>IFERROR(__xludf.DUMMYFUNCTION("GOOGLETRANSLATE(B7415,""id"",""en"")"),"['Yaop', 'Rek', 'Trouble']")</f>
        <v>['Yaop', 'Rek', 'Trouble']</v>
      </c>
      <c r="D7415" s="3">
        <v>1.0</v>
      </c>
    </row>
    <row r="7416" ht="15.75" customHeight="1">
      <c r="A7416" s="1">
        <v>7960.0</v>
      </c>
      <c r="B7416" s="3" t="s">
        <v>7145</v>
      </c>
      <c r="C7416" s="3" t="str">
        <f>IFERROR(__xludf.DUMMYFUNCTION("GOOGLETRANSLATE(B7416,""id"",""en"")"),"['Good', 'cheap']")</f>
        <v>['Good', 'cheap']</v>
      </c>
      <c r="D7416" s="3">
        <v>5.0</v>
      </c>
    </row>
    <row r="7417" ht="15.75" customHeight="1">
      <c r="A7417" s="1">
        <v>7961.0</v>
      </c>
      <c r="B7417" s="3" t="s">
        <v>1605</v>
      </c>
      <c r="C7417" s="3" t="str">
        <f>IFERROR(__xludf.DUMMYFUNCTION("GOOGLETRANSLATE(B7417,""id"",""en"")"),"['Buy', 'Package']")</f>
        <v>['Buy', 'Package']</v>
      </c>
      <c r="D7417" s="3">
        <v>1.0</v>
      </c>
    </row>
    <row r="7418" ht="15.75" customHeight="1">
      <c r="A7418" s="1">
        <v>7962.0</v>
      </c>
      <c r="B7418" s="3" t="s">
        <v>7146</v>
      </c>
      <c r="C7418" s="3" t="str">
        <f>IFERROR(__xludf.DUMMYFUNCTION("GOOGLETRANSLATE(B7418,""id"",""en"")"),"['Move', 'Next to', '']")</f>
        <v>['Move', 'Next to', '']</v>
      </c>
      <c r="D7418" s="3">
        <v>1.0</v>
      </c>
    </row>
    <row r="7419" ht="15.75" customHeight="1">
      <c r="A7419" s="1">
        <v>7963.0</v>
      </c>
      <c r="B7419" s="3" t="s">
        <v>7147</v>
      </c>
      <c r="C7419" s="3" t="str">
        <f>IFERROR(__xludf.DUMMYFUNCTION("GOOGLETRANSLATE(B7419,""id"",""en"")"),"['Satisfied', 'service', 'Hopefully', 'area', 'turned', 'smooth', 'access', 'internet']")</f>
        <v>['Satisfied', 'service', 'Hopefully', 'area', 'turned', 'smooth', 'access', 'internet']</v>
      </c>
      <c r="D7419" s="3">
        <v>5.0</v>
      </c>
    </row>
    <row r="7420" ht="15.75" customHeight="1">
      <c r="A7420" s="1">
        <v>7964.0</v>
      </c>
      <c r="B7420" s="3" t="s">
        <v>7148</v>
      </c>
      <c r="C7420" s="3" t="str">
        <f>IFERROR(__xludf.DUMMYFUNCTION("GOOGLETRANSLATE(B7420,""id"",""en"")"),"['Good', 'makes it easy', 'buy', 'package', 'ngechek', 'pulse']")</f>
        <v>['Good', 'makes it easy', 'buy', 'package', 'ngechek', 'pulse']</v>
      </c>
      <c r="D7420" s="3">
        <v>5.0</v>
      </c>
    </row>
    <row r="7421" ht="15.75" customHeight="1">
      <c r="A7421" s="1">
        <v>7965.0</v>
      </c>
      <c r="B7421" s="3" t="s">
        <v>7149</v>
      </c>
      <c r="C7421" s="3" t="str">
        <f>IFERROR(__xludf.DUMMYFUNCTION("GOOGLETRANSLATE(B7421,""id"",""en"")"),"['', 'Ngapa', 'Ngeapain', 'Credit', 'Cut']")</f>
        <v>['', 'Ngapa', 'Ngeapain', 'Credit', 'Cut']</v>
      </c>
      <c r="D7421" s="3">
        <v>1.0</v>
      </c>
    </row>
    <row r="7422" ht="15.75" customHeight="1">
      <c r="A7422" s="1">
        <v>7966.0</v>
      </c>
      <c r="B7422" s="3" t="s">
        <v>7150</v>
      </c>
      <c r="C7422" s="3" t="str">
        <f>IFERROR(__xludf.DUMMYFUNCTION("GOOGLETRANSLATE(B7422,""id"",""en"")"),"['signal', 'slow', 'really', 'bro', 'signal', 'play', 'mobile', 'lagend', 'ngelag']")</f>
        <v>['signal', 'slow', 'really', 'bro', 'signal', 'play', 'mobile', 'lagend', 'ngelag']</v>
      </c>
      <c r="D7422" s="3">
        <v>3.0</v>
      </c>
    </row>
    <row r="7423" ht="15.75" customHeight="1">
      <c r="A7423" s="1">
        <v>7967.0</v>
      </c>
      <c r="B7423" s="3" t="s">
        <v>7151</v>
      </c>
      <c r="C7423" s="3" t="str">
        <f>IFERROR(__xludf.DUMMYFUNCTION("GOOGLETRANSLATE(B7423,""id"",""en"")"),"['Help', 'Thank you', 'Telkomsel']")</f>
        <v>['Help', 'Thank you', 'Telkomsel']</v>
      </c>
      <c r="D7423" s="3">
        <v>5.0</v>
      </c>
    </row>
    <row r="7424" ht="15.75" customHeight="1">
      <c r="A7424" s="1">
        <v>7968.0</v>
      </c>
      <c r="B7424" s="3" t="s">
        <v>7152</v>
      </c>
      <c r="C7424" s="3" t="str">
        <f>IFERROR(__xludf.DUMMYFUNCTION("GOOGLETRANSLATE(B7424,""id"",""en"")"),"['Price', 'Package', 'Expensive', 'Please', 'Dtoud "",' ']")</f>
        <v>['Price', 'Package', 'Expensive', 'Please', 'Dtoud ",' ']</v>
      </c>
      <c r="D7424" s="3">
        <v>3.0</v>
      </c>
    </row>
    <row r="7425" ht="15.75" customHeight="1">
      <c r="A7425" s="1">
        <v>7969.0</v>
      </c>
      <c r="B7425" s="3" t="s">
        <v>7153</v>
      </c>
      <c r="C7425" s="3" t="str">
        <f>IFERROR(__xludf.DUMMYFUNCTION("GOOGLETRANSLATE(B7425,""id"",""en"")"),"['exciting', 'really', '']")</f>
        <v>['exciting', 'really', '']</v>
      </c>
      <c r="D7425" s="3">
        <v>5.0</v>
      </c>
    </row>
    <row r="7426" ht="15.75" customHeight="1">
      <c r="A7426" s="1">
        <v>7970.0</v>
      </c>
      <c r="B7426" s="3" t="s">
        <v>7154</v>
      </c>
      <c r="C7426" s="3" t="str">
        <f>IFERROR(__xludf.DUMMYFUNCTION("GOOGLETRANSLATE(B7426,""id"",""en"")"),"['Steady', 'Useful']")</f>
        <v>['Steady', 'Useful']</v>
      </c>
      <c r="D7426" s="3">
        <v>5.0</v>
      </c>
    </row>
    <row r="7427" ht="15.75" customHeight="1">
      <c r="A7427" s="1">
        <v>7971.0</v>
      </c>
      <c r="B7427" s="3" t="s">
        <v>7155</v>
      </c>
      <c r="C7427" s="3" t="str">
        <f>IFERROR(__xludf.DUMMYFUNCTION("GOOGLETRANSLATE(B7427,""id"",""en"")"),"['buy', 'quota', 'network', 'wait', 'minute', 'that's', 'mulu', 'network', 'good']")</f>
        <v>['buy', 'quota', 'network', 'wait', 'minute', 'that's', 'mulu', 'network', 'good']</v>
      </c>
      <c r="D7427" s="3">
        <v>1.0</v>
      </c>
    </row>
    <row r="7428" ht="15.75" customHeight="1">
      <c r="A7428" s="1">
        <v>7972.0</v>
      </c>
      <c r="B7428" s="3" t="s">
        <v>7156</v>
      </c>
      <c r="C7428" s="3" t="str">
        <f>IFERROR(__xludf.DUMMYFUNCTION("GOOGLETRANSLATE(B7428,""id"",""en"")"),"['Buy', 'Package', 'Aza', 'Ganguang', 'Melululu', 'Wadaau', '']")</f>
        <v>['Buy', 'Package', 'Aza', 'Ganguang', 'Melululu', 'Wadaau', '']</v>
      </c>
      <c r="D7428" s="3">
        <v>1.0</v>
      </c>
    </row>
    <row r="7429" ht="15.75" customHeight="1">
      <c r="A7429" s="1">
        <v>7973.0</v>
      </c>
      <c r="B7429" s="3" t="s">
        <v>7157</v>
      </c>
      <c r="C7429" s="3" t="str">
        <f>IFERROR(__xludf.DUMMYFUNCTION("GOOGLETRANSLATE(B7429,""id"",""en"")"),"['promo', 'virtue', 'murahh', 'good', 'deh', 'disorder', 'system']")</f>
        <v>['promo', 'virtue', 'murahh', 'good', 'deh', 'disorder', 'system']</v>
      </c>
      <c r="D7429" s="3">
        <v>3.0</v>
      </c>
    </row>
    <row r="7430" ht="15.75" customHeight="1">
      <c r="A7430" s="1">
        <v>7974.0</v>
      </c>
      <c r="B7430" s="3" t="s">
        <v>7158</v>
      </c>
      <c r="C7430" s="3" t="str">
        <f>IFERROR(__xludf.DUMMYFUNCTION("GOOGLETRANSLATE(B7430,""id"",""en"")"),"['Severe', 'buy', 'package', 'internet', 'combo', 'max', 'GB', 'for' payment ',' successful ',' package ',' data ',' Enter ',' Email ',' Teparted ',' Tele ',' Reasons', 'Number', 'Registered', 'Telkom', 'Severe', 'Severe', 'Really', 'Delete', 'Deh' , 'app"&amp;"lication', 'detrimental', 'people', 'tell', 'events', 'real', 'original', 'natural', 'detrimental', 'disappointed']")</f>
        <v>['Severe', 'buy', 'package', 'internet', 'combo', 'max', 'GB', 'for' payment ',' successful ',' package ',' data ',' Enter ',' Email ',' Teparted ',' Tele ',' Reasons', 'Number', 'Registered', 'Telkom', 'Severe', 'Severe', 'Really', 'Delete', 'Deh' , 'application', 'detrimental', 'people', 'tell', 'events', 'real', 'original', 'natural', 'detrimental', 'disappointed']</v>
      </c>
      <c r="D7430" s="3">
        <v>1.0</v>
      </c>
    </row>
    <row r="7431" ht="15.75" customHeight="1">
      <c r="A7431" s="1">
        <v>7975.0</v>
      </c>
      <c r="B7431" s="3" t="s">
        <v>7159</v>
      </c>
      <c r="C7431" s="3" t="str">
        <f>IFERROR(__xludf.DUMMYFUNCTION("GOOGLETRANSLATE(B7431,""id"",""en"")"),"['Network', 'slow', 'unlimited', 'slow', 'severe', 'korin', 'canain', 'game', 'max', 'network', 'kayak', ""]")</f>
        <v>['Network', 'slow', 'unlimited', 'slow', 'severe', 'korin', 'canain', 'game', 'max', 'network', 'kayak', "]</v>
      </c>
      <c r="D7431" s="3">
        <v>1.0</v>
      </c>
    </row>
    <row r="7432" ht="15.75" customHeight="1">
      <c r="A7432" s="1">
        <v>7977.0</v>
      </c>
      <c r="B7432" s="3" t="s">
        <v>7160</v>
      </c>
      <c r="C7432" s="3" t="str">
        <f>IFERROR(__xludf.DUMMYFUNCTION("GOOGLETRANSLATE(B7432,""id"",""en"")"),"['', 'try', 'hopefully', 'made easier', 'use', 'Palikasi', 'star', ""]")</f>
        <v>['', 'try', 'hopefully', 'made easier', 'use', 'Palikasi', 'star', "]</v>
      </c>
      <c r="D7432" s="3">
        <v>3.0</v>
      </c>
    </row>
    <row r="7433" ht="15.75" customHeight="1">
      <c r="A7433" s="1">
        <v>7978.0</v>
      </c>
      <c r="B7433" s="3" t="s">
        <v>7161</v>
      </c>
      <c r="C7433" s="3" t="str">
        <f>IFERROR(__xludf.DUMMYFUNCTION("GOOGLETRANSLATE(B7433,""id"",""en"")"),"['Mulu', 'semalem', 'buy', 'package', 'data', 'difficult', 'Adek', 'offline', 'confused', 'tar']")</f>
        <v>['Mulu', 'semalem', 'buy', 'package', 'data', 'difficult', 'Adek', 'offline', 'confused', 'tar']</v>
      </c>
      <c r="D7433" s="3">
        <v>1.0</v>
      </c>
    </row>
    <row r="7434" ht="15.75" customHeight="1">
      <c r="A7434" s="1">
        <v>7979.0</v>
      </c>
      <c r="B7434" s="3" t="s">
        <v>7162</v>
      </c>
      <c r="C7434" s="3" t="str">
        <f>IFERROR(__xludf.DUMMYFUNCTION("GOOGLETRANSLATE(B7434,""id"",""en"")"),"['Exchange', 'Points',' Credit ',' Internet ',' FAILURE ',' Points', 'MIS', 'Points',' Internet ',' Points', 'Ber', 'Times',' Switching ',' Points', 'FAILURE', 'Please', 'Information', 'Wassalam']")</f>
        <v>['Exchange', 'Points',' Credit ',' Internet ',' FAILURE ',' Points', 'MIS', 'Points',' Internet ',' Points', 'Ber', 'Times',' Switching ',' Points', 'FAILURE', 'Please', 'Information', 'Wassalam']</v>
      </c>
      <c r="D7434" s="3">
        <v>4.0</v>
      </c>
    </row>
    <row r="7435" ht="15.75" customHeight="1">
      <c r="A7435" s="1">
        <v>7980.0</v>
      </c>
      <c r="B7435" s="3" t="s">
        <v>7163</v>
      </c>
      <c r="C7435" s="3" t="str">
        <f>IFERROR(__xludf.DUMMYFUNCTION("GOOGLETRANSLATE(B7435,""id"",""en"")"),"['A ',' package ',' internet ',' pulse ',' sumps', 'udh', 'zero', 'rupiah', 'buy', 'package', 'daily', 'gabisa']")</f>
        <v>['A ',' package ',' internet ',' pulse ',' sumps', 'udh', 'zero', 'rupiah', 'buy', 'package', 'daily', 'gabisa']</v>
      </c>
      <c r="D7435" s="3">
        <v>1.0</v>
      </c>
    </row>
    <row r="7436" ht="15.75" customHeight="1">
      <c r="A7436" s="1">
        <v>7981.0</v>
      </c>
      <c r="B7436" s="3" t="s">
        <v>7164</v>
      </c>
      <c r="C7436" s="3" t="str">
        <f>IFERROR(__xludf.DUMMYFUNCTION("GOOGLETRANSLATE(B7436,""id"",""en"")"),"['ugly', 'apps', 'login', 'love', 'star', 'sorry']")</f>
        <v>['ugly', 'apps', 'login', 'love', 'star', 'sorry']</v>
      </c>
      <c r="D7436" s="3">
        <v>1.0</v>
      </c>
    </row>
    <row r="7437" ht="15.75" customHeight="1">
      <c r="A7437" s="1">
        <v>7982.0</v>
      </c>
      <c r="B7437" s="3" t="s">
        <v>7165</v>
      </c>
      <c r="C7437" s="3" t="str">
        <f>IFERROR(__xludf.DUMMYFUNCTION("GOOGLETRANSLATE(B7437,""id"",""en"")"),"['Information', 'Package', 'Call', 'Out']")</f>
        <v>['Information', 'Package', 'Call', 'Out']</v>
      </c>
      <c r="D7437" s="3">
        <v>4.0</v>
      </c>
    </row>
    <row r="7438" ht="15.75" customHeight="1">
      <c r="A7438" s="1">
        <v>7983.0</v>
      </c>
      <c r="B7438" s="3" t="s">
        <v>2416</v>
      </c>
      <c r="C7438" s="3" t="str">
        <f>IFERROR(__xludf.DUMMYFUNCTION("GOOGLETRANSLATE(B7438,""id"",""en"")"),"['Easy', 'Telkomsel']")</f>
        <v>['Easy', 'Telkomsel']</v>
      </c>
      <c r="D7438" s="3">
        <v>5.0</v>
      </c>
    </row>
    <row r="7439" ht="15.75" customHeight="1">
      <c r="A7439" s="1">
        <v>7984.0</v>
      </c>
      <c r="B7439" s="3" t="s">
        <v>7166</v>
      </c>
      <c r="C7439" s="3" t="str">
        <f>IFERROR(__xludf.DUMMYFUNCTION("GOOGLETRANSLATE(B7439,""id"",""en"")"),"['month', 'network', 'bad', 'signal', 'full', 'adequate', 'move', 'sgt', 'slow', 'buy', 'quota', 'game', ' Sucked ',' quota ',' main ',' ']")</f>
        <v>['month', 'network', 'bad', 'signal', 'full', 'adequate', 'move', 'sgt', 'slow', 'buy', 'quota', 'game', ' Sucked ',' quota ',' main ',' ']</v>
      </c>
      <c r="D7439" s="3">
        <v>1.0</v>
      </c>
    </row>
    <row r="7440" ht="15.75" customHeight="1">
      <c r="A7440" s="1">
        <v>7985.0</v>
      </c>
      <c r="B7440" s="3" t="s">
        <v>7167</v>
      </c>
      <c r="C7440" s="3" t="str">
        <f>IFERROR(__xludf.DUMMYFUNCTION("GOOGLETRANSLATE(B7440,""id"",""en"")"),"['What', 'buy', 'package', 'gamesmax', 'silver', 'quota', 'tetep', 'no', 'play', 'game', 'fooling', 'kapok', ' Mending ',' card ',' SIM ',' ']")</f>
        <v>['What', 'buy', 'package', 'gamesmax', 'silver', 'quota', 'tetep', 'no', 'play', 'game', 'fooling', 'kapok', ' Mending ',' card ',' SIM ',' ']</v>
      </c>
      <c r="D7440" s="3">
        <v>1.0</v>
      </c>
    </row>
    <row r="7441" ht="15.75" customHeight="1">
      <c r="A7441" s="1">
        <v>7986.0</v>
      </c>
      <c r="B7441" s="3" t="s">
        <v>7168</v>
      </c>
      <c r="C7441" s="3" t="str">
        <f>IFERROR(__xludf.DUMMYFUNCTION("GOOGLETRANSLATE(B7441,""id"",""en"")"),"['original', 'no', 'right', 'open', 'youtube', 'kepake', 'quota', 'internet', 'quota', 'youtube', 'unlimited', 'active', ' How ',' please ',' Telkomsel ', ""]")</f>
        <v>['original', 'no', 'right', 'open', 'youtube', 'kepake', 'quota', 'internet', 'quota', 'youtube', 'unlimited', 'active', ' How ',' please ',' Telkomsel ', "]</v>
      </c>
      <c r="D7441" s="3">
        <v>2.0</v>
      </c>
    </row>
    <row r="7442" ht="15.75" customHeight="1">
      <c r="A7442" s="1">
        <v>7987.0</v>
      </c>
      <c r="B7442" s="3" t="s">
        <v>7169</v>
      </c>
      <c r="C7442" s="3" t="str">
        <f>IFERROR(__xludf.DUMMYFUNCTION("GOOGLETRANSLATE(B7442,""id"",""en"")"),"['improvement', 'THX', 'Telkomsel', 'Hope']")</f>
        <v>['improvement', 'THX', 'Telkomsel', 'Hope']</v>
      </c>
      <c r="D7442" s="3">
        <v>5.0</v>
      </c>
    </row>
    <row r="7443" ht="15.75" customHeight="1">
      <c r="A7443" s="1">
        <v>7988.0</v>
      </c>
      <c r="B7443" s="3" t="s">
        <v>7170</v>
      </c>
      <c r="C7443" s="3" t="str">
        <f>IFERROR(__xludf.DUMMYFUNCTION("GOOGLETRANSLATE(B7443,""id"",""en"")"),"['Telkomsel', 'capital', 'name', 'doang', 'buy', 'package', 'Mahallll', 'his net', 'badlykkkkk', 'call', 'his oprtor', 'ksih', ' Kluuh ',' Pay ',' settlement ', ""]")</f>
        <v>['Telkomsel', 'capital', 'name', 'doang', 'buy', 'package', 'Mahallll', 'his net', 'badlykkkkk', 'call', 'his oprtor', 'ksih', ' Kluuh ',' Pay ',' settlement ', "]</v>
      </c>
      <c r="D7443" s="3">
        <v>1.0</v>
      </c>
    </row>
    <row r="7444" ht="15.75" customHeight="1">
      <c r="A7444" s="1">
        <v>7989.0</v>
      </c>
      <c r="B7444" s="3" t="s">
        <v>7171</v>
      </c>
      <c r="C7444" s="3" t="str">
        <f>IFERROR(__xludf.DUMMYFUNCTION("GOOGLETRANSLATE(B7444,""id"",""en"")"),"['', 'Telkomsel', 'yrs',' card ',' phone ',' move ',' hello ',' end ',' July ',' conscious', 'move', 'hello', 'sms ',' promotion ',' Telkomsel ',' related ',' Hello ',' enter ',' network ',' ugly ',' open ',' application ',' slow ',' send ',' document ', "&amp;"'Loading', 'Please', 'Fix', 'Service', 'Pay', 'Customer', 'Accept', 'Love', ""]")</f>
        <v>['', 'Telkomsel', 'yrs',' card ',' phone ',' move ',' hello ',' end ',' July ',' conscious', 'move', 'hello', 'sms ',' promotion ',' Telkomsel ',' related ',' Hello ',' enter ',' network ',' ugly ',' open ',' application ',' slow ',' send ',' document ', 'Loading', 'Please', 'Fix', 'Service', 'Pay', 'Customer', 'Accept', 'Love', "]</v>
      </c>
      <c r="D7444" s="3">
        <v>1.0</v>
      </c>
    </row>
    <row r="7445" ht="15.75" customHeight="1">
      <c r="A7445" s="1">
        <v>7990.0</v>
      </c>
      <c r="B7445" s="3" t="s">
        <v>7172</v>
      </c>
      <c r="C7445" s="3" t="str">
        <f>IFERROR(__xludf.DUMMYFUNCTION("GOOGLETRANSLATE(B7445,""id"",""en"")"),"['Sangat', 'barpunction']")</f>
        <v>['Sangat', 'barpunction']</v>
      </c>
      <c r="D7445" s="3">
        <v>5.0</v>
      </c>
    </row>
    <row r="7446" ht="15.75" customHeight="1">
      <c r="A7446" s="1">
        <v>7991.0</v>
      </c>
      <c r="B7446" s="3" t="s">
        <v>7173</v>
      </c>
      <c r="C7446" s="3" t="str">
        <f>IFERROR(__xludf.DUMMYFUNCTION("GOOGLETRANSLATE(B7446,""id"",""en"")"),"['principal', 'TOP']")</f>
        <v>['principal', 'TOP']</v>
      </c>
      <c r="D7446" s="3">
        <v>5.0</v>
      </c>
    </row>
    <row r="7447" ht="15.75" customHeight="1">
      <c r="A7447" s="1">
        <v>7992.0</v>
      </c>
      <c r="B7447" s="3" t="s">
        <v>7174</v>
      </c>
      <c r="C7447" s="3" t="str">
        <f>IFERROR(__xludf.DUMMYFUNCTION("GOOGLETRANSLATE(B7447,""id"",""en"")"),"['Network', 'bad', 'cheat']")</f>
        <v>['Network', 'bad', 'cheat']</v>
      </c>
      <c r="D7447" s="3">
        <v>1.0</v>
      </c>
    </row>
    <row r="7448" ht="15.75" customHeight="1">
      <c r="A7448" s="1">
        <v>7994.0</v>
      </c>
      <c r="B7448" s="3" t="s">
        <v>7175</v>
      </c>
      <c r="C7448" s="3" t="str">
        <f>IFERROR(__xludf.DUMMYFUNCTION("GOOGLETRANSLATE(B7448,""id"",""en"")"),"['Good', 'Simple', 'Application', 'Easy', 'Choose', 'Package', 'Need']")</f>
        <v>['Good', 'Simple', 'Application', 'Easy', 'Choose', 'Package', 'Need']</v>
      </c>
      <c r="D7448" s="3">
        <v>5.0</v>
      </c>
    </row>
    <row r="7449" ht="15.75" customHeight="1">
      <c r="A7449" s="1">
        <v>7995.0</v>
      </c>
      <c r="B7449" s="3" t="s">
        <v>7176</v>
      </c>
      <c r="C7449" s="3" t="str">
        <f>IFERROR(__xludf.DUMMYFUNCTION("GOOGLETRANSLATE(B7449,""id"",""en"")"),"['Sometimes', 'Trouble', 'Buy', 'Package', 'Data']")</f>
        <v>['Sometimes', 'Trouble', 'Buy', 'Package', 'Data']</v>
      </c>
      <c r="D7449" s="3">
        <v>3.0</v>
      </c>
    </row>
    <row r="7450" ht="15.75" customHeight="1">
      <c r="A7450" s="1">
        <v>7996.0</v>
      </c>
      <c r="B7450" s="3" t="s">
        <v>7177</v>
      </c>
      <c r="C7450" s="3" t="str">
        <f>IFERROR(__xludf.DUMMYFUNCTION("GOOGLETRANSLATE(B7450,""id"",""en"")"),"['Paketan', 'number', 'Different', 'Different']")</f>
        <v>['Paketan', 'number', 'Different', 'Different']</v>
      </c>
      <c r="D7450" s="3">
        <v>2.0</v>
      </c>
    </row>
    <row r="7451" ht="15.75" customHeight="1">
      <c r="A7451" s="1">
        <v>7997.0</v>
      </c>
      <c r="B7451" s="3" t="s">
        <v>7178</v>
      </c>
      <c r="C7451" s="3" t="str">
        <f>IFERROR(__xludf.DUMMYFUNCTION("GOOGLETRANSLATE(B7451,""id"",""en"")"),"['reliable', '']")</f>
        <v>['reliable', '']</v>
      </c>
      <c r="D7451" s="3">
        <v>5.0</v>
      </c>
    </row>
    <row r="7452" ht="15.75" customHeight="1">
      <c r="A7452" s="1">
        <v>7999.0</v>
      </c>
      <c r="B7452" s="3" t="s">
        <v>7179</v>
      </c>
      <c r="C7452" s="3" t="str">
        <f>IFERROR(__xludf.DUMMYFUNCTION("GOOGLETRANSLATE(B7452,""id"",""en"")"),"['quota', 'internet', 'accumulated']")</f>
        <v>['quota', 'internet', 'accumulated']</v>
      </c>
      <c r="D7452" s="3">
        <v>2.0</v>
      </c>
    </row>
    <row r="7453" ht="15.75" customHeight="1">
      <c r="A7453" s="1">
        <v>8001.0</v>
      </c>
      <c r="B7453" s="3" t="s">
        <v>7180</v>
      </c>
      <c r="C7453" s="3" t="str">
        <f>IFERROR(__xludf.DUMMYFUNCTION("GOOGLETRANSLATE(B7453,""id"",""en"")"),"['APL', 'Cook', 'Login', 'Internet', 'Stable', '']")</f>
        <v>['APL', 'Cook', 'Login', 'Internet', 'Stable', '']</v>
      </c>
      <c r="D7453" s="3">
        <v>3.0</v>
      </c>
    </row>
    <row r="7454" ht="15.75" customHeight="1">
      <c r="A7454" s="1">
        <v>8002.0</v>
      </c>
      <c r="B7454" s="3" t="s">
        <v>7181</v>
      </c>
      <c r="C7454" s="3" t="str">
        <f>IFERROR(__xludf.DUMMYFUNCTION("GOOGLETRANSLATE(B7454,""id"",""en"")"),"['overnight', 'morning', 'access', 'network', 'internet', 'disorder', 'forced', 'use', 'network', 'wifi', ""]")</f>
        <v>['overnight', 'morning', 'access', 'network', 'internet', 'disorder', 'forced', 'use', 'network', 'wifi', "]</v>
      </c>
      <c r="D7454" s="3">
        <v>5.0</v>
      </c>
    </row>
    <row r="7455" ht="15.75" customHeight="1">
      <c r="A7455" s="1">
        <v>8003.0</v>
      </c>
      <c r="B7455" s="3" t="s">
        <v>7182</v>
      </c>
      <c r="C7455" s="3" t="str">
        <f>IFERROR(__xludf.DUMMYFUNCTION("GOOGLETRANSLATE(B7455,""id"",""en"")"),"['ugly', 'error']")</f>
        <v>['ugly', 'error']</v>
      </c>
      <c r="D7455" s="3">
        <v>1.0</v>
      </c>
    </row>
    <row r="7456" ht="15.75" customHeight="1">
      <c r="A7456" s="1">
        <v>8004.0</v>
      </c>
      <c r="B7456" s="3" t="s">
        <v>7183</v>
      </c>
      <c r="C7456" s="3" t="str">
        <f>IFERROR(__xludf.DUMMYFUNCTION("GOOGLETRANSLATE(B7456,""id"",""en"")"),"['Open', 'Telkomsel', 'Ribet']")</f>
        <v>['Open', 'Telkomsel', 'Ribet']</v>
      </c>
      <c r="D7456" s="3">
        <v>1.0</v>
      </c>
    </row>
    <row r="7457" ht="15.75" customHeight="1">
      <c r="A7457" s="1">
        <v>8005.0</v>
      </c>
      <c r="B7457" s="3" t="s">
        <v>7184</v>
      </c>
      <c r="C7457" s="3" t="str">
        <f>IFERROR(__xludf.DUMMYFUNCTION("GOOGLETRANSLATE(B7457,""id"",""en"")"),"['buy', 'pulse', 'enter', '']")</f>
        <v>['buy', 'pulse', 'enter', '']</v>
      </c>
      <c r="D7457" s="3">
        <v>1.0</v>
      </c>
    </row>
    <row r="7458" ht="15.75" customHeight="1">
      <c r="A7458" s="1">
        <v>8006.0</v>
      </c>
      <c r="B7458" s="3" t="s">
        <v>7185</v>
      </c>
      <c r="C7458" s="3" t="str">
        <f>IFERROR(__xludf.DUMMYFUNCTION("GOOGLETRANSLATE(B7458,""id"",""en"")"),"['application', 'good', 'steady']")</f>
        <v>['application', 'good', 'steady']</v>
      </c>
      <c r="D7458" s="3">
        <v>5.0</v>
      </c>
    </row>
    <row r="7459" ht="15.75" customHeight="1">
      <c r="A7459" s="1">
        <v>8007.0</v>
      </c>
      <c r="B7459" s="3" t="s">
        <v>7186</v>
      </c>
      <c r="C7459" s="3" t="str">
        <f>IFERROR(__xludf.DUMMYFUNCTION("GOOGLETRANSLATE(B7459,""id"",""en"")"),"['Hopefully', 'Increases']")</f>
        <v>['Hopefully', 'Increases']</v>
      </c>
      <c r="D7459" s="3">
        <v>5.0</v>
      </c>
    </row>
    <row r="7460" ht="15.75" customHeight="1">
      <c r="A7460" s="1">
        <v>8008.0</v>
      </c>
      <c r="B7460" s="3" t="s">
        <v>4873</v>
      </c>
      <c r="C7460" s="3" t="str">
        <f>IFERROR(__xludf.DUMMYFUNCTION("GOOGLETRANSLATE(B7460,""id"",""en"")"),"['', '']")</f>
        <v>['', '']</v>
      </c>
      <c r="D7460" s="3">
        <v>5.0</v>
      </c>
    </row>
    <row r="7461" ht="15.75" customHeight="1">
      <c r="A7461" s="1">
        <v>8009.0</v>
      </c>
      <c r="B7461" s="3" t="s">
        <v>7187</v>
      </c>
      <c r="C7461" s="3" t="str">
        <f>IFERROR(__xludf.DUMMYFUNCTION("GOOGLETRANSLATE(B7461,""id"",""en"")"),"['good, good', '']")</f>
        <v>['good, good', '']</v>
      </c>
      <c r="D7461" s="3">
        <v>5.0</v>
      </c>
    </row>
    <row r="7462" ht="15.75" customHeight="1">
      <c r="A7462" s="1">
        <v>8010.0</v>
      </c>
      <c r="B7462" s="3" t="s">
        <v>7188</v>
      </c>
      <c r="C7462" s="3" t="str">
        <f>IFERROR(__xludf.DUMMYFUNCTION("GOOGLETRANSLATE(B7462,""id"",""en"")"),"['Thank you', 'Satisfied']")</f>
        <v>['Thank you', 'Satisfied']</v>
      </c>
      <c r="D7462" s="3">
        <v>5.0</v>
      </c>
    </row>
    <row r="7463" ht="15.75" customHeight="1">
      <c r="A7463" s="1">
        <v>8011.0</v>
      </c>
      <c r="B7463" s="3" t="s">
        <v>7189</v>
      </c>
      <c r="C7463" s="3" t="str">
        <f>IFERROR(__xludf.DUMMYFUNCTION("GOOGLETRANSLATE(B7463,""id"",""en"")"),"['APL', 'Open', 'please', 'explained']")</f>
        <v>['APL', 'Open', 'please', 'explained']</v>
      </c>
      <c r="D7463" s="3">
        <v>1.0</v>
      </c>
    </row>
    <row r="7464" ht="15.75" customHeight="1">
      <c r="A7464" s="1">
        <v>8012.0</v>
      </c>
      <c r="B7464" s="3" t="s">
        <v>7190</v>
      </c>
      <c r="C7464" s="3" t="str">
        <f>IFERROR(__xludf.DUMMYFUNCTION("GOOGLETRANSLATE(B7464,""id"",""en"")"),"['Payment', 'Via', 'Virtual', 'Account', 'BCA', '']")</f>
        <v>['Payment', 'Via', 'Virtual', 'Account', 'BCA', '']</v>
      </c>
      <c r="D7464" s="3">
        <v>2.0</v>
      </c>
    </row>
    <row r="7465" ht="15.75" customHeight="1">
      <c r="A7465" s="1">
        <v>8013.0</v>
      </c>
      <c r="B7465" s="3" t="s">
        <v>7191</v>
      </c>
      <c r="C7465" s="3" t="str">
        <f>IFERROR(__xludf.DUMMYFUNCTION("GOOGLETRANSLATE(B7465,""id"",""en"")"),"['Network', 'ugly', 'already', 'package', 'internet', 'mahalin', 'cut', 'free', 'call', 'operator', '']")</f>
        <v>['Network', 'ugly', 'already', 'package', 'internet', 'mahalin', 'cut', 'free', 'call', 'operator', '']</v>
      </c>
      <c r="D7465" s="3">
        <v>1.0</v>
      </c>
    </row>
    <row r="7466" ht="15.75" customHeight="1">
      <c r="A7466" s="1">
        <v>8014.0</v>
      </c>
      <c r="B7466" s="3" t="s">
        <v>7192</v>
      </c>
      <c r="C7466" s="3" t="str">
        <f>IFERROR(__xludf.DUMMYFUNCTION("GOOGLETRANSLATE(B7466,""id"",""en"")"),"['', 'brave', 'Save', 'Pulse', 'Suwer', 'Karna', 'Out', 'Kepakai', 'Surve', 'Prove', 'Whatever', 'Tight' ',' quota ',' contents ',' package ',' list ',' internet ',' pulses ',' fetch "", 'as a result', 'Maketin', 'Eee', 'pulses', 'ilang', 'Wal', 'results'"&amp;", 'Maketin', '']")</f>
        <v>['', 'brave', 'Save', 'Pulse', 'Suwer', 'Karna', 'Out', 'Kepakai', 'Surve', 'Prove', 'Whatever', 'Tight' ',' quota ',' contents ',' package ',' list ',' internet ',' pulses ',' fetch ", 'as a result', 'Maketin', 'Eee', 'pulses', 'ilang', 'Wal', 'results', 'Maketin', '']</v>
      </c>
      <c r="D7466" s="3">
        <v>5.0</v>
      </c>
    </row>
    <row r="7467" ht="15.75" customHeight="1">
      <c r="A7467" s="1">
        <v>8015.0</v>
      </c>
      <c r="B7467" s="3" t="s">
        <v>7193</v>
      </c>
      <c r="C7467" s="3" t="str">
        <f>IFERROR(__xludf.DUMMYFUNCTION("GOOGLETRANSLATE(B7467,""id"",""en"")"),"['bill', 'expensive', 'internet', 'tapiko', 'bill', 'nyampe', '']")</f>
        <v>['bill', 'expensive', 'internet', 'tapiko', 'bill', 'nyampe', '']</v>
      </c>
      <c r="D7467" s="3">
        <v>2.0</v>
      </c>
    </row>
    <row r="7468" ht="15.75" customHeight="1">
      <c r="A7468" s="1">
        <v>8016.0</v>
      </c>
      <c r="B7468" s="3" t="s">
        <v>7194</v>
      </c>
      <c r="C7468" s="3" t="str">
        <f>IFERROR(__xludf.DUMMYFUNCTION("GOOGLETRANSLATE(B7468,""id"",""en"")"),"['Promo', 'Kaga', '']")</f>
        <v>['Promo', 'Kaga', '']</v>
      </c>
      <c r="D7468" s="3">
        <v>1.0</v>
      </c>
    </row>
    <row r="7469" ht="15.75" customHeight="1">
      <c r="A7469" s="1">
        <v>8018.0</v>
      </c>
      <c r="B7469" s="3" t="s">
        <v>7195</v>
      </c>
      <c r="C7469" s="3" t="str">
        <f>IFERROR(__xludf.DUMMYFUNCTION("GOOGLETRANSLATE(B7469,""id"",""en"")"),"['Damn', 'pulse', 'sumps', 'mulu', 'udh', 'packagein', 'suck', 'pulse', 'bangkee']")</f>
        <v>['Damn', 'pulse', 'sumps', 'mulu', 'udh', 'packagein', 'suck', 'pulse', 'bangkee']</v>
      </c>
      <c r="D7469" s="3">
        <v>1.0</v>
      </c>
    </row>
    <row r="7470" ht="15.75" customHeight="1">
      <c r="A7470" s="1">
        <v>8019.0</v>
      </c>
      <c r="B7470" s="3" t="s">
        <v>7196</v>
      </c>
      <c r="C7470" s="3" t="str">
        <f>IFERROR(__xludf.DUMMYFUNCTION("GOOGLETRANSLATE(B7470,""id"",""en"")"),"['motorcycle']")</f>
        <v>['motorcycle']</v>
      </c>
      <c r="D7470" s="3">
        <v>5.0</v>
      </c>
    </row>
    <row r="7471" ht="15.75" customHeight="1">
      <c r="A7471" s="1">
        <v>8021.0</v>
      </c>
      <c r="B7471" s="3" t="s">
        <v>7197</v>
      </c>
      <c r="C7471" s="3" t="str">
        <f>IFERROR(__xludf.DUMMYFUNCTION("GOOGLETRANSLATE(B7471,""id"",""en"")"),"['signal', 'Lemottt', 'Good', 'Telkom']")</f>
        <v>['signal', 'Lemottt', 'Good', 'Telkom']</v>
      </c>
      <c r="D7471" s="3">
        <v>3.0</v>
      </c>
    </row>
    <row r="7472" ht="15.75" customHeight="1">
      <c r="A7472" s="1">
        <v>8022.0</v>
      </c>
      <c r="B7472" s="3" t="s">
        <v>7198</v>
      </c>
      <c r="C7472" s="3" t="str">
        <f>IFERROR(__xludf.DUMMYFUNCTION("GOOGLETRANSLATE(B7472,""id"",""en"")"),"['Sympathy', 'Sekale', 'anywhat']")</f>
        <v>['Sympathy', 'Sekale', 'anywhat']</v>
      </c>
      <c r="D7472" s="3">
        <v>5.0</v>
      </c>
    </row>
    <row r="7473" ht="15.75" customHeight="1">
      <c r="A7473" s="1">
        <v>8023.0</v>
      </c>
      <c r="B7473" s="3" t="s">
        <v>7199</v>
      </c>
      <c r="C7473" s="3" t="str">
        <f>IFERROR(__xludf.DUMMYFUNCTION("GOOGLETRANSLATE(B7473,""id"",""en"")"),"['Price', 'Usage', 'Severe']")</f>
        <v>['Price', 'Usage', 'Severe']</v>
      </c>
      <c r="D7473" s="3">
        <v>1.0</v>
      </c>
    </row>
    <row r="7474" ht="15.75" customHeight="1">
      <c r="A7474" s="1">
        <v>8024.0</v>
      </c>
      <c r="B7474" s="3" t="s">
        <v>7200</v>
      </c>
      <c r="C7474" s="3" t="str">
        <f>IFERROR(__xludf.DUMMYFUNCTION("GOOGLETRANSLATE(B7474,""id"",""en"")"),"['Most', 'error', 'likes', 'ilang', 'signal', 'package', 'self-help', 'gojek', 'fast', 'sim', 'card', 'compared to' Telkomsel ',' ']")</f>
        <v>['Most', 'error', 'likes', 'ilang', 'signal', 'package', 'self-help', 'gojek', 'fast', 'sim', 'card', 'compared to' Telkomsel ',' ']</v>
      </c>
      <c r="D7474" s="3">
        <v>1.0</v>
      </c>
    </row>
    <row r="7475" ht="15.75" customHeight="1">
      <c r="A7475" s="1">
        <v>8025.0</v>
      </c>
      <c r="B7475" s="3" t="s">
        <v>7201</v>
      </c>
      <c r="C7475" s="3" t="str">
        <f>IFERROR(__xludf.DUMMYFUNCTION("GOOGLETRANSLATE(B7475,""id"",""en"")"),"['thank', 'love', 'help']")</f>
        <v>['thank', 'love', 'help']</v>
      </c>
      <c r="D7475" s="3">
        <v>5.0</v>
      </c>
    </row>
    <row r="7476" ht="15.75" customHeight="1">
      <c r="A7476" s="1">
        <v>8026.0</v>
      </c>
      <c r="B7476" s="3" t="s">
        <v>7202</v>
      </c>
      <c r="C7476" s="3" t="str">
        <f>IFERROR(__xludf.DUMMYFUNCTION("GOOGLETRANSLATE(B7476,""id"",""en"")"),"['Package', 'Internet', 'Abis',' Putong ',' Credit ',' buy ',' package ',' internet ',' Sometimes', 'zero', 'pulses',' buy ',' Package ',' HRS ',' Nyari ',' additional ',' hope ',' charity ',' worship ',' employees', 'tekomvret', 'accepted']")</f>
        <v>['Package', 'Internet', 'Abis',' Putong ',' Credit ',' buy ',' package ',' internet ',' Sometimes', 'zero', 'pulses',' buy ',' Package ',' HRS ',' Nyari ',' additional ',' hope ',' charity ',' worship ',' employees', 'tekomvret', 'accepted']</v>
      </c>
      <c r="D7476" s="3">
        <v>1.0</v>
      </c>
    </row>
    <row r="7477" ht="15.75" customHeight="1">
      <c r="A7477" s="1">
        <v>8027.0</v>
      </c>
      <c r="B7477" s="3" t="s">
        <v>7203</v>
      </c>
      <c r="C7477" s="3" t="str">
        <f>IFERROR(__xludf.DUMMYFUNCTION("GOOGLETRANSLATE(B7477,""id"",""en"")"),"['buy', 'package', 'internet', 'disorder', 'system', 'udh', 'rich', 'buy', '']")</f>
        <v>['buy', 'package', 'internet', 'disorder', 'system', 'udh', 'rich', 'buy', '']</v>
      </c>
      <c r="D7477" s="3">
        <v>1.0</v>
      </c>
    </row>
    <row r="7478" ht="15.75" customHeight="1">
      <c r="A7478" s="1">
        <v>8028.0</v>
      </c>
      <c r="B7478" s="3" t="s">
        <v>7204</v>
      </c>
      <c r="C7478" s="3" t="str">
        <f>IFERROR(__xludf.DUMMYFUNCTION("GOOGLETRANSLATE(B7478,""id"",""en"")"),"['likes', 'gabisa', 'buy', 'package', 'gajelas', 'APK']")</f>
        <v>['likes', 'gabisa', 'buy', 'package', 'gajelas', 'APK']</v>
      </c>
      <c r="D7478" s="3">
        <v>5.0</v>
      </c>
    </row>
    <row r="7479" ht="15.75" customHeight="1">
      <c r="A7479" s="1">
        <v>8029.0</v>
      </c>
      <c r="B7479" s="3" t="s">
        <v>7205</v>
      </c>
      <c r="C7479" s="3" t="str">
        <f>IFERROR(__xludf.DUMMYFUNCTION("GOOGLETRANSLATE(B7479,""id"",""en"")"),"['', 'Region', 'remote', 'Telkomsel', 'Qualified', ""]")</f>
        <v>['', 'Region', 'remote', 'Telkomsel', 'Qualified', "]</v>
      </c>
      <c r="D7479" s="3">
        <v>5.0</v>
      </c>
    </row>
    <row r="7480" ht="15.75" customHeight="1">
      <c r="A7480" s="1">
        <v>8030.0</v>
      </c>
      <c r="B7480" s="3" t="s">
        <v>7206</v>
      </c>
      <c r="C7480" s="3" t="str">
        <f>IFERROR(__xludf.DUMMYFUNCTION("GOOGLETRANSLATE(B7480,""id"",""en"")"),"['Help', 'ATIIIIIIIIIIIIIII']")</f>
        <v>['Help', 'ATIIIIIIIIIIIIIII']</v>
      </c>
      <c r="D7480" s="3">
        <v>5.0</v>
      </c>
    </row>
    <row r="7481" ht="15.75" customHeight="1">
      <c r="A7481" s="1">
        <v>8031.0</v>
      </c>
      <c r="B7481" s="3" t="s">
        <v>7207</v>
      </c>
      <c r="C7481" s="3" t="str">
        <f>IFERROR(__xludf.DUMMYFUNCTION("GOOGLETRANSLATE(B7481,""id"",""en"")"),"['Application', 'updated', 'download', 'finished', 'TTP', 'opened', 'position', 'notification', 'update']")</f>
        <v>['Application', 'updated', 'download', 'finished', 'TTP', 'opened', 'position', 'notification', 'update']</v>
      </c>
      <c r="D7481" s="3">
        <v>1.0</v>
      </c>
    </row>
    <row r="7482" ht="15.75" customHeight="1">
      <c r="A7482" s="1">
        <v>8032.0</v>
      </c>
      <c r="B7482" s="3" t="s">
        <v>7208</v>
      </c>
      <c r="C7482" s="3" t="str">
        <f>IFERROR(__xludf.DUMMYFUNCTION("GOOGLETRANSLATE(B7482,""id"",""en"")"),"['expensive', 'package', 'internet', 'slow', 'network', 'poor']")</f>
        <v>['expensive', 'package', 'internet', 'slow', 'network', 'poor']</v>
      </c>
      <c r="D7482" s="3">
        <v>1.0</v>
      </c>
    </row>
    <row r="7483" ht="15.75" customHeight="1">
      <c r="A7483" s="1">
        <v>8033.0</v>
      </c>
      <c r="B7483" s="3" t="s">
        <v>7209</v>
      </c>
      <c r="C7483" s="3" t="str">
        <f>IFERROR(__xludf.DUMMYFUNCTION("GOOGLETRANSLATE(B7483,""id"",""en"")"),"['Helpful', 'really']")</f>
        <v>['Helpful', 'really']</v>
      </c>
      <c r="D7483" s="3">
        <v>5.0</v>
      </c>
    </row>
    <row r="7484" ht="15.75" customHeight="1">
      <c r="A7484" s="1">
        <v>8034.0</v>
      </c>
      <c r="B7484" s="3" t="s">
        <v>7210</v>
      </c>
      <c r="C7484" s="3" t="str">
        <f>IFERROR(__xludf.DUMMYFUNCTION("GOOGLETRANSLATE(B7484,""id"",""en"")"),"['buy', 'package', 'easy', '']")</f>
        <v>['buy', 'package', 'easy', '']</v>
      </c>
      <c r="D7484" s="3">
        <v>5.0</v>
      </c>
    </row>
    <row r="7485" ht="15.75" customHeight="1">
      <c r="A7485" s="1">
        <v>8035.0</v>
      </c>
      <c r="B7485" s="3" t="s">
        <v>7211</v>
      </c>
      <c r="C7485" s="3" t="str">
        <f>IFERROR(__xludf.DUMMYFUNCTION("GOOGLETRANSLATE(B7485,""id"",""en"")"),"['Weve', 'Help', 'Open', 'Telkomsel', 'Embossed', 'Notification', 'Application', 'Closed', 'Alias',' Error ',' Open ',' Telkomsel ',' Open ',' APK ',' Please ',' his responses', 'Developert', ""]")</f>
        <v>['Weve', 'Help', 'Open', 'Telkomsel', 'Embossed', 'Notification', 'Application', 'Closed', 'Alias',' Error ',' Open ',' Telkomsel ',' Open ',' APK ',' Please ',' his responses', 'Developert', "]</v>
      </c>
      <c r="D7485" s="3">
        <v>3.0</v>
      </c>
    </row>
    <row r="7486" ht="15.75" customHeight="1">
      <c r="A7486" s="1">
        <v>8036.0</v>
      </c>
      <c r="B7486" s="3" t="s">
        <v>7212</v>
      </c>
      <c r="C7486" s="3" t="str">
        <f>IFERROR(__xludf.DUMMYFUNCTION("GOOGLETRANSLATE(B7486,""id"",""en"")"),"['Credit', 'Reduced', 'Surprised', 'Knp', 'The card', 'Turn Off']")</f>
        <v>['Credit', 'Reduced', 'Surprised', 'Knp', 'The card', 'Turn Off']</v>
      </c>
      <c r="D7486" s="3">
        <v>2.0</v>
      </c>
    </row>
    <row r="7487" ht="15.75" customHeight="1">
      <c r="A7487" s="1">
        <v>8037.0</v>
      </c>
      <c r="B7487" s="3" t="s">
        <v>7213</v>
      </c>
      <c r="C7487" s="3" t="str">
        <f>IFERROR(__xludf.DUMMYFUNCTION("GOOGLETRANSLATE(B7487,""id"",""en"")"),"['activated', 'package', 'network', 'ugly', 'severe', 'unreg', 'meek', 'features', 'discarded', 'quota', 'confused', 'card']")</f>
        <v>['activated', 'package', 'network', 'ugly', 'severe', 'unreg', 'meek', 'features', 'discarded', 'quota', 'confused', 'card']</v>
      </c>
      <c r="D7487" s="3">
        <v>1.0</v>
      </c>
    </row>
    <row r="7488" ht="15.75" customHeight="1">
      <c r="A7488" s="1">
        <v>8038.0</v>
      </c>
      <c r="B7488" s="3" t="s">
        <v>7214</v>
      </c>
      <c r="C7488" s="3" t="str">
        <f>IFERROR(__xludf.DUMMYFUNCTION("GOOGLETRANSLATE(B7488,""id"",""en"")"),"['hope', 'bail', '']")</f>
        <v>['hope', 'bail', '']</v>
      </c>
      <c r="D7488" s="3">
        <v>4.0</v>
      </c>
    </row>
    <row r="7489" ht="15.75" customHeight="1">
      <c r="A7489" s="1">
        <v>8039.0</v>
      </c>
      <c r="B7489" s="3" t="s">
        <v>7215</v>
      </c>
      <c r="C7489" s="3" t="str">
        <f>IFERROR(__xludf.DUMMYFUNCTION("GOOGLETRANSLATE(B7489,""id"",""en"")"),"['haduhh', 'times',' getting ',' bug ',' bought ',' kouta ',' gabisa ',' tip ',' scorched ',' so ',' card ',' given ',' price ',' no ',' Word ',' wear ',' Telkomsel ',' love ',' promo ',' enk ',' doang ',' oas', 'already', 'expensive', 'given' , 'Hadehhh'"&amp;", 'min', 'times',' love ',' promo ',' good ',' student ',' that's', 'buy', 'kouta', 'telkomsel', 'like', ' gabisa ',' easy ',' in the future ',' made ',' min ']")</f>
        <v>['haduhh', 'times',' getting ',' bug ',' bought ',' kouta ',' gabisa ',' tip ',' scorched ',' so ',' card ',' given ',' price ',' no ',' Word ',' wear ',' Telkomsel ',' love ',' promo ',' enk ',' doang ',' oas', 'already', 'expensive', 'given' , 'Hadehhh', 'min', 'times',' love ',' promo ',' good ',' student ',' that's', 'buy', 'kouta', 'telkomsel', 'like', ' gabisa ',' easy ',' in the future ',' made ',' min ']</v>
      </c>
      <c r="D7489" s="3">
        <v>2.0</v>
      </c>
    </row>
    <row r="7490" ht="15.75" customHeight="1">
      <c r="A7490" s="1">
        <v>8040.0</v>
      </c>
      <c r="B7490" s="3" t="s">
        <v>7216</v>
      </c>
      <c r="C7490" s="3" t="str">
        <f>IFERROR(__xludf.DUMMYFUNCTION("GOOGLETRANSLATE(B7490,""id"",""en"")"),"['Good', 'Enhanced']")</f>
        <v>['Good', 'Enhanced']</v>
      </c>
      <c r="D7490" s="3">
        <v>5.0</v>
      </c>
    </row>
    <row r="7491" ht="15.75" customHeight="1">
      <c r="A7491" s="1">
        <v>8042.0</v>
      </c>
      <c r="B7491" s="3" t="s">
        <v>7217</v>
      </c>
      <c r="C7491" s="3" t="str">
        <f>IFERROR(__xludf.DUMMYFUNCTION("GOOGLETRANSLATE(B7491,""id"",""en"")"),"['', 'happy', 'sell', 'SUCCESS']")</f>
        <v>['', 'happy', 'sell', 'SUCCESS']</v>
      </c>
      <c r="D7491" s="3">
        <v>5.0</v>
      </c>
    </row>
    <row r="7492" ht="15.75" customHeight="1">
      <c r="A7492" s="1">
        <v>8043.0</v>
      </c>
      <c r="B7492" s="3" t="s">
        <v>7218</v>
      </c>
      <c r="C7492" s="3" t="str">
        <f>IFERROR(__xludf.DUMMYFUNCTION("GOOGLETRANSLATE(B7492,""id"",""en"")"),"['pulse', 'missing', 'care']")</f>
        <v>['pulse', 'missing', 'care']</v>
      </c>
      <c r="D7492" s="3">
        <v>1.0</v>
      </c>
    </row>
    <row r="7493" ht="15.75" customHeight="1">
      <c r="A7493" s="1">
        <v>8044.0</v>
      </c>
      <c r="B7493" s="3" t="s">
        <v>7219</v>
      </c>
      <c r="C7493" s="3" t="str">
        <f>IFERROR(__xludf.DUMMYFUNCTION("GOOGLETRANSLATE(B7493,""id"",""en"")"),"['like', 'fityr', 'contents',' reset ',' voucher ',' please ',' hold ',' user ',' mytelkomsel ',' happy ',' easy ',' fill ',' Voucher ']")</f>
        <v>['like', 'fityr', 'contents',' reset ',' voucher ',' please ',' hold ',' user ',' mytelkomsel ',' happy ',' easy ',' fill ',' Voucher ']</v>
      </c>
      <c r="D7493" s="3">
        <v>4.0</v>
      </c>
    </row>
    <row r="7494" ht="15.75" customHeight="1">
      <c r="A7494" s="1">
        <v>8045.0</v>
      </c>
      <c r="B7494" s="3" t="s">
        <v>7220</v>
      </c>
      <c r="C7494" s="3" t="str">
        <f>IFERROR(__xludf.DUMMYFUNCTION("GOOGLETRANSLATE(B7494,""id"",""en"")"),"['Bismillah', 'Win', 'Lottery']")</f>
        <v>['Bismillah', 'Win', 'Lottery']</v>
      </c>
      <c r="D7494" s="3">
        <v>5.0</v>
      </c>
    </row>
    <row r="7495" ht="15.75" customHeight="1">
      <c r="A7495" s="1">
        <v>8046.0</v>
      </c>
      <c r="B7495" s="3" t="s">
        <v>143</v>
      </c>
      <c r="C7495" s="3" t="str">
        <f>IFERROR(__xludf.DUMMYFUNCTION("GOOGLETRANSLATE(B7495,""id"",""en"")"),"['Application', 'error']")</f>
        <v>['Application', 'error']</v>
      </c>
      <c r="D7495" s="3">
        <v>1.0</v>
      </c>
    </row>
    <row r="7496" ht="15.75" customHeight="1">
      <c r="A7496" s="1">
        <v>8047.0</v>
      </c>
      <c r="B7496" s="3" t="s">
        <v>7221</v>
      </c>
      <c r="C7496" s="3" t="str">
        <f>IFERROR(__xludf.DUMMYFUNCTION("GOOGLETRANSLATE(B7496,""id"",""en"")"),"['Telkomsel', 'skrng', 'sring', 'ugly', 'jringanya']")</f>
        <v>['Telkomsel', 'skrng', 'sring', 'ugly', 'jringanya']</v>
      </c>
      <c r="D7496" s="3">
        <v>5.0</v>
      </c>
    </row>
    <row r="7497" ht="15.75" customHeight="1">
      <c r="A7497" s="1">
        <v>8048.0</v>
      </c>
      <c r="B7497" s="3" t="s">
        <v>7222</v>
      </c>
      <c r="C7497" s="3" t="str">
        <f>IFERROR(__xludf.DUMMYFUNCTION("GOOGLETRANSLATE(B7497,""id"",""en"")"),"['mentang', 'mentang', 'card', 'best', 'Indonesia', 'network', 'strongest', 'in various', 'area', 'Songong', 'since' rating ',' So, 'bnyak', 'bnget', 'complaints', 'gedekk', 'bnget', '']")</f>
        <v>['mentang', 'mentang', 'card', 'best', 'Indonesia', 'network', 'strongest', 'in various', 'area', 'Songong', 'since' rating ',' So, 'bnyak', 'bnget', 'complaints', 'gedekk', 'bnget', '']</v>
      </c>
      <c r="D7497" s="3">
        <v>1.0</v>
      </c>
    </row>
    <row r="7498" ht="15.75" customHeight="1">
      <c r="A7498" s="1">
        <v>8049.0</v>
      </c>
      <c r="B7498" s="3" t="s">
        <v>7223</v>
      </c>
      <c r="C7498" s="3" t="str">
        <f>IFERROR(__xludf.DUMMYFUNCTION("GOOGLETRANSLATE(B7498,""id"",""en"")"),"['bsik']")</f>
        <v>['bsik']</v>
      </c>
      <c r="D7498" s="3">
        <v>5.0</v>
      </c>
    </row>
    <row r="7499" ht="15.75" customHeight="1">
      <c r="A7499" s="1">
        <v>8050.0</v>
      </c>
      <c r="B7499" s="3" t="s">
        <v>7224</v>
      </c>
      <c r="C7499" s="3" t="str">
        <f>IFERROR(__xludf.DUMMYFUNCTION("GOOGLETRANSLATE(B7499,""id"",""en"")"),"['Price', 'Affordable', 'Friendly']")</f>
        <v>['Price', 'Affordable', 'Friendly']</v>
      </c>
      <c r="D7499" s="3">
        <v>4.0</v>
      </c>
    </row>
    <row r="7500" ht="15.75" customHeight="1">
      <c r="A7500" s="1">
        <v>8051.0</v>
      </c>
      <c r="B7500" s="3" t="s">
        <v>7225</v>
      </c>
      <c r="C7500" s="3" t="str">
        <f>IFERROR(__xludf.DUMMYFUNCTION("GOOGLETRANSLATE(B7500,""id"",""en"")"),"['quota', 'expensive', 'Indonesia', 'signal', 'cheap', 'Indonesia', 'bankrupt', 'Tah', ""]")</f>
        <v>['quota', 'expensive', 'Indonesia', 'signal', 'cheap', 'Indonesia', 'bankrupt', 'Tah', "]</v>
      </c>
      <c r="D7500" s="3">
        <v>1.0</v>
      </c>
    </row>
    <row r="7501" ht="15.75" customHeight="1">
      <c r="A7501" s="1">
        <v>8053.0</v>
      </c>
      <c r="B7501" s="3" t="s">
        <v>7226</v>
      </c>
      <c r="C7501" s="3" t="str">
        <f>IFERROR(__xludf.DUMMYFUNCTION("GOOGLETRANSLATE(B7501,""id"",""en"")"),"['Paying', 'replaced']")</f>
        <v>['Paying', 'replaced']</v>
      </c>
      <c r="D7501" s="3">
        <v>5.0</v>
      </c>
    </row>
    <row r="7502" ht="15.75" customHeight="1">
      <c r="A7502" s="1">
        <v>8054.0</v>
      </c>
      <c r="B7502" s="3" t="s">
        <v>7227</v>
      </c>
      <c r="C7502" s="3" t="str">
        <f>IFERROR(__xludf.DUMMYFUNCTION("GOOGLETRANSLATE(B7502,""id"",""en"")"),"['Severe', 'quota', 'unlimited', 'GB', 'run out', 'strong', 'main', 'sosmed', 'ngak', '']")</f>
        <v>['Severe', 'quota', 'unlimited', 'GB', 'run out', 'strong', 'main', 'sosmed', 'ngak', '']</v>
      </c>
      <c r="D7502" s="3">
        <v>1.0</v>
      </c>
    </row>
    <row r="7503" ht="15.75" customHeight="1">
      <c r="A7503" s="1">
        <v>8055.0</v>
      </c>
      <c r="B7503" s="3" t="s">
        <v>7228</v>
      </c>
      <c r="C7503" s="3" t="str">
        <f>IFERROR(__xludf.DUMMYFUNCTION("GOOGLETRANSLATE(B7503,""id"",""en"")"),"['mksd', 'gmna', 'udh', 'set', 'tpi', 'mlh', 'ttp', 'change', 'trs',' emotion ',' boss', 'emotion', ' boss']")</f>
        <v>['mksd', 'gmna', 'udh', 'set', 'tpi', 'mlh', 'ttp', 'change', 'trs',' emotion ',' boss', 'emotion', ' boss']</v>
      </c>
      <c r="D7503" s="3">
        <v>1.0</v>
      </c>
    </row>
    <row r="7504" ht="15.75" customHeight="1">
      <c r="A7504" s="1">
        <v>8056.0</v>
      </c>
      <c r="B7504" s="3" t="s">
        <v>7229</v>
      </c>
      <c r="C7504" s="3" t="str">
        <f>IFERROR(__xludf.DUMMYFUNCTION("GOOGLETRANSLATE(B7504,""id"",""en"")"),"['pulse', 'Sumpot', 'Ooiii', 'Belom', 'used', 'already', 'pulses', 'chaotic', 'application']")</f>
        <v>['pulse', 'Sumpot', 'Ooiii', 'Belom', 'used', 'already', 'pulses', 'chaotic', 'application']</v>
      </c>
      <c r="D7504" s="3">
        <v>1.0</v>
      </c>
    </row>
    <row r="7505" ht="15.75" customHeight="1">
      <c r="A7505" s="1">
        <v>8057.0</v>
      </c>
      <c r="B7505" s="3" t="s">
        <v>7230</v>
      </c>
      <c r="C7505" s="3" t="str">
        <f>IFERROR(__xludf.DUMMYFUNCTION("GOOGLETRANSLATE(B7505,""id"",""en"")"),"['pulse', 'ilang', 'UDH', 'buy', 'package', 'package']")</f>
        <v>['pulse', 'ilang', 'UDH', 'buy', 'package', 'package']</v>
      </c>
      <c r="D7505" s="3">
        <v>1.0</v>
      </c>
    </row>
    <row r="7506" ht="15.75" customHeight="1">
      <c r="A7506" s="1">
        <v>8058.0</v>
      </c>
      <c r="B7506" s="3" t="s">
        <v>7231</v>
      </c>
      <c r="C7506" s="3" t="str">
        <f>IFERROR(__xludf.DUMMYFUNCTION("GOOGLETRANSLATE(B7506,""id"",""en"")"),"['Error', 'GMN', 'Weh', 'Fill', 'Credit', 'Enter', 'Balance', 'Cut']")</f>
        <v>['Error', 'GMN', 'Weh', 'Fill', 'Credit', 'Enter', 'Balance', 'Cut']</v>
      </c>
      <c r="D7506" s="3">
        <v>1.0</v>
      </c>
    </row>
    <row r="7507" ht="15.75" customHeight="1">
      <c r="A7507" s="1">
        <v>8059.0</v>
      </c>
      <c r="B7507" s="3" t="s">
        <v>7232</v>
      </c>
      <c r="C7507" s="3" t="str">
        <f>IFERROR(__xludf.DUMMYFUNCTION("GOOGLETRANSLATE(B7507,""id"",""en"")"),"['Munkinkah', 'Car', 'APK', 'SAARARAY', 'Lying', 'Min', 'already', ""]")</f>
        <v>['Munkinkah', 'Car', 'APK', 'SAARARAY', 'Lying', 'Min', 'already', "]</v>
      </c>
      <c r="D7507" s="3">
        <v>4.0</v>
      </c>
    </row>
    <row r="7508" ht="15.75" customHeight="1">
      <c r="A7508" s="1">
        <v>8060.0</v>
      </c>
      <c r="B7508" s="3" t="s">
        <v>7233</v>
      </c>
      <c r="C7508" s="3" t="str">
        <f>IFERROR(__xludf.DUMMYFUNCTION("GOOGLETRANSLATE(B7508,""id"",""en"")"),"['Intelligence', 'Telkomsel', 'Network', 'Package', 'Internet', 'Credit', 'Out', 'Loss',' Access', 'Network', 'Telkomsel', 'Disappointed', ' Telkomsel ']")</f>
        <v>['Intelligence', 'Telkomsel', 'Network', 'Package', 'Internet', 'Credit', 'Out', 'Loss',' Access', 'Network', 'Telkomsel', 'Disappointed', ' Telkomsel ']</v>
      </c>
      <c r="D7508" s="3">
        <v>1.0</v>
      </c>
    </row>
    <row r="7509" ht="15.75" customHeight="1">
      <c r="A7509" s="1">
        <v>8061.0</v>
      </c>
      <c r="B7509" s="3" t="s">
        <v>7234</v>
      </c>
      <c r="C7509" s="3" t="str">
        <f>IFERROR(__xludf.DUMMYFUNCTION("GOOGLETRANSLATE(B7509,""id"",""en"")"),"['Customer', 'Telkomsel', 'Signal', 'Severe', 'Please', 'Service', 'Repaired', 'Buy', 'Package', 'Cheap', 'Price', 'Please', ' Customized ',' Quality ',' Customer ',' Telkomsel ',' Run ',' Move ',' Next to ',' Network ',' Model ',' Kayak ',' ']")</f>
        <v>['Customer', 'Telkomsel', 'Signal', 'Severe', 'Please', 'Service', 'Repaired', 'Buy', 'Package', 'Cheap', 'Price', 'Please', ' Customized ',' Quality ',' Customer ',' Telkomsel ',' Run ',' Move ',' Next to ',' Network ',' Model ',' Kayak ',' ']</v>
      </c>
      <c r="D7509" s="3">
        <v>1.0</v>
      </c>
    </row>
    <row r="7510" ht="15.75" customHeight="1">
      <c r="A7510" s="1">
        <v>8062.0</v>
      </c>
      <c r="B7510" s="3" t="s">
        <v>7235</v>
      </c>
      <c r="C7510" s="3" t="str">
        <f>IFERROR(__xludf.DUMMYFUNCTION("GOOGLETRANSLATE(B7510,""id"",""en"")"),"['Paketan', 'combo', 'unlimited', 'expensive', 'era', 'pandemic', 'all-round', 'difficult', '']")</f>
        <v>['Paketan', 'combo', 'unlimited', 'expensive', 'era', 'pandemic', 'all-round', 'difficult', '']</v>
      </c>
      <c r="D7510" s="3">
        <v>1.0</v>
      </c>
    </row>
    <row r="7511" ht="15.75" customHeight="1">
      <c r="A7511" s="1">
        <v>8063.0</v>
      </c>
      <c r="B7511" s="3" t="s">
        <v>7236</v>
      </c>
      <c r="C7511" s="3" t="str">
        <f>IFERROR(__xludf.DUMMYFUNCTION("GOOGLETRANSLATE(B7511,""id"",""en"")"),"['provider', 'embarrassing', 'price', 'expensive', 'network', 'slow', 'fired', 'employees',' old ',' useful ',' change ',' generation ',' Young ',' forward ',' Telkomsel ',' Read ',' Comments', 'Customers',' Positive ',' ']")</f>
        <v>['provider', 'embarrassing', 'price', 'expensive', 'network', 'slow', 'fired', 'employees',' old ',' useful ',' change ',' generation ',' Young ',' forward ',' Telkomsel ',' Read ',' Comments', 'Customers',' Positive ',' ']</v>
      </c>
      <c r="D7511" s="3">
        <v>1.0</v>
      </c>
    </row>
    <row r="7512" ht="15.75" customHeight="1">
      <c r="A7512" s="1">
        <v>8064.0</v>
      </c>
      <c r="B7512" s="3" t="s">
        <v>7237</v>
      </c>
      <c r="C7512" s="3" t="str">
        <f>IFERROR(__xludf.DUMMYFUNCTION("GOOGLETRANSLATE(B7512,""id"",""en"")"),"['easy', 'use', 'application']")</f>
        <v>['easy', 'use', 'application']</v>
      </c>
      <c r="D7512" s="3">
        <v>5.0</v>
      </c>
    </row>
    <row r="7513" ht="15.75" customHeight="1">
      <c r="A7513" s="1">
        <v>8065.0</v>
      </c>
      <c r="B7513" s="3" t="s">
        <v>7238</v>
      </c>
      <c r="C7513" s="3" t="str">
        <f>IFERROR(__xludf.DUMMYFUNCTION("GOOGLETRANSLATE(B7513,""id"",""en"")"),"['', 'the network', 'okay', 'rather than', 'provider', 'yellow', 'buy', 'package', 'data', 'dipake', 'like', 'signal', 'gini ',' yaa ',' Telkomsel ',' nyesek ',' ngeta ',' in ',' because 'internet', 'difficult', 'signal', ""]")</f>
        <v>['', 'the network', 'okay', 'rather than', 'provider', 'yellow', 'buy', 'package', 'data', 'dipake', 'like', 'signal', 'gini ',' yaa ',' Telkomsel ',' nyesek ',' ngeta ',' in ',' because 'internet', 'difficult', 'signal', "]</v>
      </c>
      <c r="D7513" s="3">
        <v>1.0</v>
      </c>
    </row>
    <row r="7514" ht="15.75" customHeight="1">
      <c r="A7514" s="1">
        <v>8066.0</v>
      </c>
      <c r="B7514" s="3" t="s">
        <v>7239</v>
      </c>
      <c r="C7514" s="3" t="str">
        <f>IFERROR(__xludf.DUMMYFUNCTION("GOOGLETRANSLATE(B7514,""id"",""en"")"),"['easy', 'transaction', 'check', 'pulse', 'quota']")</f>
        <v>['easy', 'transaction', 'check', 'pulse', 'quota']</v>
      </c>
      <c r="D7514" s="3">
        <v>5.0</v>
      </c>
    </row>
    <row r="7515" ht="15.75" customHeight="1">
      <c r="A7515" s="1">
        <v>8067.0</v>
      </c>
      <c r="B7515" s="3" t="s">
        <v>7240</v>
      </c>
      <c r="C7515" s="3" t="str">
        <f>IFERROR(__xludf.DUMMYFUNCTION("GOOGLETRANSLATE(B7515,""id"",""en"")"),"['Act', 'slow', 'Yuk', 'moved', 'Indosat', 'stable', 'slow', 'gini', 'Indosat', 'number', ""]")</f>
        <v>['Act', 'slow', 'Yuk', 'moved', 'Indosat', 'stable', 'slow', 'gini', 'Indosat', 'number', "]</v>
      </c>
      <c r="D7515" s="3">
        <v>1.0</v>
      </c>
    </row>
    <row r="7516" ht="15.75" customHeight="1">
      <c r="A7516" s="1">
        <v>8068.0</v>
      </c>
      <c r="B7516" s="3" t="s">
        <v>7241</v>
      </c>
      <c r="C7516" s="3" t="str">
        <f>IFERROR(__xludf.DUMMYFUNCTION("GOOGLETRANSLATE(B7516,""id"",""en"")"),"['', 'buy', 'package', 'internet', 'active']")</f>
        <v>['', 'buy', 'package', 'internet', 'active']</v>
      </c>
      <c r="D7516" s="3">
        <v>1.0</v>
      </c>
    </row>
    <row r="7517" ht="15.75" customHeight="1">
      <c r="A7517" s="1">
        <v>8069.0</v>
      </c>
      <c r="B7517" s="3" t="s">
        <v>7242</v>
      </c>
      <c r="C7517" s="3" t="str">
        <f>IFERROR(__xludf.DUMMYFUNCTION("GOOGLETRANSLATE(B7517,""id"",""en"")"),"['Woyy', 'application', 'what', 'credit', 'Telkomsel', 'input', 'nominal', 'continued', 'fill', 'nominal', 'column', 'function', ' function ',' delete ',' use ',' ']")</f>
        <v>['Woyy', 'application', 'what', 'credit', 'Telkomsel', 'input', 'nominal', 'continued', 'fill', 'nominal', 'column', 'function', ' function ',' delete ',' use ',' ']</v>
      </c>
      <c r="D7517" s="3">
        <v>1.0</v>
      </c>
    </row>
    <row r="7518" ht="15.75" customHeight="1">
      <c r="A7518" s="1">
        <v>8072.0</v>
      </c>
      <c r="B7518" s="3" t="s">
        <v>7243</v>
      </c>
      <c r="C7518" s="3" t="str">
        <f>IFERROR(__xludf.DUMMYFUNCTION("GOOGLETRANSLATE(B7518,""id"",""en"")"),"['good', 'Telkomsel', 'so good', 'good', 'list', 'already', 'times',' balance ',' run out ',' no ',' enter ',' NOT ',' Package ',' Internet ',' MLH ',' Lossi ']")</f>
        <v>['good', 'Telkomsel', 'so good', 'good', 'list', 'already', 'times',' balance ',' run out ',' no ',' enter ',' NOT ',' Package ',' Internet ',' MLH ',' Lossi ']</v>
      </c>
      <c r="D7518" s="3">
        <v>5.0</v>
      </c>
    </row>
    <row r="7519" ht="15.75" customHeight="1">
      <c r="A7519" s="1">
        <v>8073.0</v>
      </c>
      <c r="B7519" s="3" t="s">
        <v>7244</v>
      </c>
      <c r="C7519" s="3" t="str">
        <f>IFERROR(__xludf.DUMMYFUNCTION("GOOGLETRANSLATE(B7519,""id"",""en"")"),"['Good', 'cheap', 'festive']")</f>
        <v>['Good', 'cheap', 'festive']</v>
      </c>
      <c r="D7519" s="3">
        <v>5.0</v>
      </c>
    </row>
    <row r="7520" ht="15.75" customHeight="1">
      <c r="A7520" s="1">
        <v>8074.0</v>
      </c>
      <c r="B7520" s="3" t="s">
        <v>7245</v>
      </c>
      <c r="C7520" s="3" t="str">
        <f>IFERROR(__xludf.DUMMYFUNCTION("GOOGLETRANSLATE(B7520,""id"",""en"")"),"['How', 'Stop', 'Package', 'Out']")</f>
        <v>['How', 'Stop', 'Package', 'Out']</v>
      </c>
      <c r="D7520" s="3">
        <v>5.0</v>
      </c>
    </row>
    <row r="7521" ht="15.75" customHeight="1">
      <c r="A7521" s="1">
        <v>8075.0</v>
      </c>
      <c r="B7521" s="3" t="s">
        <v>7246</v>
      </c>
      <c r="C7521" s="3" t="str">
        <f>IFERROR(__xludf.DUMMYFUNCTION("GOOGLETRANSLATE(B7521,""id"",""en"")"),"['difficult', 'open', 'login', 'really', 'Please', 'Increase', 'Telkomsel']")</f>
        <v>['difficult', 'open', 'login', 'really', 'Please', 'Increase', 'Telkomsel']</v>
      </c>
      <c r="D7521" s="3">
        <v>1.0</v>
      </c>
    </row>
    <row r="7522" ht="15.75" customHeight="1">
      <c r="A7522" s="1">
        <v>8076.0</v>
      </c>
      <c r="B7522" s="3" t="s">
        <v>7247</v>
      </c>
      <c r="C7522" s="3" t="str">
        <f>IFERROR(__xludf.DUMMYFUNCTION("GOOGLETRANSLATE(B7522,""id"",""en"")"),"['gymna', 'min', 'packagein', 'data', 'use', 'pulse', 'error', 'mulu', 'buy', 'product', 'please', 'fix', ' Users', 'Disappointed', '']")</f>
        <v>['gymna', 'min', 'packagein', 'data', 'use', 'pulse', 'error', 'mulu', 'buy', 'product', 'please', 'fix', ' Users', 'Disappointed', '']</v>
      </c>
      <c r="D7522" s="3">
        <v>1.0</v>
      </c>
    </row>
    <row r="7523" ht="15.75" customHeight="1">
      <c r="A7523" s="1">
        <v>8077.0</v>
      </c>
      <c r="B7523" s="3" t="s">
        <v>7248</v>
      </c>
      <c r="C7523" s="3" t="str">
        <f>IFERROR(__xludf.DUMMYFUNCTION("GOOGLETRANSLATE(B7523,""id"",""en"")"),"['Affordable', 'simple']")</f>
        <v>['Affordable', 'simple']</v>
      </c>
      <c r="D7523" s="3">
        <v>4.0</v>
      </c>
    </row>
    <row r="7524" ht="15.75" customHeight="1">
      <c r="A7524" s="1">
        <v>8078.0</v>
      </c>
      <c r="B7524" s="3" t="s">
        <v>7249</v>
      </c>
      <c r="C7524" s="3" t="str">
        <f>IFERROR(__xludf.DUMMYFUNCTION("GOOGLETRANSLATE(B7524,""id"",""en"")"),"['virtual', 'account', 'made', 'complicated', 'delete', 'bother', 'already', 'forgiveness', ""]")</f>
        <v>['virtual', 'account', 'made', 'complicated', 'delete', 'bother', 'already', 'forgiveness', "]</v>
      </c>
      <c r="D7524" s="3">
        <v>1.0</v>
      </c>
    </row>
    <row r="7525" ht="15.75" customHeight="1">
      <c r="A7525" s="1">
        <v>8079.0</v>
      </c>
      <c r="B7525" s="3" t="s">
        <v>7250</v>
      </c>
      <c r="C7525" s="3" t="str">
        <f>IFERROR(__xludf.DUMMYFUNCTION("GOOGLETRANSLATE(B7525,""id"",""en"")"),"['Tekomsel', 'That's',' Leet ',' Ikukan ',' buy ',' money ',' free ',' Help ',' cooperation ',' already ',' expensive ',' slow ',' ']")</f>
        <v>['Tekomsel', 'That's',' Leet ',' Ikukan ',' buy ',' money ',' free ',' Help ',' cooperation ',' already ',' expensive ',' slow ',' ']</v>
      </c>
      <c r="D7525" s="3">
        <v>1.0</v>
      </c>
    </row>
    <row r="7526" ht="15.75" customHeight="1">
      <c r="A7526" s="1">
        <v>8080.0</v>
      </c>
      <c r="B7526" s="3" t="s">
        <v>7251</v>
      </c>
      <c r="C7526" s="3" t="str">
        <f>IFERROR(__xludf.DUMMYFUNCTION("GOOGLETRANSLATE(B7526,""id"",""en"")"),"['here', 'enek', 'balance', 'pulse', 'missing', 'run out', 'gradual', 'mode', 'complain', 'the reason', 'mode', 'loss',' balances', 'credit', 'repeat', 'times',' since 'since' real ',' mode ',' cheating ',' good ',' ylki ',' acting ', ""]")</f>
        <v>['here', 'enek', 'balance', 'pulse', 'missing', 'run out', 'gradual', 'mode', 'complain', 'the reason', 'mode', 'loss',' balances', 'credit', 'repeat', 'times',' since 'since' real ',' mode ',' cheating ',' good ',' ylki ',' acting ', "]</v>
      </c>
      <c r="D7526" s="3">
        <v>1.0</v>
      </c>
    </row>
    <row r="7527" ht="15.75" customHeight="1">
      <c r="A7527" s="1">
        <v>8081.0</v>
      </c>
      <c r="B7527" s="3" t="s">
        <v>7252</v>
      </c>
      <c r="C7527" s="3" t="str">
        <f>IFERROR(__xludf.DUMMYFUNCTION("GOOGLETRANSLATE(B7527,""id"",""en"")"),"['Package', 'phone', 'expensive']")</f>
        <v>['Package', 'phone', 'expensive']</v>
      </c>
      <c r="D7527" s="3">
        <v>5.0</v>
      </c>
    </row>
    <row r="7528" ht="15.75" customHeight="1">
      <c r="A7528" s="1">
        <v>8082.0</v>
      </c>
      <c r="B7528" s="3" t="s">
        <v>7253</v>
      </c>
      <c r="C7528" s="3" t="str">
        <f>IFERROR(__xludf.DUMMYFUNCTION("GOOGLETRANSLATE(B7528,""id"",""en"")"),"['application', 'Nipu', 'already', 'check', 'right', 'Reedem', 'failed', 'writing', 'Considered', 'Package', 'enter', 'Fakyou', ' Telkomsel ',' cheater ']")</f>
        <v>['application', 'Nipu', 'already', 'check', 'right', 'Reedem', 'failed', 'writing', 'Considered', 'Package', 'enter', 'Fakyou', ' Telkomsel ',' cheater ']</v>
      </c>
      <c r="D7528" s="3">
        <v>1.0</v>
      </c>
    </row>
    <row r="7529" ht="15.75" customHeight="1">
      <c r="A7529" s="1">
        <v>8083.0</v>
      </c>
      <c r="B7529" s="3" t="s">
        <v>7254</v>
      </c>
      <c r="C7529" s="3" t="str">
        <f>IFERROR(__xludf.DUMMYFUNCTION("GOOGLETRANSLATE(B7529,""id"",""en"")"),"['Please', 'msalah', 'signal', 'repaired', 'price', 'package', 'in the cheapkn', 'kasian', 'circle', 'yng']")</f>
        <v>['Please', 'msalah', 'signal', 'repaired', 'price', 'package', 'in the cheapkn', 'kasian', 'circle', 'yng']</v>
      </c>
      <c r="D7529" s="3">
        <v>1.0</v>
      </c>
    </row>
    <row r="7530" ht="15.75" customHeight="1">
      <c r="A7530" s="1">
        <v>8085.0</v>
      </c>
      <c r="B7530" s="3" t="s">
        <v>7255</v>
      </c>
      <c r="C7530" s="3" t="str">
        <f>IFERROR(__xludf.DUMMYFUNCTION("GOOGLETRANSLATE(B7530,""id"",""en"")"),"['Severe', 'signal', 'Kapok', 'Looks', 'sympathy', 'turn', 'turn', 'Maen', 'Game', 'Severe', 'Bener', 'Severe']")</f>
        <v>['Severe', 'signal', 'Kapok', 'Looks', 'sympathy', 'turn', 'turn', 'Maen', 'Game', 'Severe', 'Bener', 'Severe']</v>
      </c>
      <c r="D7530" s="3">
        <v>1.0</v>
      </c>
    </row>
    <row r="7531" ht="15.75" customHeight="1">
      <c r="A7531" s="1">
        <v>8086.0</v>
      </c>
      <c r="B7531" s="3" t="s">
        <v>158</v>
      </c>
      <c r="C7531" s="3" t="str">
        <f>IFERROR(__xludf.DUMMYFUNCTION("GOOGLETRANSLATE(B7531,""id"",""en"")"),"['expensive']")</f>
        <v>['expensive']</v>
      </c>
      <c r="D7531" s="3">
        <v>5.0</v>
      </c>
    </row>
    <row r="7532" ht="15.75" customHeight="1">
      <c r="A7532" s="1">
        <v>8087.0</v>
      </c>
      <c r="B7532" s="3" t="s">
        <v>7256</v>
      </c>
      <c r="C7532" s="3" t="str">
        <f>IFERROR(__xludf.DUMMYFUNCTION("GOOGLETRANSLATE(B7532,""id"",""en"")"),"['network', 'internet', 'repaired']")</f>
        <v>['network', 'internet', 'repaired']</v>
      </c>
      <c r="D7532" s="3">
        <v>1.0</v>
      </c>
    </row>
    <row r="7533" ht="15.75" customHeight="1">
      <c r="A7533" s="1">
        <v>8088.0</v>
      </c>
      <c r="B7533" s="3" t="s">
        <v>7257</v>
      </c>
      <c r="C7533" s="3" t="str">
        <f>IFERROR(__xludf.DUMMYFUNCTION("GOOGLETRANSLATE(B7533,""id"",""en"")"),"['Admin', 'sick', 'promo', 'price', 'thousand', 'recommendation', 'mytelkomsel', 'right', 'cave', 'contents',' pulse ',' try ',' buy ',' pulse ',' reply ',' message ',' cave ',' contents', 'pulse', 'thousand', 'lost', 'promo', 'gave', 'package', 'internet"&amp;"' , 'Cheap', 'promo', 'loss', 'person', 'contents', 'pulses', 'wirs', 'tricks', ""]")</f>
        <v>['Admin', 'sick', 'promo', 'price', 'thousand', 'recommendation', 'mytelkomsel', 'right', 'cave', 'contents',' pulse ',' try ',' buy ',' pulse ',' reply ',' message ',' cave ',' contents', 'pulse', 'thousand', 'lost', 'promo', 'gave', 'package', 'internet' , 'Cheap', 'promo', 'loss', 'person', 'contents', 'pulses', 'wirs', 'tricks', "]</v>
      </c>
      <c r="D7533" s="3">
        <v>1.0</v>
      </c>
    </row>
    <row r="7534" ht="15.75" customHeight="1">
      <c r="A7534" s="1">
        <v>8089.0</v>
      </c>
      <c r="B7534" s="3" t="s">
        <v>7258</v>
      </c>
      <c r="C7534" s="3" t="str">
        <f>IFERROR(__xludf.DUMMYFUNCTION("GOOGLETRANSLATE(B7534,""id"",""en"")"),"['Network', 'problematic', 'network', 'setbacks',' resting ',' activity ',' ber ',' internet ',' please ',' sympathy ',' fix ',' jngan ',' Costumer ',' Move ',' Provider ',' Next to ']")</f>
        <v>['Network', 'problematic', 'network', 'setbacks',' resting ',' activity ',' ber ',' internet ',' please ',' sympathy ',' fix ',' jngan ',' Costumer ',' Move ',' Provider ',' Next to ']</v>
      </c>
      <c r="D7534" s="3">
        <v>1.0</v>
      </c>
    </row>
    <row r="7535" ht="15.75" customHeight="1">
      <c r="A7535" s="1">
        <v>8090.0</v>
      </c>
      <c r="B7535" s="3" t="s">
        <v>7259</v>
      </c>
      <c r="C7535" s="3" t="str">
        <f>IFERROR(__xludf.DUMMYFUNCTION("GOOGLETRANSLATE(B7535,""id"",""en"")"),"['Telkomsel', 'ngelag', 'really', 'oath']")</f>
        <v>['Telkomsel', 'ngelag', 'really', 'oath']</v>
      </c>
      <c r="D7535" s="3">
        <v>1.0</v>
      </c>
    </row>
    <row r="7536" ht="15.75" customHeight="1">
      <c r="A7536" s="1">
        <v>8091.0</v>
      </c>
      <c r="B7536" s="3" t="s">
        <v>7260</v>
      </c>
      <c r="C7536" s="3" t="str">
        <f>IFERROR(__xludf.DUMMYFUNCTION("GOOGLETRANSLATE(B7536,""id"",""en"")"),"['signal', 'Telkomsel', 'good', 'laen', 'proof', 'ddlm', 'rmh', 'can', 'signal', 'lose', 'ama', 'ddlm', ' Home ',' Signal ',' Good ',' ']")</f>
        <v>['signal', 'Telkomsel', 'good', 'laen', 'proof', 'ddlm', 'rmh', 'can', 'signal', 'lose', 'ama', 'ddlm', ' Home ',' Signal ',' Good ',' ']</v>
      </c>
      <c r="D7536" s="3">
        <v>1.0</v>
      </c>
    </row>
    <row r="7537" ht="15.75" customHeight="1">
      <c r="A7537" s="1">
        <v>8092.0</v>
      </c>
      <c r="B7537" s="3" t="s">
        <v>7261</v>
      </c>
      <c r="C7537" s="3" t="str">
        <f>IFERROR(__xludf.DUMMYFUNCTION("GOOGLETRANSLATE(B7537,""id"",""en"")"),"['Good', 'Hopefully', 'Telkomsel', 'Success', 'Dance', 'Extensive', 'Reach', 'Anti', 'Leet']")</f>
        <v>['Good', 'Hopefully', 'Telkomsel', 'Success', 'Dance', 'Extensive', 'Reach', 'Anti', 'Leet']</v>
      </c>
      <c r="D7537" s="3">
        <v>5.0</v>
      </c>
    </row>
    <row r="7538" ht="15.75" customHeight="1">
      <c r="A7538" s="1">
        <v>8093.0</v>
      </c>
      <c r="B7538" s="3" t="s">
        <v>7262</v>
      </c>
      <c r="C7538" s="3" t="str">
        <f>IFERROR(__xludf.DUMMYFUNCTION("GOOGLETRANSLATE(B7538,""id"",""en"")"),"['Destroyed', 'Telkomsel', 'destroyed', 'Bener', 'Telkomsel', 'package', 'expensive', 'network', 'serious', 'gawatt', 'parahh']")</f>
        <v>['Destroyed', 'Telkomsel', 'destroyed', 'Bener', 'Telkomsel', 'package', 'expensive', 'network', 'serious', 'gawatt', 'parahh']</v>
      </c>
      <c r="D7538" s="3">
        <v>1.0</v>
      </c>
    </row>
    <row r="7539" ht="15.75" customHeight="1">
      <c r="A7539" s="1">
        <v>8094.0</v>
      </c>
      <c r="B7539" s="3" t="s">
        <v>7263</v>
      </c>
      <c r="C7539" s="3" t="str">
        <f>IFERROR(__xludf.DUMMYFUNCTION("GOOGLETRANSLATE(B7539,""id"",""en"")"),"['Please', 'Signal', 'Bener', 'Rich', 'Gini', ""]")</f>
        <v>['Please', 'Signal', 'Bener', 'Rich', 'Gini', "]</v>
      </c>
      <c r="D7539" s="3">
        <v>1.0</v>
      </c>
    </row>
    <row r="7540" ht="15.75" customHeight="1">
      <c r="A7540" s="1">
        <v>8095.0</v>
      </c>
      <c r="B7540" s="3" t="s">
        <v>7264</v>
      </c>
      <c r="C7540" s="3" t="str">
        <f>IFERROR(__xludf.DUMMYFUNCTION("GOOGLETRANSLATE(B7540,""id"",""en"")"),"['signal', 'skrg', 'bad']")</f>
        <v>['signal', 'skrg', 'bad']</v>
      </c>
      <c r="D7540" s="3">
        <v>2.0</v>
      </c>
    </row>
    <row r="7541" ht="15.75" customHeight="1">
      <c r="A7541" s="1">
        <v>8096.0</v>
      </c>
      <c r="B7541" s="3" t="s">
        <v>7265</v>
      </c>
      <c r="C7541" s="3" t="str">
        <f>IFERROR(__xludf.DUMMYFUNCTION("GOOGLETRANSLATE(B7541,""id"",""en"")"),"['lag', 'woiiii', 'laggggg', 'fix', 'ngelag', 'internet', 'the fastest', 'ngelag']")</f>
        <v>['lag', 'woiiii', 'laggggg', 'fix', 'ngelag', 'internet', 'the fastest', 'ngelag']</v>
      </c>
      <c r="D7541" s="3">
        <v>1.0</v>
      </c>
    </row>
    <row r="7542" ht="15.75" customHeight="1">
      <c r="A7542" s="1">
        <v>8097.0</v>
      </c>
      <c r="B7542" s="3" t="s">
        <v>5793</v>
      </c>
      <c r="C7542" s="3" t="str">
        <f>IFERROR(__xludf.DUMMYFUNCTION("GOOGLETRANSLATE(B7542,""id"",""en"")"),"['Package', 'cheap']")</f>
        <v>['Package', 'cheap']</v>
      </c>
      <c r="D7542" s="3">
        <v>3.0</v>
      </c>
    </row>
    <row r="7543" ht="15.75" customHeight="1">
      <c r="A7543" s="1">
        <v>8098.0</v>
      </c>
      <c r="B7543" s="3" t="s">
        <v>7266</v>
      </c>
      <c r="C7543" s="3" t="str">
        <f>IFERROR(__xludf.DUMMYFUNCTION("GOOGLETRANSLATE(B7543,""id"",""en"")"),"['The network', 'ugly', 'continuous', 'feruu', 'minn']")</f>
        <v>['The network', 'ugly', 'continuous', 'feruu', 'minn']</v>
      </c>
      <c r="D7543" s="3">
        <v>1.0</v>
      </c>
    </row>
    <row r="7544" ht="15.75" customHeight="1">
      <c r="A7544" s="1">
        <v>8100.0</v>
      </c>
      <c r="B7544" s="3" t="s">
        <v>7267</v>
      </c>
      <c r="C7544" s="3" t="str">
        <f>IFERROR(__xludf.DUMMYFUNCTION("GOOGLETRANSLATE(B7544,""id"",""en"")"),"['Telkomsel', 'Masuh', 'NMR']")</f>
        <v>['Telkomsel', 'Masuh', 'NMR']</v>
      </c>
      <c r="D7544" s="3">
        <v>5.0</v>
      </c>
    </row>
    <row r="7545" ht="15.75" customHeight="1">
      <c r="A7545" s="1">
        <v>8101.0</v>
      </c>
      <c r="B7545" s="3" t="s">
        <v>7268</v>
      </c>
      <c r="C7545" s="3" t="str">
        <f>IFERROR(__xludf.DUMMYFUNCTION("GOOGLETRANSLATE(B7545,""id"",""en"")"),"['package', 'expensive', 'signal', 'internet', 'bobroooooooooooooooooook', 'idiot', 'buy', 'quota', 'leaves', 'idiot']")</f>
        <v>['package', 'expensive', 'signal', 'internet', 'bobroooooooooooooooooook', 'idiot', 'buy', 'quota', 'leaves', 'idiot']</v>
      </c>
      <c r="D7545" s="3">
        <v>1.0</v>
      </c>
    </row>
    <row r="7546" ht="15.75" customHeight="1">
      <c r="A7546" s="1">
        <v>8102.0</v>
      </c>
      <c r="B7546" s="3" t="s">
        <v>7269</v>
      </c>
      <c r="C7546" s="3" t="str">
        <f>IFERROR(__xludf.DUMMYFUNCTION("GOOGLETRANSLATE(B7546,""id"",""en"")"),"['Thank you', 'updates', 'application', 'personal', 'easy', 'check', 'kouta', 'contents', 'kouta', 'thank', 'love']")</f>
        <v>['Thank you', 'updates', 'application', 'personal', 'easy', 'check', 'kouta', 'contents', 'kouta', 'thank', 'love']</v>
      </c>
      <c r="D7546" s="3">
        <v>4.0</v>
      </c>
    </row>
    <row r="7547" ht="15.75" customHeight="1">
      <c r="A7547" s="1">
        <v>8103.0</v>
      </c>
      <c r="B7547" s="3" t="s">
        <v>7270</v>
      </c>
      <c r="C7547" s="3" t="str">
        <f>IFERROR(__xludf.DUMMYFUNCTION("GOOGLETRANSLATE(B7547,""id"",""en"")"),"['Good', 'The application', 'Link', 'Where']")</f>
        <v>['Good', 'The application', 'Link', 'Where']</v>
      </c>
      <c r="D7547" s="3">
        <v>5.0</v>
      </c>
    </row>
    <row r="7548" ht="15.75" customHeight="1">
      <c r="A7548" s="1">
        <v>8104.0</v>
      </c>
      <c r="B7548" s="3" t="s">
        <v>7271</v>
      </c>
      <c r="C7548" s="3" t="str">
        <f>IFERROR(__xludf.DUMMYFUNCTION("GOOGLETRANSLATE(B7548,""id"",""en"")"),"['Help', 'users', 'Telkomsel']")</f>
        <v>['Help', 'users', 'Telkomsel']</v>
      </c>
      <c r="D7548" s="3">
        <v>5.0</v>
      </c>
    </row>
    <row r="7549" ht="15.75" customHeight="1">
      <c r="A7549" s="1">
        <v>8105.0</v>
      </c>
      <c r="B7549" s="3" t="s">
        <v>7272</v>
      </c>
      <c r="C7549" s="3" t="str">
        <f>IFERROR(__xludf.DUMMYFUNCTION("GOOGLETRANSLATE(B7549,""id"",""en"")"),"['Yuk', 'Telkomsel', 'tasty', 'lho', 'promo']")</f>
        <v>['Yuk', 'Telkomsel', 'tasty', 'lho', 'promo']</v>
      </c>
      <c r="D7549" s="3">
        <v>5.0</v>
      </c>
    </row>
    <row r="7550" ht="15.75" customHeight="1">
      <c r="A7550" s="1">
        <v>8106.0</v>
      </c>
      <c r="B7550" s="3" t="s">
        <v>7273</v>
      </c>
      <c r="C7550" s="3" t="str">
        <f>IFERROR(__xludf.DUMMYFUNCTION("GOOGLETRANSLATE(B7550,""id"",""en"")"),"['Operator', 'Bodong', 'Fill', 'Credit', 'Expensive', 'Enter', 'Function', 'Bener', 'Bodong']")</f>
        <v>['Operator', 'Bodong', 'Fill', 'Credit', 'Expensive', 'Enter', 'Function', 'Bener', 'Bodong']</v>
      </c>
      <c r="D7550" s="3">
        <v>1.0</v>
      </c>
    </row>
    <row r="7551" ht="15.75" customHeight="1">
      <c r="A7551" s="1">
        <v>8107.0</v>
      </c>
      <c r="B7551" s="3" t="s">
        <v>7274</v>
      </c>
      <c r="C7551" s="3" t="str">
        <f>IFERROR(__xludf.DUMMYFUNCTION("GOOGLETRANSLATE(B7551,""id"",""en"")"),"['service', 'chat', 'sangkron', 'consumer', 'skarang', 'sword', 'call', 'entry', 'kayak', 'signal', 'ugly', 'talking', ' signal']")</f>
        <v>['service', 'chat', 'sangkron', 'consumer', 'skarang', 'sword', 'call', 'entry', 'kayak', 'signal', 'ugly', 'talking', ' signal']</v>
      </c>
      <c r="D7551" s="3">
        <v>1.0</v>
      </c>
    </row>
    <row r="7552" ht="15.75" customHeight="1">
      <c r="A7552" s="1">
        <v>8108.0</v>
      </c>
      <c r="B7552" s="3" t="s">
        <v>7275</v>
      </c>
      <c r="C7552" s="3" t="str">
        <f>IFERROR(__xludf.DUMMYFUNCTION("GOOGLETRANSLATE(B7552,""id"",""en"")"),"['Error', 'application', 'enter', 'Daily', 'checkin', 'please', 'fix', 'annoying', 'application', 'android', 'stop']")</f>
        <v>['Error', 'application', 'enter', 'Daily', 'checkin', 'please', 'fix', 'annoying', 'application', 'android', 'stop']</v>
      </c>
      <c r="D7552" s="3">
        <v>2.0</v>
      </c>
    </row>
    <row r="7553" ht="15.75" customHeight="1">
      <c r="A7553" s="1">
        <v>8109.0</v>
      </c>
      <c r="B7553" s="3" t="s">
        <v>7276</v>
      </c>
      <c r="C7553" s="3" t="str">
        <f>IFERROR(__xludf.DUMMYFUNCTION("GOOGLETRANSLATE(B7553,""id"",""en"")"),"['buy', 'pulse', 'enter']")</f>
        <v>['buy', 'pulse', 'enter']</v>
      </c>
      <c r="D7553" s="3">
        <v>1.0</v>
      </c>
    </row>
    <row r="7554" ht="15.75" customHeight="1">
      <c r="A7554" s="1">
        <v>8110.0</v>
      </c>
      <c r="B7554" s="3" t="s">
        <v>7277</v>
      </c>
      <c r="C7554" s="3" t="str">
        <f>IFERROR(__xludf.DUMMYFUNCTION("GOOGLETRANSLATE(B7554,""id"",""en"")"),"['use', 'Telkomsel', 'disappointed', 'telponan', 'lift', 'Rijek', 'curious',' call ',' paid ',' operator ',' contact ',' until ',' Contact ',' ']")</f>
        <v>['use', 'Telkomsel', 'disappointed', 'telponan', 'lift', 'Rijek', 'curious',' call ',' paid ',' operator ',' contact ',' until ',' Contact ',' ']</v>
      </c>
      <c r="D7554" s="3">
        <v>5.0</v>
      </c>
    </row>
    <row r="7555" ht="15.75" customHeight="1">
      <c r="A7555" s="1">
        <v>8111.0</v>
      </c>
      <c r="B7555" s="3" t="s">
        <v>7278</v>
      </c>
      <c r="C7555" s="3" t="str">
        <f>IFERROR(__xludf.DUMMYFUNCTION("GOOGLETRANSLATE(B7555,""id"",""en"")"),"['Good', 'signal', 'card', 'sympathy', 'sympathy', 'different', 'aouto', 'replace', 'card']")</f>
        <v>['Good', 'signal', 'card', 'sympathy', 'sympathy', 'different', 'aouto', 'replace', 'card']</v>
      </c>
      <c r="D7555" s="3">
        <v>2.0</v>
      </c>
    </row>
    <row r="7556" ht="15.75" customHeight="1">
      <c r="A7556" s="1">
        <v>8112.0</v>
      </c>
      <c r="B7556" s="3" t="s">
        <v>7279</v>
      </c>
      <c r="C7556" s="3" t="str">
        <f>IFERROR(__xludf.DUMMYFUNCTION("GOOGLETRANSLATE(B7556,""id"",""en"")"),"['Network', 'ugly', 'already', 'weekly', 'severe', 'browsing', 'pl cocka']")</f>
        <v>['Network', 'ugly', 'already', 'weekly', 'severe', 'browsing', 'pl cocka']</v>
      </c>
      <c r="D7556" s="3">
        <v>1.0</v>
      </c>
    </row>
    <row r="7557" ht="15.75" customHeight="1">
      <c r="A7557" s="1">
        <v>8113.0</v>
      </c>
      <c r="B7557" s="3" t="s">
        <v>7280</v>
      </c>
      <c r="C7557" s="3" t="str">
        <f>IFERROR(__xludf.DUMMYFUNCTION("GOOGLETRANSLATE(B7557,""id"",""en"")"),"['ride', 'star', 'because', 'here', 'easy', 'buy', 'quota', 'lgsg', 'pay', 'use', 'shopeepay', 'Alhamdulillah', ' cheap ',' compared to ',' buy ',' quota ',' manual ',' use ',' pulse ']")</f>
        <v>['ride', 'star', 'because', 'here', 'easy', 'buy', 'quota', 'lgsg', 'pay', 'use', 'shopeepay', 'Alhamdulillah', ' cheap ',' compared to ',' buy ',' quota ',' manual ',' use ',' pulse ']</v>
      </c>
      <c r="D7557" s="3">
        <v>4.0</v>
      </c>
    </row>
    <row r="7558" ht="15.75" customHeight="1">
      <c r="A7558" s="1">
        <v>8114.0</v>
      </c>
      <c r="B7558" s="3" t="s">
        <v>7281</v>
      </c>
      <c r="C7558" s="3" t="str">
        <f>IFERROR(__xludf.DUMMYFUNCTION("GOOGLETRANSLATE(B7558,""id"",""en"")"),"['Min', 'Tanta', 'Transaction', 'Delete', 'Automatic', 'Cancel', 'How', 'Min']")</f>
        <v>['Min', 'Tanta', 'Transaction', 'Delete', 'Automatic', 'Cancel', 'How', 'Min']</v>
      </c>
      <c r="D7558" s="3">
        <v>5.0</v>
      </c>
    </row>
    <row r="7559" ht="15.75" customHeight="1">
      <c r="A7559" s="1">
        <v>8115.0</v>
      </c>
      <c r="B7559" s="3" t="s">
        <v>7282</v>
      </c>
      <c r="C7559" s="3" t="str">
        <f>IFERROR(__xludf.DUMMYFUNCTION("GOOGLETRANSLATE(B7559,""id"",""en"")"),"['network', 'like', 'missing', 'position', 'Telkom', 'price', 'package', 'suits', 'velue']")</f>
        <v>['network', 'like', 'missing', 'position', 'Telkom', 'price', 'package', 'suits', 'velue']</v>
      </c>
      <c r="D7559" s="3">
        <v>1.0</v>
      </c>
    </row>
    <row r="7560" ht="15.75" customHeight="1">
      <c r="A7560" s="1">
        <v>8116.0</v>
      </c>
      <c r="B7560" s="3" t="s">
        <v>7283</v>
      </c>
      <c r="C7560" s="3" t="str">
        <f>IFERROR(__xludf.DUMMYFUNCTION("GOOGLETRANSLATE(B7560,""id"",""en"")"),"['paan', 'network', 'slow', 'price', 'doang', 'expensive', 'quality', 'ugly', 'ngmbil', 'luck', 'no', 'gini', ' Also', '']")</f>
        <v>['paan', 'network', 'slow', 'price', 'doang', 'expensive', 'quality', 'ugly', 'ngmbil', 'luck', 'no', 'gini', ' Also', '']</v>
      </c>
      <c r="D7560" s="3">
        <v>1.0</v>
      </c>
    </row>
    <row r="7561" ht="15.75" customHeight="1">
      <c r="A7561" s="1">
        <v>8117.0</v>
      </c>
      <c r="B7561" s="3" t="s">
        <v>7284</v>
      </c>
      <c r="C7561" s="3" t="str">
        <f>IFERROR(__xludf.DUMMYFUNCTION("GOOGLETRANSLATE(B7561,""id"",""en"")"),"['HRUS', 'Update', 'then', 'quota', 'combo', 'list', 'UDH', 'plsa', 'plsa', 'bsa', 'list', ' Scara ',' Spihak ',' Enk ',' Pnyia ',' Enk ',' user ',' trpksa ',' HRUS ',' DAFTR ',' PKET ', ""]")</f>
        <v>['HRUS', 'Update', 'then', 'quota', 'combo', 'list', 'UDH', 'plsa', 'plsa', 'bsa', 'list', ' Scara ',' Spihak ',' Enk ',' Pnyia ',' Enk ',' user ',' trpksa ',' HRUS ',' DAFTR ',' PKET ', "]</v>
      </c>
      <c r="D7561" s="3">
        <v>1.0</v>
      </c>
    </row>
    <row r="7562" ht="15.75" customHeight="1">
      <c r="A7562" s="1">
        <v>8118.0</v>
      </c>
      <c r="B7562" s="3" t="s">
        <v>7285</v>
      </c>
      <c r="C7562" s="3" t="str">
        <f>IFERROR(__xludf.DUMMYFUNCTION("GOOGLETRANSLATE(B7562,""id"",""en"")"),"['suggest', 'buwat', 'cell', 'connection', 'disappointing', 'price', 'package', 'expensive', '']")</f>
        <v>['suggest', 'buwat', 'cell', 'connection', 'disappointing', 'price', 'package', 'expensive', '']</v>
      </c>
      <c r="D7562" s="3">
        <v>1.0</v>
      </c>
    </row>
    <row r="7563" ht="15.75" customHeight="1">
      <c r="A7563" s="1">
        <v>8119.0</v>
      </c>
      <c r="B7563" s="3" t="s">
        <v>7286</v>
      </c>
      <c r="C7563" s="3" t="str">
        <f>IFERROR(__xludf.DUMMYFUNCTION("GOOGLETRANSLATE(B7563,""id"",""en"")"),"['Sorry', 'collapsed', 'star', 'signal', 'internet', 'slow', 'program', 'internet', 'cheap', '']")</f>
        <v>['Sorry', 'collapsed', 'star', 'signal', 'internet', 'slow', 'program', 'internet', 'cheap', '']</v>
      </c>
      <c r="D7563" s="3">
        <v>3.0</v>
      </c>
    </row>
    <row r="7564" ht="15.75" customHeight="1">
      <c r="A7564" s="1">
        <v>8120.0</v>
      </c>
      <c r="B7564" s="3" t="s">
        <v>7287</v>
      </c>
      <c r="C7564" s="3" t="str">
        <f>IFERROR(__xludf.DUMMYFUNCTION("GOOGLETRANSLATE(B7564,""id"",""en"")"),"['signal', 'Telkomsel', 'ugly', 'really', 'loss',' buy ',' quota ',' game ',' quality ',' signal ',' ugly ',' really ',' Ngellag ',' Mulu ',' Change ',' Deh ',' It's better ',' ']")</f>
        <v>['signal', 'Telkomsel', 'ugly', 'really', 'loss',' buy ',' quota ',' game ',' quality ',' signal ',' ugly ',' really ',' Ngellag ',' Mulu ',' Change ',' Deh ',' It's better ',' ']</v>
      </c>
      <c r="D7564" s="3">
        <v>1.0</v>
      </c>
    </row>
    <row r="7565" ht="15.75" customHeight="1">
      <c r="A7565" s="1">
        <v>8121.0</v>
      </c>
      <c r="B7565" s="3" t="s">
        <v>7288</v>
      </c>
      <c r="C7565" s="3" t="str">
        <f>IFERROR(__xludf.DUMMYFUNCTION("GOOGLETRANSLATE(B7565,""id"",""en"")"),"['Network', 'stable', 'price', 'expensive', 'embarrassing']")</f>
        <v>['Network', 'stable', 'price', 'expensive', 'embarrassing']</v>
      </c>
      <c r="D7565" s="3">
        <v>1.0</v>
      </c>
    </row>
    <row r="7566" ht="15.75" customHeight="1">
      <c r="A7566" s="1">
        <v>8122.0</v>
      </c>
      <c r="B7566" s="3" t="s">
        <v>7289</v>
      </c>
      <c r="C7566" s="3" t="str">
        <f>IFERROR(__xludf.DUMMYFUNCTION("GOOGLETRANSLATE(B7566,""id"",""en"")"),"['Signal', 'Location', 'Lampung', 'North', 'Kec', 'Bungamamaya', 'Please', 'Fix', 'Sousal', 'Hold', 'Play', 'Game', ' because ',' login ',' clock ',' kinguti ',' event ',' please ',' good ',' signal ',' area ',' ']")</f>
        <v>['Signal', 'Location', 'Lampung', 'North', 'Kec', 'Bungamamaya', 'Please', 'Fix', 'Sousal', 'Hold', 'Play', 'Game', ' because ',' login ',' clock ',' kinguti ',' event ',' please ',' good ',' signal ',' area ',' ']</v>
      </c>
      <c r="D7566" s="3">
        <v>1.0</v>
      </c>
    </row>
    <row r="7567" ht="15.75" customHeight="1">
      <c r="A7567" s="1">
        <v>8123.0</v>
      </c>
      <c r="B7567" s="3" t="s">
        <v>5445</v>
      </c>
      <c r="C7567" s="3" t="str">
        <f>IFERROR(__xludf.DUMMYFUNCTION("GOOGLETRANSLATE(B7567,""id"",""en"")"),"['fast']")</f>
        <v>['fast']</v>
      </c>
      <c r="D7567" s="3">
        <v>5.0</v>
      </c>
    </row>
    <row r="7568" ht="15.75" customHeight="1">
      <c r="A7568" s="1">
        <v>8125.0</v>
      </c>
      <c r="B7568" s="3" t="s">
        <v>7290</v>
      </c>
      <c r="C7568" s="3" t="str">
        <f>IFERROR(__xludf.DUMMYFUNCTION("GOOGLETRANSLATE(B7568,""id"",""en"")"),"['Original', 'good', 'really']")</f>
        <v>['Original', 'good', 'really']</v>
      </c>
      <c r="D7568" s="3">
        <v>5.0</v>
      </c>
    </row>
    <row r="7569" ht="15.75" customHeight="1">
      <c r="A7569" s="1">
        <v>8126.0</v>
      </c>
      <c r="B7569" s="3" t="s">
        <v>7291</v>
      </c>
      <c r="C7569" s="3" t="str">
        <f>IFERROR(__xludf.DUMMYFUNCTION("GOOGLETRANSLATE(B7569,""id"",""en"")"),"['Severe', 'internet', 'slow', 'game', 'NOT', 'Good', 'disappointing']")</f>
        <v>['Severe', 'internet', 'slow', 'game', 'NOT', 'Good', 'disappointing']</v>
      </c>
      <c r="D7569" s="3">
        <v>2.0</v>
      </c>
    </row>
    <row r="7570" ht="15.75" customHeight="1">
      <c r="A7570" s="1">
        <v>8127.0</v>
      </c>
      <c r="B7570" s="3" t="s">
        <v>7292</v>
      </c>
      <c r="C7570" s="3" t="str">
        <f>IFERROR(__xludf.DUMMYFUNCTION("GOOGLETRANSLATE(B7570,""id"",""en"")"),"['Telkomsel', 'Mantapp', 'Jaya']")</f>
        <v>['Telkomsel', 'Mantapp', 'Jaya']</v>
      </c>
      <c r="D7570" s="3">
        <v>4.0</v>
      </c>
    </row>
    <row r="7571" ht="15.75" customHeight="1">
      <c r="A7571" s="1">
        <v>8128.0</v>
      </c>
      <c r="B7571" s="3" t="s">
        <v>7293</v>
      </c>
      <c r="C7571" s="3" t="str">
        <f>IFERROR(__xludf.DUMMYFUNCTION("GOOGLETRANSLATE(B7571,""id"",""en"")"),"['Difficult', 'really', 'enter', 'the application', 'delete', 'good', 'download', 'enter', 'thank', 'love']")</f>
        <v>['Difficult', 'really', 'enter', 'the application', 'delete', 'good', 'download', 'enter', 'thank', 'love']</v>
      </c>
      <c r="D7571" s="3">
        <v>1.0</v>
      </c>
    </row>
    <row r="7572" ht="15.75" customHeight="1">
      <c r="A7572" s="1">
        <v>8130.0</v>
      </c>
      <c r="B7572" s="3" t="s">
        <v>7294</v>
      </c>
      <c r="C7572" s="3" t="str">
        <f>IFERROR(__xludf.DUMMYFUNCTION("GOOGLETRANSLATE(B7572,""id"",""en"")"),"['Capital', 'Country', 'Indonesia', 'Sousal', 'slump', 'rich', 'crackers',' wet ',' get ',' flood ',' hope ',' move ',' Indosat ',' stable ',' Certain ',' cheap ',' festive ', ""]")</f>
        <v>['Capital', 'Country', 'Indonesia', 'Sousal', 'slump', 'rich', 'crackers',' wet ',' get ',' flood ',' hope ',' move ',' Indosat ',' stable ',' Certain ',' cheap ',' festive ', "]</v>
      </c>
      <c r="D7572" s="3">
        <v>1.0</v>
      </c>
    </row>
    <row r="7573" ht="15.75" customHeight="1">
      <c r="A7573" s="1">
        <v>8131.0</v>
      </c>
      <c r="B7573" s="3" t="s">
        <v>7295</v>
      </c>
      <c r="C7573" s="3" t="str">
        <f>IFERROR(__xludf.DUMMYFUNCTION("GOOGLETRANSLATE(B7573,""id"",""en"")"),"['try', 'luck', 'grace']")</f>
        <v>['try', 'luck', 'grace']</v>
      </c>
      <c r="D7573" s="3">
        <v>1.0</v>
      </c>
    </row>
    <row r="7574" ht="15.75" customHeight="1">
      <c r="A7574" s="1">
        <v>8132.0</v>
      </c>
      <c r="B7574" s="3" t="s">
        <v>7296</v>
      </c>
      <c r="C7574" s="3" t="str">
        <f>IFERROR(__xludf.DUMMYFUNCTION("GOOGLETRANSLATE(B7574,""id"",""en"")"),"['hope', 'price', 'package', 'internet', 'cheap', 'affordable']")</f>
        <v>['hope', 'price', 'package', 'internet', 'cheap', 'affordable']</v>
      </c>
      <c r="D7574" s="3">
        <v>4.0</v>
      </c>
    </row>
    <row r="7575" ht="15.75" customHeight="1">
      <c r="A7575" s="1">
        <v>8133.0</v>
      </c>
      <c r="B7575" s="3" t="s">
        <v>7297</v>
      </c>
      <c r="C7575" s="3" t="str">
        <f>IFERROR(__xludf.DUMMYFUNCTION("GOOGLETRANSLATE(B7575,""id"",""en"")"),"['signal', 'difficult', 'right', 'play', 'game', 'broken', 'broken', ""]")</f>
        <v>['signal', 'difficult', 'right', 'play', 'game', 'broken', 'broken', "]</v>
      </c>
      <c r="D7575" s="3">
        <v>1.0</v>
      </c>
    </row>
    <row r="7576" ht="15.75" customHeight="1">
      <c r="A7576" s="1">
        <v>8134.0</v>
      </c>
      <c r="B7576" s="3" t="s">
        <v>7298</v>
      </c>
      <c r="C7576" s="3" t="str">
        <f>IFERROR(__xludf.DUMMYFUNCTION("GOOGLETRANSLATE(B7576,""id"",""en"")"),"['operator', 'cellular', 'price', 'expensive', 'quality', 'down', 'towards',' night ',' lemooot ',' uda ',' keong ',' ']")</f>
        <v>['operator', 'cellular', 'price', 'expensive', 'quality', 'down', 'towards',' night ',' lemooot ',' uda ',' keong ',' ']</v>
      </c>
      <c r="D7576" s="3">
        <v>1.0</v>
      </c>
    </row>
    <row r="7577" ht="15.75" customHeight="1">
      <c r="A7577" s="1">
        <v>8135.0</v>
      </c>
      <c r="B7577" s="3" t="s">
        <v>7299</v>
      </c>
      <c r="C7577" s="3" t="str">
        <f>IFERROR(__xludf.DUMMYFUNCTION("GOOGLETRANSLATE(B7577,""id"",""en"")"),"['Service', 'Telkomsel', 'satisfying', 'Perfected']")</f>
        <v>['Service', 'Telkomsel', 'satisfying', 'Perfected']</v>
      </c>
      <c r="D7577" s="3">
        <v>5.0</v>
      </c>
    </row>
    <row r="7578" ht="15.75" customHeight="1">
      <c r="A7578" s="1">
        <v>8136.0</v>
      </c>
      <c r="B7578" s="3" t="s">
        <v>7300</v>
      </c>
      <c r="C7578" s="3" t="str">
        <f>IFERROR(__xludf.DUMMYFUNCTION("GOOGLETRANSLATE(B7578,""id"",""en"")"),"['Signal', 'bad', ""]")</f>
        <v>['Signal', 'bad', "]</v>
      </c>
      <c r="D7578" s="3">
        <v>1.0</v>
      </c>
    </row>
    <row r="7579" ht="15.75" customHeight="1">
      <c r="A7579" s="1">
        <v>8137.0</v>
      </c>
      <c r="B7579" s="3" t="s">
        <v>7301</v>
      </c>
      <c r="C7579" s="3" t="str">
        <f>IFERROR(__xludf.DUMMYFUNCTION("GOOGLETRANSLATE(B7579,""id"",""en"")"),"['In the future', 'serves',' run out ',' buy ',' quota ',' payment ',' SUCCESS ',' Sekarng ',' enter ',' quota ',' internet ',' buy ',' ']")</f>
        <v>['In the future', 'serves',' run out ',' buy ',' quota ',' payment ',' SUCCESS ',' Sekarng ',' enter ',' quota ',' internet ',' buy ',' ']</v>
      </c>
      <c r="D7579" s="3">
        <v>1.0</v>
      </c>
    </row>
    <row r="7580" ht="15.75" customHeight="1">
      <c r="A7580" s="1">
        <v>8138.0</v>
      </c>
      <c r="B7580" s="3" t="s">
        <v>7302</v>
      </c>
      <c r="C7580" s="3" t="str">
        <f>IFERROR(__xludf.DUMMYFUNCTION("GOOGLETRANSLATE(B7580,""id"",""en"")"),"['The network', 'please', ""]")</f>
        <v>['The network', 'please', "]</v>
      </c>
      <c r="D7580" s="3">
        <v>1.0</v>
      </c>
    </row>
    <row r="7581" ht="15.75" customHeight="1">
      <c r="A7581" s="1">
        <v>8139.0</v>
      </c>
      <c r="B7581" s="3" t="s">
        <v>7303</v>
      </c>
      <c r="C7581" s="3" t="str">
        <f>IFERROR(__xludf.DUMMYFUNCTION("GOOGLETRANSLATE(B7581,""id"",""en"")"),"['Change', 'Operator', 'Signal', 'Telkomsel', 'ugly']")</f>
        <v>['Change', 'Operator', 'Signal', 'Telkomsel', 'ugly']</v>
      </c>
      <c r="D7581" s="3">
        <v>1.0</v>
      </c>
    </row>
    <row r="7582" ht="15.75" customHeight="1">
      <c r="A7582" s="1">
        <v>8140.0</v>
      </c>
      <c r="B7582" s="3" t="s">
        <v>7304</v>
      </c>
      <c r="C7582" s="3" t="str">
        <f>IFERROR(__xludf.DUMMYFUNCTION("GOOGLETRANSLATE(B7582,""id"",""en"")"),"['network', 'most', 'slow', 'network', 'ttp', 'slow', 'indosat', 'axis',' super ',' fast ',' name ',' all ofo ',' Telkomsel ',' network ',' look at ']")</f>
        <v>['network', 'most', 'slow', 'network', 'ttp', 'slow', 'indosat', 'axis',' super ',' fast ',' name ',' all ofo ',' Telkomsel ',' network ',' look at ']</v>
      </c>
      <c r="D7582" s="3">
        <v>1.0</v>
      </c>
    </row>
    <row r="7583" ht="15.75" customHeight="1">
      <c r="A7583" s="1">
        <v>8141.0</v>
      </c>
      <c r="B7583" s="3" t="s">
        <v>7305</v>
      </c>
      <c r="C7583" s="3" t="str">
        <f>IFERROR(__xludf.DUMMYFUNCTION("GOOGLETRANSLATE(B7583,""id"",""en"")"),"['', 'Telkomsel', 'open']")</f>
        <v>['', 'Telkomsel', 'open']</v>
      </c>
      <c r="D7583" s="3">
        <v>1.0</v>
      </c>
    </row>
    <row r="7584" ht="15.75" customHeight="1">
      <c r="A7584" s="1">
        <v>8142.0</v>
      </c>
      <c r="B7584" s="3" t="s">
        <v>7306</v>
      </c>
      <c r="C7584" s="3" t="str">
        <f>IFERROR(__xludf.DUMMYFUNCTION("GOOGLETRANSLATE(B7584,""id"",""en"")"),"['', 'November', 'system', 'error', 'purchase', 'package', 'internet', 'clock', 'morning', 'type', 'caroline', 'answer', 'told me ',' Wait ',' clock ',' times', 'call', 'answer', 'as bad as',' kah ',' system ',' application ',' Telkomsel ',' repair ',' ba"&amp;"ckup ', 'server', 'data', 'month', 'era', 'stone', 'Professional', 'provider']")</f>
        <v>['', 'November', 'system', 'error', 'purchase', 'package', 'internet', 'clock', 'morning', 'type', 'caroline', 'answer', 'told me ',' Wait ',' clock ',' times', 'call', 'answer', 'as bad as',' kah ',' system ',' application ',' Telkomsel ',' repair ',' backup ', 'server', 'data', 'month', 'era', 'stone', 'Professional', 'provider']</v>
      </c>
      <c r="D7584" s="3">
        <v>1.0</v>
      </c>
    </row>
    <row r="7585" ht="15.75" customHeight="1">
      <c r="A7585" s="1">
        <v>8143.0</v>
      </c>
      <c r="B7585" s="3" t="s">
        <v>7307</v>
      </c>
      <c r="C7585" s="3" t="str">
        <f>IFERROR(__xludf.DUMMYFUNCTION("GOOGLETRANSLATE(B7585,""id"",""en"")"),"['promo', 'quota', 'for']")</f>
        <v>['promo', 'quota', 'for']</v>
      </c>
      <c r="D7585" s="3">
        <v>5.0</v>
      </c>
    </row>
    <row r="7586" ht="15.75" customHeight="1">
      <c r="A7586" s="1">
        <v>8144.0</v>
      </c>
      <c r="B7586" s="3" t="s">
        <v>7308</v>
      </c>
      <c r="C7586" s="3" t="str">
        <f>IFERROR(__xludf.DUMMYFUNCTION("GOOGLETRANSLATE(B7586,""id"",""en"")"),"['Bad', 'Signal', 'Telkomsel', 'Change', 'subscription', 'card', '']")</f>
        <v>['Bad', 'Signal', 'Telkomsel', 'Change', 'subscription', 'card', '']</v>
      </c>
      <c r="D7586" s="3">
        <v>1.0</v>
      </c>
    </row>
    <row r="7587" ht="15.75" customHeight="1">
      <c r="A7587" s="1">
        <v>8145.0</v>
      </c>
      <c r="B7587" s="3" t="s">
        <v>7309</v>
      </c>
      <c r="C7587" s="3" t="str">
        <f>IFERROR(__xludf.DUMMYFUNCTION("GOOGLETRANSLATE(B7587,""id"",""en"")"),"['Good', 'signal', 'mantep', 'sympathy']")</f>
        <v>['Good', 'signal', 'mantep', 'sympathy']</v>
      </c>
      <c r="D7587" s="3">
        <v>5.0</v>
      </c>
    </row>
    <row r="7588" ht="15.75" customHeight="1">
      <c r="A7588" s="1">
        <v>8146.0</v>
      </c>
      <c r="B7588" s="3" t="s">
        <v>7310</v>
      </c>
      <c r="C7588" s="3" t="str">
        <f>IFERROR(__xludf.DUMMYFUNCTION("GOOGLETRANSLATE(B7588,""id"",""en"")"),"['Telkomsel', 'The network', 'down', 'play', 'game', 'ping', 'red', 'Tuba', 'Lost', 'Connect', 'rich', 'buy', ' Disappointed ',' Telkomsel ',' Worth ',' ']")</f>
        <v>['Telkomsel', 'The network', 'down', 'play', 'game', 'ping', 'red', 'Tuba', 'Lost', 'Connect', 'rich', 'buy', ' Disappointed ',' Telkomsel ',' Worth ',' ']</v>
      </c>
      <c r="D7588" s="3">
        <v>1.0</v>
      </c>
    </row>
    <row r="7589" ht="15.75" customHeight="1">
      <c r="A7589" s="1">
        <v>8147.0</v>
      </c>
      <c r="B7589" s="3" t="s">
        <v>7311</v>
      </c>
      <c r="C7589" s="3" t="str">
        <f>IFERROR(__xludf.DUMMYFUNCTION("GOOGLETRANSLATE(B7589,""id"",""en"")"),"['Contents',' Bersian ',' Easy ',' KEMADNG ',' NEMI ',' Pro ',' Not bad ',' TPI ',' Ujan ',' Dead ',' Lmpu ',' AGK ',' Leet ',' loding ']")</f>
        <v>['Contents',' Bersian ',' Easy ',' KEMADNG ',' NEMI ',' Pro ',' Not bad ',' TPI ',' Ujan ',' Dead ',' Lmpu ',' AGK ',' Leet ',' loding ']</v>
      </c>
      <c r="D7589" s="3">
        <v>5.0</v>
      </c>
    </row>
    <row r="7590" ht="15.75" customHeight="1">
      <c r="A7590" s="1">
        <v>8148.0</v>
      </c>
      <c r="B7590" s="3" t="s">
        <v>7312</v>
      </c>
      <c r="C7590" s="3" t="str">
        <f>IFERROR(__xludf.DUMMYFUNCTION("GOOGLETRANSLATE(B7590,""id"",""en"")"),"['Disappointed', 'Package', 'Cheap', 'Karna', 'Buy', 'Package', 'Combo', 'Sakti', 'Cheap', 'Price', 'Ganjil', 'Tactics',' Marketing ',' cunning ']")</f>
        <v>['Disappointed', 'Package', 'Cheap', 'Karna', 'Buy', 'Package', 'Combo', 'Sakti', 'Cheap', 'Price', 'Ganjil', 'Tactics',' Marketing ',' cunning ']</v>
      </c>
      <c r="D7590" s="3">
        <v>1.0</v>
      </c>
    </row>
    <row r="7591" ht="15.75" customHeight="1">
      <c r="A7591" s="1">
        <v>8149.0</v>
      </c>
      <c r="B7591" s="3" t="s">
        <v>7313</v>
      </c>
      <c r="C7591" s="3" t="str">
        <f>IFERROR(__xludf.DUMMYFUNCTION("GOOGLETRANSLATE(B7591,""id"",""en"")"),"['hope', 'promote']")</f>
        <v>['hope', 'promote']</v>
      </c>
      <c r="D7591" s="3">
        <v>4.0</v>
      </c>
    </row>
    <row r="7592" ht="15.75" customHeight="1">
      <c r="A7592" s="1">
        <v>8150.0</v>
      </c>
      <c r="B7592" s="3" t="s">
        <v>7314</v>
      </c>
      <c r="C7592" s="3" t="str">
        <f>IFERROR(__xludf.DUMMYFUNCTION("GOOGLETRANSLATE(B7592,""id"",""en"")"),"['Please', 'Package', 'Internet', 'Running', 'Lost', 'Card', 'Card', ""]")</f>
        <v>['Please', 'Package', 'Internet', 'Running', 'Lost', 'Card', 'Card', "]</v>
      </c>
      <c r="D7592" s="3">
        <v>5.0</v>
      </c>
    </row>
    <row r="7593" ht="15.75" customHeight="1">
      <c r="A7593" s="1">
        <v>8151.0</v>
      </c>
      <c r="B7593" s="3" t="s">
        <v>6686</v>
      </c>
      <c r="C7593" s="3" t="str">
        <f>IFERROR(__xludf.DUMMYFUNCTION("GOOGLETRANSLATE(B7593,""id"",""en"")"),"['application', 'easy']")</f>
        <v>['application', 'easy']</v>
      </c>
      <c r="D7593" s="3">
        <v>5.0</v>
      </c>
    </row>
    <row r="7594" ht="15.75" customHeight="1">
      <c r="A7594" s="1">
        <v>8152.0</v>
      </c>
      <c r="B7594" s="3" t="s">
        <v>7315</v>
      </c>
      <c r="C7594" s="3" t="str">
        <f>IFERROR(__xludf.DUMMYFUNCTION("GOOGLETRANSLATE(B7594,""id"",""en"")"),"['a month', 'network', 'ilang', 'Embossed', 'Leet', 'Region', 'City', 'Buy', 'Quota', 'Powered', 'Malesett']")</f>
        <v>['a month', 'network', 'ilang', 'Embossed', 'Leet', 'Region', 'City', 'Buy', 'Quota', 'Powered', 'Malesett']</v>
      </c>
      <c r="D7594" s="3">
        <v>1.0</v>
      </c>
    </row>
    <row r="7595" ht="15.75" customHeight="1">
      <c r="A7595" s="1">
        <v>8154.0</v>
      </c>
      <c r="B7595" s="3" t="s">
        <v>7316</v>
      </c>
      <c r="C7595" s="3" t="str">
        <f>IFERROR(__xludf.DUMMYFUNCTION("GOOGLETRANSLATE(B7595,""id"",""en"")"),"['woi', 'card', 'telkkomsel', 'kayak', 'network', 'idiot', 'package', 'dang', 'expensive', 'network', 'kayak', 'card', ' inexpensive', '']")</f>
        <v>['woi', 'card', 'telkkomsel', 'kayak', 'network', 'idiot', 'package', 'dang', 'expensive', 'network', 'kayak', 'card', ' inexpensive', '']</v>
      </c>
      <c r="D7595" s="3">
        <v>1.0</v>
      </c>
    </row>
    <row r="7596" ht="15.75" customHeight="1">
      <c r="A7596" s="1">
        <v>8155.0</v>
      </c>
      <c r="B7596" s="3" t="s">
        <v>7317</v>
      </c>
      <c r="C7596" s="3" t="str">
        <f>IFERROR(__xludf.DUMMYFUNCTION("GOOGLETRANSLATE(B7596,""id"",""en"")"),"['slow', 'missing', 'network', 'date', 'Nov', 'clock', 'WIB', 'network', 'Mace', 'Kura', 'his way', 'card', ' card ',' Hallo ',' disappointed ']")</f>
        <v>['slow', 'missing', 'network', 'date', 'Nov', 'clock', 'WIB', 'network', 'Mace', 'Kura', 'his way', 'card', ' card ',' Hallo ',' disappointed ']</v>
      </c>
      <c r="D7596" s="3">
        <v>3.0</v>
      </c>
    </row>
    <row r="7597" ht="15.75" customHeight="1">
      <c r="A7597" s="1">
        <v>8156.0</v>
      </c>
      <c r="B7597" s="3" t="s">
        <v>7318</v>
      </c>
      <c r="C7597" s="3" t="str">
        <f>IFERROR(__xludf.DUMMYFUNCTION("GOOGLETRANSLATE(B7597,""id"",""en"")"),"['buy', 'package', 'expensive', 'expensive', 'network', 'slow', 'BUMN', 'Pantes', ""]")</f>
        <v>['buy', 'package', 'expensive', 'expensive', 'network', 'slow', 'BUMN', 'Pantes', "]</v>
      </c>
      <c r="D7597" s="3">
        <v>1.0</v>
      </c>
    </row>
    <row r="7598" ht="15.75" customHeight="1">
      <c r="A7598" s="1">
        <v>8157.0</v>
      </c>
      <c r="B7598" s="3" t="s">
        <v>7319</v>
      </c>
      <c r="C7598" s="3" t="str">
        <f>IFERROR(__xludf.DUMMYFUNCTION("GOOGLETRANSLATE(B7598,""id"",""en"")"),"['quota', 'buy', 'pulse', 'minutes',' scroll ',' medsos', 'chick', 'buy', 'bekong', 'beg', 'explanation', 'the solution', ' Amanah ']")</f>
        <v>['quota', 'buy', 'pulse', 'minutes',' scroll ',' medsos', 'chick', 'buy', 'bekong', 'beg', 'explanation', 'the solution', ' Amanah ']</v>
      </c>
      <c r="D7598" s="3">
        <v>1.0</v>
      </c>
    </row>
    <row r="7599" ht="15.75" customHeight="1">
      <c r="A7599" s="1">
        <v>8158.0</v>
      </c>
      <c r="B7599" s="3" t="s">
        <v>7320</v>
      </c>
      <c r="C7599" s="3" t="str">
        <f>IFERROR(__xludf.DUMMYFUNCTION("GOOGLETRANSLATE(B7599,""id"",""en"")"),"['The application', 'empty', 'gini', 'error', 'system', 'buy', 'quota', 'already', 'contents', 'pls', 'rb']")</f>
        <v>['The application', 'empty', 'gini', 'error', 'system', 'buy', 'quota', 'already', 'contents', 'pls', 'rb']</v>
      </c>
      <c r="D7599" s="3">
        <v>4.0</v>
      </c>
    </row>
    <row r="7600" ht="15.75" customHeight="1">
      <c r="A7600" s="1">
        <v>8159.0</v>
      </c>
      <c r="B7600" s="3" t="s">
        <v>7321</v>
      </c>
      <c r="C7600" s="3" t="str">
        <f>IFERROR(__xludf.DUMMYFUNCTION("GOOGLETRANSLATE(B7600,""id"",""en"")"),"['Napa', 'slow', 'bet', 'Telkom', 'send', 'chat', 'doang', 'bet', 'gini']")</f>
        <v>['Napa', 'slow', 'bet', 'Telkom', 'send', 'chat', 'doang', 'bet', 'gini']</v>
      </c>
      <c r="D7600" s="3">
        <v>1.0</v>
      </c>
    </row>
    <row r="7601" ht="15.75" customHeight="1">
      <c r="A7601" s="1">
        <v>8160.0</v>
      </c>
      <c r="B7601" s="3" t="s">
        <v>7322</v>
      </c>
      <c r="C7601" s="3" t="str">
        <f>IFERROR(__xludf.DUMMYFUNCTION("GOOGLETRANSLATE(B7601,""id"",""en"")"),"['signal', 'stable', 'mantab']")</f>
        <v>['signal', 'stable', 'mantab']</v>
      </c>
      <c r="D7601" s="3">
        <v>5.0</v>
      </c>
    </row>
    <row r="7602" ht="15.75" customHeight="1">
      <c r="A7602" s="1">
        <v>8161.0</v>
      </c>
      <c r="B7602" s="3" t="s">
        <v>7323</v>
      </c>
      <c r="C7602" s="3" t="str">
        <f>IFERROR(__xludf.DUMMYFUNCTION("GOOGLETRANSLATE(B7602,""id"",""en"")"),"['Full', 'network', 'play', 'game', 'Nge', 'lag', 'funny', 'Telkomsel']")</f>
        <v>['Full', 'network', 'play', 'game', 'Nge', 'lag', 'funny', 'Telkomsel']</v>
      </c>
      <c r="D7602" s="3">
        <v>1.0</v>
      </c>
    </row>
    <row r="7603" ht="15.75" customHeight="1">
      <c r="A7603" s="1">
        <v>8162.0</v>
      </c>
      <c r="B7603" s="3" t="s">
        <v>7324</v>
      </c>
      <c r="C7603" s="3" t="str">
        <f>IFERROR(__xludf.DUMMYFUNCTION("GOOGLETRANSLATE(B7603,""id"",""en"")"),"['Severe', 'Telkomsel', 'quota', 'used', 'date', 'expiration', 'severe', 'original', 'severe', 'chat', 'veronika', 'link' The answer is', 'opened', 'JDI', 'Please', 'Sorry', 'Kasi', 'Bintang', 'Dlu', 'Thank you', 'Genesis',' Laen ', ""]")</f>
        <v>['Severe', 'Telkomsel', 'quota', 'used', 'date', 'expiration', 'severe', 'original', 'severe', 'chat', 'veronika', 'link' The answer is', 'opened', 'JDI', 'Please', 'Sorry', 'Kasi', 'Bintang', 'Dlu', 'Thank you', 'Genesis',' Laen ', "]</v>
      </c>
      <c r="D7603" s="3">
        <v>1.0</v>
      </c>
    </row>
    <row r="7604" ht="15.75" customHeight="1">
      <c r="A7604" s="1">
        <v>8163.0</v>
      </c>
      <c r="B7604" s="3" t="s">
        <v>7325</v>
      </c>
      <c r="C7604" s="3" t="str">
        <f>IFERROR(__xludf.DUMMYFUNCTION("GOOGLETRANSLATE(B7604,""id"",""en"")"),"['Good', 'bangetttttt', 'promo']")</f>
        <v>['Good', 'bangetttttt', 'promo']</v>
      </c>
      <c r="D7604" s="3">
        <v>4.0</v>
      </c>
    </row>
    <row r="7605" ht="15.75" customHeight="1">
      <c r="A7605" s="1">
        <v>8164.0</v>
      </c>
      <c r="B7605" s="3" t="s">
        <v>7326</v>
      </c>
      <c r="C7605" s="3" t="str">
        <f>IFERROR(__xludf.DUMMYFUNCTION("GOOGLETRANSLATE(B7605,""id"",""en"")"),"['mantaf', 'help', 'search', 'package', 'cheap', 'stay', 'check', 'contents']")</f>
        <v>['mantaf', 'help', 'search', 'package', 'cheap', 'stay', 'check', 'contents']</v>
      </c>
      <c r="D7605" s="3">
        <v>5.0</v>
      </c>
    </row>
    <row r="7606" ht="15.75" customHeight="1">
      <c r="A7606" s="1">
        <v>8165.0</v>
      </c>
      <c r="B7606" s="3" t="s">
        <v>7327</v>
      </c>
      <c r="C7606" s="3" t="str">
        <f>IFERROR(__xludf.DUMMYFUNCTION("GOOGLETRANSLATE(B7606,""id"",""en"")"),"['Network', 'good', 'min', 'closed', 'factory', 'tekomsel', 'min', 'use', 'telkomsel', 'signal', 'min', 'hope', ' Fast ',' closed ',' company ',' min ',' ']")</f>
        <v>['Network', 'good', 'min', 'closed', 'factory', 'tekomsel', 'min', 'use', 'telkomsel', 'signal', 'min', 'hope', ' Fast ',' closed ',' company ',' min ',' ']</v>
      </c>
      <c r="D7606" s="3">
        <v>5.0</v>
      </c>
    </row>
    <row r="7607" ht="15.75" customHeight="1">
      <c r="A7607" s="1">
        <v>8166.0</v>
      </c>
      <c r="B7607" s="3" t="s">
        <v>7328</v>
      </c>
      <c r="C7607" s="3" t="str">
        <f>IFERROR(__xludf.DUMMYFUNCTION("GOOGLETRANSLATE(B7607,""id"",""en"")"),"['Network', 'slow', 'price', 'expensive']")</f>
        <v>['Network', 'slow', 'price', 'expensive']</v>
      </c>
      <c r="D7607" s="3">
        <v>3.0</v>
      </c>
    </row>
    <row r="7608" ht="15.75" customHeight="1">
      <c r="A7608" s="1">
        <v>8167.0</v>
      </c>
      <c r="B7608" s="3" t="s">
        <v>7329</v>
      </c>
      <c r="C7608" s="3" t="str">
        <f>IFERROR(__xludf.DUMMYFUNCTION("GOOGLETRANSLATE(B7608,""id"",""en"")"),"['expensive', 'acting']")</f>
        <v>['expensive', 'acting']</v>
      </c>
      <c r="D7608" s="3">
        <v>1.0</v>
      </c>
    </row>
    <row r="7609" ht="15.75" customHeight="1">
      <c r="A7609" s="1">
        <v>8168.0</v>
      </c>
      <c r="B7609" s="3" t="s">
        <v>7330</v>
      </c>
      <c r="C7609" s="3" t="str">
        <f>IFERROR(__xludf.DUMMYFUNCTION("GOOGLETRANSLATE(B7609,""id"",""en"")"),"['Satisfied', 'disappointing']")</f>
        <v>['Satisfied', 'disappointing']</v>
      </c>
      <c r="D7609" s="3">
        <v>1.0</v>
      </c>
    </row>
    <row r="7610" ht="15.75" customHeight="1">
      <c r="A7610" s="1">
        <v>8169.0</v>
      </c>
      <c r="B7610" s="3" t="s">
        <v>7331</v>
      </c>
      <c r="C7610" s="3" t="str">
        <f>IFERROR(__xludf.DUMMYFUNCTION("GOOGLETRANSLATE(B7610,""id"",""en"")"),"['Network', 'stable', 'disappointed', 'Sushions', '']")</f>
        <v>['Network', 'stable', 'disappointed', 'Sushions', '']</v>
      </c>
      <c r="D7610" s="3">
        <v>1.0</v>
      </c>
    </row>
    <row r="7611" ht="15.75" customHeight="1">
      <c r="A7611" s="1">
        <v>8170.0</v>
      </c>
      <c r="B7611" s="3" t="s">
        <v>890</v>
      </c>
      <c r="C7611" s="3" t="str">
        <f>IFERROR(__xludf.DUMMYFUNCTION("GOOGLETRANSLATE(B7611,""id"",""en"")"),"['good', '']")</f>
        <v>['good', '']</v>
      </c>
      <c r="D7611" s="3">
        <v>5.0</v>
      </c>
    </row>
    <row r="7612" ht="15.75" customHeight="1">
      <c r="A7612" s="1">
        <v>8171.0</v>
      </c>
      <c r="B7612" s="3" t="s">
        <v>7332</v>
      </c>
      <c r="C7612" s="3" t="str">
        <f>IFERROR(__xludf.DUMMYFUNCTION("GOOGLETRANSLATE(B7612,""id"",""en"")"),"['Disappointed', 'Network', 'Stable', 'Play', 'Game', 'Jaringn', 'Good', 'Watch', 'Current', 'Kasi', 'Notification', 'Harm', ' Gamers', 'KLW', 'Masi', 'Stable', 'Gini', 'Network', 'Please', 'respond']")</f>
        <v>['Disappointed', 'Network', 'Stable', 'Play', 'Game', 'Jaringn', 'Good', 'Watch', 'Current', 'Kasi', 'Notification', 'Harm', ' Gamers', 'KLW', 'Masi', 'Stable', 'Gini', 'Network', 'Please', 'respond']</v>
      </c>
      <c r="D7612" s="3">
        <v>1.0</v>
      </c>
    </row>
    <row r="7613" ht="15.75" customHeight="1">
      <c r="A7613" s="1">
        <v>8172.0</v>
      </c>
      <c r="B7613" s="3" t="s">
        <v>7333</v>
      </c>
      <c r="C7613" s="3" t="str">
        <f>IFERROR(__xludf.DUMMYFUNCTION("GOOGLETRANSLATE(B7613,""id"",""en"")"),"['Telkomsel', 'no', 'BNYK', 'his cooperation', 'contents',' pulse ',' play ',' cut ',' Alsan ',' package ',' emergency ',' check ',' Take ',' package ',' emergency ',' already ',' no ',' take ',' package ',' emergency ',' skrng ',' replace ',' card ',' no"&amp;" ',' fill ' , 'Credit', 'card', 'except', 'in', 'Adan', 'really', 'Lansung', 'Cut', 'Rb']")</f>
        <v>['Telkomsel', 'no', 'BNYK', 'his cooperation', 'contents',' pulse ',' play ',' cut ',' Alsan ',' package ',' emergency ',' check ',' Take ',' package ',' emergency ',' already ',' no ',' take ',' package ',' emergency ',' skrng ',' replace ',' card ',' no ',' fill ' , 'Credit', 'card', 'except', 'in', 'Adan', 'really', 'Lansung', 'Cut', 'Rb']</v>
      </c>
      <c r="D7613" s="3">
        <v>3.0</v>
      </c>
    </row>
    <row r="7614" ht="15.75" customHeight="1">
      <c r="A7614" s="1">
        <v>8173.0</v>
      </c>
      <c r="B7614" s="3" t="s">
        <v>7334</v>
      </c>
      <c r="C7614" s="3" t="str">
        <f>IFERROR(__xludf.DUMMYFUNCTION("GOOGLETRANSLATE(B7614,""id"",""en"")"),"['ugly', 'signal', 'Telkomsel', 'missing', 'org', 'emotion', 'increase', 'signal', 'internet', 'promotion', 'klian', 'increase', ' TPI ',' signal ',' BURIK ',' ']")</f>
        <v>['ugly', 'signal', 'Telkomsel', 'missing', 'org', 'emotion', 'increase', 'signal', 'internet', 'promotion', 'klian', 'increase', ' TPI ',' signal ',' BURIK ',' ']</v>
      </c>
      <c r="D7614" s="3">
        <v>1.0</v>
      </c>
    </row>
    <row r="7615" ht="15.75" customHeight="1">
      <c r="A7615" s="1">
        <v>8174.0</v>
      </c>
      <c r="B7615" s="3" t="s">
        <v>7335</v>
      </c>
      <c r="C7615" s="3" t="str">
        <f>IFERROR(__xludf.DUMMYFUNCTION("GOOGLETRANSLATE(B7615,""id"",""en"")"),"['Anyway', 'No', 'Wrong', 'Application', 'MyTelkomsel', 'Buayak', 'Benefit', ""]")</f>
        <v>['Anyway', 'No', 'Wrong', 'Application', 'MyTelkomsel', 'Buayak', 'Benefit', "]</v>
      </c>
      <c r="D7615" s="3">
        <v>5.0</v>
      </c>
    </row>
    <row r="7616" ht="15.75" customHeight="1">
      <c r="A7616" s="1">
        <v>8175.0</v>
      </c>
      <c r="B7616" s="3" t="s">
        <v>7336</v>
      </c>
      <c r="C7616" s="3" t="str">
        <f>IFERROR(__xludf.DUMMYFUNCTION("GOOGLETRANSLATE(B7616,""id"",""en"")"),"['bad', 'network', 'Telkomsel', 'City', 'missing', 'network', 'sich', 'network', 'lost', 'please', 'enhanced', 'already', ' Use ',' Telkomsel ',' yes', 'Switch', '']")</f>
        <v>['bad', 'network', 'Telkomsel', 'City', 'missing', 'network', 'sich', 'network', 'lost', 'please', 'enhanced', 'already', ' Use ',' Telkomsel ',' yes', 'Switch', '']</v>
      </c>
      <c r="D7616" s="3">
        <v>1.0</v>
      </c>
    </row>
    <row r="7617" ht="15.75" customHeight="1">
      <c r="A7617" s="1">
        <v>8176.0</v>
      </c>
      <c r="B7617" s="3" t="s">
        <v>7337</v>
      </c>
      <c r="C7617" s="3" t="str">
        <f>IFERROR(__xludf.DUMMYFUNCTION("GOOGLETRANSLATE(B7617,""id"",""en"")"),"['Telkom', 'Makina', 'Severe', 'Jirrr', 'UDH', 'Network', 'Difficult', 'Skarang', 'Stiap', 'Times',' Contents', 'Credit', ' missing ',' pdhal ',' AJU ',' loan ',' operator ',' strange ',' tlong ',' fix ',' klu ',' pulse ',' return ',' loss', 'kalu' , 'Sti"&amp;"ap', 'contents', 'pulse', 'missing', 'mulu', 'jir']")</f>
        <v>['Telkom', 'Makina', 'Severe', 'Jirrr', 'UDH', 'Network', 'Difficult', 'Skarang', 'Stiap', 'Times',' Contents', 'Credit', ' missing ',' pdhal ',' AJU ',' loan ',' operator ',' strange ',' tlong ',' fix ',' klu ',' pulse ',' return ',' loss', 'kalu' , 'Stiap', 'contents', 'pulse', 'missing', 'mulu', 'jir']</v>
      </c>
      <c r="D7617" s="3">
        <v>1.0</v>
      </c>
    </row>
    <row r="7618" ht="15.75" customHeight="1">
      <c r="A7618" s="1">
        <v>8177.0</v>
      </c>
      <c r="B7618" s="3" t="s">
        <v>7338</v>
      </c>
      <c r="C7618" s="3" t="str">
        <f>IFERROR(__xludf.DUMMYFUNCTION("GOOGLETRANSLATE(B7618,""id"",""en"")"),"['apk', 'bgus', 'buy', 'pulse', 'payment', 'gopay', 'enter', 'please', '']")</f>
        <v>['apk', 'bgus', 'buy', 'pulse', 'payment', 'gopay', 'enter', 'please', '']</v>
      </c>
      <c r="D7618" s="3">
        <v>1.0</v>
      </c>
    </row>
    <row r="7619" ht="15.75" customHeight="1">
      <c r="A7619" s="1">
        <v>8178.0</v>
      </c>
      <c r="B7619" s="3" t="s">
        <v>7339</v>
      </c>
      <c r="C7619" s="3" t="str">
        <f>IFERROR(__xludf.DUMMYFUNCTION("GOOGLETRANSLATE(B7619,""id"",""en"")"),"['woi', 'please', 'repaired', 'network', 'severe', 'really', 'price', 'doang', 'expensive', 'network', 'slow', 'times',' Cook ',' Lose ',' Tri ',' Indosat ',' Price ',' Affordable ']")</f>
        <v>['woi', 'please', 'repaired', 'network', 'severe', 'really', 'price', 'doang', 'expensive', 'network', 'slow', 'times',' Cook ',' Lose ',' Tri ',' Indosat ',' Price ',' Affordable ']</v>
      </c>
      <c r="D7619" s="3">
        <v>1.0</v>
      </c>
    </row>
    <row r="7620" ht="15.75" customHeight="1">
      <c r="A7620" s="1">
        <v>8179.0</v>
      </c>
      <c r="B7620" s="3" t="s">
        <v>2264</v>
      </c>
      <c r="C7620" s="3" t="str">
        <f>IFERROR(__xludf.DUMMYFUNCTION("GOOGLETRANSLATE(B7620,""id"",""en"")"),"['APK', 'good']")</f>
        <v>['APK', 'good']</v>
      </c>
      <c r="D7620" s="3">
        <v>5.0</v>
      </c>
    </row>
    <row r="7621" ht="15.75" customHeight="1">
      <c r="A7621" s="1">
        <v>8182.0</v>
      </c>
      <c r="B7621" s="3" t="s">
        <v>7340</v>
      </c>
      <c r="C7621" s="3" t="str">
        <f>IFERROR(__xludf.DUMMYFUNCTION("GOOGLETRANSLATE(B7621,""id"",""en"")"),"['Network', 'laq']")</f>
        <v>['Network', 'laq']</v>
      </c>
      <c r="D7621" s="3">
        <v>2.0</v>
      </c>
    </row>
    <row r="7622" ht="15.75" customHeight="1">
      <c r="A7622" s="1">
        <v>8183.0</v>
      </c>
      <c r="B7622" s="3" t="s">
        <v>7341</v>
      </c>
      <c r="C7622" s="3" t="str">
        <f>IFERROR(__xludf.DUMMYFUNCTION("GOOGLETRANSLATE(B7622,""id"",""en"")"),"['Please', 'LOTIN', 'PROMO']")</f>
        <v>['Please', 'LOTIN', 'PROMO']</v>
      </c>
      <c r="D7622" s="3">
        <v>5.0</v>
      </c>
    </row>
    <row r="7623" ht="15.75" customHeight="1">
      <c r="A7623" s="1">
        <v>8184.0</v>
      </c>
      <c r="B7623" s="3" t="s">
        <v>7342</v>
      </c>
      <c r="C7623" s="3" t="str">
        <f>IFERROR(__xludf.DUMMYFUNCTION("GOOGLETRANSLATE(B7623,""id"",""en"")"),"['transaction', 'payment', 'times', 'until', 'pulse', 'sufficient', 'please', 'accelerated']")</f>
        <v>['transaction', 'payment', 'times', 'until', 'pulse', 'sufficient', 'please', 'accelerated']</v>
      </c>
      <c r="D7623" s="3">
        <v>1.0</v>
      </c>
    </row>
    <row r="7624" ht="15.75" customHeight="1">
      <c r="A7624" s="1">
        <v>8186.0</v>
      </c>
      <c r="B7624" s="3" t="s">
        <v>7343</v>
      </c>
      <c r="C7624" s="3" t="str">
        <f>IFERROR(__xludf.DUMMYFUNCTION("GOOGLETRANSLATE(B7624,""id"",""en"")"),"['', 'Msh', 'bnyak', 'kluuh']")</f>
        <v>['', 'Msh', 'bnyak', 'kluuh']</v>
      </c>
      <c r="D7624" s="3">
        <v>3.0</v>
      </c>
    </row>
    <row r="7625" ht="15.75" customHeight="1">
      <c r="A7625" s="1">
        <v>8187.0</v>
      </c>
      <c r="B7625" s="3" t="s">
        <v>7344</v>
      </c>
      <c r="C7625" s="3" t="str">
        <f>IFERROR(__xludf.DUMMYFUNCTION("GOOGLETRANSLATE(B7625,""id"",""en"")"),"['hope', 'cheap', 'save']")</f>
        <v>['hope', 'cheap', 'save']</v>
      </c>
      <c r="D7625" s="3">
        <v>4.0</v>
      </c>
    </row>
    <row r="7626" ht="15.75" customHeight="1">
      <c r="A7626" s="1">
        <v>8188.0</v>
      </c>
      <c r="B7626" s="3" t="s">
        <v>7345</v>
      </c>
      <c r="C7626" s="3" t="str">
        <f>IFERROR(__xludf.DUMMYFUNCTION("GOOGLETRANSLATE(B7626,""id"",""en"")"),"['quota', 'expensive', 'ugly', 'strange', 'network', 'like', 'ilang', 'play', 'game', 'emg', 'telkomsel']")</f>
        <v>['quota', 'expensive', 'ugly', 'strange', 'network', 'like', 'ilang', 'play', 'game', 'emg', 'telkomsel']</v>
      </c>
      <c r="D7626" s="3">
        <v>1.0</v>
      </c>
    </row>
    <row r="7627" ht="15.75" customHeight="1">
      <c r="A7627" s="1">
        <v>8189.0</v>
      </c>
      <c r="B7627" s="3" t="s">
        <v>7346</v>
      </c>
      <c r="C7627" s="3" t="str">
        <f>IFERROR(__xludf.DUMMYFUNCTION("GOOGLETRANSLATE(B7627,""id"",""en"")"),"['Signal', 'Dego', 'Maen', 'Game', 'Online', 'Down', 'Ping', 'Price', 'Doang', 'Expensive']")</f>
        <v>['Signal', 'Dego', 'Maen', 'Game', 'Online', 'Down', 'Ping', 'Price', 'Doang', 'Expensive']</v>
      </c>
      <c r="D7627" s="3">
        <v>1.0</v>
      </c>
    </row>
    <row r="7628" ht="15.75" customHeight="1">
      <c r="A7628" s="1">
        <v>8190.0</v>
      </c>
      <c r="B7628" s="3" t="s">
        <v>7347</v>
      </c>
      <c r="C7628" s="3" t="str">
        <f>IFERROR(__xludf.DUMMYFUNCTION("GOOGLETRANSLATE(B7628,""id"",""en"")"),"['Fix', 'bugs',' notification ',' icon ',' paper ',' letter ',' notification ',' deleted ',' icon ',' printed ',' lost ',' delicious', ' Looks at it ',' Slider ',' Experience ',' Program ',' Dipeser ',' Click ',' Access', 'Location', 'Features',' Experien"&amp;"ce ',' Function ', ""]")</f>
        <v>['Fix', 'bugs',' notification ',' icon ',' paper ',' letter ',' notification ',' deleted ',' icon ',' printed ',' lost ',' delicious', ' Looks at it ',' Slider ',' Experience ',' Program ',' Dipeser ',' Click ',' Access', 'Location', 'Features',' Experience ',' Function ', "]</v>
      </c>
      <c r="D7628" s="3">
        <v>2.0</v>
      </c>
    </row>
    <row r="7629" ht="15.75" customHeight="1">
      <c r="A7629" s="1">
        <v>8191.0</v>
      </c>
      <c r="B7629" s="3" t="s">
        <v>7348</v>
      </c>
      <c r="C7629" s="3" t="str">
        <f>IFERROR(__xludf.DUMMYFUNCTION("GOOGLETRANSLATE(B7629,""id"",""en"")"),"['Severe', 'Purchase', 'Credit', 'Use', 'Link', 'Menu', 'Bangking']")</f>
        <v>['Severe', 'Purchase', 'Credit', 'Use', 'Link', 'Menu', 'Bangking']</v>
      </c>
      <c r="D7629" s="3">
        <v>1.0</v>
      </c>
    </row>
    <row r="7630" ht="15.75" customHeight="1">
      <c r="A7630" s="1">
        <v>8192.0</v>
      </c>
      <c r="B7630" s="3" t="s">
        <v>7349</v>
      </c>
      <c r="C7630" s="3" t="str">
        <f>IFERROR(__xludf.DUMMYFUNCTION("GOOGLETRANSLATE(B7630,""id"",""en"")"),"['Seria', 'with you']")</f>
        <v>['Seria', 'with you']</v>
      </c>
      <c r="D7630" s="3">
        <v>5.0</v>
      </c>
    </row>
    <row r="7631" ht="15.75" customHeight="1">
      <c r="A7631" s="1">
        <v>8194.0</v>
      </c>
      <c r="B7631" s="3" t="s">
        <v>3943</v>
      </c>
      <c r="C7631" s="3" t="str">
        <f>IFERROR(__xludf.DUMMYFUNCTION("GOOGLETRANSLATE(B7631,""id"",""en"")"),"['steady']")</f>
        <v>['steady']</v>
      </c>
      <c r="D7631" s="3">
        <v>5.0</v>
      </c>
    </row>
    <row r="7632" ht="15.75" customHeight="1">
      <c r="A7632" s="1">
        <v>8195.0</v>
      </c>
      <c r="B7632" s="3" t="s">
        <v>7350</v>
      </c>
      <c r="C7632" s="3" t="str">
        <f>IFERROR(__xludf.DUMMYFUNCTION("GOOGLETRANSLATE(B7632,""id"",""en"")"),"['', 'Satisfied', 'Pikasi', 'Tekomsel']")</f>
        <v>['', 'Satisfied', 'Pikasi', 'Tekomsel']</v>
      </c>
      <c r="D7632" s="3">
        <v>5.0</v>
      </c>
    </row>
    <row r="7633" ht="15.75" customHeight="1">
      <c r="A7633" s="1">
        <v>8196.0</v>
      </c>
      <c r="B7633" s="3" t="s">
        <v>7351</v>
      </c>
      <c r="C7633" s="3" t="str">
        <f>IFERROR(__xludf.DUMMYFUNCTION("GOOGLETRANSLATE(B7633,""id"",""en"")"),"['buy', 'quota', 'pulse', 'process', 'wifi', 'strange']")</f>
        <v>['buy', 'quota', 'pulse', 'process', 'wifi', 'strange']</v>
      </c>
      <c r="D7633" s="3">
        <v>1.0</v>
      </c>
    </row>
    <row r="7634" ht="15.75" customHeight="1">
      <c r="A7634" s="1">
        <v>8197.0</v>
      </c>
      <c r="B7634" s="3" t="s">
        <v>7352</v>
      </c>
      <c r="C7634" s="3" t="str">
        <f>IFERROR(__xludf.DUMMYFUNCTION("GOOGLETRANSLATE(B7634,""id"",""en"")"),"['Telkomsel', 'Good', 'APK', 'Useful', 'check', 'quota', 'pulse', 'plus',' buy ',' quota ',' buy ',' MyTelkomsel ',' Alhamdulillah ',' Bonus', 'Rp', 'Daily', 'Login', 'Quota', 'Live', 'Login', 'Telkomsel', 'Quota', 'Appropriate', 'Provisions' , 'no', 'dea"&amp;"dline', 'run out', 'quota', 'until', 'Sunday', 'THX', 'MyTelkomsel', '']")</f>
        <v>['Telkomsel', 'Good', 'APK', 'Useful', 'check', 'quota', 'pulse', 'plus',' buy ',' quota ',' buy ',' MyTelkomsel ',' Alhamdulillah ',' Bonus', 'Rp', 'Daily', 'Login', 'Quota', 'Live', 'Login', 'Telkomsel', 'Quota', 'Appropriate', 'Provisions' , 'no', 'deadline', 'run out', 'quota', 'until', 'Sunday', 'THX', 'MyTelkomsel', '']</v>
      </c>
      <c r="D7634" s="3">
        <v>5.0</v>
      </c>
    </row>
    <row r="7635" ht="15.75" customHeight="1">
      <c r="A7635" s="1">
        <v>8198.0</v>
      </c>
      <c r="B7635" s="3" t="s">
        <v>3314</v>
      </c>
      <c r="C7635" s="3" t="str">
        <f>IFERROR(__xludf.DUMMYFUNCTION("GOOGLETRANSLATE(B7635,""id"",""en"")"),"['Increase', 'Quality']")</f>
        <v>['Increase', 'Quality']</v>
      </c>
      <c r="D7635" s="3">
        <v>5.0</v>
      </c>
    </row>
    <row r="7636" ht="15.75" customHeight="1">
      <c r="A7636" s="1">
        <v>8199.0</v>
      </c>
      <c r="B7636" s="3" t="s">
        <v>7353</v>
      </c>
      <c r="C7636" s="3" t="str">
        <f>IFERROR(__xludf.DUMMYFUNCTION("GOOGLETRANSLATE(B7636,""id"",""en"")"),"['Helpful', 'user', 'Telkomsel']")</f>
        <v>['Helpful', 'user', 'Telkomsel']</v>
      </c>
      <c r="D7636" s="3">
        <v>5.0</v>
      </c>
    </row>
    <row r="7637" ht="15.75" customHeight="1">
      <c r="A7637" s="1">
        <v>8200.0</v>
      </c>
      <c r="B7637" s="3" t="s">
        <v>7354</v>
      </c>
      <c r="C7637" s="3" t="str">
        <f>IFERROR(__xludf.DUMMYFUNCTION("GOOGLETRANSLATE(B7637,""id"",""en"")"),"['WOI', 'Network', 'ilang', 'Ngeapain', 'Eliminate', 'Quota', 'Full', 'Signal', 'Employment', 'Boz', ""]")</f>
        <v>['WOI', 'Network', 'ilang', 'Ngeapain', 'Eliminate', 'Quota', 'Full', 'Signal', 'Employment', 'Boz', "]</v>
      </c>
      <c r="D7637" s="3">
        <v>2.0</v>
      </c>
    </row>
    <row r="7638" ht="15.75" customHeight="1">
      <c r="A7638" s="1">
        <v>8201.0</v>
      </c>
      <c r="B7638" s="3" t="s">
        <v>7355</v>
      </c>
      <c r="C7638" s="3" t="str">
        <f>IFERROR(__xludf.DUMMYFUNCTION("GOOGLETRANSLATE(B7638,""id"",""en"")"),"['Telkomsel', 'Please', 'Fix', 'Signal', 'Region', 'Region', 'Andum', 'Patujah', 'Kab', 'Tasikmaiksala', 'Class',' Telkomsel ',' Network ',' Sometimes', 'SOSMED', 'SOSMED', 'LEMOTTTTTTT', 'Apalgi', 'Game', 'Online', 'Ping', 'Sampe', 'Edan']")</f>
        <v>['Telkomsel', 'Please', 'Fix', 'Signal', 'Region', 'Region', 'Andum', 'Patujah', 'Kab', 'Tasikmaiksala', 'Class',' Telkomsel ',' Network ',' Sometimes', 'SOSMED', 'SOSMED', 'LEMOTTTTTTT', 'Apalgi', 'Game', 'Online', 'Ping', 'Sampe', 'Edan']</v>
      </c>
      <c r="D7638" s="3">
        <v>1.0</v>
      </c>
    </row>
    <row r="7639" ht="15.75" customHeight="1">
      <c r="A7639" s="1">
        <v>8202.0</v>
      </c>
      <c r="B7639" s="3" t="s">
        <v>7356</v>
      </c>
      <c r="C7639" s="3" t="str">
        <f>IFERROR(__xludf.DUMMYFUNCTION("GOOGLETRANSLATE(B7639,""id"",""en"")"),"['Nyesel', 'Move', 'Hello', 'signal', 'Nidak', 'good', 'surrender', 'Pay', 'monthly', 'daily', 'use', 'card']")</f>
        <v>['Nyesel', 'Move', 'Hello', 'signal', 'Nidak', 'good', 'surrender', 'Pay', 'monthly', 'daily', 'use', 'card']</v>
      </c>
      <c r="D7639" s="3">
        <v>1.0</v>
      </c>
    </row>
    <row r="7640" ht="15.75" customHeight="1">
      <c r="A7640" s="1">
        <v>8203.0</v>
      </c>
      <c r="B7640" s="3" t="s">
        <v>7357</v>
      </c>
      <c r="C7640" s="3" t="str">
        <f>IFERROR(__xludf.DUMMYFUNCTION("GOOGLETRANSLATE(B7640,""id"",""en"")"),"['failed', 'contents', 'package', 'data']")</f>
        <v>['failed', 'contents', 'package', 'data']</v>
      </c>
      <c r="D7640" s="3">
        <v>1.0</v>
      </c>
    </row>
    <row r="7641" ht="15.75" customHeight="1">
      <c r="A7641" s="1">
        <v>8204.0</v>
      </c>
      <c r="B7641" s="3" t="s">
        <v>7358</v>
      </c>
      <c r="C7641" s="3" t="str">
        <f>IFERROR(__xludf.DUMMYFUNCTION("GOOGLETRANSLATE(B7641,""id"",""en"")"),"['Mantaaap']")</f>
        <v>['Mantaaap']</v>
      </c>
      <c r="D7641" s="3">
        <v>5.0</v>
      </c>
    </row>
    <row r="7642" ht="15.75" customHeight="1">
      <c r="A7642" s="1">
        <v>8205.0</v>
      </c>
      <c r="B7642" s="3" t="s">
        <v>7359</v>
      </c>
      <c r="C7642" s="3" t="str">
        <f>IFERROR(__xludf.DUMMYFUNCTION("GOOGLETRANSLATE(B7642,""id"",""en"")"),"['', 'failed', 'buy', 'package', 'quota', 'balance', 'quota', 'ghoib', ""]")</f>
        <v>['', 'failed', 'buy', 'package', 'quota', 'balance', 'quota', 'ghoib', "]</v>
      </c>
      <c r="D7642" s="3">
        <v>1.0</v>
      </c>
    </row>
    <row r="7643" ht="15.75" customHeight="1">
      <c r="A7643" s="1">
        <v>8206.0</v>
      </c>
      <c r="B7643" s="3" t="s">
        <v>7360</v>
      </c>
      <c r="C7643" s="3" t="str">
        <f>IFERROR(__xludf.DUMMYFUNCTION("GOOGLETRANSLATE(B7643,""id"",""en"")"),"['price', 'package', 'expensive', 'signal', 'kek', 'jembod']")</f>
        <v>['price', 'package', 'expensive', 'signal', 'kek', 'jembod']</v>
      </c>
      <c r="D7643" s="3">
        <v>1.0</v>
      </c>
    </row>
    <row r="7644" ht="15.75" customHeight="1">
      <c r="A7644" s="1">
        <v>8207.0</v>
      </c>
      <c r="B7644" s="3" t="s">
        <v>7361</v>
      </c>
      <c r="C7644" s="3" t="str">
        <f>IFERROR(__xludf.DUMMYFUNCTION("GOOGLETRANSLATE(B7644,""id"",""en"")"),"['Steady', 'easy', 'info', 'surrounding', 'Telkomsel']")</f>
        <v>['Steady', 'easy', 'info', 'surrounding', 'Telkomsel']</v>
      </c>
      <c r="D7644" s="3">
        <v>5.0</v>
      </c>
    </row>
    <row r="7645" ht="15.75" customHeight="1">
      <c r="A7645" s="1">
        <v>8208.0</v>
      </c>
      <c r="B7645" s="3" t="s">
        <v>7362</v>
      </c>
      <c r="C7645" s="3" t="str">
        <f>IFERROR(__xludf.DUMMYFUNCTION("GOOGLETRANSLATE(B7645,""id"",""en"")"),"['signal', 'Telkomsel', 'disappointing', 'clock', 'morning', 'smooth', 'clock', 'zonk']")</f>
        <v>['signal', 'Telkomsel', 'disappointing', 'clock', 'morning', 'smooth', 'clock', 'zonk']</v>
      </c>
      <c r="D7645" s="3">
        <v>3.0</v>
      </c>
    </row>
    <row r="7646" ht="15.75" customHeight="1">
      <c r="A7646" s="1">
        <v>8210.0</v>
      </c>
      <c r="B7646" s="3" t="s">
        <v>7363</v>
      </c>
      <c r="C7646" s="3" t="str">
        <f>IFERROR(__xludf.DUMMYFUNCTION("GOOGLETRANSLATE(B7646,""id"",""en"")"),"['fast', 'easy', 'transfer', 'signal', 'Tower', 'Screwed', 'conversation']")</f>
        <v>['fast', 'easy', 'transfer', 'signal', 'Tower', 'Screwed', 'conversation']</v>
      </c>
      <c r="D7646" s="3">
        <v>4.0</v>
      </c>
    </row>
    <row r="7647" ht="15.75" customHeight="1">
      <c r="A7647" s="1">
        <v>8211.0</v>
      </c>
      <c r="B7647" s="3" t="s">
        <v>7364</v>
      </c>
      <c r="C7647" s="3" t="str">
        <f>IFERROR(__xludf.DUMMYFUNCTION("GOOGLETRANSLATE(B7647,""id"",""en"")"),"['Telkomsel', 'Top', 'Notification', 'Success',' Diamond ',' Enter ',' already ',' Cut ',' Credit ',' Response ',' told ',' Contact ',' Google ',' Sampe ',' Google ',' process', 'top', 'credit', 'UDH', 'Cut', 'Google', 'thank', 'because', 'balance', 'Udh'"&amp;" , 'Disappointed', 'Ama', 'Telkomsel', 'Udh', 'Top', 'pulse', 'already', 'kongkalikong', ""]")</f>
        <v>['Telkomsel', 'Top', 'Notification', 'Success',' Diamond ',' Enter ',' already ',' Cut ',' Credit ',' Response ',' told ',' Contact ',' Google ',' Sampe ',' Google ',' process', 'top', 'credit', 'UDH', 'Cut', 'Google', 'thank', 'because', 'balance', 'Udh' , 'Disappointed', 'Ama', 'Telkomsel', 'Udh', 'Top', 'pulse', 'already', 'kongkalikong', "]</v>
      </c>
      <c r="D7647" s="3">
        <v>1.0</v>
      </c>
    </row>
    <row r="7648" ht="15.75" customHeight="1">
      <c r="A7648" s="1">
        <v>8212.0</v>
      </c>
      <c r="B7648" s="3" t="s">
        <v>3049</v>
      </c>
      <c r="C7648" s="3" t="str">
        <f>IFERROR(__xludf.DUMMYFUNCTION("GOOGLETRANSLATE(B7648,""id"",""en"")"),"['Network', 'stable']")</f>
        <v>['Network', 'stable']</v>
      </c>
      <c r="D7648" s="3">
        <v>4.0</v>
      </c>
    </row>
    <row r="7649" ht="15.75" customHeight="1">
      <c r="A7649" s="1">
        <v>8213.0</v>
      </c>
      <c r="B7649" s="3" t="s">
        <v>7365</v>
      </c>
      <c r="C7649" s="3" t="str">
        <f>IFERROR(__xludf.DUMMYFUNCTION("GOOGLETRANSLATE(B7649,""id"",""en"")"),"['Buy', 'Loss', 'NAJIS']")</f>
        <v>['Buy', 'Loss', 'NAJIS']</v>
      </c>
      <c r="D7649" s="3">
        <v>1.0</v>
      </c>
    </row>
    <row r="7650" ht="15.75" customHeight="1">
      <c r="A7650" s="1">
        <v>8214.0</v>
      </c>
      <c r="B7650" s="3" t="s">
        <v>7366</v>
      </c>
      <c r="C7650" s="3" t="str">
        <f>IFERROR(__xludf.DUMMYFUNCTION("GOOGLETRANSLATE(B7650,""id"",""en"")"),"['appl', 'makes it easy', '']")</f>
        <v>['appl', 'makes it easy', '']</v>
      </c>
      <c r="D7650" s="3">
        <v>4.0</v>
      </c>
    </row>
    <row r="7651" ht="15.75" customHeight="1">
      <c r="A7651" s="1">
        <v>8215.0</v>
      </c>
      <c r="B7651" s="3" t="s">
        <v>7367</v>
      </c>
      <c r="C7651" s="3" t="str">
        <f>IFERROR(__xludf.DUMMYFUNCTION("GOOGLETRANSLATE(B7651,""id"",""en"")"),"['wants',' quota ',' used to ',' cheap ',' expensive ',' good ',' network ',' smooth ',' threat ',' try ',' pulses', 'Abis',' NGK ',' Activein ',' Data ']")</f>
        <v>['wants',' quota ',' used to ',' cheap ',' expensive ',' good ',' network ',' smooth ',' threat ',' try ',' pulses', 'Abis',' NGK ',' Activein ',' Data ']</v>
      </c>
      <c r="D7651" s="3">
        <v>1.0</v>
      </c>
    </row>
    <row r="7652" ht="15.75" customHeight="1">
      <c r="A7652" s="1">
        <v>8216.0</v>
      </c>
      <c r="B7652" s="3" t="s">
        <v>800</v>
      </c>
      <c r="C7652" s="3" t="str">
        <f>IFERROR(__xludf.DUMMYFUNCTION("GOOGLETRANSLATE(B7652,""id"",""en"")"),"['Promo']")</f>
        <v>['Promo']</v>
      </c>
      <c r="D7652" s="3">
        <v>4.0</v>
      </c>
    </row>
    <row r="7653" ht="15.75" customHeight="1">
      <c r="A7653" s="1">
        <v>8217.0</v>
      </c>
      <c r="B7653" s="3" t="s">
        <v>7368</v>
      </c>
      <c r="C7653" s="3" t="str">
        <f>IFERROR(__xludf.DUMMYFUNCTION("GOOGLETRANSLATE(B7653,""id"",""en"")"),"['service', 'help']")</f>
        <v>['service', 'help']</v>
      </c>
      <c r="D7653" s="3">
        <v>5.0</v>
      </c>
    </row>
    <row r="7654" ht="15.75" customHeight="1">
      <c r="A7654" s="1">
        <v>8218.0</v>
      </c>
      <c r="B7654" s="3" t="s">
        <v>7369</v>
      </c>
      <c r="C7654" s="3" t="str">
        <f>IFERROR(__xludf.DUMMYFUNCTION("GOOGLETRANSLATE(B7654,""id"",""en"")"),"['Please', 'Network', 'Fix', 'Kian', 'Kian', 'Destroyed', 'Network', 'Telkomsel', 'Udh', 'Lost', 'Ama', 'Operator']")</f>
        <v>['Please', 'Network', 'Fix', 'Kian', 'Kian', 'Destroyed', 'Network', 'Telkomsel', 'Udh', 'Lost', 'Ama', 'Operator']</v>
      </c>
      <c r="D7654" s="3">
        <v>1.0</v>
      </c>
    </row>
    <row r="7655" ht="15.75" customHeight="1">
      <c r="A7655" s="1">
        <v>8219.0</v>
      </c>
      <c r="B7655" s="3" t="s">
        <v>7370</v>
      </c>
      <c r="C7655" s="3" t="str">
        <f>IFERROR(__xludf.DUMMYFUNCTION("GOOGLETRANSLATE(B7655,""id"",""en"")"),"['advertisement', 'gedegede', 'blocking', 'right', 'see', 'pulse', 'check', 'quota', 'that's', '']")</f>
        <v>['advertisement', 'gedegede', 'blocking', 'right', 'see', 'pulse', 'check', 'quota', 'that's', '']</v>
      </c>
      <c r="D7655" s="3">
        <v>2.0</v>
      </c>
    </row>
    <row r="7656" ht="15.75" customHeight="1">
      <c r="A7656" s="1">
        <v>8220.0</v>
      </c>
      <c r="B7656" s="3" t="s">
        <v>7371</v>
      </c>
      <c r="C7656" s="3" t="str">
        <f>IFERROR(__xludf.DUMMYFUNCTION("GOOGLETRANSLATE(B7656,""id"",""en"")"),"['Okke']")</f>
        <v>['Okke']</v>
      </c>
      <c r="D7656" s="3">
        <v>5.0</v>
      </c>
    </row>
    <row r="7657" ht="15.75" customHeight="1">
      <c r="A7657" s="1">
        <v>8221.0</v>
      </c>
      <c r="B7657" s="3" t="s">
        <v>7372</v>
      </c>
      <c r="C7657" s="3" t="str">
        <f>IFERROR(__xludf.DUMMYFUNCTION("GOOGLETRANSLATE(B7657,""id"",""en"")"),"['contents', 'pulse', 'mytelkomsel', 'method', 'payment', 'funds', 'pulse', 'nggk', 'enter', 'enter', 'anjg']")</f>
        <v>['contents', 'pulse', 'mytelkomsel', 'method', 'payment', 'funds', 'pulse', 'nggk', 'enter', 'enter', 'anjg']</v>
      </c>
      <c r="D7657" s="3">
        <v>1.0</v>
      </c>
    </row>
    <row r="7658" ht="15.75" customHeight="1">
      <c r="A7658" s="1">
        <v>8222.0</v>
      </c>
      <c r="B7658" s="3" t="s">
        <v>7373</v>
      </c>
      <c r="C7658" s="3" t="str">
        <f>IFERROR(__xludf.DUMMYFUNCTION("GOOGLETRANSLATE(B7658,""id"",""en"")"),"['quality', 'signal', 'ugly', 'Please', 'repaired', 'Thank you', ""]")</f>
        <v>['quality', 'signal', 'ugly', 'Please', 'repaired', 'Thank you', "]</v>
      </c>
      <c r="D7658" s="3">
        <v>2.0</v>
      </c>
    </row>
    <row r="7659" ht="15.75" customHeight="1">
      <c r="A7659" s="1">
        <v>8223.0</v>
      </c>
      <c r="B7659" s="3" t="s">
        <v>7374</v>
      </c>
      <c r="C7659" s="3" t="str">
        <f>IFERROR(__xludf.DUMMYFUNCTION("GOOGLETRANSLATE(B7659,""id"",""en"")"),"['Keapasih', 'Out', 'Rain', 'Signal', 'Slow', 'Cook', 'Kayak', 'That's']")</f>
        <v>['Keapasih', 'Out', 'Rain', 'Signal', 'Slow', 'Cook', 'Kayak', 'That's']</v>
      </c>
      <c r="D7659" s="3">
        <v>1.0</v>
      </c>
    </row>
    <row r="7660" ht="15.75" customHeight="1">
      <c r="A7660" s="1">
        <v>8224.0</v>
      </c>
      <c r="B7660" s="3" t="s">
        <v>7375</v>
      </c>
      <c r="C7660" s="3" t="str">
        <f>IFERROR(__xludf.DUMMYFUNCTION("GOOGLETRANSLATE(B7660,""id"",""en"")"),"['buy', 'package', 'internet', 'Telkomsen', 'free', 'unlimited', '']")</f>
        <v>['buy', 'package', 'internet', 'Telkomsen', 'free', 'unlimited', '']</v>
      </c>
      <c r="D7660" s="3">
        <v>5.0</v>
      </c>
    </row>
    <row r="7661" ht="15.75" customHeight="1">
      <c r="A7661" s="1">
        <v>8225.0</v>
      </c>
      <c r="B7661" s="3" t="s">
        <v>7376</v>
      </c>
      <c r="C7661" s="3" t="str">
        <f>IFERROR(__xludf.DUMMYFUNCTION("GOOGLETRANSLATE(B7661,""id"",""en"")"),"['application', 'Telkomsel', 'buy', 'package', 'ribetin', 'really', 'life', ""]")</f>
        <v>['application', 'Telkomsel', 'buy', 'package', 'ribetin', 'really', 'life', "]</v>
      </c>
      <c r="D7661" s="3">
        <v>1.0</v>
      </c>
    </row>
    <row r="7662" ht="15.75" customHeight="1">
      <c r="A7662" s="1">
        <v>8226.0</v>
      </c>
      <c r="B7662" s="3" t="s">
        <v>7377</v>
      </c>
      <c r="C7662" s="3" t="str">
        <f>IFERROR(__xludf.DUMMYFUNCTION("GOOGLETRANSLATE(B7662,""id"",""en"")"),"['', 'Telkomsel', 'anjeng', 'package', 'expensive', 'tissue', 'slow', 'kayak', 'pakek', 'telkomsel', 'hunt', 'replace', 'Haluan ']")</f>
        <v>['', 'Telkomsel', 'anjeng', 'package', 'expensive', 'tissue', 'slow', 'kayak', 'pakek', 'telkomsel', 'hunt', 'replace', 'Haluan ']</v>
      </c>
      <c r="D7662" s="3">
        <v>1.0</v>
      </c>
    </row>
    <row r="7663" ht="15.75" customHeight="1">
      <c r="A7663" s="1">
        <v>8227.0</v>
      </c>
      <c r="B7663" s="3" t="s">
        <v>7378</v>
      </c>
      <c r="C7663" s="3" t="str">
        <f>IFERROR(__xludf.DUMMYFUNCTION("GOOGLETRANSLATE(B7663,""id"",""en"")"),"['Telkomsel', 'Network', 'Main', 'Game', 'Red', 'Network']")</f>
        <v>['Telkomsel', 'Network', 'Main', 'Game', 'Red', 'Network']</v>
      </c>
      <c r="D7663" s="3">
        <v>1.0</v>
      </c>
    </row>
    <row r="7664" ht="15.75" customHeight="1">
      <c r="A7664" s="1">
        <v>8228.0</v>
      </c>
      <c r="B7664" s="3" t="s">
        <v>7379</v>
      </c>
      <c r="C7664" s="3" t="str">
        <f>IFERROR(__xludf.DUMMYFUNCTION("GOOGLETRANSLATE(B7664,""id"",""en"")"),"['Package', 'internet', 'cheap', 'knapa', 'expensive', 'really', 'admin', '']")</f>
        <v>['Package', 'internet', 'cheap', 'knapa', 'expensive', 'really', 'admin', '']</v>
      </c>
      <c r="D7664" s="3">
        <v>2.0</v>
      </c>
    </row>
    <row r="7665" ht="15.75" customHeight="1">
      <c r="A7665" s="1">
        <v>8230.0</v>
      </c>
      <c r="B7665" s="3" t="s">
        <v>7380</v>
      </c>
      <c r="C7665" s="3" t="str">
        <f>IFERROR(__xludf.DUMMYFUNCTION("GOOGLETRANSLATE(B7665,""id"",""en"")"),"['fixin', 'system', '']")</f>
        <v>['fixin', 'system', '']</v>
      </c>
      <c r="D7665" s="3">
        <v>4.0</v>
      </c>
    </row>
    <row r="7666" ht="15.75" customHeight="1">
      <c r="A7666" s="1">
        <v>8231.0</v>
      </c>
      <c r="B7666" s="3" t="s">
        <v>7381</v>
      </c>
      <c r="C7666" s="3" t="str">
        <f>IFERROR(__xludf.DUMMYFUNCTION("GOOGLETRANSLATE(B7666,""id"",""en"")"),"['Kek', 'Network', 'Telkomsel', 'Damaged', 'Disappointed', 'User', 'Telkomsel', 'Kek', 'Gini', ""]")</f>
        <v>['Kek', 'Network', 'Telkomsel', 'Damaged', 'Disappointed', 'User', 'Telkomsel', 'Kek', 'Gini', "]</v>
      </c>
      <c r="D7666" s="3">
        <v>5.0</v>
      </c>
    </row>
    <row r="7667" ht="15.75" customHeight="1">
      <c r="A7667" s="1">
        <v>8232.0</v>
      </c>
      <c r="B7667" s="3" t="s">
        <v>7382</v>
      </c>
      <c r="C7667" s="3" t="str">
        <f>IFERROR(__xludf.DUMMYFUNCTION("GOOGLETRANSLATE(B7667,""id"",""en"")"),"['Please', 'Network', 'Lined', 'Belom', 'Perfect', 'Focus', '']")</f>
        <v>['Please', 'Network', 'Lined', 'Belom', 'Perfect', 'Focus', '']</v>
      </c>
      <c r="D7667" s="3">
        <v>1.0</v>
      </c>
    </row>
    <row r="7668" ht="15.75" customHeight="1">
      <c r="A7668" s="1">
        <v>8233.0</v>
      </c>
      <c r="B7668" s="3" t="s">
        <v>7383</v>
      </c>
      <c r="C7668" s="3" t="str">
        <f>IFERROR(__xludf.DUMMYFUNCTION("GOOGLETRANSLATE(B7668,""id"",""en"")"),"['Useful', 'buy', 'package']")</f>
        <v>['Useful', 'buy', 'package']</v>
      </c>
      <c r="D7668" s="3">
        <v>5.0</v>
      </c>
    </row>
    <row r="7669" ht="15.75" customHeight="1">
      <c r="A7669" s="1">
        <v>8234.0</v>
      </c>
      <c r="B7669" s="3" t="s">
        <v>7384</v>
      </c>
      <c r="C7669" s="3" t="str">
        <f>IFERROR(__xludf.DUMMYFUNCTION("GOOGLETRANSLATE(B7669,""id"",""en"")"),"['signal', 'stable']")</f>
        <v>['signal', 'stable']</v>
      </c>
      <c r="D7669" s="3">
        <v>5.0</v>
      </c>
    </row>
    <row r="7670" ht="15.75" customHeight="1">
      <c r="A7670" s="1">
        <v>8235.0</v>
      </c>
      <c r="B7670" s="3" t="s">
        <v>7385</v>
      </c>
      <c r="C7670" s="3" t="str">
        <f>IFERROR(__xludf.DUMMYFUNCTION("GOOGLETRANSLATE(B7670,""id"",""en"")"),"['Dilapidated', 'slow', 'Telkomsel', 'quota', 'dally', 'rotten', 'times', 'kali', 'Telkomsel']")</f>
        <v>['Dilapidated', 'slow', 'Telkomsel', 'quota', 'dally', 'rotten', 'times', 'kali', 'Telkomsel']</v>
      </c>
      <c r="D7670" s="3">
        <v>1.0</v>
      </c>
    </row>
    <row r="7671" ht="15.75" customHeight="1">
      <c r="A7671" s="1">
        <v>8236.0</v>
      </c>
      <c r="B7671" s="3" t="s">
        <v>7386</v>
      </c>
      <c r="C7671" s="3" t="str">
        <f>IFERROR(__xludf.DUMMYFUNCTION("GOOGLETRANSLATE(B7671,""id"",""en"")"),"['', 'Mna', 'buy', 'package', 'art', 'pulse', 'run out', 'package', 'mna', 'policy', 'jngan', 'liar']")</f>
        <v>['', 'Mna', 'buy', 'package', 'art', 'pulse', 'run out', 'package', 'mna', 'policy', 'jngan', 'liar']</v>
      </c>
      <c r="D7671" s="3">
        <v>1.0</v>
      </c>
    </row>
    <row r="7672" ht="15.75" customHeight="1">
      <c r="A7672" s="1">
        <v>8237.0</v>
      </c>
      <c r="B7672" s="3" t="s">
        <v>7387</v>
      </c>
      <c r="C7672" s="3" t="str">
        <f>IFERROR(__xludf.DUMMYFUNCTION("GOOGLETRANSLATE(B7672,""id"",""en"")"),"['game', 'Lehh', 'little']")</f>
        <v>['game', 'Lehh', 'little']</v>
      </c>
      <c r="D7672" s="3">
        <v>4.0</v>
      </c>
    </row>
    <row r="7673" ht="15.75" customHeight="1">
      <c r="A7673" s="1">
        <v>8238.0</v>
      </c>
      <c r="B7673" s="3" t="s">
        <v>7388</v>
      </c>
      <c r="C7673" s="3" t="str">
        <f>IFERROR(__xludf.DUMMYFUNCTION("GOOGLETRANSLATE(B7673,""id"",""en"")"),"['signal', 'strong', 'remote', 'nusantara', 'adventurous', 'help', ""]")</f>
        <v>['signal', 'strong', 'remote', 'nusantara', 'adventurous', 'help', "]</v>
      </c>
      <c r="D7673" s="3">
        <v>5.0</v>
      </c>
    </row>
    <row r="7674" ht="15.75" customHeight="1">
      <c r="A7674" s="1">
        <v>8239.0</v>
      </c>
      <c r="B7674" s="3" t="s">
        <v>7389</v>
      </c>
      <c r="C7674" s="3" t="str">
        <f>IFERROR(__xludf.DUMMYFUNCTION("GOOGLETRANSLATE(B7674,""id"",""en"")"),"['chaotic', 'times',' network ',' strange ',' already ',' expensive ',' expensive ',' buy ',' card ',' network ',' times', 'lag', ' Please '""Fix']")</f>
        <v>['chaotic', 'times',' network ',' strange ',' already ',' expensive ',' expensive ',' buy ',' card ',' network ',' times', 'lag', ' Please '"Fix']</v>
      </c>
      <c r="D7674" s="3">
        <v>1.0</v>
      </c>
    </row>
    <row r="7675" ht="15.75" customHeight="1">
      <c r="A7675" s="1">
        <v>8241.0</v>
      </c>
      <c r="B7675" s="3" t="s">
        <v>1308</v>
      </c>
      <c r="C7675" s="3" t="str">
        <f>IFERROR(__xludf.DUMMYFUNCTION("GOOGLETRANSLATE(B7675,""id"",""en"")"),"['Application', 'Help']")</f>
        <v>['Application', 'Help']</v>
      </c>
      <c r="D7675" s="3">
        <v>4.0</v>
      </c>
    </row>
    <row r="7676" ht="15.75" customHeight="1">
      <c r="A7676" s="1">
        <v>8242.0</v>
      </c>
      <c r="B7676" s="3" t="s">
        <v>7390</v>
      </c>
      <c r="C7676" s="3" t="str">
        <f>IFERROR(__xludf.DUMMYFUNCTION("GOOGLETRANSLATE(B7676,""id"",""en"")"),"['Telkomsel', 'Network', 'Widest', 'Good']")</f>
        <v>['Telkomsel', 'Network', 'Widest', 'Good']</v>
      </c>
      <c r="D7676" s="3">
        <v>5.0</v>
      </c>
    </row>
    <row r="7677" ht="15.75" customHeight="1">
      <c r="A7677" s="1">
        <v>8243.0</v>
      </c>
      <c r="B7677" s="3" t="s">
        <v>7391</v>
      </c>
      <c r="C7677" s="3" t="str">
        <f>IFERROR(__xludf.DUMMYFUNCTION("GOOGLETRANSLATE(B7677,""id"",""en"")"),"['Promo', 'comfort', 'Keep']")</f>
        <v>['Promo', 'comfort', 'Keep']</v>
      </c>
      <c r="D7677" s="3">
        <v>4.0</v>
      </c>
    </row>
    <row r="7678" ht="15.75" customHeight="1">
      <c r="A7678" s="1">
        <v>8244.0</v>
      </c>
      <c r="B7678" s="3" t="s">
        <v>7392</v>
      </c>
      <c r="C7678" s="3" t="str">
        <f>IFERROR(__xludf.DUMMYFUNCTION("GOOGLETRANSLATE(B7678,""id"",""en"")"),"['promo', 'cheap', 'really']")</f>
        <v>['promo', 'cheap', 'really']</v>
      </c>
      <c r="D7678" s="3">
        <v>5.0</v>
      </c>
    </row>
    <row r="7679" ht="15.75" customHeight="1">
      <c r="A7679" s="1">
        <v>8245.0</v>
      </c>
      <c r="B7679" s="3" t="s">
        <v>7393</v>
      </c>
      <c r="C7679" s="3" t="str">
        <f>IFERROR(__xludf.DUMMYFUNCTION("GOOGLETRANSLATE(B7679,""id"",""en"")"),"['Kasi', 'package', 'expensive', 'expensive', 'moved', 'customer', 'sympathy', 'klau']")</f>
        <v>['Kasi', 'package', 'expensive', 'expensive', 'moved', 'customer', 'sympathy', 'klau']</v>
      </c>
      <c r="D7679" s="3">
        <v>2.0</v>
      </c>
    </row>
    <row r="7680" ht="15.75" customHeight="1">
      <c r="A7680" s="1">
        <v>8246.0</v>
      </c>
      <c r="B7680" s="3" t="s">
        <v>7394</v>
      </c>
      <c r="C7680" s="3" t="str">
        <f>IFERROR(__xludf.DUMMYFUNCTION("GOOGLETRANSLATE(B7680,""id"",""en"")"),"['buy', 'quota', 'YouTube', 'unlimited', 'used', 'quota', 'main', 'watch', 'youtube', 'yesterday', 'buy', 'already', ' After ',' Please ',' Murah ',' Bang ',' Unlimited ',' YouTube ',' Useful ',' Loss', ""]")</f>
        <v>['buy', 'quota', 'YouTube', 'unlimited', 'used', 'quota', 'main', 'watch', 'youtube', 'yesterday', 'buy', 'already', ' After ',' Please ',' Murah ',' Bang ',' Unlimited ',' YouTube ',' Useful ',' Loss', "]</v>
      </c>
      <c r="D7680" s="3">
        <v>1.0</v>
      </c>
    </row>
    <row r="7681" ht="15.75" customHeight="1">
      <c r="A7681" s="1">
        <v>8247.0</v>
      </c>
      <c r="B7681" s="3" t="s">
        <v>7395</v>
      </c>
      <c r="C7681" s="3" t="str">
        <f>IFERROR(__xludf.DUMMYFUNCTION("GOOGLETRANSLATE(B7681,""id"",""en"")"),"['Gift', 'monetary']")</f>
        <v>['Gift', 'monetary']</v>
      </c>
      <c r="D7681" s="3">
        <v>1.0</v>
      </c>
    </row>
    <row r="7682" ht="15.75" customHeight="1">
      <c r="A7682" s="1">
        <v>8248.0</v>
      </c>
      <c r="B7682" s="3" t="s">
        <v>7396</v>
      </c>
      <c r="C7682" s="3" t="str">
        <f>IFERROR(__xludf.DUMMYFUNCTION("GOOGLETRANSLATE(B7682,""id"",""en"")"),"['Sexelous', 'please', 'price', 'pulses', 'cheap']")</f>
        <v>['Sexelous', 'please', 'price', 'pulses', 'cheap']</v>
      </c>
      <c r="D7682" s="3">
        <v>2.0</v>
      </c>
    </row>
    <row r="7683" ht="15.75" customHeight="1">
      <c r="A7683" s="1">
        <v>8249.0</v>
      </c>
      <c r="B7683" s="3" t="s">
        <v>7397</v>
      </c>
      <c r="C7683" s="3" t="str">
        <f>IFERROR(__xludf.DUMMYFUNCTION("GOOGLETRANSLATE(B7683,""id"",""en"")"),"['', 'Maketin', 'quota', 'already', 'plus',' sms', 'telephone', 'then', 'gave', 'cashback', 'monetary', 'call', 'sms ',' Telkomsel ',' then ',' intention ',' cashback ',' monetary ',' quota ',' package ',' cashback ',' a day ',' stupid ',' Telkomsel ', 'S"&amp;"impik', 'skrg', 'hold', 'Telkomsel', 'stingy', 'wkwkwkwk']")</f>
        <v>['', 'Maketin', 'quota', 'already', 'plus',' sms', 'telephone', 'then', 'gave', 'cashback', 'monetary', 'call', 'sms ',' Telkomsel ',' then ',' intention ',' cashback ',' monetary ',' quota ',' package ',' cashback ',' a day ',' stupid ',' Telkomsel ', 'Simpik', 'skrg', 'hold', 'Telkomsel', 'stingy', 'wkwkwkwk']</v>
      </c>
      <c r="D7683" s="3">
        <v>1.0</v>
      </c>
    </row>
    <row r="7684" ht="15.75" customHeight="1">
      <c r="A7684" s="1">
        <v>8251.0</v>
      </c>
      <c r="B7684" s="3" t="s">
        <v>7398</v>
      </c>
      <c r="C7684" s="3" t="str">
        <f>IFERROR(__xludf.DUMMYFUNCTION("GOOGLETRANSLATE(B7684,""id"",""en"")"),"['Severe', 'balance', 'pulse', 'truncated', 'notification', 'rb', 'stay', 'rb', 'Please', 'explanation']")</f>
        <v>['Severe', 'balance', 'pulse', 'truncated', 'notification', 'rb', 'stay', 'rb', 'Please', 'explanation']</v>
      </c>
      <c r="D7684" s="3">
        <v>1.0</v>
      </c>
    </row>
    <row r="7685" ht="15.75" customHeight="1">
      <c r="A7685" s="1">
        <v>8252.0</v>
      </c>
      <c r="B7685" s="3" t="s">
        <v>7399</v>
      </c>
      <c r="C7685" s="3" t="str">
        <f>IFERROR(__xludf.DUMMYFUNCTION("GOOGLETRANSLATE(B7685,""id"",""en"")"),"['Disconnect', 'Connect', ""]")</f>
        <v>['Disconnect', 'Connect', "]</v>
      </c>
      <c r="D7685" s="3">
        <v>5.0</v>
      </c>
    </row>
    <row r="7686" ht="15.75" customHeight="1">
      <c r="A7686" s="1">
        <v>8253.0</v>
      </c>
      <c r="B7686" s="3" t="s">
        <v>7400</v>
      </c>
      <c r="C7686" s="3" t="str">
        <f>IFERROR(__xludf.DUMMYFUNCTION("GOOGLETRANSLATE(B7686,""id"",""en"")"),"['Good', 'really', 'fast', 'tramsanya']")</f>
        <v>['Good', 'really', 'fast', 'tramsanya']</v>
      </c>
      <c r="D7686" s="3">
        <v>3.0</v>
      </c>
    </row>
    <row r="7687" ht="15.75" customHeight="1">
      <c r="A7687" s="1">
        <v>8254.0</v>
      </c>
      <c r="B7687" s="3" t="s">
        <v>7401</v>
      </c>
      <c r="C7687" s="3" t="str">
        <f>IFERROR(__xludf.DUMMYFUNCTION("GOOGLETRANSLATE(B7687,""id"",""en"")"),"['mantaaaappppp', 'bangett']")</f>
        <v>['mantaaaappppp', 'bangett']</v>
      </c>
      <c r="D7687" s="3">
        <v>5.0</v>
      </c>
    </row>
    <row r="7688" ht="15.75" customHeight="1">
      <c r="A7688" s="1">
        <v>8255.0</v>
      </c>
      <c r="B7688" s="3" t="s">
        <v>7402</v>
      </c>
      <c r="C7688" s="3" t="str">
        <f>IFERROR(__xludf.DUMMYFUNCTION("GOOGLETRANSLATE(B7688,""id"",""en"")"),"['easy', 'buy', 'package', 'internet']")</f>
        <v>['easy', 'buy', 'package', 'internet']</v>
      </c>
      <c r="D7688" s="3">
        <v>5.0</v>
      </c>
    </row>
    <row r="7689" ht="15.75" customHeight="1">
      <c r="A7689" s="1">
        <v>8256.0</v>
      </c>
      <c r="B7689" s="3" t="s">
        <v>7403</v>
      </c>
      <c r="C7689" s="3" t="str">
        <f>IFERROR(__xludf.DUMMYFUNCTION("GOOGLETRANSLATE(B7689,""id"",""en"")"),"['I', 'Supported', 'Telkomsel', 'NIFIIIN', 'Teman', 'just', 'Satunh', 'Pay', 'Delasin', 'Gimanatuh']")</f>
        <v>['I', 'Supported', 'Telkomsel', 'NIFIIIN', 'Teman', 'just', 'Satunh', 'Pay', 'Delasin', 'Gimanatuh']</v>
      </c>
      <c r="D7689" s="3">
        <v>5.0</v>
      </c>
    </row>
    <row r="7690" ht="15.75" customHeight="1">
      <c r="A7690" s="1">
        <v>8257.0</v>
      </c>
      <c r="B7690" s="3" t="s">
        <v>7404</v>
      </c>
      <c r="C7690" s="3" t="str">
        <f>IFERROR(__xludf.DUMMYFUNCTION("GOOGLETRANSLATE(B7690,""id"",""en"")"),"['Rubuh', 'Tower', 'Network', 'ugly', 'Bener', 'Taus', 'HaCur']")</f>
        <v>['Rubuh', 'Tower', 'Network', 'ugly', 'Bener', 'Taus', 'HaCur']</v>
      </c>
      <c r="D7690" s="3">
        <v>1.0</v>
      </c>
    </row>
    <row r="7691" ht="15.75" customHeight="1">
      <c r="A7691" s="1">
        <v>8258.0</v>
      </c>
      <c r="B7691" s="3" t="s">
        <v>7405</v>
      </c>
      <c r="C7691" s="3" t="str">
        <f>IFERROR(__xludf.DUMMYFUNCTION("GOOGLETRANSLATE(B7691,""id"",""en"")"),"['Try', 'Telkomsel']")</f>
        <v>['Try', 'Telkomsel']</v>
      </c>
      <c r="D7691" s="3">
        <v>5.0</v>
      </c>
    </row>
    <row r="7692" ht="15.75" customHeight="1">
      <c r="A7692" s="1">
        <v>8259.0</v>
      </c>
      <c r="B7692" s="3" t="s">
        <v>7406</v>
      </c>
      <c r="C7692" s="3" t="str">
        <f>IFERROR(__xludf.DUMMYFUNCTION("GOOGLETRANSLATE(B7692,""id"",""en"")"),"['Sad', 'really', 'really', 'separated', 'number', 'already', 'accompany', 'years',' Gara ',' Gar ',' gag ',' postpaid ',' Change ',' prepaid ',' wanted ',' really ',' Miracle ',' Telkomsel ',' change ',' policy ',' Sales', 'tell', 'risk', 'card', 'postpa"&amp;"id' , 'Disappointed', 'really', 'friend', 'friend', 'postpaid', 'heart', 'heart', 'postpaid', 'number', 'sad', 'really', 'number', ' Needs', 'power']")</f>
        <v>['Sad', 'really', 'really', 'separated', 'number', 'already', 'accompany', 'years',' Gara ',' Gar ',' gag ',' postpaid ',' Change ',' prepaid ',' wanted ',' really ',' Miracle ',' Telkomsel ',' change ',' policy ',' Sales', 'tell', 'risk', 'card', 'postpaid' , 'Disappointed', 'really', 'friend', 'friend', 'postpaid', 'heart', 'heart', 'postpaid', 'number', 'sad', 'really', 'number', ' Needs', 'power']</v>
      </c>
      <c r="D7692" s="3">
        <v>1.0</v>
      </c>
    </row>
    <row r="7693" ht="15.75" customHeight="1">
      <c r="A7693" s="1">
        <v>8260.0</v>
      </c>
      <c r="B7693" s="3" t="s">
        <v>7407</v>
      </c>
      <c r="C7693" s="3" t="str">
        <f>IFERROR(__xludf.DUMMYFUNCTION("GOOGLETRANSLATE(B7693,""id"",""en"")"),"['package', 'failed', 'package', 'cheerful']")</f>
        <v>['package', 'failed', 'package', 'cheerful']</v>
      </c>
      <c r="D7693" s="3">
        <v>4.0</v>
      </c>
    </row>
    <row r="7694" ht="15.75" customHeight="1">
      <c r="A7694" s="1">
        <v>8261.0</v>
      </c>
      <c r="B7694" s="3" t="s">
        <v>7408</v>
      </c>
      <c r="C7694" s="3" t="str">
        <f>IFERROR(__xludf.DUMMYFUNCTION("GOOGLETRANSLATE(B7694,""id"",""en"")"),"['signal', 'ugly', 'bngt', 'rain']")</f>
        <v>['signal', 'ugly', 'bngt', 'rain']</v>
      </c>
      <c r="D7694" s="3">
        <v>1.0</v>
      </c>
    </row>
    <row r="7695" ht="15.75" customHeight="1">
      <c r="A7695" s="1">
        <v>8263.0</v>
      </c>
      <c r="B7695" s="3" t="s">
        <v>7409</v>
      </c>
      <c r="C7695" s="3" t="str">
        <f>IFERROR(__xludf.DUMMYFUNCTION("GOOGLETRANSLATE(B7695,""id"",""en"")"),"['package', 'expensive', '']")</f>
        <v>['package', 'expensive', '']</v>
      </c>
      <c r="D7695" s="3">
        <v>1.0</v>
      </c>
    </row>
    <row r="7696" ht="15.75" customHeight="1">
      <c r="A7696" s="1">
        <v>8265.0</v>
      </c>
      <c r="B7696" s="3" t="s">
        <v>2972</v>
      </c>
      <c r="C7696" s="3" t="str">
        <f>IFERROR(__xludf.DUMMYFUNCTION("GOOGLETRANSLATE(B7696,""id"",""en"")"),"['bad network']")</f>
        <v>['bad network']</v>
      </c>
      <c r="D7696" s="3">
        <v>1.0</v>
      </c>
    </row>
    <row r="7697" ht="15.75" customHeight="1">
      <c r="A7697" s="1">
        <v>8266.0</v>
      </c>
      <c r="B7697" s="3" t="s">
        <v>7410</v>
      </c>
      <c r="C7697" s="3" t="str">
        <f>IFERROR(__xludf.DUMMYFUNCTION("GOOGLETRANSLATE(B7697,""id"",""en"")"),"['card', 'expensive', 'quota', 'expensive', 'signal', 'ugly', 'severe', 'Disband', 'move', 'next door']")</f>
        <v>['card', 'expensive', 'quota', 'expensive', 'signal', 'ugly', 'severe', 'Disband', 'move', 'next door']</v>
      </c>
      <c r="D7697" s="3">
        <v>1.0</v>
      </c>
    </row>
    <row r="7698" ht="15.75" customHeight="1">
      <c r="A7698" s="1">
        <v>8267.0</v>
      </c>
      <c r="B7698" s="3" t="s">
        <v>7411</v>
      </c>
      <c r="C7698" s="3" t="str">
        <f>IFERROR(__xludf.DUMMYFUNCTION("GOOGLETRANSLATE(B7698,""id"",""en"")"),"['Improved', 'Mantap', '']")</f>
        <v>['Improved', 'Mantap', '']</v>
      </c>
      <c r="D7698" s="3">
        <v>5.0</v>
      </c>
    </row>
    <row r="7699" ht="15.75" customHeight="1">
      <c r="A7699" s="1">
        <v>8268.0</v>
      </c>
      <c r="B7699" s="3" t="s">
        <v>7412</v>
      </c>
      <c r="C7699" s="3" t="str">
        <f>IFERROR(__xludf.DUMMYFUNCTION("GOOGLETRANSLATE(B7699,""id"",""en"")"),"['kagak', 'pulse']")</f>
        <v>['kagak', 'pulse']</v>
      </c>
      <c r="D7699" s="3">
        <v>4.0</v>
      </c>
    </row>
    <row r="7700" ht="15.75" customHeight="1">
      <c r="A7700" s="1">
        <v>8269.0</v>
      </c>
      <c r="B7700" s="3" t="s">
        <v>7413</v>
      </c>
      <c r="C7700" s="3" t="str">
        <f>IFERROR(__xludf.DUMMYFUNCTION("GOOGLETRANSLATE(B7700,""id"",""en"")"),"['Steady', 'Success']")</f>
        <v>['Steady', 'Success']</v>
      </c>
      <c r="D7700" s="3">
        <v>5.0</v>
      </c>
    </row>
    <row r="7701" ht="15.75" customHeight="1">
      <c r="A7701" s="1">
        <v>8270.0</v>
      </c>
      <c r="B7701" s="3" t="s">
        <v>7414</v>
      </c>
      <c r="C7701" s="3" t="str">
        <f>IFERROR(__xludf.DUMMYFUNCTION("GOOGLETRANSLATE(B7701,""id"",""en"")"),"['Disappointed', 'Telkomsel', 'disruption', 'notice', 'please', 'fix', 'signal', 'region', 'remote', 'difficult', 'signal', 'disorder', ' ']")</f>
        <v>['Disappointed', 'Telkomsel', 'disruption', 'notice', 'please', 'fix', 'signal', 'region', 'remote', 'difficult', 'signal', 'disorder', ' ']</v>
      </c>
      <c r="D7701" s="3">
        <v>2.0</v>
      </c>
    </row>
    <row r="7702" ht="15.75" customHeight="1">
      <c r="A7702" s="1">
        <v>8271.0</v>
      </c>
      <c r="B7702" s="3" t="s">
        <v>5240</v>
      </c>
      <c r="C7702" s="3" t="str">
        <f>IFERROR(__xludf.DUMMYFUNCTION("GOOGLETRANSLATE(B7702,""id"",""en"")"),"['try']")</f>
        <v>['try']</v>
      </c>
      <c r="D7702" s="3">
        <v>3.0</v>
      </c>
    </row>
    <row r="7703" ht="15.75" customHeight="1">
      <c r="A7703" s="1">
        <v>8272.0</v>
      </c>
      <c r="B7703" s="3" t="s">
        <v>7415</v>
      </c>
      <c r="C7703" s="3" t="str">
        <f>IFERROR(__xludf.DUMMYFUNCTION("GOOGLETRANSLATE(B7703,""id"",""en"")"),"['Good', 'Singal']")</f>
        <v>['Good', 'Singal']</v>
      </c>
      <c r="D7703" s="3">
        <v>5.0</v>
      </c>
    </row>
    <row r="7704" ht="15.75" customHeight="1">
      <c r="A7704" s="1">
        <v>8273.0</v>
      </c>
      <c r="B7704" s="3" t="s">
        <v>7416</v>
      </c>
      <c r="C7704" s="3" t="str">
        <f>IFERROR(__xludf.DUMMYFUNCTION("GOOGLETRANSLATE(B7704,""id"",""en"")"),"['Disruption', 'Mulu', 'Telkom', 'UDH', 'Network', 'lag', 'quota', 'expensive', 'Disruption', 'Mulu', 'Hadeh', 'Telkomek']")</f>
        <v>['Disruption', 'Mulu', 'Telkom', 'UDH', 'Network', 'lag', 'quota', 'expensive', 'Disruption', 'Mulu', 'Hadeh', 'Telkomek']</v>
      </c>
      <c r="D7704" s="3">
        <v>1.0</v>
      </c>
    </row>
    <row r="7705" ht="15.75" customHeight="1">
      <c r="A7705" s="1">
        <v>8275.0</v>
      </c>
      <c r="B7705" s="3" t="s">
        <v>7417</v>
      </c>
      <c r="C7705" s="3" t="str">
        <f>IFERROR(__xludf.DUMMYFUNCTION("GOOGLETRANSLATE(B7705,""id"",""en"")"),"['Knp', 'buy', 'package', '']")</f>
        <v>['Knp', 'buy', 'package', '']</v>
      </c>
      <c r="D7705" s="3">
        <v>1.0</v>
      </c>
    </row>
    <row r="7706" ht="15.75" customHeight="1">
      <c r="A7706" s="1">
        <v>8276.0</v>
      </c>
      <c r="B7706" s="3" t="s">
        <v>7418</v>
      </c>
      <c r="C7706" s="3" t="str">
        <f>IFERROR(__xludf.DUMMYFUNCTION("GOOGLETRANSLATE(B7706,""id"",""en"")"),"['Good', 'help']")</f>
        <v>['Good', 'help']</v>
      </c>
      <c r="D7706" s="3">
        <v>5.0</v>
      </c>
    </row>
    <row r="7707" ht="15.75" customHeight="1">
      <c r="A7707" s="1">
        <v>8277.0</v>
      </c>
      <c r="B7707" s="3" t="s">
        <v>7419</v>
      </c>
      <c r="C7707" s="3" t="str">
        <f>IFERROR(__xludf.DUMMYFUNCTION("GOOGLETRANSLATE(B7707,""id"",""en"")"),"['Fast', 'Conec']")</f>
        <v>['Fast', 'Conec']</v>
      </c>
      <c r="D7707" s="3">
        <v>5.0</v>
      </c>
    </row>
    <row r="7708" ht="15.75" customHeight="1">
      <c r="A7708" s="1">
        <v>8278.0</v>
      </c>
      <c r="B7708" s="3" t="s">
        <v>7420</v>
      </c>
      <c r="C7708" s="3" t="str">
        <f>IFERROR(__xludf.DUMMYFUNCTION("GOOGLETRANSLATE(B7708,""id"",""en"")"),"['The network', 'slow']")</f>
        <v>['The network', 'slow']</v>
      </c>
      <c r="D7708" s="3">
        <v>1.0</v>
      </c>
    </row>
    <row r="7709" ht="15.75" customHeight="1">
      <c r="A7709" s="1">
        <v>8279.0</v>
      </c>
      <c r="B7709" s="3" t="s">
        <v>7421</v>
      </c>
      <c r="C7709" s="3" t="str">
        <f>IFERROR(__xludf.DUMMYFUNCTION("GOOGLETRANSLATE(B7709,""id"",""en"")"),"['', 'cheap', 'pketnya']")</f>
        <v>['', 'cheap', 'pketnya']</v>
      </c>
      <c r="D7709" s="3">
        <v>2.0</v>
      </c>
    </row>
    <row r="7710" ht="15.75" customHeight="1">
      <c r="A7710" s="1">
        <v>8280.0</v>
      </c>
      <c r="B7710" s="3" t="s">
        <v>7422</v>
      </c>
      <c r="C7710" s="3" t="str">
        <f>IFERROR(__xludf.DUMMYFUNCTION("GOOGLETRANSLATE(B7710,""id"",""en"")"),"['Lemot', 'Application']")</f>
        <v>['Lemot', 'Application']</v>
      </c>
      <c r="D7710" s="3">
        <v>3.0</v>
      </c>
    </row>
    <row r="7711" ht="15.75" customHeight="1">
      <c r="A7711" s="1">
        <v>8281.0</v>
      </c>
      <c r="B7711" s="3" t="s">
        <v>1855</v>
      </c>
      <c r="C7711" s="3" t="str">
        <f>IFERROR(__xludf.DUMMYFUNCTION("GOOGLETRANSLATE(B7711,""id"",""en"")"),"['star']")</f>
        <v>['star']</v>
      </c>
      <c r="D7711" s="3">
        <v>5.0</v>
      </c>
    </row>
    <row r="7712" ht="15.75" customHeight="1">
      <c r="A7712" s="1">
        <v>8282.0</v>
      </c>
      <c r="B7712" s="3" t="s">
        <v>7423</v>
      </c>
      <c r="C7712" s="3" t="str">
        <f>IFERROR(__xludf.DUMMYFUNCTION("GOOGLETRANSLATE(B7712,""id"",""en"")"),"['package', 'data', 'expensive', '']")</f>
        <v>['package', 'data', 'expensive', '']</v>
      </c>
      <c r="D7712" s="3">
        <v>1.0</v>
      </c>
    </row>
    <row r="7713" ht="15.75" customHeight="1">
      <c r="A7713" s="1">
        <v>8283.0</v>
      </c>
      <c r="B7713" s="3" t="s">
        <v>7424</v>
      </c>
      <c r="C7713" s="3" t="str">
        <f>IFERROR(__xludf.DUMMYFUNCTION("GOOGLETRANSLATE(B7713,""id"",""en"")"),"['Love', 'Star', 'Boos', 'Perfect', 'Signal', 'Package', 'Data', '']")</f>
        <v>['Love', 'Star', 'Boos', 'Perfect', 'Signal', 'Package', 'Data', '']</v>
      </c>
      <c r="D7713" s="3">
        <v>4.0</v>
      </c>
    </row>
    <row r="7714" ht="15.75" customHeight="1">
      <c r="A7714" s="1">
        <v>8284.0</v>
      </c>
      <c r="B7714" s="3" t="s">
        <v>5793</v>
      </c>
      <c r="C7714" s="3" t="str">
        <f>IFERROR(__xludf.DUMMYFUNCTION("GOOGLETRANSLATE(B7714,""id"",""en"")"),"['Package', 'cheap']")</f>
        <v>['Package', 'cheap']</v>
      </c>
      <c r="D7714" s="3">
        <v>2.0</v>
      </c>
    </row>
    <row r="7715" ht="15.75" customHeight="1">
      <c r="A7715" s="1">
        <v>8285.0</v>
      </c>
      <c r="B7715" s="3" t="s">
        <v>1435</v>
      </c>
      <c r="C7715" s="3" t="str">
        <f>IFERROR(__xludf.DUMMYFUNCTION("GOOGLETRANSLATE(B7715,""id"",""en"")"),"['help', '']")</f>
        <v>['help', '']</v>
      </c>
      <c r="D7715" s="3">
        <v>5.0</v>
      </c>
    </row>
    <row r="7716" ht="15.75" customHeight="1">
      <c r="A7716" s="1">
        <v>8286.0</v>
      </c>
      <c r="B7716" s="3" t="s">
        <v>7425</v>
      </c>
      <c r="C7716" s="3" t="str">
        <f>IFERROR(__xludf.DUMMYFUNCTION("GOOGLETRANSLATE(B7716,""id"",""en"")"),"['Mantab', 'Telkomsel', 'Network', 'Stable', 'Indonesia']")</f>
        <v>['Mantab', 'Telkomsel', 'Network', 'Stable', 'Indonesia']</v>
      </c>
      <c r="D7716" s="3">
        <v>5.0</v>
      </c>
    </row>
    <row r="7717" ht="15.75" customHeight="1">
      <c r="A7717" s="1">
        <v>8287.0</v>
      </c>
      <c r="B7717" s="3" t="s">
        <v>7426</v>
      </c>
      <c r="C7717" s="3" t="str">
        <f>IFERROR(__xludf.DUMMYFUNCTION("GOOGLETRANSLATE(B7717,""id"",""en"")"),"['Telkomsel', 'buy', 'package', 'data', 'package', 'check', 'apply', 'used', 'package', 'package', 'briefly', 'run out', ' Preferably ',' the enactment ',' mah ',' name ',' package ',' spent ',' package ',' validated ',' package ',' validity ',' please ',"&amp;"' Telkomsel ',' fix ' , 'convenience']")</f>
        <v>['Telkomsel', 'buy', 'package', 'data', 'package', 'check', 'apply', 'used', 'package', 'package', 'briefly', 'run out', ' Preferably ',' the enactment ',' mah ',' name ',' package ',' spent ',' package ',' validated ',' package ',' validity ',' please ',' Telkomsel ',' fix ' , 'convenience']</v>
      </c>
      <c r="D7717" s="3">
        <v>1.0</v>
      </c>
    </row>
    <row r="7718" ht="15.75" customHeight="1">
      <c r="A7718" s="1">
        <v>8288.0</v>
      </c>
      <c r="B7718" s="3" t="s">
        <v>7427</v>
      </c>
      <c r="C7718" s="3" t="str">
        <f>IFERROR(__xludf.DUMMYFUNCTION("GOOGLETRANSLATE(B7718,""id"",""en"")"),"['Good', 'buy', 'package']")</f>
        <v>['Good', 'buy', 'package']</v>
      </c>
      <c r="D7718" s="3">
        <v>5.0</v>
      </c>
    </row>
    <row r="7719" ht="15.75" customHeight="1">
      <c r="A7719" s="1">
        <v>8289.0</v>
      </c>
      <c r="B7719" s="3" t="s">
        <v>7428</v>
      </c>
      <c r="C7719" s="3" t="str">
        <f>IFERROR(__xludf.DUMMYFUNCTION("GOOGLETRANSLATE(B7719,""id"",""en"")"),"['Severe', 'I', 'Love', 'Star']")</f>
        <v>['Severe', 'I', 'Love', 'Star']</v>
      </c>
      <c r="D7719" s="3">
        <v>1.0</v>
      </c>
    </row>
    <row r="7720" ht="15.75" customHeight="1">
      <c r="A7720" s="1">
        <v>8290.0</v>
      </c>
      <c r="B7720" s="3" t="s">
        <v>7429</v>
      </c>
      <c r="C7720" s="3" t="str">
        <f>IFERROR(__xludf.DUMMYFUNCTION("GOOGLETRANSLATE(B7720,""id"",""en"")"),"['Young', 'fast']")</f>
        <v>['Young', 'fast']</v>
      </c>
      <c r="D7720" s="3">
        <v>5.0</v>
      </c>
    </row>
    <row r="7721" ht="15.75" customHeight="1">
      <c r="A7721" s="1">
        <v>8291.0</v>
      </c>
      <c r="B7721" s="3" t="s">
        <v>7430</v>
      </c>
      <c r="C7721" s="3" t="str">
        <f>IFERROR(__xludf.DUMMYFUNCTION("GOOGLETRANSLATE(B7721,""id"",""en"")"),"['Network', 'Daille', 'already', 'rich', 'please', 'fix', 'network', 'slow', 'network', 'slow', 'speed', 'kbps',' Kbps', '']")</f>
        <v>['Network', 'Daille', 'already', 'rich', 'please', 'fix', 'network', 'slow', 'network', 'slow', 'speed', 'kbps',' Kbps', '']</v>
      </c>
      <c r="D7721" s="3">
        <v>1.0</v>
      </c>
    </row>
    <row r="7722" ht="15.75" customHeight="1">
      <c r="A7722" s="1">
        <v>8292.0</v>
      </c>
      <c r="B7722" s="3" t="s">
        <v>7431</v>
      </c>
      <c r="C7722" s="3" t="str">
        <f>IFERROR(__xludf.DUMMYFUNCTION("GOOGLETRANSLATE(B7722,""id"",""en"")"),"['', 'region', 'village', 'Bali', 'signal', 'disappointing', 'pdhal', 'contents',' pulses', 'Rb', 'service', 'signal', 'disturbing ',' bahka ',' open ',' application ',' Telkomsel ',' need ',' signal ',' how ',' try ',' please ',' monitor ',' signal ',' a"&amp;"rea ', 'Kampung', 'Bali', 'Disappointed', 'See', 'Quality', 'Sendri', '']")</f>
        <v>['', 'region', 'village', 'Bali', 'signal', 'disappointing', 'pdhal', 'contents',' pulses', 'Rb', 'service', 'signal', 'disturbing ',' bahka ',' open ',' application ',' Telkomsel ',' need ',' signal ',' how ',' try ',' please ',' monitor ',' signal ',' area ', 'Kampung', 'Bali', 'Disappointed', 'See', 'Quality', 'Sendri', '']</v>
      </c>
      <c r="D7722" s="3">
        <v>1.0</v>
      </c>
    </row>
    <row r="7723" ht="15.75" customHeight="1">
      <c r="A7723" s="1">
        <v>8293.0</v>
      </c>
      <c r="B7723" s="3" t="s">
        <v>7432</v>
      </c>
      <c r="C7723" s="3" t="str">
        <f>IFERROR(__xludf.DUMMYFUNCTION("GOOGLETRANSLATE(B7723,""id"",""en"")"),"['Satisfying', 'Come', 'Forward', 'Telkomsel', 'Success']")</f>
        <v>['Satisfying', 'Come', 'Forward', 'Telkomsel', 'Success']</v>
      </c>
      <c r="D7723" s="3">
        <v>5.0</v>
      </c>
    </row>
    <row r="7724" ht="15.75" customHeight="1">
      <c r="A7724" s="1">
        <v>8294.0</v>
      </c>
      <c r="B7724" s="3" t="s">
        <v>7433</v>
      </c>
      <c r="C7724" s="3" t="str">
        <f>IFERROR(__xludf.DUMMYFUNCTION("GOOGLETRANSLATE(B7724,""id"",""en"")"),"['Easy', 'buy', 'quota']")</f>
        <v>['Easy', 'buy', 'quota']</v>
      </c>
      <c r="D7724" s="3">
        <v>5.0</v>
      </c>
    </row>
    <row r="7725" ht="15.75" customHeight="1">
      <c r="A7725" s="1">
        <v>8295.0</v>
      </c>
      <c r="B7725" s="3" t="s">
        <v>7434</v>
      </c>
      <c r="C7725" s="3" t="str">
        <f>IFERROR(__xludf.DUMMYFUNCTION("GOOGLETRANSLATE(B7725,""id"",""en"")"),"['Ngeleg', 'ngeleg', 'Network', 'Telkomsel', 'MCM', 'a little', 'play', 'ngelag']")</f>
        <v>['Ngeleg', 'ngeleg', 'Network', 'Telkomsel', 'MCM', 'a little', 'play', 'ngelag']</v>
      </c>
      <c r="D7725" s="3">
        <v>1.0</v>
      </c>
    </row>
    <row r="7726" ht="15.75" customHeight="1">
      <c r="A7726" s="1">
        <v>8297.0</v>
      </c>
      <c r="B7726" s="3" t="s">
        <v>7435</v>
      </c>
      <c r="C7726" s="3" t="str">
        <f>IFERROR(__xludf.DUMMYFUNCTION("GOOGLETRANSLATE(B7726,""id"",""en"")"),"['like', 'Telkomsel', 'Yesterday', 'Fill', 'Credit', 'Stay', 'People', 'Repeated', 'Times',' Hamdeh ',' Telkomsel ',' Please ',' Repaired ',' ']")</f>
        <v>['like', 'Telkomsel', 'Yesterday', 'Fill', 'Credit', 'Stay', 'People', 'Repeated', 'Times',' Hamdeh ',' Telkomsel ',' Please ',' Repaired ',' ']</v>
      </c>
      <c r="D7726" s="3">
        <v>1.0</v>
      </c>
    </row>
    <row r="7727" ht="15.75" customHeight="1">
      <c r="A7727" s="1">
        <v>8298.0</v>
      </c>
      <c r="B7727" s="3" t="s">
        <v>7436</v>
      </c>
      <c r="C7727" s="3" t="str">
        <f>IFERROR(__xludf.DUMMYFUNCTION("GOOGLETRANSLATE(B7727,""id"",""en"")"),"['Not bad', 'network', 'like', 'access', 'quota', 'network']")</f>
        <v>['Not bad', 'network', 'like', 'access', 'quota', 'network']</v>
      </c>
      <c r="D7727" s="3">
        <v>4.0</v>
      </c>
    </row>
    <row r="7728" ht="15.75" customHeight="1">
      <c r="A7728" s="1">
        <v>8299.0</v>
      </c>
      <c r="B7728" s="3" t="s">
        <v>7437</v>
      </c>
      <c r="C7728" s="3" t="str">
        <f>IFERROR(__xludf.DUMMYFUNCTION("GOOGLETRANSLATE(B7728,""id"",""en"")"),"['buy', 'package', 'orbit', 'failed', 'disorder', 'system']")</f>
        <v>['buy', 'package', 'orbit', 'failed', 'disorder', 'system']</v>
      </c>
      <c r="D7728" s="3">
        <v>1.0</v>
      </c>
    </row>
    <row r="7729" ht="15.75" customHeight="1">
      <c r="A7729" s="1">
        <v>8300.0</v>
      </c>
      <c r="B7729" s="3" t="s">
        <v>7438</v>
      </c>
      <c r="C7729" s="3" t="str">
        <f>IFERROR(__xludf.DUMMYFUNCTION("GOOGLETRANSLATE(B7729,""id"",""en"")"),"['Good', 'Help']")</f>
        <v>['Good', 'Help']</v>
      </c>
      <c r="D7729" s="3">
        <v>5.0</v>
      </c>
    </row>
    <row r="7730" ht="15.75" customHeight="1">
      <c r="A7730" s="1">
        <v>8302.0</v>
      </c>
      <c r="B7730" s="3" t="s">
        <v>7439</v>
      </c>
      <c r="C7730" s="3" t="str">
        <f>IFERROR(__xludf.DUMMYFUNCTION("GOOGLETRANSLATE(B7730,""id"",""en"")"),"['oath', 'Telkomsel', 'network', 'bar', 'speed', 'connection', 'slow', 'really', 'please', 'solusiny', 'contact', 'no', ' Visit ',' Bener ']")</f>
        <v>['oath', 'Telkomsel', 'network', 'bar', 'speed', 'connection', 'slow', 'really', 'please', 'solusiny', 'contact', 'no', ' Visit ',' Bener ']</v>
      </c>
      <c r="D7730" s="3">
        <v>1.0</v>
      </c>
    </row>
    <row r="7731" ht="15.75" customHeight="1">
      <c r="A7731" s="1">
        <v>8303.0</v>
      </c>
      <c r="B7731" s="3" t="s">
        <v>7440</v>
      </c>
      <c r="C7731" s="3" t="str">
        <f>IFERROR(__xludf.DUMMYFUNCTION("GOOGLETRANSLATE(B7731,""id"",""en"")"),"['sippp', 'help', 'users', 'Telkomsel']")</f>
        <v>['sippp', 'help', 'users', 'Telkomsel']</v>
      </c>
      <c r="D7731" s="3">
        <v>5.0</v>
      </c>
    </row>
    <row r="7732" ht="15.75" customHeight="1">
      <c r="A7732" s="1">
        <v>8304.0</v>
      </c>
      <c r="B7732" s="3" t="s">
        <v>7441</v>
      </c>
      <c r="C7732" s="3" t="str">
        <f>IFERROR(__xludf.DUMMYFUNCTION("GOOGLETRANSLATE(B7732,""id"",""en"")"),"['My APK', 'good', 'help', ""]")</f>
        <v>['My APK', 'good', 'help', "]</v>
      </c>
      <c r="D7732" s="3">
        <v>5.0</v>
      </c>
    </row>
    <row r="7733" ht="15.75" customHeight="1">
      <c r="A7733" s="1">
        <v>8305.0</v>
      </c>
      <c r="B7733" s="3" t="s">
        <v>7442</v>
      </c>
      <c r="C7733" s="3" t="str">
        <f>IFERROR(__xludf.DUMMYFUNCTION("GOOGLETRANSLATE(B7733,""id"",""en"")"),"['Want', 'send', 'gift', 'application', 'method', 'payment', 'use', 'pulse', 'it's wrong', 'add', 'method', 'pay', ' Use ',' pulse ',' ']")</f>
        <v>['Want', 'send', 'gift', 'application', 'method', 'payment', 'use', 'pulse', 'it's wrong', 'add', 'method', 'pay', ' Use ',' pulse ',' ']</v>
      </c>
      <c r="D7733" s="3">
        <v>3.0</v>
      </c>
    </row>
    <row r="7734" ht="15.75" customHeight="1">
      <c r="A7734" s="1">
        <v>8306.0</v>
      </c>
      <c r="B7734" s="3" t="s">
        <v>7443</v>
      </c>
      <c r="C7734" s="3" t="str">
        <f>IFERROR(__xludf.DUMMYFUNCTION("GOOGLETRANSLATE(B7734,""id"",""en"")"),"['easy', 'use', 'APK']")</f>
        <v>['easy', 'use', 'APK']</v>
      </c>
      <c r="D7734" s="3">
        <v>5.0</v>
      </c>
    </row>
    <row r="7735" ht="15.75" customHeight="1">
      <c r="A7735" s="1">
        <v>8307.0</v>
      </c>
      <c r="B7735" s="3" t="s">
        <v>7444</v>
      </c>
      <c r="C7735" s="3" t="str">
        <f>IFERROR(__xludf.DUMMYFUNCTION("GOOGLETRANSLATE(B7735,""id"",""en"")"),"['try']")</f>
        <v>['try']</v>
      </c>
      <c r="D7735" s="3">
        <v>3.0</v>
      </c>
    </row>
    <row r="7736" ht="15.75" customHeight="1">
      <c r="A7736" s="1">
        <v>8308.0</v>
      </c>
      <c r="B7736" s="3" t="s">
        <v>7445</v>
      </c>
      <c r="C7736" s="3" t="str">
        <f>IFERROR(__xludf.DUMMYFUNCTION("GOOGLETRANSLATE(B7736,""id"",""en"")"),"['Application', 'DPT', 'Opened', '']")</f>
        <v>['Application', 'DPT', 'Opened', '']</v>
      </c>
      <c r="D7736" s="3">
        <v>2.0</v>
      </c>
    </row>
    <row r="7737" ht="15.75" customHeight="1">
      <c r="A7737" s="1">
        <v>8310.0</v>
      </c>
      <c r="B7737" s="3" t="s">
        <v>7446</v>
      </c>
      <c r="C7737" s="3" t="str">
        <f>IFERROR(__xludf.DUMMYFUNCTION("GOOGLETRANSLATE(B7737,""id"",""en"")"),"['activation', 'package', 'fast', '']")</f>
        <v>['activation', 'package', 'fast', '']</v>
      </c>
      <c r="D7737" s="3">
        <v>5.0</v>
      </c>
    </row>
    <row r="7738" ht="15.75" customHeight="1">
      <c r="A7738" s="1">
        <v>8311.0</v>
      </c>
      <c r="B7738" s="3" t="s">
        <v>7447</v>
      </c>
      <c r="C7738" s="3" t="str">
        <f>IFERROR(__xludf.DUMMYFUNCTION("GOOGLETRANSLATE(B7738,""id"",""en"")"),"['Knp', 'sekrang', 'strength', 'signal', 'down', 'hit', 'play', 'game', 'ping', 'disappointed', 'cave', 'telkom', ' good ',' play ',' game ',' signal ',' smooth ',' fast ',' meek ',' obstacle ',' difficult ',' lose ',' provider ',' next door ',' please ' "&amp;", 'Benerin', 'Sinynya']")</f>
        <v>['Knp', 'sekrang', 'strength', 'signal', 'down', 'hit', 'play', 'game', 'ping', 'disappointed', 'cave', 'telkom', ' good ',' play ',' game ',' signal ',' smooth ',' fast ',' meek ',' obstacle ',' difficult ',' lose ',' provider ',' next door ',' please ' , 'Benerin', 'Sinynya']</v>
      </c>
      <c r="D7738" s="3">
        <v>1.0</v>
      </c>
    </row>
    <row r="7739" ht="15.75" customHeight="1">
      <c r="A7739" s="1">
        <v>8312.0</v>
      </c>
      <c r="B7739" s="3" t="s">
        <v>7448</v>
      </c>
      <c r="C7739" s="3" t="str">
        <f>IFERROR(__xludf.DUMMYFUNCTION("GOOGLETRANSLATE(B7739,""id"",""en"")"),"['Telkomsel', 'Klop', 'Record', 'KTP', 'Turn', 'Photo', 'Selfi', 'Telkomsel', 'intention', 'Telkomsel', 'Klop']")</f>
        <v>['Telkomsel', 'Klop', 'Record', 'KTP', 'Turn', 'Photo', 'Selfi', 'Telkomsel', 'intention', 'Telkomsel', 'Klop']</v>
      </c>
      <c r="D7739" s="3">
        <v>1.0</v>
      </c>
    </row>
    <row r="7740" ht="15.75" customHeight="1">
      <c r="A7740" s="1">
        <v>8313.0</v>
      </c>
      <c r="B7740" s="3" t="s">
        <v>7449</v>
      </c>
      <c r="C7740" s="3" t="str">
        <f>IFERROR(__xludf.DUMMYFUNCTION("GOOGLETRANSLATE(B7740,""id"",""en"")"),"['Glad', 'MyTelkomsel', '']")</f>
        <v>['Glad', 'MyTelkomsel', '']</v>
      </c>
      <c r="D7740" s="3">
        <v>5.0</v>
      </c>
    </row>
    <row r="7741" ht="15.75" customHeight="1">
      <c r="A7741" s="1">
        <v>8314.0</v>
      </c>
      <c r="B7741" s="3" t="s">
        <v>7450</v>
      </c>
      <c r="C7741" s="3" t="str">
        <f>IFERROR(__xludf.DUMMYFUNCTION("GOOGLETRANSLATE(B7741,""id"",""en"")"),"['fill in', 'quota', 'use', 'link', 'enter', 'right', 'slow', '']")</f>
        <v>['fill in', 'quota', 'use', 'link', 'enter', 'right', 'slow', '']</v>
      </c>
      <c r="D7741" s="3">
        <v>1.0</v>
      </c>
    </row>
    <row r="7742" ht="15.75" customHeight="1">
      <c r="A7742" s="1">
        <v>8315.0</v>
      </c>
      <c r="B7742" s="3" t="s">
        <v>7451</v>
      </c>
      <c r="C7742" s="3" t="str">
        <f>IFERROR(__xludf.DUMMYFUNCTION("GOOGLETRANSLATE(B7742,""id"",""en"")"),"['Cheap', 'package', 'hhe']")</f>
        <v>['Cheap', 'package', 'hhe']</v>
      </c>
      <c r="D7742" s="3">
        <v>5.0</v>
      </c>
    </row>
    <row r="7743" ht="15.75" customHeight="1">
      <c r="A7743" s="1">
        <v>8316.0</v>
      </c>
      <c r="B7743" s="3" t="s">
        <v>7452</v>
      </c>
      <c r="C7743" s="3" t="str">
        <f>IFERROR(__xludf.DUMMYFUNCTION("GOOGLETRANSLATE(B7743,""id"",""en"")"),"['steady', 'increase', 'smga', 'success', 'healthy', 'sllu', 'staff', 'employees', 'Telkomsel', 'thank', 'love']")</f>
        <v>['steady', 'increase', 'smga', 'success', 'healthy', 'sllu', 'staff', 'employees', 'Telkomsel', 'thank', 'love']</v>
      </c>
      <c r="D7743" s="3">
        <v>5.0</v>
      </c>
    </row>
    <row r="7744" ht="15.75" customHeight="1">
      <c r="A7744" s="1">
        <v>8317.0</v>
      </c>
      <c r="B7744" s="3" t="s">
        <v>7453</v>
      </c>
      <c r="C7744" s="3" t="str">
        <f>IFERROR(__xludf.DUMMYFUNCTION("GOOGLETRANSLATE(B7744,""id"",""en"")"),"['Open', 'application', '']")</f>
        <v>['Open', 'application', '']</v>
      </c>
      <c r="D7744" s="3">
        <v>3.0</v>
      </c>
    </row>
    <row r="7745" ht="15.75" customHeight="1">
      <c r="A7745" s="1">
        <v>8318.0</v>
      </c>
      <c r="B7745" s="3" t="s">
        <v>7454</v>
      </c>
      <c r="C7745" s="3" t="str">
        <f>IFERROR(__xludf.DUMMYFUNCTION("GOOGLETRANSLATE(B7745,""id"",""en"")"),"['helped']")</f>
        <v>['helped']</v>
      </c>
      <c r="D7745" s="3">
        <v>5.0</v>
      </c>
    </row>
    <row r="7746" ht="15.75" customHeight="1">
      <c r="A7746" s="1">
        <v>8319.0</v>
      </c>
      <c r="B7746" s="3" t="s">
        <v>7455</v>
      </c>
      <c r="C7746" s="3" t="str">
        <f>IFERROR(__xludf.DUMMYFUNCTION("GOOGLETRANSLATE(B7746,""id"",""en"")"),"['Mantap', 'Mahallll']")</f>
        <v>['Mantap', 'Mahallll']</v>
      </c>
      <c r="D7746" s="3">
        <v>4.0</v>
      </c>
    </row>
    <row r="7747" ht="15.75" customHeight="1">
      <c r="A7747" s="1">
        <v>8320.0</v>
      </c>
      <c r="B7747" s="3" t="s">
        <v>7456</v>
      </c>
      <c r="C7747" s="3" t="str">
        <f>IFERROR(__xludf.DUMMYFUNCTION("GOOGLETRANSLATE(B7747,""id"",""en"")"),"['Telkomsel', 'damn', 'quota', 'price', 'expensive', 'signal', 'jakarta', 'ajah', 'really', 'loading']")</f>
        <v>['Telkomsel', 'damn', 'quota', 'price', 'expensive', 'signal', 'jakarta', 'ajah', 'really', 'loading']</v>
      </c>
      <c r="D7747" s="3">
        <v>1.0</v>
      </c>
    </row>
    <row r="7748" ht="15.75" customHeight="1">
      <c r="A7748" s="1">
        <v>8321.0</v>
      </c>
      <c r="B7748" s="3" t="s">
        <v>7457</v>
      </c>
      <c r="C7748" s="3" t="str">
        <f>IFERROR(__xludf.DUMMYFUNCTION("GOOGLETRANSLATE(B7748,""id"",""en"")"),"['Disappointed', 'Telkomsel', 'Price', 'Expensive', 'Having', 'Network', 'Strong', 'Main', 'Game', 'Kapada', 'Telkomsel', 'fix', ' Stabilize ',' Network ',' Thank ',' Love ']")</f>
        <v>['Disappointed', 'Telkomsel', 'Price', 'Expensive', 'Having', 'Network', 'Strong', 'Main', 'Game', 'Kapada', 'Telkomsel', 'fix', ' Stabilize ',' Network ',' Thank ',' Love ']</v>
      </c>
      <c r="D7748" s="3">
        <v>2.0</v>
      </c>
    </row>
    <row r="7749" ht="15.75" customHeight="1">
      <c r="A7749" s="1">
        <v>8322.0</v>
      </c>
      <c r="B7749" s="3" t="s">
        <v>7458</v>
      </c>
      <c r="C7749" s="3" t="str">
        <f>IFERROR(__xludf.DUMMYFUNCTION("GOOGLETRANSLATE(B7749,""id"",""en"")"),"['Increases', 'Choice', 'Paketan', 'Monthly', '']")</f>
        <v>['Increases', 'Choice', 'Paketan', 'Monthly', '']</v>
      </c>
      <c r="D7749" s="3">
        <v>5.0</v>
      </c>
    </row>
    <row r="7750" ht="15.75" customHeight="1">
      <c r="A7750" s="1">
        <v>8323.0</v>
      </c>
      <c r="B7750" s="3" t="s">
        <v>7459</v>
      </c>
      <c r="C7750" s="3" t="str">
        <f>IFERROR(__xludf.DUMMYFUNCTION("GOOGLETRANSLATE(B7750,""id"",""en"")"),"['Hnya', 'check', 'pulse', 'message', 'package', 'internet', 'NLP', 'etc.', 'manual', '']")</f>
        <v>['Hnya', 'check', 'pulse', 'message', 'package', 'internet', 'NLP', 'etc.', 'manual', '']</v>
      </c>
      <c r="D7750" s="3">
        <v>1.0</v>
      </c>
    </row>
    <row r="7751" ht="15.75" customHeight="1">
      <c r="A7751" s="1">
        <v>8324.0</v>
      </c>
      <c r="B7751" s="3" t="s">
        <v>7460</v>
      </c>
      <c r="C7751" s="3" t="str">
        <f>IFERROR(__xludf.DUMMYFUNCTION("GOOGLETRANSLATE(B7751,""id"",""en"")"),"['Telkomsel', 'mantaf', 'signal', 'good', 'package', 'easy', 'pretty', 'cheap', 'thank', 'love', 'Telkomsel', 'hope', ' success']")</f>
        <v>['Telkomsel', 'mantaf', 'signal', 'good', 'package', 'easy', 'pretty', 'cheap', 'thank', 'love', 'Telkomsel', 'hope', ' success']</v>
      </c>
      <c r="D7751" s="3">
        <v>5.0</v>
      </c>
    </row>
    <row r="7752" ht="15.75" customHeight="1">
      <c r="A7752" s="1">
        <v>8325.0</v>
      </c>
      <c r="B7752" s="3" t="s">
        <v>7461</v>
      </c>
      <c r="C7752" s="3" t="str">
        <f>IFERROR(__xludf.DUMMYFUNCTION("GOOGLETRANSLATE(B7752,""id"",""en"")"),"['Telkomsel', 'network', 'severe', 'internet', 'bad', 'internet', 'good', 'network', 'kenceng', 'walaupum', 'expensive', 'buy', ' The quota is', 'according to', 'toned', 'toned', 'skarang', 'have', 'slow', 'already', 'moved', 'network', 'bye', 'Telkomsel'"&amp;", '']")</f>
        <v>['Telkomsel', 'network', 'severe', 'internet', 'bad', 'internet', 'good', 'network', 'kenceng', 'walaupum', 'expensive', 'buy', ' The quota is', 'according to', 'toned', 'toned', 'skarang', 'have', 'slow', 'already', 'moved', 'network', 'bye', 'Telkomsel', '']</v>
      </c>
      <c r="D7752" s="3">
        <v>1.0</v>
      </c>
    </row>
    <row r="7753" ht="15.75" customHeight="1">
      <c r="A7753" s="1">
        <v>8326.0</v>
      </c>
      <c r="B7753" s="3" t="s">
        <v>7462</v>
      </c>
      <c r="C7753" s="3" t="str">
        <f>IFERROR(__xludf.DUMMYFUNCTION("GOOGLETRANSLATE(B7753,""id"",""en"")"),"['singally', 'ugly', 'NOT', 'Benerin', 'Biarin']")</f>
        <v>['singally', 'ugly', 'NOT', 'Benerin', 'Biarin']</v>
      </c>
      <c r="D7753" s="3">
        <v>1.0</v>
      </c>
    </row>
    <row r="7754" ht="15.75" customHeight="1">
      <c r="A7754" s="1">
        <v>8327.0</v>
      </c>
      <c r="B7754" s="3" t="s">
        <v>7463</v>
      </c>
      <c r="C7754" s="3" t="str">
        <f>IFERROR(__xludf.DUMMYFUNCTION("GOOGLETRANSLATE(B7754,""id"",""en"")"),"['Sis',' quota ',' get ',' quota ',' Ministry of Education and Culture ',' quota ',' taken ',' quota ',' buy ',' quota ',' take-up ',' quota ',' The Ministry of Education and Culture ',' Already ',' Talking ',' Veronika ',' Useful ',' ']")</f>
        <v>['Sis',' quota ',' get ',' quota ',' Ministry of Education and Culture ',' quota ',' taken ',' quota ',' buy ',' quota ',' take-up ',' quota ',' The Ministry of Education and Culture ',' Already ',' Talking ',' Veronika ',' Useful ',' ']</v>
      </c>
      <c r="D7754" s="3">
        <v>1.0</v>
      </c>
    </row>
    <row r="7755" ht="15.75" customHeight="1">
      <c r="A7755" s="1">
        <v>8328.0</v>
      </c>
      <c r="B7755" s="3" t="s">
        <v>7464</v>
      </c>
      <c r="C7755" s="3" t="str">
        <f>IFERROR(__xludf.DUMMYFUNCTION("GOOGLETRANSLATE(B7755,""id"",""en"")"),"['second', 'Telkomsel', 'Perubhn', 'Dri', 'Telkom', 'Fix', 'JLS', 'Disappointing', 'Customer', 'Tired', 'Mkai', 'Network', ' cheap ',' network ',' really ',' mntap ',' basically ']")</f>
        <v>['second', 'Telkomsel', 'Perubhn', 'Dri', 'Telkom', 'Fix', 'JLS', 'Disappointing', 'Customer', 'Tired', 'Mkai', 'Network', ' cheap ',' network ',' really ',' mntap ',' basically ']</v>
      </c>
      <c r="D7755" s="3">
        <v>1.0</v>
      </c>
    </row>
    <row r="7756" ht="15.75" customHeight="1">
      <c r="A7756" s="1">
        <v>8329.0</v>
      </c>
      <c r="B7756" s="3" t="s">
        <v>7465</v>
      </c>
      <c r="C7756" s="3" t="str">
        <f>IFERROR(__xludf.DUMMYFUNCTION("GOOGLETRANSLATE(B7756,""id"",""en"")"),"['Steady', 'NGK', 'Ribet', 'practical', 'promo', 'NGK', 'Customer']")</f>
        <v>['Steady', 'NGK', 'Ribet', 'practical', 'promo', 'NGK', 'Customer']</v>
      </c>
      <c r="D7756" s="3">
        <v>5.0</v>
      </c>
    </row>
    <row r="7757" ht="15.75" customHeight="1">
      <c r="A7757" s="1">
        <v>8330.0</v>
      </c>
      <c r="B7757" s="3" t="s">
        <v>7466</v>
      </c>
      <c r="C7757" s="3" t="str">
        <f>IFERROR(__xludf.DUMMYFUNCTION("GOOGLETRANSLATE(B7757,""id"",""en"")"),"['Open', 'MyTelkomsel', 'skrg', 'slow']")</f>
        <v>['Open', 'MyTelkomsel', 'skrg', 'slow']</v>
      </c>
      <c r="D7757" s="3">
        <v>3.0</v>
      </c>
    </row>
    <row r="7758" ht="15.75" customHeight="1">
      <c r="A7758" s="1">
        <v>8331.0</v>
      </c>
      <c r="B7758" s="3" t="s">
        <v>7467</v>
      </c>
      <c r="C7758" s="3" t="str">
        <f>IFERROR(__xludf.DUMMYFUNCTION("GOOGLETRANSLATE(B7758,""id"",""en"")"),"['Telkomsel', 'buotit']")</f>
        <v>['Telkomsel', 'buotit']</v>
      </c>
      <c r="D7758" s="3">
        <v>5.0</v>
      </c>
    </row>
    <row r="7759" ht="15.75" customHeight="1">
      <c r="A7759" s="1">
        <v>8332.0</v>
      </c>
      <c r="B7759" s="3" t="s">
        <v>7468</v>
      </c>
      <c r="C7759" s="3" t="str">
        <f>IFERROR(__xludf.DUMMYFUNCTION("GOOGLETRANSLATE(B7759,""id"",""en"")"),"['Severe', 'Network', 'Telkomsel', 'OKU', 'South', 'BKA', 'Telkomsel', 'Please', 'Strengthen', 'Network', 'Internet']")</f>
        <v>['Severe', 'Network', 'Telkomsel', 'OKU', 'South', 'BKA', 'Telkomsel', 'Please', 'Strengthen', 'Network', 'Internet']</v>
      </c>
      <c r="D7759" s="3">
        <v>2.0</v>
      </c>
    </row>
    <row r="7760" ht="15.75" customHeight="1">
      <c r="A7760" s="1">
        <v>8333.0</v>
      </c>
      <c r="B7760" s="3" t="s">
        <v>7469</v>
      </c>
      <c r="C7760" s="3" t="str">
        <f>IFERROR(__xludf.DUMMYFUNCTION("GOOGLETRANSLATE(B7760,""id"",""en"")"),"['Meng', 'See', 'Internet']")</f>
        <v>['Meng', 'See', 'Internet']</v>
      </c>
      <c r="D7760" s="3">
        <v>5.0</v>
      </c>
    </row>
    <row r="7761" ht="15.75" customHeight="1">
      <c r="A7761" s="1">
        <v>8334.0</v>
      </c>
      <c r="B7761" s="3" t="s">
        <v>7470</v>
      </c>
      <c r="C7761" s="3" t="str">
        <f>IFERROR(__xludf.DUMMYFUNCTION("GOOGLETRANSLATE(B7761,""id"",""en"")"),"['cave', 'love', 'star', 'kara', 'network', 'rotten', 'already', 'busk', 'nmbah', 'stress',' beg ',' gear ',' network ',' touch ',' ahir ',' kaok ',' ngelek ']")</f>
        <v>['cave', 'love', 'star', 'kara', 'network', 'rotten', 'already', 'busk', 'nmbah', 'stress',' beg ',' gear ',' network ',' touch ',' ahir ',' kaok ',' ngelek ']</v>
      </c>
      <c r="D7761" s="3">
        <v>1.0</v>
      </c>
    </row>
    <row r="7762" ht="15.75" customHeight="1">
      <c r="A7762" s="1">
        <v>8335.0</v>
      </c>
      <c r="B7762" s="3" t="s">
        <v>7471</v>
      </c>
      <c r="C7762" s="3" t="str">
        <f>IFERROR(__xludf.DUMMYFUNCTION("GOOGLETRANSLATE(B7762,""id"",""en"")"),"['Paketan', 'Doang', 'expensive', 'signal', 'ugly', 'expensive']")</f>
        <v>['Paketan', 'Doang', 'expensive', 'signal', 'ugly', 'expensive']</v>
      </c>
      <c r="D7762" s="3">
        <v>5.0</v>
      </c>
    </row>
    <row r="7763" ht="15.75" customHeight="1">
      <c r="A7763" s="1">
        <v>8336.0</v>
      </c>
      <c r="B7763" s="3" t="s">
        <v>7472</v>
      </c>
      <c r="C7763" s="3" t="str">
        <f>IFERROR(__xludf.DUMMYFUNCTION("GOOGLETRANSLATE(B7763,""id"",""en"")"),"['Buy', 'Package', 'Disney', 'FAILURE', 'Help', 'Ribet', 'Very', 'Photo', 'SNI', 'Open', 'SNI']")</f>
        <v>['Buy', 'Package', 'Disney', 'FAILURE', 'Help', 'Ribet', 'Very', 'Photo', 'SNI', 'Open', 'SNI']</v>
      </c>
      <c r="D7763" s="3">
        <v>2.0</v>
      </c>
    </row>
    <row r="7764" ht="15.75" customHeight="1">
      <c r="A7764" s="1">
        <v>8337.0</v>
      </c>
      <c r="B7764" s="3" t="s">
        <v>7473</v>
      </c>
      <c r="C7764" s="3" t="str">
        <f>IFERROR(__xludf.DUMMYFUNCTION("GOOGLETRANSLATE(B7764,""id"",""en"")"),"['Severe', 'promo', 'written', 'can', 'cashback', 'shopee', 'reality', 'date', 'according to', 'requirements', ""]")</f>
        <v>['Severe', 'promo', 'written', 'can', 'cashback', 'shopee', 'reality', 'date', 'according to', 'requirements', "]</v>
      </c>
      <c r="D7764" s="3">
        <v>1.0</v>
      </c>
    </row>
    <row r="7765" ht="15.75" customHeight="1">
      <c r="A7765" s="1">
        <v>8338.0</v>
      </c>
      <c r="B7765" s="3" t="s">
        <v>7474</v>
      </c>
      <c r="C7765" s="3" t="str">
        <f>IFERROR(__xludf.DUMMYFUNCTION("GOOGLETRANSLATE(B7765,""id"",""en"")"),"['see']")</f>
        <v>['see']</v>
      </c>
      <c r="D7765" s="3">
        <v>5.0</v>
      </c>
    </row>
    <row r="7766" ht="15.75" customHeight="1">
      <c r="A7766" s="1">
        <v>8339.0</v>
      </c>
      <c r="B7766" s="3" t="s">
        <v>7475</v>
      </c>
      <c r="C7766" s="3" t="str">
        <f>IFERROR(__xludf.DUMMYFUNCTION("GOOGLETRANSLATE(B7766,""id"",""en"")"),"['Just', 'can', 'TLFN', 'Lift', 'Turn Off', 'Tepak', 'Hello', 'Doang', 'Called', 'Since', 'Move', 'Hello']")</f>
        <v>['Just', 'can', 'TLFN', 'Lift', 'Turn Off', 'Tepak', 'Hello', 'Doang', 'Called', 'Since', 'Move', 'Hello']</v>
      </c>
      <c r="D7766" s="3">
        <v>1.0</v>
      </c>
    </row>
    <row r="7767" ht="15.75" customHeight="1">
      <c r="A7767" s="1">
        <v>8340.0</v>
      </c>
      <c r="B7767" s="3" t="s">
        <v>7476</v>
      </c>
      <c r="C7767" s="3" t="str">
        <f>IFERROR(__xludf.DUMMYFUNCTION("GOOGLETRANSLATE(B7767,""id"",""en"")"),"['woi', 'min', 'right', 'buy', 'package', 'GB', 'make', 'already', 'notif', 'sorry', 'package', 'run out', ' BLM ',' already ',' Notif ',' grousy ',' pulse ',' already ',' kgk ',' yesterday ',' Bener ',' min ',' responsibility ']")</f>
        <v>['woi', 'min', 'right', 'buy', 'package', 'GB', 'make', 'already', 'notif', 'sorry', 'package', 'run out', ' BLM ',' already ',' Notif ',' grousy ',' pulse ',' already ',' kgk ',' yesterday ',' Bener ',' min ',' responsibility ']</v>
      </c>
      <c r="D7767" s="3">
        <v>1.0</v>
      </c>
    </row>
    <row r="7768" ht="15.75" customHeight="1">
      <c r="A7768" s="1">
        <v>8342.0</v>
      </c>
      <c r="B7768" s="3" t="s">
        <v>7477</v>
      </c>
      <c r="C7768" s="3" t="str">
        <f>IFERROR(__xludf.DUMMYFUNCTION("GOOGLETRANSLATE(B7768,""id"",""en"")"),"['Network', 'Telkomsel', 'Sagat', 'Good', 'Current', 'Use', 'SGT', 'Easy', 'Used', 'People', 'Old', 'Child', ' Child ',' Thank you ',' Telkomsel ', ""]")</f>
        <v>['Network', 'Telkomsel', 'Sagat', 'Good', 'Current', 'Use', 'SGT', 'Easy', 'Used', 'People', 'Old', 'Child', ' Child ',' Thank you ',' Telkomsel ', "]</v>
      </c>
      <c r="D7768" s="3">
        <v>5.0</v>
      </c>
    </row>
    <row r="7769" ht="15.75" customHeight="1">
      <c r="A7769" s="1">
        <v>8343.0</v>
      </c>
      <c r="B7769" s="3" t="s">
        <v>7478</v>
      </c>
      <c r="C7769" s="3" t="str">
        <f>IFERROR(__xludf.DUMMYFUNCTION("GOOGLETRANSLATE(B7769,""id"",""en"")"),"['Telkomsel', 'deformed', 'signal', 'pulp', 'price', 'gold']")</f>
        <v>['Telkomsel', 'deformed', 'signal', 'pulp', 'price', 'gold']</v>
      </c>
      <c r="D7769" s="3">
        <v>1.0</v>
      </c>
    </row>
    <row r="7770" ht="15.75" customHeight="1">
      <c r="A7770" s="1">
        <v>8344.0</v>
      </c>
      <c r="B7770" s="3" t="s">
        <v>7479</v>
      </c>
      <c r="C7770" s="3" t="str">
        <f>IFERROR(__xludf.DUMMYFUNCTION("GOOGLETRANSLATE(B7770,""id"",""en"")"),"['Yuk', 'use', 'Telkomsel', 'easy', 'safe', '']")</f>
        <v>['Yuk', 'use', 'Telkomsel', 'easy', 'safe', '']</v>
      </c>
      <c r="D7770" s="3">
        <v>5.0</v>
      </c>
    </row>
    <row r="7771" ht="15.75" customHeight="1">
      <c r="A7771" s="1">
        <v>8345.0</v>
      </c>
      <c r="B7771" s="3" t="s">
        <v>7480</v>
      </c>
      <c r="C7771" s="3" t="str">
        <f>IFERROR(__xludf.DUMMYFUNCTION("GOOGLETRANSLATE(B7771,""id"",""en"")"),"['', 'commitment', 'buy', 'package', 'unlimited', 'youtube', 'right', 'open', 'youtube', 'muter', 'padhal', 'signal', 'strong ']")</f>
        <v>['', 'commitment', 'buy', 'package', 'unlimited', 'youtube', 'right', 'open', 'youtube', 'muter', 'padhal', 'signal', 'strong ']</v>
      </c>
      <c r="D7771" s="3">
        <v>1.0</v>
      </c>
    </row>
    <row r="7772" ht="15.75" customHeight="1">
      <c r="A7772" s="1">
        <v>8346.0</v>
      </c>
      <c r="B7772" s="3" t="s">
        <v>7481</v>
      </c>
      <c r="C7772" s="3" t="str">
        <f>IFERROR(__xludf.DUMMYFUNCTION("GOOGLETRANSLATE(B7772,""id"",""en"")"),"['Severe', 'Telkomsel', 'Purchase', 'Game', 'Ngga', 'Enter', 'Credit', 'Cut']")</f>
        <v>['Severe', 'Telkomsel', 'Purchase', 'Game', 'Ngga', 'Enter', 'Credit', 'Cut']</v>
      </c>
      <c r="D7772" s="3">
        <v>2.0</v>
      </c>
    </row>
    <row r="7773" ht="15.75" customHeight="1">
      <c r="A7773" s="1">
        <v>8347.0</v>
      </c>
      <c r="B7773" s="3" t="s">
        <v>7482</v>
      </c>
      <c r="C7773" s="3" t="str">
        <f>IFERROR(__xludf.DUMMYFUNCTION("GOOGLETRANSLATE(B7773,""id"",""en"")"),"['Region', 'Cirebon', 'Cirebon', 'Bima', 'Sousal', 'Down', 'Signal', 'Best', 'trnyata', 'Main', 'Game', 'Current']")</f>
        <v>['Region', 'Cirebon', 'Cirebon', 'Bima', 'Sousal', 'Down', 'Signal', 'Best', 'trnyata', 'Main', 'Game', 'Current']</v>
      </c>
      <c r="D7773" s="3">
        <v>2.0</v>
      </c>
    </row>
    <row r="7774" ht="15.75" customHeight="1">
      <c r="A7774" s="1">
        <v>8348.0</v>
      </c>
      <c r="B7774" s="3" t="s">
        <v>7483</v>
      </c>
      <c r="C7774" s="3" t="str">
        <f>IFERROR(__xludf.DUMMYFUNCTION("GOOGLETRANSLATE(B7774,""id"",""en"")"),"['Understand', 'Most', 'Service', 'Good', 'Deh']")</f>
        <v>['Understand', 'Most', 'Service', 'Good', 'Deh']</v>
      </c>
      <c r="D7774" s="3">
        <v>4.0</v>
      </c>
    </row>
    <row r="7775" ht="15.75" customHeight="1">
      <c r="A7775" s="1">
        <v>8349.0</v>
      </c>
      <c r="B7775" s="3" t="s">
        <v>7484</v>
      </c>
      <c r="C7775" s="3" t="str">
        <f>IFERROR(__xludf.DUMMYFUNCTION("GOOGLETRANSLATE(B7775,""id"",""en"")"),"['It's easy', 'bransaction']")</f>
        <v>['It's easy', 'bransaction']</v>
      </c>
      <c r="D7775" s="3">
        <v>5.0</v>
      </c>
    </row>
    <row r="7776" ht="15.75" customHeight="1">
      <c r="A7776" s="1">
        <v>8350.0</v>
      </c>
      <c r="B7776" s="3" t="s">
        <v>7485</v>
      </c>
      <c r="C7776" s="3" t="str">
        <f>IFERROR(__xludf.DUMMYFUNCTION("GOOGLETRANSLATE(B7776,""id"",""en"")"),"['convenience', 'buy', 'package', 'data', 'check', '']")</f>
        <v>['convenience', 'buy', 'package', 'data', 'check', '']</v>
      </c>
      <c r="D7776" s="3">
        <v>5.0</v>
      </c>
    </row>
    <row r="7777" ht="15.75" customHeight="1">
      <c r="A7777" s="1">
        <v>8351.0</v>
      </c>
      <c r="B7777" s="3" t="s">
        <v>7486</v>
      </c>
      <c r="C7777" s="3" t="str">
        <f>IFERROR(__xludf.DUMMYFUNCTION("GOOGLETRANSLATE(B7777,""id"",""en"")"),"['Good', 'Provider', 'Good', 'Speed', 'Wusshh']")</f>
        <v>['Good', 'Provider', 'Good', 'Speed', 'Wusshh']</v>
      </c>
      <c r="D7777" s="3">
        <v>5.0</v>
      </c>
    </row>
    <row r="7778" ht="15.75" customHeight="1">
      <c r="A7778" s="1">
        <v>8352.0</v>
      </c>
      <c r="B7778" s="3" t="s">
        <v>7487</v>
      </c>
      <c r="C7778" s="3" t="str">
        <f>IFERROR(__xludf.DUMMYFUNCTION("GOOGLETRANSLATE(B7778,""id"",""en"")"),"['Sis',' Sorry ',' SMS ',' Cuan ',' Telkomsel ',' Buy ',' Quota ',' Learning ',' Balance ',' Linkaja ',' Rb ',' Buy ',' Buy ',' Balance ',' Linkaja ',' Nambah ',' ']")</f>
        <v>['Sis',' Sorry ',' SMS ',' Cuan ',' Telkomsel ',' Buy ',' Quota ',' Learning ',' Balance ',' Linkaja ',' Rb ',' Buy ',' Buy ',' Balance ',' Linkaja ',' Nambah ',' ']</v>
      </c>
      <c r="D7778" s="3">
        <v>3.0</v>
      </c>
    </row>
    <row r="7779" ht="15.75" customHeight="1">
      <c r="A7779" s="1">
        <v>8353.0</v>
      </c>
      <c r="B7779" s="3" t="s">
        <v>7488</v>
      </c>
      <c r="C7779" s="3" t="str">
        <f>IFERROR(__xludf.DUMMYFUNCTION("GOOGLETRANSLATE(B7779,""id"",""en"")"),"['Signal', 'Ngaco']")</f>
        <v>['Signal', 'Ngaco']</v>
      </c>
      <c r="D7779" s="3">
        <v>3.0</v>
      </c>
    </row>
    <row r="7780" ht="15.75" customHeight="1">
      <c r="A7780" s="1">
        <v>8355.0</v>
      </c>
      <c r="B7780" s="3" t="s">
        <v>7489</v>
      </c>
      <c r="C7780" s="3" t="str">
        <f>IFERROR(__xludf.DUMMYFUNCTION("GOOGLETRANSLATE(B7780,""id"",""en"")"),"['Good', 'times', 'APK']")</f>
        <v>['Good', 'times', 'APK']</v>
      </c>
      <c r="D7780" s="3">
        <v>5.0</v>
      </c>
    </row>
    <row r="7781" ht="15.75" customHeight="1">
      <c r="A7781" s="1">
        <v>8357.0</v>
      </c>
      <c r="B7781" s="3" t="s">
        <v>7490</v>
      </c>
      <c r="C7781" s="3" t="str">
        <f>IFERROR(__xludf.DUMMYFUNCTION("GOOGLETRANSLATE(B7781,""id"",""en"")"),"['signal', 'Telkomsel', 'NEMEN', 'FULL', 'NGELEG', 'Forgiveness', ""]")</f>
        <v>['signal', 'Telkomsel', 'NEMEN', 'FULL', 'NGELEG', 'Forgiveness', "]</v>
      </c>
      <c r="D7781" s="3">
        <v>1.0</v>
      </c>
    </row>
    <row r="7782" ht="15.75" customHeight="1">
      <c r="A7782" s="1">
        <v>8358.0</v>
      </c>
      <c r="B7782" s="3" t="s">
        <v>7491</v>
      </c>
      <c r="C7782" s="3" t="str">
        <f>IFERROR(__xludf.DUMMYFUNCTION("GOOGLETRANSLATE(B7782,""id"",""en"")"),"['Package', 'Data', 'MyTelkomsel', 'Different', '']")</f>
        <v>['Package', 'Data', 'MyTelkomsel', 'Different', '']</v>
      </c>
      <c r="D7782" s="3">
        <v>1.0</v>
      </c>
    </row>
    <row r="7783" ht="15.75" customHeight="1">
      <c r="A7783" s="1">
        <v>8359.0</v>
      </c>
      <c r="B7783" s="3" t="s">
        <v>7492</v>
      </c>
      <c r="C7783" s="3" t="str">
        <f>IFERROR(__xludf.DUMMYFUNCTION("GOOGLETRANSLATE(B7783,""id"",""en"")"),"['signal', 'Telkomsel', 'bad', 'expensive', 'price']")</f>
        <v>['signal', 'Telkomsel', 'bad', 'expensive', 'price']</v>
      </c>
      <c r="D7783" s="3">
        <v>1.0</v>
      </c>
    </row>
    <row r="7784" ht="15.75" customHeight="1">
      <c r="A7784" s="1">
        <v>8360.0</v>
      </c>
      <c r="B7784" s="3" t="s">
        <v>7493</v>
      </c>
      <c r="C7784" s="3" t="str">
        <f>IFERROR(__xludf.DUMMYFUNCTION("GOOGLETRANSLATE(B7784,""id"",""en"")"),"['', 'best', 'cheap', 'package', 'data', '']")</f>
        <v>['', 'best', 'cheap', 'package', 'data', '']</v>
      </c>
      <c r="D7784" s="3">
        <v>5.0</v>
      </c>
    </row>
    <row r="7785" ht="15.75" customHeight="1">
      <c r="A7785" s="1">
        <v>8362.0</v>
      </c>
      <c r="B7785" s="3" t="s">
        <v>7494</v>
      </c>
      <c r="C7785" s="3" t="str">
        <f>IFERROR(__xludf.DUMMYFUNCTION("GOOGLETRANSLATE(B7785,""id"",""en"")"),"['The application', 'responsive', 'many', 'times', 'try', 'buy', 'package', 'data', 'visits', 'active', 'repair']")</f>
        <v>['The application', 'responsive', 'many', 'times', 'try', 'buy', 'package', 'data', 'visits', 'active', 'repair']</v>
      </c>
      <c r="D7785" s="3">
        <v>1.0</v>
      </c>
    </row>
    <row r="7786" ht="15.75" customHeight="1">
      <c r="A7786" s="1">
        <v>8363.0</v>
      </c>
      <c r="B7786" s="3" t="s">
        <v>7495</v>
      </c>
      <c r="C7786" s="3" t="str">
        <f>IFERROR(__xludf.DUMMYFUNCTION("GOOGLETRANSLATE(B7786,""id"",""en"")"),"['pulse', 'I', 'reduced', 'sucked', 'activity', 'proof', 'cave', 'screenshot', 'pulse', 'lost', 'already', 'complement', ' His response ',' GPRS ',' number ',' Dipepein ',' Data ',' Severe ',' emang ']")</f>
        <v>['pulse', 'I', 'reduced', 'sucked', 'activity', 'proof', 'cave', 'screenshot', 'pulse', 'lost', 'already', 'complement', ' His response ',' GPRS ',' number ',' Dipepein ',' Data ',' Severe ',' emang ']</v>
      </c>
      <c r="D7786" s="3">
        <v>1.0</v>
      </c>
    </row>
    <row r="7787" ht="15.75" customHeight="1">
      <c r="A7787" s="1">
        <v>8364.0</v>
      </c>
      <c r="B7787" s="3" t="s">
        <v>7496</v>
      </c>
      <c r="C7787" s="3" t="str">
        <f>IFERROR(__xludf.DUMMYFUNCTION("GOOGLETRANSLATE(B7787,""id"",""en"")"),"['Love', 'cave', 'data', 'free']")</f>
        <v>['Love', 'cave', 'data', 'free']</v>
      </c>
      <c r="D7787" s="3">
        <v>5.0</v>
      </c>
    </row>
    <row r="7788" ht="15.75" customHeight="1">
      <c r="A7788" s="1">
        <v>8366.0</v>
      </c>
      <c r="B7788" s="3" t="s">
        <v>7497</v>
      </c>
      <c r="C7788" s="3" t="str">
        <f>IFERROR(__xludf.DUMMYFUNCTION("GOOGLETRANSLATE(B7788,""id"",""en"")"),"['Fast', 'Affordable', 'Dihati', 'Telkomsel', '']")</f>
        <v>['Fast', 'Affordable', 'Dihati', 'Telkomsel', '']</v>
      </c>
      <c r="D7788" s="3">
        <v>5.0</v>
      </c>
    </row>
    <row r="7789" ht="15.75" customHeight="1">
      <c r="A7789" s="1">
        <v>8367.0</v>
      </c>
      <c r="B7789" s="3" t="s">
        <v>7498</v>
      </c>
      <c r="C7789" s="3" t="str">
        <f>IFERROR(__xludf.DUMMYFUNCTION("GOOGLETRANSLATE(B7789,""id"",""en"")"),"['The network', 'Goblokkk', 'Gausa', 'Telkom', 'Ryesel', 'Guaa', 'already', 'quota', 'expensive']")</f>
        <v>['The network', 'Goblokkk', 'Gausa', 'Telkom', 'Ryesel', 'Guaa', 'already', 'quota', 'expensive']</v>
      </c>
      <c r="D7789" s="3">
        <v>1.0</v>
      </c>
    </row>
    <row r="7790" ht="15.75" customHeight="1">
      <c r="A7790" s="1">
        <v>8368.0</v>
      </c>
      <c r="B7790" s="3" t="s">
        <v>3983</v>
      </c>
      <c r="C7790" s="3" t="str">
        <f>IFERROR(__xludf.DUMMYFUNCTION("GOOGLETRANSLATE(B7790,""id"",""en"")"),"['try', '']")</f>
        <v>['try', '']</v>
      </c>
      <c r="D7790" s="3">
        <v>4.0</v>
      </c>
    </row>
    <row r="7791" ht="15.75" customHeight="1">
      <c r="A7791" s="1">
        <v>8369.0</v>
      </c>
      <c r="B7791" s="3" t="s">
        <v>7499</v>
      </c>
      <c r="C7791" s="3" t="str">
        <f>IFERROR(__xludf.DUMMYFUNCTION("GOOGLETRANSLATE(B7791,""id"",""en"")"),"['steady', 'Anyway', 'Hopefully', 'Leading', 'Easy', 'Hopefully', 'Great', 'Bonus', 'Bonus', 'Interesting', 'Telkomsel', ""]")</f>
        <v>['steady', 'Anyway', 'Hopefully', 'Leading', 'Easy', 'Hopefully', 'Great', 'Bonus', 'Bonus', 'Interesting', 'Telkomsel', "]</v>
      </c>
      <c r="D7791" s="3">
        <v>5.0</v>
      </c>
    </row>
    <row r="7792" ht="15.75" customHeight="1">
      <c r="A7792" s="1">
        <v>8370.0</v>
      </c>
      <c r="B7792" s="3" t="s">
        <v>7500</v>
      </c>
      <c r="C7792" s="3" t="str">
        <f>IFERROR(__xludf.DUMMYFUNCTION("GOOGLETRANSLATE(B7792,""id"",""en"")"),"['application', 'missing', 'download', 'reset', 'open', '']")</f>
        <v>['application', 'missing', 'download', 'reset', 'open', '']</v>
      </c>
      <c r="D7792" s="3">
        <v>5.0</v>
      </c>
    </row>
    <row r="7793" ht="15.75" customHeight="1">
      <c r="A7793" s="1">
        <v>8371.0</v>
      </c>
      <c r="B7793" s="3" t="s">
        <v>7501</v>
      </c>
      <c r="C7793" s="3" t="str">
        <f>IFERROR(__xludf.DUMMYFUNCTION("GOOGLETRANSLATE(B7793,""id"",""en"")"),"['interesting', 'features', 'Features', 'Come', 'Telkomsel', 'innovate']")</f>
        <v>['interesting', 'features', 'Features', 'Come', 'Telkomsel', 'innovate']</v>
      </c>
      <c r="D7793" s="3">
        <v>5.0</v>
      </c>
    </row>
    <row r="7794" ht="15.75" customHeight="1">
      <c r="A7794" s="1">
        <v>8372.0</v>
      </c>
      <c r="B7794" s="3" t="s">
        <v>7502</v>
      </c>
      <c r="C7794" s="3" t="str">
        <f>IFERROR(__xludf.DUMMYFUNCTION("GOOGLETRANSLATE(B7794,""id"",""en"")"),"['Price', 'Affordable']")</f>
        <v>['Price', 'Affordable']</v>
      </c>
      <c r="D7794" s="3">
        <v>3.0</v>
      </c>
    </row>
    <row r="7795" ht="15.75" customHeight="1">
      <c r="A7795" s="1">
        <v>8373.0</v>
      </c>
      <c r="B7795" s="3" t="s">
        <v>7503</v>
      </c>
      <c r="C7795" s="3" t="str">
        <f>IFERROR(__xludf.DUMMYFUNCTION("GOOGLETRANSLATE(B7795,""id"",""en"")"),"['signal', 'kek', 'ajg']")</f>
        <v>['signal', 'kek', 'ajg']</v>
      </c>
      <c r="D7795" s="3">
        <v>1.0</v>
      </c>
    </row>
    <row r="7796" ht="15.75" customHeight="1">
      <c r="A7796" s="1">
        <v>8375.0</v>
      </c>
      <c r="B7796" s="3" t="s">
        <v>7504</v>
      </c>
      <c r="C7796" s="3" t="str">
        <f>IFERROR(__xludf.DUMMYFUNCTION("GOOGLETRANSLATE(B7796,""id"",""en"")"),"['Disappointed', 'Application', 'Telkomsel', 'BBRP', 'Week', 'Buy', 'Quota', 'Internet', 'Posts', 'Try', ""]")</f>
        <v>['Disappointed', 'Application', 'Telkomsel', 'BBRP', 'Week', 'Buy', 'Quota', 'Internet', 'Posts', 'Try', "]</v>
      </c>
      <c r="D7796" s="3">
        <v>2.0</v>
      </c>
    </row>
    <row r="7797" ht="15.75" customHeight="1">
      <c r="A7797" s="1">
        <v>8376.0</v>
      </c>
      <c r="B7797" s="3" t="s">
        <v>7505</v>
      </c>
      <c r="C7797" s="3" t="str">
        <f>IFERROR(__xludf.DUMMYFUNCTION("GOOGLETRANSLATE(B7797,""id"",""en"")"),"['Bagussss']")</f>
        <v>['Bagussss']</v>
      </c>
      <c r="D7797" s="3">
        <v>4.0</v>
      </c>
    </row>
    <row r="7798" ht="15.75" customHeight="1">
      <c r="A7798" s="1">
        <v>8377.0</v>
      </c>
      <c r="B7798" s="3" t="s">
        <v>7506</v>
      </c>
      <c r="C7798" s="3" t="str">
        <f>IFERROR(__xludf.DUMMYFUNCTION("GOOGLETRANSLATE(B7798,""id"",""en"")"),"['hope', 'Telkomsel', 'love', 'package', 'data', 'cheap', 'populat', 'user', 'disappointed']")</f>
        <v>['hope', 'Telkomsel', 'love', 'package', 'data', 'cheap', 'populat', 'user', 'disappointed']</v>
      </c>
      <c r="D7798" s="3">
        <v>4.0</v>
      </c>
    </row>
    <row r="7799" ht="15.75" customHeight="1">
      <c r="A7799" s="1">
        <v>8378.0</v>
      </c>
      <c r="B7799" s="3" t="s">
        <v>7507</v>
      </c>
      <c r="C7799" s="3" t="str">
        <f>IFERROR(__xludf.DUMMYFUNCTION("GOOGLETRANSLATE(B7799,""id"",""en"")"),"['Napa', 'Credit', 'Cut', 'Hadeh', 'Langganan', 'Etdah', 'Malesin']")</f>
        <v>['Napa', 'Credit', 'Cut', 'Hadeh', 'Langganan', 'Etdah', 'Malesin']</v>
      </c>
      <c r="D7799" s="3">
        <v>1.0</v>
      </c>
    </row>
    <row r="7800" ht="15.75" customHeight="1">
      <c r="A7800" s="1">
        <v>8379.0</v>
      </c>
      <c r="B7800" s="3" t="s">
        <v>7508</v>
      </c>
      <c r="C7800" s="3" t="str">
        <f>IFERROR(__xludf.DUMMYFUNCTION("GOOGLETRANSLATE(B7800,""id"",""en"")"),"['Kasi', 'star', 'Karna', 'contents', 'clock', 'see', 'pulse', 'stay', 'disappointed', 'Telkomsel']")</f>
        <v>['Kasi', 'star', 'Karna', 'contents', 'clock', 'see', 'pulse', 'stay', 'disappointed', 'Telkomsel']</v>
      </c>
      <c r="D7800" s="3">
        <v>2.0</v>
      </c>
    </row>
    <row r="7801" ht="15.75" customHeight="1">
      <c r="A7801" s="1">
        <v>8380.0</v>
      </c>
      <c r="B7801" s="3" t="s">
        <v>7509</v>
      </c>
      <c r="C7801" s="3" t="str">
        <f>IFERROR(__xludf.DUMMYFUNCTION("GOOGLETRANSLATE(B7801,""id"",""en"")"),"['Recommended']")</f>
        <v>['Recommended']</v>
      </c>
      <c r="D7801" s="3">
        <v>5.0</v>
      </c>
    </row>
    <row r="7802" ht="15.75" customHeight="1">
      <c r="A7802" s="1">
        <v>8381.0</v>
      </c>
      <c r="B7802" s="3" t="s">
        <v>7510</v>
      </c>
      <c r="C7802" s="3" t="str">
        <f>IFERROR(__xludf.DUMMYFUNCTION("GOOGLETRANSLATE(B7802,""id"",""en"")"),"['signal', 'ugly', 'rain', 'rain', 'severe', 'really', 'price', 'quota', 'expensive', ""]")</f>
        <v>['signal', 'ugly', 'rain', 'rain', 'severe', 'really', 'price', 'quota', 'expensive', "]</v>
      </c>
      <c r="D7802" s="3">
        <v>2.0</v>
      </c>
    </row>
    <row r="7803" ht="15.75" customHeight="1">
      <c r="A7803" s="1">
        <v>8382.0</v>
      </c>
      <c r="B7803" s="3" t="s">
        <v>7511</v>
      </c>
      <c r="C7803" s="3" t="str">
        <f>IFERROR(__xludf.DUMMYFUNCTION("GOOGLETRANSLATE(B7803,""id"",""en"")"),"['Condition', 'Network', 'Aceh', 'East', 'Bad', 'Please', 'Fix', 'Thank', 'Love']")</f>
        <v>['Condition', 'Network', 'Aceh', 'East', 'Bad', 'Please', 'Fix', 'Thank', 'Love']</v>
      </c>
      <c r="D7803" s="3">
        <v>2.0</v>
      </c>
    </row>
    <row r="7804" ht="15.75" customHeight="1">
      <c r="A7804" s="1">
        <v>8383.0</v>
      </c>
      <c r="B7804" s="3" t="s">
        <v>7512</v>
      </c>
      <c r="C7804" s="3" t="str">
        <f>IFERROR(__xludf.DUMMYFUNCTION("GOOGLETRANSLATE(B7804,""id"",""en"")"),"['City', 'internet']")</f>
        <v>['City', 'internet']</v>
      </c>
      <c r="D7804" s="3">
        <v>5.0</v>
      </c>
    </row>
    <row r="7805" ht="15.75" customHeight="1">
      <c r="A7805" s="1">
        <v>8384.0</v>
      </c>
      <c r="B7805" s="3" t="s">
        <v>7513</v>
      </c>
      <c r="C7805" s="3" t="str">
        <f>IFERROR(__xludf.DUMMYFUNCTION("GOOGLETRANSLATE(B7805,""id"",""en"")"),"['Service', 'fast', 'easy']")</f>
        <v>['Service', 'fast', 'easy']</v>
      </c>
      <c r="D7805" s="3">
        <v>5.0</v>
      </c>
    </row>
    <row r="7806" ht="15.75" customHeight="1">
      <c r="A7806" s="1">
        <v>8385.0</v>
      </c>
      <c r="B7806" s="3" t="s">
        <v>7514</v>
      </c>
      <c r="C7806" s="3" t="str">
        <f>IFERROR(__xludf.DUMMYFUNCTION("GOOGLETRANSLATE(B7806,""id"",""en"")"),"['Telkomsel', 'trhormatical', 'KNPA', 'pulse', 'main', 'ties',' sndri ',' pdhal ',' package ',' msih ',' bnyak ',' please ',' Donk ',' Level ',' Axis', 'Net', 'Key', 'Credit', 'Data', 'JDI', 'Package', 'HBIS', 'Credit', 'Main', 'Cut' , 'Skian', 'thank you"&amp;"']")</f>
        <v>['Telkomsel', 'trhormatical', 'KNPA', 'pulse', 'main', 'ties',' sndri ',' pdhal ',' package ',' msih ',' bnyak ',' please ',' Donk ',' Level ',' Axis', 'Net', 'Key', 'Credit', 'Data', 'JDI', 'Package', 'HBIS', 'Credit', 'Main', 'Cut' , 'Skian', 'thank you']</v>
      </c>
      <c r="D7806" s="3">
        <v>2.0</v>
      </c>
    </row>
    <row r="7807" ht="15.75" customHeight="1">
      <c r="A7807" s="1">
        <v>8386.0</v>
      </c>
      <c r="B7807" s="3" t="s">
        <v>7515</v>
      </c>
      <c r="C7807" s="3" t="str">
        <f>IFERROR(__xludf.DUMMYFUNCTION("GOOGLETRANSLATE(B7807,""id"",""en"")"),"['Disappointed', 'buy', 'package', 'gamemax', 'voucher', 'MLBB', 'appears', ""]")</f>
        <v>['Disappointed', 'buy', 'package', 'gamemax', 'voucher', 'MLBB', 'appears', "]</v>
      </c>
      <c r="D7807" s="3">
        <v>1.0</v>
      </c>
    </row>
    <row r="7808" ht="15.75" customHeight="1">
      <c r="A7808" s="1">
        <v>8387.0</v>
      </c>
      <c r="B7808" s="3" t="s">
        <v>7516</v>
      </c>
      <c r="C7808" s="3" t="str">
        <f>IFERROR(__xludf.DUMMYFUNCTION("GOOGLETRANSLATE(B7808,""id"",""en"")"),"['level', 'quality', 'quantity', 'klu', 'promo', 'price', 'quota']")</f>
        <v>['level', 'quality', 'quantity', 'klu', 'promo', 'price', 'quota']</v>
      </c>
      <c r="D7808" s="3">
        <v>5.0</v>
      </c>
    </row>
    <row r="7809" ht="15.75" customHeight="1">
      <c r="A7809" s="1">
        <v>8388.0</v>
      </c>
      <c r="B7809" s="3" t="s">
        <v>1273</v>
      </c>
      <c r="C7809" s="3" t="str">
        <f>IFERROR(__xludf.DUMMYFUNCTION("GOOGLETRANSLATE(B7809,""id"",""en"")"),"['Star', 'Talk']")</f>
        <v>['Star', 'Talk']</v>
      </c>
      <c r="D7809" s="3">
        <v>5.0</v>
      </c>
    </row>
    <row r="7810" ht="15.75" customHeight="1">
      <c r="A7810" s="1">
        <v>8389.0</v>
      </c>
      <c r="B7810" s="3" t="s">
        <v>7517</v>
      </c>
      <c r="C7810" s="3" t="str">
        <f>IFERROR(__xludf.DUMMYFUNCTION("GOOGLETRANSLATE(B7810,""id"",""en"")"),"['Maling', 'Credit', 'Eat', 'Haram', 'Telkomsel', 'Dead', 'Woy', 'Klu', 'People', 'Rich', 'Taste', 'Credit', ' Lost ',' tuk ',' person ',' live ',' right ',' loss', 'hee', 'reflect', 'workers',' Telkomsel ',' stomach ',' distended ',' rich ' , 'pig', '']")</f>
        <v>['Maling', 'Credit', 'Eat', 'Haram', 'Telkomsel', 'Dead', 'Woy', 'Klu', 'People', 'Rich', 'Taste', 'Credit', ' Lost ',' tuk ',' person ',' live ',' right ',' loss', 'hee', 'reflect', 'workers',' Telkomsel ',' stomach ',' distended ',' rich ' , 'pig', '']</v>
      </c>
      <c r="D7810" s="3">
        <v>1.0</v>
      </c>
    </row>
    <row r="7811" ht="15.75" customHeight="1">
      <c r="A7811" s="1">
        <v>8390.0</v>
      </c>
      <c r="B7811" s="3" t="s">
        <v>7518</v>
      </c>
      <c r="C7811" s="3" t="str">
        <f>IFERROR(__xludf.DUMMYFUNCTION("GOOGLETRANSLATE(B7811,""id"",""en"")"),"['Geral', 'tabuni', 'help']")</f>
        <v>['Geral', 'tabuni', 'help']</v>
      </c>
      <c r="D7811" s="3">
        <v>5.0</v>
      </c>
    </row>
    <row r="7812" ht="15.75" customHeight="1">
      <c r="A7812" s="1">
        <v>8391.0</v>
      </c>
      <c r="B7812" s="3" t="s">
        <v>7519</v>
      </c>
      <c r="C7812" s="3" t="str">
        <f>IFERROR(__xludf.DUMMYFUNCTION("GOOGLETRANSLATE(B7812,""id"",""en"")"),"['Mantep', 'Help', 'Satisfied', 'Putie']")</f>
        <v>['Mantep', 'Help', 'Satisfied', 'Putie']</v>
      </c>
      <c r="D7812" s="3">
        <v>5.0</v>
      </c>
    </row>
    <row r="7813" ht="15.75" customHeight="1">
      <c r="A7813" s="1">
        <v>8392.0</v>
      </c>
      <c r="B7813" s="3" t="s">
        <v>7520</v>
      </c>
      <c r="C7813" s="3" t="str">
        <f>IFERROR(__xludf.DUMMYFUNCTION("GOOGLETRANSLATE(B7813,""id"",""en"")"),"['woi', 'contents',' pulse ',' check ',' application ',' exchange ',' package ',' data ',' pulse ',' pulse ',' reduce ',' emg ',' Reduce ',' feel ',' loss', 'can', 'package', '']")</f>
        <v>['woi', 'contents',' pulse ',' check ',' application ',' exchange ',' package ',' data ',' pulse ',' pulse ',' reduce ',' emg ',' Reduce ',' feel ',' loss', 'can', 'package', '']</v>
      </c>
      <c r="D7813" s="3">
        <v>1.0</v>
      </c>
    </row>
    <row r="7814" ht="15.75" customHeight="1">
      <c r="A7814" s="1">
        <v>8393.0</v>
      </c>
      <c r="B7814" s="3" t="s">
        <v>7521</v>
      </c>
      <c r="C7814" s="3" t="str">
        <f>IFERROR(__xludf.DUMMYFUNCTION("GOOGLETRANSLATE(B7814,""id"",""en"")"),"['Telkom', 'ugly', 'signal', 'like', 'ilang', 'play', 'game', 'chaotic', 'package', 'expensive', 'strength', 'sousat', ' Cheap ',' Parawhhhhhh ',' ']")</f>
        <v>['Telkom', 'ugly', 'signal', 'like', 'ilang', 'play', 'game', 'chaotic', 'package', 'expensive', 'strength', 'sousat', ' Cheap ',' Parawhhhhhh ',' ']</v>
      </c>
      <c r="D7814" s="3">
        <v>1.0</v>
      </c>
    </row>
    <row r="7815" ht="15.75" customHeight="1">
      <c r="A7815" s="1">
        <v>8394.0</v>
      </c>
      <c r="B7815" s="3" t="s">
        <v>7522</v>
      </c>
      <c r="C7815" s="3" t="str">
        <f>IFERROR(__xludf.DUMMYFUNCTION("GOOGLETRANSLATE(B7815,""id"",""en"")"),"['package', 'expensive', 'sometimes', 'signal', 'slow', ""]")</f>
        <v>['package', 'expensive', 'sometimes', 'signal', 'slow', "]</v>
      </c>
      <c r="D7815" s="3">
        <v>4.0</v>
      </c>
    </row>
    <row r="7816" ht="15.75" customHeight="1">
      <c r="A7816" s="1">
        <v>8395.0</v>
      </c>
      <c r="B7816" s="3" t="s">
        <v>7523</v>
      </c>
      <c r="C7816" s="3" t="str">
        <f>IFERROR(__xludf.DUMMYFUNCTION("GOOGLETRANSLATE(B7816,""id"",""en"")"),"['Good', 'package', 'Anlimitid', 'boundary', 'rich']")</f>
        <v>['Good', 'package', 'Anlimitid', 'boundary', 'rich']</v>
      </c>
      <c r="D7816" s="3">
        <v>5.0</v>
      </c>
    </row>
    <row r="7817" ht="15.75" customHeight="1">
      <c r="A7817" s="1">
        <v>8396.0</v>
      </c>
      <c r="B7817" s="3" t="s">
        <v>7524</v>
      </c>
      <c r="C7817" s="3" t="str">
        <f>IFERROR(__xludf.DUMMYFUNCTION("GOOGLETRANSLATE(B7817,""id"",""en"")"),"['Not bad', 'APL', 'Sometimes', 'Error', 'Jga']")</f>
        <v>['Not bad', 'APL', 'Sometimes', 'Error', 'Jga']</v>
      </c>
      <c r="D7817" s="3">
        <v>4.0</v>
      </c>
    </row>
    <row r="7818" ht="15.75" customHeight="1">
      <c r="A7818" s="1">
        <v>8397.0</v>
      </c>
      <c r="B7818" s="3" t="s">
        <v>7525</v>
      </c>
      <c r="C7818" s="3" t="str">
        <f>IFERROR(__xludf.DUMMYFUNCTION("GOOGLETRANSLATE(B7818,""id"",""en"")"),"['Network', 'here', 'idiot', ""]")</f>
        <v>['Network', 'here', 'idiot', "]</v>
      </c>
      <c r="D7818" s="3">
        <v>1.0</v>
      </c>
    </row>
    <row r="7819" ht="15.75" customHeight="1">
      <c r="A7819" s="1">
        <v>8400.0</v>
      </c>
      <c r="B7819" s="3" t="s">
        <v>7526</v>
      </c>
      <c r="C7819" s="3" t="str">
        <f>IFERROR(__xludf.DUMMYFUNCTION("GOOGLETRANSLATE(B7819,""id"",""en"")"),"['Application', 'satisfying', 'updet', 'Performance', 'ugly']")</f>
        <v>['Application', 'satisfying', 'updet', 'Performance', 'ugly']</v>
      </c>
      <c r="D7819" s="3">
        <v>1.0</v>
      </c>
    </row>
    <row r="7820" ht="15.75" customHeight="1">
      <c r="A7820" s="1">
        <v>8401.0</v>
      </c>
      <c r="B7820" s="3" t="s">
        <v>7527</v>
      </c>
      <c r="C7820" s="3" t="str">
        <f>IFERROR(__xludf.DUMMYFUNCTION("GOOGLETRANSLATE(B7820,""id"",""en"")"),"['Signal', 'Coral', 'Ciledug', 'Tangerang', 'Bad']")</f>
        <v>['Signal', 'Coral', 'Ciledug', 'Tangerang', 'Bad']</v>
      </c>
      <c r="D7820" s="3">
        <v>1.0</v>
      </c>
    </row>
    <row r="7821" ht="15.75" customHeight="1">
      <c r="A7821" s="1">
        <v>8402.0</v>
      </c>
      <c r="B7821" s="3" t="s">
        <v>181</v>
      </c>
      <c r="C7821" s="3" t="str">
        <f>IFERROR(__xludf.DUMMYFUNCTION("GOOGLETRANSLATE(B7821,""id"",""en"")"),"['help']")</f>
        <v>['help']</v>
      </c>
      <c r="D7821" s="3">
        <v>5.0</v>
      </c>
    </row>
    <row r="7822" ht="15.75" customHeight="1">
      <c r="A7822" s="1">
        <v>8403.0</v>
      </c>
      <c r="B7822" s="3" t="s">
        <v>7528</v>
      </c>
      <c r="C7822" s="3" t="str">
        <f>IFERROR(__xludf.DUMMYFUNCTION("GOOGLETRANSLATE(B7822,""id"",""en"")"),"['Sorry', 'Exchange', 'Points',' Package ',' Data ',' GB ',' Success', 'Exchange', 'Credit', 'Take', 'thousand', 'Package', ' Internet']")</f>
        <v>['Sorry', 'Exchange', 'Points',' Package ',' Data ',' GB ',' Success', 'Exchange', 'Credit', 'Take', 'thousand', 'Package', ' Internet']</v>
      </c>
      <c r="D7822" s="3">
        <v>4.0</v>
      </c>
    </row>
    <row r="7823" ht="15.75" customHeight="1">
      <c r="A7823" s="1">
        <v>8404.0</v>
      </c>
      <c r="B7823" s="3" t="s">
        <v>7529</v>
      </c>
      <c r="C7823" s="3" t="str">
        <f>IFERROR(__xludf.DUMMYFUNCTION("GOOGLETRANSLATE(B7823,""id"",""en"")"),"['', 'star', 'Telkomsel', 'signal', 'internet', 'down', 'kya']")</f>
        <v>['', 'star', 'Telkomsel', 'signal', 'internet', 'down', 'kya']</v>
      </c>
      <c r="D7823" s="3">
        <v>1.0</v>
      </c>
    </row>
    <row r="7824" ht="15.75" customHeight="1">
      <c r="A7824" s="1">
        <v>8405.0</v>
      </c>
      <c r="B7824" s="3" t="s">
        <v>7530</v>
      </c>
      <c r="C7824" s="3" t="str">
        <f>IFERROR(__xludf.DUMMYFUNCTION("GOOGLETRANSLATE(B7824,""id"",""en"")"),"['Package', 'Data', 'Credit', 'Follow', 'Out', 'Data', 'Hudup']")</f>
        <v>['Package', 'Data', 'Credit', 'Follow', 'Out', 'Data', 'Hudup']</v>
      </c>
      <c r="D7824" s="3">
        <v>4.0</v>
      </c>
    </row>
    <row r="7825" ht="15.75" customHeight="1">
      <c r="A7825" s="1">
        <v>8406.0</v>
      </c>
      <c r="B7825" s="3" t="s">
        <v>7531</v>
      </c>
      <c r="C7825" s="3" t="str">
        <f>IFERROR(__xludf.DUMMYFUNCTION("GOOGLETRANSLATE(B7825,""id"",""en"")"),"['Mantul', 'staple']")</f>
        <v>['Mantul', 'staple']</v>
      </c>
      <c r="D7825" s="3">
        <v>5.0</v>
      </c>
    </row>
    <row r="7826" ht="15.75" customHeight="1">
      <c r="A7826" s="1">
        <v>8407.0</v>
      </c>
      <c r="B7826" s="3" t="s">
        <v>7532</v>
      </c>
      <c r="C7826" s="3" t="str">
        <f>IFERROR(__xludf.DUMMYFUNCTION("GOOGLETRANSLATE(B7826,""id"",""en"")"),"['Week', 'Telkomsel', 'Sousal', 'Severe', 'Sinyal', 'Stable', 'Main', 'Game', 'Red', 'Ijo', 'Red', 'Ijo', ' Mulu ',' Lose ',' Traek ',' Mulu ',' What ',' Min ', ""]")</f>
        <v>['Week', 'Telkomsel', 'Sousal', 'Severe', 'Sinyal', 'Stable', 'Main', 'Game', 'Red', 'Ijo', 'Red', 'Ijo', ' Mulu ',' Lose ',' Traek ',' Mulu ',' What ',' Min ', "]</v>
      </c>
      <c r="D7826" s="3">
        <v>1.0</v>
      </c>
    </row>
    <row r="7827" ht="15.75" customHeight="1">
      <c r="A7827" s="1">
        <v>8408.0</v>
      </c>
      <c r="B7827" s="3" t="s">
        <v>7533</v>
      </c>
      <c r="C7827" s="3" t="str">
        <f>IFERROR(__xludf.DUMMYFUNCTION("GOOGLETRANSLATE(B7827,""id"",""en"")"),"['Satisfied', 'really', 'Telkomsel', 'signal', 'good', 'delay', 'package', 'emergency', 'Telkomsel', 'darling', 'lottery', 'easy', ' car ',' Nengokin ',' child ',' pesantren ',' ngak ',' rent ',' amin ',' padalarang ',' lake ']")</f>
        <v>['Satisfied', 'really', 'Telkomsel', 'signal', 'good', 'delay', 'package', 'emergency', 'Telkomsel', 'darling', 'lottery', 'easy', ' car ',' Nengokin ',' child ',' pesantren ',' ngak ',' rent ',' amin ',' padalarang ',' lake ']</v>
      </c>
      <c r="D7827" s="3">
        <v>5.0</v>
      </c>
    </row>
    <row r="7828" ht="15.75" customHeight="1">
      <c r="A7828" s="1">
        <v>8409.0</v>
      </c>
      <c r="B7828" s="3" t="s">
        <v>7534</v>
      </c>
      <c r="C7828" s="3" t="str">
        <f>IFERROR(__xludf.DUMMYFUNCTION("GOOGLETRANSLATE(B7828,""id"",""en"")"),"['Severe', 'Telkomsel', 'Data', 'Direct', 'Matiin', 'get', 'pulse', 'until', 'run out', 'emang', 'Gini', 'take', ' money ',' that's', 'operator', 'disappointed', 'heavy', 'oath', ""]")</f>
        <v>['Severe', 'Telkomsel', 'Data', 'Direct', 'Matiin', 'get', 'pulse', 'until', 'run out', 'emang', 'Gini', 'take', ' money ',' that's', 'operator', 'disappointed', 'heavy', 'oath', "]</v>
      </c>
      <c r="D7828" s="3">
        <v>1.0</v>
      </c>
    </row>
    <row r="7829" ht="15.75" customHeight="1">
      <c r="A7829" s="1">
        <v>8410.0</v>
      </c>
      <c r="B7829" s="3" t="s">
        <v>7535</v>
      </c>
      <c r="C7829" s="3" t="str">
        <f>IFERROR(__xludf.DUMMYFUNCTION("GOOGLETRANSLATE(B7829,""id"",""en"")"),"['Come', 'signal', 'ilang', 'Telkomsel', 'rich', 'make', 'card', 'three']")</f>
        <v>['Come', 'signal', 'ilang', 'Telkomsel', 'rich', 'make', 'card', 'three']</v>
      </c>
      <c r="D7829" s="3">
        <v>1.0</v>
      </c>
    </row>
    <row r="7830" ht="15.75" customHeight="1">
      <c r="A7830" s="1">
        <v>8411.0</v>
      </c>
      <c r="B7830" s="3" t="s">
        <v>7536</v>
      </c>
      <c r="C7830" s="3" t="str">
        <f>IFERROR(__xludf.DUMMYFUNCTION("GOOGLETRANSLATE(B7830,""id"",""en"")"),"['Mantaplah', 'Telkomsel', 'buy', 'package', 'internet', 'choice', 'cheap', 'festive', 'compared to', 'satisfy', 'subscribe', 'Telkomsel']")</f>
        <v>['Mantaplah', 'Telkomsel', 'buy', 'package', 'internet', 'choice', 'cheap', 'festive', 'compared to', 'satisfy', 'subscribe', 'Telkomsel']</v>
      </c>
      <c r="D7830" s="3">
        <v>5.0</v>
      </c>
    </row>
    <row r="7831" ht="15.75" customHeight="1">
      <c r="A7831" s="1">
        <v>8412.0</v>
      </c>
      <c r="B7831" s="3" t="s">
        <v>7537</v>
      </c>
      <c r="C7831" s="3" t="str">
        <f>IFERROR(__xludf.DUMMYFUNCTION("GOOGLETRANSLATE(B7831,""id"",""en"")"),"['Please', 'Doong', 'already', 'buy', 'package', 'APK', 'disorder', 'pdhl', 'fill in', 'pulse', 'please', 'min', ' Fix ',' I ',' Change ',' subscription ',' card ',' noh ']")</f>
        <v>['Please', 'Doong', 'already', 'buy', 'package', 'APK', 'disorder', 'pdhl', 'fill in', 'pulse', 'please', 'min', ' Fix ',' I ',' Change ',' subscription ',' card ',' noh ']</v>
      </c>
      <c r="D7831" s="3">
        <v>1.0</v>
      </c>
    </row>
    <row r="7832" ht="15.75" customHeight="1">
      <c r="A7832" s="1">
        <v>8413.0</v>
      </c>
      <c r="B7832" s="3" t="s">
        <v>7538</v>
      </c>
      <c r="C7832" s="3" t="str">
        <f>IFERROR(__xludf.DUMMYFUNCTION("GOOGLETRANSLATE(B7832,""id"",""en"")"),"['mainnyq', 'steady', '']")</f>
        <v>['mainnyq', 'steady', '']</v>
      </c>
      <c r="D7832" s="3">
        <v>5.0</v>
      </c>
    </row>
    <row r="7833" ht="15.75" customHeight="1">
      <c r="A7833" s="1">
        <v>8414.0</v>
      </c>
      <c r="B7833" s="3" t="s">
        <v>7539</v>
      </c>
      <c r="C7833" s="3" t="str">
        <f>IFERROR(__xludf.DUMMYFUNCTION("GOOGLETRANSLATE(B7833,""id"",""en"")"),"['Lally', 'promo', 'work', 'smaa', 'nenflix']")</f>
        <v>['Lally', 'promo', 'work', 'smaa', 'nenflix']</v>
      </c>
      <c r="D7833" s="3">
        <v>5.0</v>
      </c>
    </row>
    <row r="7834" ht="15.75" customHeight="1">
      <c r="A7834" s="1">
        <v>8415.0</v>
      </c>
      <c r="B7834" s="3" t="s">
        <v>7540</v>
      </c>
      <c r="C7834" s="3" t="str">
        <f>IFERROR(__xludf.DUMMYFUNCTION("GOOGLETRANSLATE(B7834,""id"",""en"")"),"['Please', 'Accuracy', 'repaired']")</f>
        <v>['Please', 'Accuracy', 'repaired']</v>
      </c>
      <c r="D7834" s="3">
        <v>1.0</v>
      </c>
    </row>
    <row r="7835" ht="15.75" customHeight="1">
      <c r="A7835" s="1">
        <v>8416.0</v>
      </c>
      <c r="B7835" s="3" t="s">
        <v>7541</v>
      </c>
      <c r="C7835" s="3" t="str">
        <f>IFERROR(__xludf.DUMMYFUNCTION("GOOGLETRANSLATE(B7835,""id"",""en"")"),"['great', 'gift', 'interesting', 'help', 'prayer', 'Telkomsel', 'success']")</f>
        <v>['great', 'gift', 'interesting', 'help', 'prayer', 'Telkomsel', 'success']</v>
      </c>
      <c r="D7835" s="3">
        <v>5.0</v>
      </c>
    </row>
    <row r="7836" ht="15.75" customHeight="1">
      <c r="A7836" s="1">
        <v>8417.0</v>
      </c>
      <c r="B7836" s="3" t="s">
        <v>7542</v>
      </c>
      <c r="C7836" s="3" t="str">
        <f>IFERROR(__xludf.DUMMYFUNCTION("GOOGLETRANSLATE(B7836,""id"",""en"")"),"['ugly', 'really', 'apk', 'ngak', 'list', 'admin', 'slow', 'response']")</f>
        <v>['ugly', 'really', 'apk', 'ngak', 'list', 'admin', 'slow', 'response']</v>
      </c>
      <c r="D7836" s="3">
        <v>1.0</v>
      </c>
    </row>
    <row r="7837" ht="15.75" customHeight="1">
      <c r="A7837" s="1">
        <v>8418.0</v>
      </c>
      <c r="B7837" s="3" t="s">
        <v>7543</v>
      </c>
      <c r="C7837" s="3" t="str">
        <f>IFERROR(__xludf.DUMMYFUNCTION("GOOGLETRANSLATE(B7837,""id"",""en"")"),"['Wear', 'Network', 'Telkomsel', 'satisfying']")</f>
        <v>['Wear', 'Network', 'Telkomsel', 'satisfying']</v>
      </c>
      <c r="D7837" s="3">
        <v>4.0</v>
      </c>
    </row>
    <row r="7838" ht="15.75" customHeight="1">
      <c r="A7838" s="1">
        <v>8419.0</v>
      </c>
      <c r="B7838" s="3" t="s">
        <v>7544</v>
      </c>
      <c r="C7838" s="3" t="str">
        <f>IFERROR(__xludf.DUMMYFUNCTION("GOOGLETRANSLATE(B7838,""id"",""en"")"),"['signal', 'Telkomsel', 'already', 'slow', 'signal', 'Normal', 'Telkomsel', 'Customer', 'Move', 'card', 'laen', ""]")</f>
        <v>['signal', 'Telkomsel', 'already', 'slow', 'signal', 'Normal', 'Telkomsel', 'Customer', 'Move', 'card', 'laen', "]</v>
      </c>
      <c r="D7838" s="3">
        <v>1.0</v>
      </c>
    </row>
    <row r="7839" ht="15.75" customHeight="1">
      <c r="A7839" s="1">
        <v>8420.0</v>
      </c>
      <c r="B7839" s="3" t="s">
        <v>7545</v>
      </c>
      <c r="C7839" s="3" t="str">
        <f>IFERROR(__xludf.DUMMYFUNCTION("GOOGLETRANSLATE(B7839,""id"",""en"")"),"['Subscribe', 'Telkomsel', 'Change', 'Provider', 'Hopefully', 'Current', 'Signs', 'Telkomsel', 'Hopefully', 'Features', 'Interesting', ""]")</f>
        <v>['Subscribe', 'Telkomsel', 'Change', 'Provider', 'Hopefully', 'Current', 'Signs', 'Telkomsel', 'Hopefully', 'Features', 'Interesting', "]</v>
      </c>
      <c r="D7839" s="3">
        <v>5.0</v>
      </c>
    </row>
    <row r="7840" ht="15.75" customHeight="1">
      <c r="A7840" s="1">
        <v>8421.0</v>
      </c>
      <c r="B7840" s="3" t="s">
        <v>7546</v>
      </c>
      <c r="C7840" s="3" t="str">
        <f>IFERROR(__xludf.DUMMYFUNCTION("GOOGLETRANSLATE(B7840,""id"",""en"")"),"['difficult', 'signal', 'open', 'telegram', 'difficult', 'really', ""]")</f>
        <v>['difficult', 'signal', 'open', 'telegram', 'difficult', 'really', "]</v>
      </c>
      <c r="D7840" s="3">
        <v>1.0</v>
      </c>
    </row>
    <row r="7841" ht="15.75" customHeight="1">
      <c r="A7841" s="1">
        <v>8422.0</v>
      </c>
      <c r="B7841" s="3" t="s">
        <v>7547</v>
      </c>
      <c r="C7841" s="3" t="str">
        <f>IFERROR(__xludf.DUMMYFUNCTION("GOOGLETRANSLATE(B7841,""id"",""en"")"),"['Lelat', '']")</f>
        <v>['Lelat', '']</v>
      </c>
      <c r="D7841" s="3">
        <v>5.0</v>
      </c>
    </row>
    <row r="7842" ht="15.75" customHeight="1">
      <c r="A7842" s="1">
        <v>8423.0</v>
      </c>
      <c r="B7842" s="3" t="s">
        <v>7548</v>
      </c>
      <c r="C7842" s="3" t="str">
        <f>IFERROR(__xludf.DUMMYFUNCTION("GOOGLETRANSLATE(B7842,""id"",""en"")"),"['buy', 'package', 'promo', 'internet', 'thousand', 'bsa', 'leftover', 'pulse', 'sufficient', 'pdahal', 'balance', 'apkkah', ' APK ',' Telkomsel ',' Collection ',' Tax ',' Purchase ',' fooled ',' fooling ',' Customer ',' Please ',' Clarification ',' TRM '"&amp;",' Ksh ', ""]")</f>
        <v>['buy', 'package', 'promo', 'internet', 'thousand', 'bsa', 'leftover', 'pulse', 'sufficient', 'pdahal', 'balance', 'apkkah', ' APK ',' Telkomsel ',' Collection ',' Tax ',' Purchase ',' fooled ',' fooling ',' Customer ',' Please ',' Clarification ',' TRM ',' Ksh ', "]</v>
      </c>
      <c r="D7842" s="3">
        <v>1.0</v>
      </c>
    </row>
    <row r="7843" ht="15.75" customHeight="1">
      <c r="A7843" s="1">
        <v>8424.0</v>
      </c>
      <c r="B7843" s="3" t="s">
        <v>7549</v>
      </c>
      <c r="C7843" s="3" t="str">
        <f>IFERROR(__xludf.DUMMYFUNCTION("GOOGLETRANSLATE(B7843,""id"",""en"")"),"['', 'KB', 'Rp', 'Waaw', 'Kepety', 'Data', 'cellular', 'Bentar', 'Activein', 'Package', 'Network', 'Leet', 'Ckck ']")</f>
        <v>['', 'KB', 'Rp', 'Waaw', 'Kepety', 'Data', 'cellular', 'Bentar', 'Activein', 'Package', 'Network', 'Leet', 'Ckck ']</v>
      </c>
      <c r="D7843" s="3">
        <v>1.0</v>
      </c>
    </row>
    <row r="7844" ht="15.75" customHeight="1">
      <c r="A7844" s="1">
        <v>8425.0</v>
      </c>
      <c r="B7844" s="3" t="s">
        <v>7550</v>
      </c>
      <c r="C7844" s="3" t="str">
        <f>IFERROR(__xludf.DUMMYFUNCTION("GOOGLETRANSLATE(B7844,""id"",""en"")"),"['Method', 'Payment', 'Money', 'Link']")</f>
        <v>['Method', 'Payment', 'Money', 'Link']</v>
      </c>
      <c r="D7844" s="3">
        <v>1.0</v>
      </c>
    </row>
    <row r="7845" ht="15.75" customHeight="1">
      <c r="A7845" s="1">
        <v>8426.0</v>
      </c>
      <c r="B7845" s="3" t="s">
        <v>7551</v>
      </c>
      <c r="C7845" s="3" t="str">
        <f>IFERROR(__xludf.DUMMYFUNCTION("GOOGLETRANSLATE(B7845,""id"",""en"")"),"['Love', 'Star', 'Fix', 'Network', 'Sweeter', 'Dinegeri', '']")</f>
        <v>['Love', 'Star', 'Fix', 'Network', 'Sweeter', 'Dinegeri', '']</v>
      </c>
      <c r="D7845" s="3">
        <v>1.0</v>
      </c>
    </row>
    <row r="7846" ht="15.75" customHeight="1">
      <c r="A7846" s="1">
        <v>8427.0</v>
      </c>
      <c r="B7846" s="3" t="s">
        <v>7552</v>
      </c>
      <c r="C7846" s="3" t="str">
        <f>IFERROR(__xludf.DUMMYFUNCTION("GOOGLETRANSLATE(B7846,""id"",""en"")"),"['Prizes']")</f>
        <v>['Prizes']</v>
      </c>
      <c r="D7846" s="3">
        <v>5.0</v>
      </c>
    </row>
    <row r="7847" ht="15.75" customHeight="1">
      <c r="A7847" s="1">
        <v>8428.0</v>
      </c>
      <c r="B7847" s="3" t="s">
        <v>7553</v>
      </c>
      <c r="C7847" s="3" t="str">
        <f>IFERROR(__xludf.DUMMYFUNCTION("GOOGLETRANSLATE(B7847,""id"",""en"")"),"['thank', 'SMS', 'piece', 'pulse', 'setting', 'usage', 'data', 'cellular', 'real', 'fact', 'promotion', 'use', ' Ghosting ',' That's']")</f>
        <v>['thank', 'SMS', 'piece', 'pulse', 'setting', 'usage', 'data', 'cellular', 'real', 'fact', 'promotion', 'use', ' Ghosting ',' That's']</v>
      </c>
      <c r="D7847" s="3">
        <v>2.0</v>
      </c>
    </row>
    <row r="7848" ht="15.75" customHeight="1">
      <c r="A7848" s="1">
        <v>8430.0</v>
      </c>
      <c r="B7848" s="3" t="s">
        <v>7554</v>
      </c>
      <c r="C7848" s="3" t="str">
        <f>IFERROR(__xludf.DUMMYFUNCTION("GOOGLETRANSLATE(B7848,""id"",""en"")"),"['like', 'bngt']")</f>
        <v>['like', 'bngt']</v>
      </c>
      <c r="D7848" s="3">
        <v>5.0</v>
      </c>
    </row>
    <row r="7849" ht="15.75" customHeight="1">
      <c r="A7849" s="1">
        <v>8432.0</v>
      </c>
      <c r="B7849" s="3" t="s">
        <v>7555</v>
      </c>
      <c r="C7849" s="3" t="str">
        <f>IFERROR(__xludf.DUMMYFUNCTION("GOOGLETRANSLATE(B7849,""id"",""en"")"),"['expensive', 'package']")</f>
        <v>['expensive', 'package']</v>
      </c>
      <c r="D7849" s="3">
        <v>3.0</v>
      </c>
    </row>
    <row r="7850" ht="15.75" customHeight="1">
      <c r="A7850" s="1">
        <v>8433.0</v>
      </c>
      <c r="B7850" s="3" t="s">
        <v>7556</v>
      </c>
      <c r="C7850" s="3" t="str">
        <f>IFERROR(__xludf.DUMMYFUNCTION("GOOGLETRANSLATE(B7850,""id"",""en"")"),"['Cheap', 'easy', 'buy', 'package', 'monthly', 'Telkomsel']")</f>
        <v>['Cheap', 'easy', 'buy', 'package', 'monthly', 'Telkomsel']</v>
      </c>
      <c r="D7850" s="3">
        <v>5.0</v>
      </c>
    </row>
    <row r="7851" ht="15.75" customHeight="1">
      <c r="A7851" s="1">
        <v>8434.0</v>
      </c>
      <c r="B7851" s="3" t="s">
        <v>7557</v>
      </c>
      <c r="C7851" s="3" t="str">
        <f>IFERROR(__xludf.DUMMYFUNCTION("GOOGLETRANSLATE(B7851,""id"",""en"")"),"['People', 'Bodo', 'experience', 'education', 'hospitality', 'Netherlands',' friendly ',' artisan ',' parking ',' Keep ',' appreciate ',' people ',' Ragging ']")</f>
        <v>['People', 'Bodo', 'experience', 'education', 'hospitality', 'Netherlands',' friendly ',' artisan ',' parking ',' Keep ',' appreciate ',' people ',' Ragging ']</v>
      </c>
      <c r="D7851" s="3">
        <v>5.0</v>
      </c>
    </row>
    <row r="7852" ht="15.75" customHeight="1">
      <c r="A7852" s="1">
        <v>8435.0</v>
      </c>
      <c r="B7852" s="3" t="s">
        <v>7558</v>
      </c>
      <c r="C7852" s="3" t="str">
        <f>IFERROR(__xludf.DUMMYFUNCTION("GOOGLETRANSLATE(B7852,""id"",""en"")"),"['Useful', 'practical', 'easy', 'mantaappo']")</f>
        <v>['Useful', 'practical', 'easy', 'mantaappo']</v>
      </c>
      <c r="D7852" s="3">
        <v>5.0</v>
      </c>
    </row>
    <row r="7853" ht="15.75" customHeight="1">
      <c r="A7853" s="1">
        <v>8436.0</v>
      </c>
      <c r="B7853" s="3" t="s">
        <v>7559</v>
      </c>
      <c r="C7853" s="3" t="str">
        <f>IFERROR(__xludf.DUMMYFUNCTION("GOOGLETRANSLATE(B7853,""id"",""en"")"),"['Good', 'Bener']")</f>
        <v>['Good', 'Bener']</v>
      </c>
      <c r="D7853" s="3">
        <v>5.0</v>
      </c>
    </row>
    <row r="7854" ht="15.75" customHeight="1">
      <c r="A7854" s="1">
        <v>8437.0</v>
      </c>
      <c r="B7854" s="3" t="s">
        <v>7560</v>
      </c>
      <c r="C7854" s="3" t="str">
        <f>IFERROR(__xludf.DUMMYFUNCTION("GOOGLETRANSLATE(B7854,""id"",""en"")"),"['Good', 'darling', 'price', 'package', 'expensive', 'then', 'signal', 'weak']")</f>
        <v>['Good', 'darling', 'price', 'package', 'expensive', 'then', 'signal', 'weak']</v>
      </c>
      <c r="D7854" s="3">
        <v>5.0</v>
      </c>
    </row>
    <row r="7855" ht="15.75" customHeight="1">
      <c r="A7855" s="1">
        <v>8438.0</v>
      </c>
      <c r="B7855" s="3" t="s">
        <v>7561</v>
      </c>
      <c r="C7855" s="3" t="str">
        <f>IFERROR(__xludf.DUMMYFUNCTION("GOOGLETRANSLATE(B7855,""id"",""en"")"),"['It's easier for', 'users', 'help', '']")</f>
        <v>['It's easier for', 'users', 'help', '']</v>
      </c>
      <c r="D7855" s="3">
        <v>4.0</v>
      </c>
    </row>
    <row r="7856" ht="15.75" customHeight="1">
      <c r="A7856" s="1">
        <v>8439.0</v>
      </c>
      <c r="B7856" s="3" t="s">
        <v>7562</v>
      </c>
      <c r="C7856" s="3" t="str">
        <f>IFERROR(__xludf.DUMMYFUNCTION("GOOGLETRANSLATE(B7856,""id"",""en"")"),"['', 'Toll', 'pulse', 'run out', 'diamond', 'ngak', 'notification', 'success',' base ',' application ',' fraudster ',' uninstall ',' network ',' bad ',' cheater ']")</f>
        <v>['', 'Toll', 'pulse', 'run out', 'diamond', 'ngak', 'notification', 'success',' base ',' application ',' fraudster ',' uninstall ',' network ',' bad ',' cheater ']</v>
      </c>
      <c r="D7856" s="3">
        <v>1.0</v>
      </c>
    </row>
    <row r="7857" ht="15.75" customHeight="1">
      <c r="A7857" s="1">
        <v>8440.0</v>
      </c>
      <c r="B7857" s="3" t="s">
        <v>7563</v>
      </c>
      <c r="C7857" s="3" t="str">
        <f>IFERROR(__xludf.DUMMYFUNCTION("GOOGLETRANSLATE(B7857,""id"",""en"")"),"['price', 'quota', 'expensive', 'quota', 'data', 'run out', 'direct', 'suck', 'pulses', ""]")</f>
        <v>['price', 'quota', 'expensive', 'quota', 'data', 'run out', 'direct', 'suck', 'pulses', "]</v>
      </c>
      <c r="D7857" s="3">
        <v>3.0</v>
      </c>
    </row>
    <row r="7858" ht="15.75" customHeight="1">
      <c r="A7858" s="1">
        <v>8441.0</v>
      </c>
      <c r="B7858" s="3" t="s">
        <v>7564</v>
      </c>
      <c r="C7858" s="3" t="str">
        <f>IFERROR(__xludf.DUMMYFUNCTION("GOOGLETRANSLATE(B7858,""id"",""en"")"),"['Use', 'application', 'Login', 'activation', 'Package', 'Credit', 'Sumpot', 'RB', 'Check', 'Login', 'Telkomsel', 'Dial', ' SMS ',' influential ']")</f>
        <v>['Use', 'application', 'Login', 'activation', 'Package', 'Credit', 'Sumpot', 'RB', 'Check', 'Login', 'Telkomsel', 'Dial', ' SMS ',' influential ']</v>
      </c>
      <c r="D7858" s="3">
        <v>2.0</v>
      </c>
    </row>
    <row r="7859" ht="15.75" customHeight="1">
      <c r="A7859" s="1">
        <v>8443.0</v>
      </c>
      <c r="B7859" s="3" t="s">
        <v>7565</v>
      </c>
      <c r="C7859" s="3" t="str">
        <f>IFERROR(__xludf.DUMMYFUNCTION("GOOGLETRANSLATE(B7859,""id"",""en"")"),"['hope', 'prize', 'right', 'Sis', ""]")</f>
        <v>['hope', 'prize', 'right', 'Sis', "]</v>
      </c>
      <c r="D7859" s="3">
        <v>4.0</v>
      </c>
    </row>
    <row r="7860" ht="15.75" customHeight="1">
      <c r="A7860" s="1">
        <v>8444.0</v>
      </c>
      <c r="B7860" s="3" t="s">
        <v>7566</v>
      </c>
      <c r="C7860" s="3" t="str">
        <f>IFERROR(__xludf.DUMMYFUNCTION("GOOGLETRANSLATE(B7860,""id"",""en"")"),"['Gampang', 'Mantab']")</f>
        <v>['Gampang', 'Mantab']</v>
      </c>
      <c r="D7860" s="3">
        <v>5.0</v>
      </c>
    </row>
    <row r="7861" ht="15.75" customHeight="1">
      <c r="A7861" s="1">
        <v>8445.0</v>
      </c>
      <c r="B7861" s="3" t="s">
        <v>7567</v>
      </c>
      <c r="C7861" s="3" t="str">
        <f>IFERROR(__xludf.DUMMYFUNCTION("GOOGLETRANSLATE(B7861,""id"",""en"")"),"['more', 'efficient', 'promo', 'interesting', 'thank', 'love', 'Telkomsel', ""]")</f>
        <v>['more', 'efficient', 'promo', 'interesting', 'thank', 'love', 'Telkomsel', "]</v>
      </c>
      <c r="D7861" s="3">
        <v>5.0</v>
      </c>
    </row>
    <row r="7862" ht="15.75" customHeight="1">
      <c r="A7862" s="1">
        <v>8446.0</v>
      </c>
      <c r="B7862" s="3" t="s">
        <v>7568</v>
      </c>
      <c r="C7862" s="3" t="str">
        <f>IFERROR(__xludf.DUMMYFUNCTION("GOOGLETRANSLATE(B7862,""id"",""en"")"),"['', 'Terim', 'Love', 'Telkomsel']")</f>
        <v>['', 'Terim', 'Love', 'Telkomsel']</v>
      </c>
      <c r="D7862" s="3">
        <v>5.0</v>
      </c>
    </row>
    <row r="7863" ht="15.75" customHeight="1">
      <c r="A7863" s="1">
        <v>8447.0</v>
      </c>
      <c r="B7863" s="3" t="s">
        <v>7569</v>
      </c>
      <c r="C7863" s="3" t="str">
        <f>IFERROR(__xludf.DUMMYFUNCTION("GOOGLETRANSLATE(B7863,""id"",""en"")"),"['Please', 'Updated', 'version', 'Android', 'Kompitabel', 'Buy', 'Package', 'Android', 'Version', 'Lollipop']")</f>
        <v>['Please', 'Updated', 'version', 'Android', 'Kompitabel', 'Buy', 'Package', 'Android', 'Version', 'Lollipop']</v>
      </c>
      <c r="D7863" s="3">
        <v>3.0</v>
      </c>
    </row>
    <row r="7864" ht="15.75" customHeight="1">
      <c r="A7864" s="1">
        <v>8448.0</v>
      </c>
      <c r="B7864" s="3" t="s">
        <v>7570</v>
      </c>
      <c r="C7864" s="3" t="str">
        <f>IFERROR(__xludf.DUMMYFUNCTION("GOOGLETRANSLATE(B7864,""id"",""en"")"),"['Good', 'Bangett', 'fill', 'Package', 'Pastss']")</f>
        <v>['Good', 'Bangett', 'fill', 'Package', 'Pastss']</v>
      </c>
      <c r="D7864" s="3">
        <v>5.0</v>
      </c>
    </row>
    <row r="7865" ht="15.75" customHeight="1">
      <c r="A7865" s="1">
        <v>8449.0</v>
      </c>
      <c r="B7865" s="3" t="s">
        <v>7571</v>
      </c>
      <c r="C7865" s="3" t="str">
        <f>IFERROR(__xludf.DUMMYFUNCTION("GOOGLETRANSLATE(B7865,""id"",""en"")"),"['', 'star', 'yaaaa', 'steady', '']")</f>
        <v>['', 'star', 'yaaaa', 'steady', '']</v>
      </c>
      <c r="D7865" s="3">
        <v>4.0</v>
      </c>
    </row>
    <row r="7866" ht="15.75" customHeight="1">
      <c r="A7866" s="1">
        <v>8450.0</v>
      </c>
      <c r="B7866" s="3" t="s">
        <v>7572</v>
      </c>
      <c r="C7866" s="3" t="str">
        <f>IFERROR(__xludf.DUMMYFUNCTION("GOOGLETRANSLATE(B7866,""id"",""en"")"),"['Hello', 'Sis', 'pulse', 'kmrn', 'leftover', 'thousand', 'skrng', 'reduced', 'thousand', 'all day', 'service', 'telephone']")</f>
        <v>['Hello', 'Sis', 'pulse', 'kmrn', 'leftover', 'thousand', 'skrng', 'reduced', 'thousand', 'all day', 'service', 'telephone']</v>
      </c>
      <c r="D7866" s="3">
        <v>1.0</v>
      </c>
    </row>
    <row r="7867" ht="15.75" customHeight="1">
      <c r="A7867" s="1">
        <v>8451.0</v>
      </c>
      <c r="B7867" s="3" t="s">
        <v>7573</v>
      </c>
      <c r="C7867" s="3" t="str">
        <f>IFERROR(__xludf.DUMMYFUNCTION("GOOGLETRANSLATE(B7867,""id"",""en"")"),"['Easy', 'Bench ""]")</f>
        <v>['Easy', 'Bench "]</v>
      </c>
      <c r="D7867" s="3">
        <v>5.0</v>
      </c>
    </row>
    <row r="7868" ht="15.75" customHeight="1">
      <c r="A7868" s="1">
        <v>8452.0</v>
      </c>
      <c r="B7868" s="3" t="s">
        <v>7574</v>
      </c>
      <c r="C7868" s="3" t="str">
        <f>IFERROR(__xludf.DUMMYFUNCTION("GOOGLETRANSLATE(B7868,""id"",""en"")"),"['Application', 'Good', 'Please', 'Increase', 'Points', 'Disorders', 'Exchange', 'Package', 'Data', 'Trimakasi']")</f>
        <v>['Application', 'Good', 'Please', 'Increase', 'Points', 'Disorders', 'Exchange', 'Package', 'Data', 'Trimakasi']</v>
      </c>
      <c r="D7868" s="3">
        <v>5.0</v>
      </c>
    </row>
    <row r="7869" ht="15.75" customHeight="1">
      <c r="A7869" s="1">
        <v>8454.0</v>
      </c>
      <c r="B7869" s="3" t="s">
        <v>7575</v>
      </c>
      <c r="C7869" s="3" t="str">
        <f>IFERROR(__xludf.DUMMYFUNCTION("GOOGLETRANSLATE(B7869,""id"",""en"")"),"['Best']")</f>
        <v>['Best']</v>
      </c>
      <c r="D7869" s="3">
        <v>3.0</v>
      </c>
    </row>
    <row r="7870" ht="15.75" customHeight="1">
      <c r="A7870" s="1">
        <v>8455.0</v>
      </c>
      <c r="B7870" s="3" t="s">
        <v>7576</v>
      </c>
      <c r="C7870" s="3" t="str">
        <f>IFERROR(__xludf.DUMMYFUNCTION("GOOGLETRANSLATE(B7870,""id"",""en"")"),"['Sayang', 'Snyal', 'in', 'home', 'ugly', 'bngt', 'right', 'use', 'maen', 'game', 'ktu', 'enemy', ' Auto ',' Drop ',' ping ',' Snyanya ',' TPI ',' home ',' signal ',' stable ',' maen ',' game ',' hrus', 'diem', 'house' , 'TEGA', 'KMU', 'SKRANG', '']")</f>
        <v>['Sayang', 'Snyal', 'in', 'home', 'ugly', 'bngt', 'right', 'use', 'maen', 'game', 'ktu', 'enemy', ' Auto ',' Drop ',' ping ',' Snyanya ',' TPI ',' home ',' signal ',' stable ',' maen ',' game ',' hrus', 'diem', 'house' , 'TEGA', 'KMU', 'SKRANG', '']</v>
      </c>
      <c r="D7870" s="3">
        <v>1.0</v>
      </c>
    </row>
    <row r="7871" ht="15.75" customHeight="1">
      <c r="A7871" s="1">
        <v>8456.0</v>
      </c>
      <c r="B7871" s="3" t="s">
        <v>7577</v>
      </c>
      <c r="C7871" s="3" t="str">
        <f>IFERROR(__xludf.DUMMYFUNCTION("GOOGLETRANSLATE(B7871,""id"",""en"")"),"['Application', 'motherkn', 'bought', 'kouta']")</f>
        <v>['Application', 'motherkn', 'bought', 'kouta']</v>
      </c>
      <c r="D7871" s="3">
        <v>5.0</v>
      </c>
    </row>
    <row r="7872" ht="15.75" customHeight="1">
      <c r="A7872" s="1">
        <v>8458.0</v>
      </c>
      <c r="B7872" s="3" t="s">
        <v>7578</v>
      </c>
      <c r="C7872" s="3" t="str">
        <f>IFERROR(__xludf.DUMMYFUNCTION("GOOGLETRANSLATE(B7872,""id"",""en"")"),"['Love', 'Star', 'Points', 'Exchange', '']")</f>
        <v>['Love', 'Star', 'Points', 'Exchange', '']</v>
      </c>
      <c r="D7872" s="3">
        <v>5.0</v>
      </c>
    </row>
    <row r="7873" ht="15.75" customHeight="1">
      <c r="A7873" s="1">
        <v>8459.0</v>
      </c>
      <c r="B7873" s="3" t="s">
        <v>7579</v>
      </c>
      <c r="C7873" s="3" t="str">
        <f>IFERROR(__xludf.DUMMYFUNCTION("GOOGLETRANSLATE(B7873,""id"",""en"")"),"['Telkomsel', 'strange', 'pulses',' truncated ',' internet ',' reasons', 'quota', 'local', 'used', 'zone', 'registered', 'buy', ' package ',' GB ',' times', 'internet', 'local', 'use', 'area', 'loss',' quota ',' dam ',' loss', 'credit', 'response' , 'FYI'"&amp;", 'credit', 'truncated', 'thousand']")</f>
        <v>['Telkomsel', 'strange', 'pulses',' truncated ',' internet ',' reasons', 'quota', 'local', 'used', 'zone', 'registered', 'buy', ' package ',' GB ',' times', 'internet', 'local', 'use', 'area', 'loss',' quota ',' dam ',' loss', 'credit', 'response' , 'FYI', 'credit', 'truncated', 'thousand']</v>
      </c>
      <c r="D7873" s="3">
        <v>1.0</v>
      </c>
    </row>
    <row r="7874" ht="15.75" customHeight="1">
      <c r="A7874" s="1">
        <v>8460.0</v>
      </c>
      <c r="B7874" s="3" t="s">
        <v>7580</v>
      </c>
      <c r="C7874" s="3" t="str">
        <f>IFERROR(__xludf.DUMMYFUNCTION("GOOGLETRANSLATE(B7874,""id"",""en"")"),"['entry', 'difficult', 'network', 'ugly', 'use', 'link', 'send', 'sms',' system ',' connection ',' internet ',' buy ',' The package is', 'Try', 'Application', 'Promotions',' Package ',' Dial ',' ']")</f>
        <v>['entry', 'difficult', 'network', 'ugly', 'use', 'link', 'send', 'sms',' system ',' connection ',' internet ',' buy ',' The package is', 'Try', 'Application', 'Promotions',' Package ',' Dial ',' ']</v>
      </c>
      <c r="D7874" s="3">
        <v>4.0</v>
      </c>
    </row>
    <row r="7875" ht="15.75" customHeight="1">
      <c r="A7875" s="1">
        <v>8461.0</v>
      </c>
      <c r="B7875" s="3" t="s">
        <v>7581</v>
      </c>
      <c r="C7875" s="3" t="str">
        <f>IFERROR(__xludf.DUMMYFUNCTION("GOOGLETRANSLATE(B7875,""id"",""en"")"),"['Signal', 'Region', 'Village', 'Wonorejo', 'Kec', 'Guntur', 'Kab', 'Demak', 'Javanese', 'ugly', 'Please', 'Fix']")</f>
        <v>['Signal', 'Region', 'Village', 'Wonorejo', 'Kec', 'Guntur', 'Kab', 'Demak', 'Javanese', 'ugly', 'Please', 'Fix']</v>
      </c>
      <c r="D7875" s="3">
        <v>1.0</v>
      </c>
    </row>
    <row r="7876" ht="15.75" customHeight="1">
      <c r="A7876" s="1">
        <v>8462.0</v>
      </c>
      <c r="B7876" s="3" t="s">
        <v>7582</v>
      </c>
      <c r="C7876" s="3" t="str">
        <f>IFERROR(__xludf.DUMMYFUNCTION("GOOGLETRANSLATE(B7876,""id"",""en"")"),"['Trimakasih', 'Telkomsel', 'Customer', 'Your Setia']")</f>
        <v>['Trimakasih', 'Telkomsel', 'Customer', 'Your Setia']</v>
      </c>
      <c r="D7876" s="3">
        <v>5.0</v>
      </c>
    </row>
    <row r="7877" ht="15.75" customHeight="1">
      <c r="A7877" s="1">
        <v>8463.0</v>
      </c>
      <c r="B7877" s="3" t="s">
        <v>7583</v>
      </c>
      <c r="C7877" s="3" t="str">
        <f>IFERROR(__xludf.DUMMYFUNCTION("GOOGLETRANSLATE(B7877,""id"",""en"")"),"['waw', 'good', 'really', 'good', 'signal', 'good', ""]")</f>
        <v>['waw', 'good', 'really', 'good', 'signal', 'good', "]</v>
      </c>
      <c r="D7877" s="3">
        <v>5.0</v>
      </c>
    </row>
    <row r="7878" ht="15.75" customHeight="1">
      <c r="A7878" s="1">
        <v>8464.0</v>
      </c>
      <c r="B7878" s="3" t="s">
        <v>7584</v>
      </c>
      <c r="C7878" s="3" t="str">
        <f>IFERROR(__xludf.DUMMYFUNCTION("GOOGLETRANSLATE(B7878,""id"",""en"")"),"['Sukak', 'really', 'use', 'application', 'Telkomsel', 'help', 'choose', 'package', 'internet', 'easy', 'kawand', 'promo', ' Hehehe']")</f>
        <v>['Sukak', 'really', 'use', 'application', 'Telkomsel', 'help', 'choose', 'package', 'internet', 'easy', 'kawand', 'promo', ' Hehehe']</v>
      </c>
      <c r="D7878" s="3">
        <v>5.0</v>
      </c>
    </row>
    <row r="7879" ht="15.75" customHeight="1">
      <c r="A7879" s="1">
        <v>8465.0</v>
      </c>
      <c r="B7879" s="3" t="s">
        <v>7585</v>
      </c>
      <c r="C7879" s="3" t="str">
        <f>IFERROR(__xludf.DUMMYFUNCTION("GOOGLETRANSLATE(B7879,""id"",""en"")"),"['Certified']")</f>
        <v>['Certified']</v>
      </c>
      <c r="D7879" s="3">
        <v>5.0</v>
      </c>
    </row>
    <row r="7880" ht="15.75" customHeight="1">
      <c r="A7880" s="1">
        <v>8466.0</v>
      </c>
      <c r="B7880" s="3" t="s">
        <v>7586</v>
      </c>
      <c r="C7880" s="3" t="str">
        <f>IFERROR(__xludf.DUMMYFUNCTION("GOOGLETRANSLATE(B7880,""id"",""en"")"),"['Star', 'dlu']")</f>
        <v>['Star', 'dlu']</v>
      </c>
      <c r="D7880" s="3">
        <v>5.0</v>
      </c>
    </row>
    <row r="7881" ht="15.75" customHeight="1">
      <c r="A7881" s="1">
        <v>8467.0</v>
      </c>
      <c r="B7881" s="3" t="s">
        <v>885</v>
      </c>
      <c r="C7881" s="3" t="str">
        <f>IFERROR(__xludf.DUMMYFUNCTION("GOOGLETRANSLATE(B7881,""id"",""en"")"),"['Good', 'application']")</f>
        <v>['Good', 'application']</v>
      </c>
      <c r="D7881" s="3">
        <v>5.0</v>
      </c>
    </row>
    <row r="7882" ht="15.75" customHeight="1">
      <c r="A7882" s="1">
        <v>8468.0</v>
      </c>
      <c r="B7882" s="3" t="s">
        <v>7587</v>
      </c>
      <c r="C7882" s="3" t="str">
        <f>IFERROR(__xludf.DUMMYFUNCTION("GOOGLETRANSLATE(B7882,""id"",""en"")"),"['It's easy', 'transaction', 'package']")</f>
        <v>['It's easy', 'transaction', 'package']</v>
      </c>
      <c r="D7882" s="3">
        <v>4.0</v>
      </c>
    </row>
    <row r="7883" ht="15.75" customHeight="1">
      <c r="A7883" s="1">
        <v>8469.0</v>
      </c>
      <c r="B7883" s="3" t="s">
        <v>7588</v>
      </c>
      <c r="C7883" s="3" t="str">
        <f>IFERROR(__xludf.DUMMYFUNCTION("GOOGLETRANSLATE(B7883,""id"",""en"")"),"['pulse', 'missing', 'enter', 'direct', 'abiss', 'activated', 'data', 'strange', 'telkom', 'lazy', 'telkomsel']")</f>
        <v>['pulse', 'missing', 'enter', 'direct', 'abiss', 'activated', 'data', 'strange', 'telkom', 'lazy', 'telkomsel']</v>
      </c>
      <c r="D7883" s="3">
        <v>1.0</v>
      </c>
    </row>
    <row r="7884" ht="15.75" customHeight="1">
      <c r="A7884" s="1">
        <v>8470.0</v>
      </c>
      <c r="B7884" s="3" t="s">
        <v>7589</v>
      </c>
      <c r="C7884" s="3" t="str">
        <f>IFERROR(__xludf.DUMMYFUNCTION("GOOGLETRANSLATE(B7884,""id"",""en"")"),"['Steady', 'fast', 'smooth']")</f>
        <v>['Steady', 'fast', 'smooth']</v>
      </c>
      <c r="D7884" s="3">
        <v>5.0</v>
      </c>
    </row>
    <row r="7885" ht="15.75" customHeight="1">
      <c r="A7885" s="1">
        <v>8471.0</v>
      </c>
      <c r="B7885" s="3" t="s">
        <v>7590</v>
      </c>
      <c r="C7885" s="3" t="str">
        <f>IFERROR(__xludf.DUMMYFUNCTION("GOOGLETRANSLATE(B7885,""id"",""en"")"),"['steady', 'information', 'bsrta', 'package', 'makjoss']")</f>
        <v>['steady', 'information', 'bsrta', 'package', 'makjoss']</v>
      </c>
      <c r="D7885" s="3">
        <v>5.0</v>
      </c>
    </row>
    <row r="7886" ht="15.75" customHeight="1">
      <c r="A7886" s="1">
        <v>8472.0</v>
      </c>
      <c r="B7886" s="3" t="s">
        <v>7591</v>
      </c>
      <c r="C7886" s="3" t="str">
        <f>IFERROR(__xludf.DUMMYFUNCTION("GOOGLETRANSLATE(B7886,""id"",""en"")"),"['Help', 'Signal', 'Kenceng', '']")</f>
        <v>['Help', 'Signal', 'Kenceng', '']</v>
      </c>
      <c r="D7886" s="3">
        <v>5.0</v>
      </c>
    </row>
    <row r="7887" ht="15.75" customHeight="1">
      <c r="A7887" s="1">
        <v>8473.0</v>
      </c>
      <c r="B7887" s="3" t="s">
        <v>7592</v>
      </c>
      <c r="C7887" s="3" t="str">
        <f>IFERROR(__xludf.DUMMYFUNCTION("GOOGLETRANSLATE(B7887,""id"",""en"")"),"['Help', 'thank you']")</f>
        <v>['Help', 'thank you']</v>
      </c>
      <c r="D7887" s="3">
        <v>5.0</v>
      </c>
    </row>
    <row r="7888" ht="15.75" customHeight="1">
      <c r="A7888" s="1">
        <v>8474.0</v>
      </c>
      <c r="B7888" s="3" t="s">
        <v>7593</v>
      </c>
      <c r="C7888" s="3" t="str">
        <f>IFERROR(__xludf.DUMMYFUNCTION("GOOGLETRANSLATE(B7888,""id"",""en"")"),"['In the area', 'signal', 'slow', 'aka', 'slow']")</f>
        <v>['In the area', 'signal', 'slow', 'aka', 'slow']</v>
      </c>
      <c r="D7888" s="3">
        <v>1.0</v>
      </c>
    </row>
    <row r="7889" ht="15.75" customHeight="1">
      <c r="A7889" s="1">
        <v>8475.0</v>
      </c>
      <c r="B7889" s="3" t="s">
        <v>677</v>
      </c>
      <c r="C7889" s="3" t="str">
        <f>IFERROR(__xludf.DUMMYFUNCTION("GOOGLETRANSLATE(B7889,""id"",""en"")"),"['Telkomsel']")</f>
        <v>['Telkomsel']</v>
      </c>
      <c r="D7889" s="3">
        <v>5.0</v>
      </c>
    </row>
    <row r="7890" ht="15.75" customHeight="1">
      <c r="A7890" s="1">
        <v>8476.0</v>
      </c>
      <c r="B7890" s="3" t="s">
        <v>7594</v>
      </c>
      <c r="C7890" s="3" t="str">
        <f>IFERROR(__xludf.DUMMYFUNCTION("GOOGLETRANSLATE(B7890,""id"",""en"")"),"['Paketan', 'Rb', 'Delicious', 'Doly Hula', '']")</f>
        <v>['Paketan', 'Rb', 'Delicious', 'Doly Hula', '']</v>
      </c>
      <c r="D7890" s="3">
        <v>5.0</v>
      </c>
    </row>
    <row r="7891" ht="15.75" customHeight="1">
      <c r="A7891" s="1">
        <v>8477.0</v>
      </c>
      <c r="B7891" s="3" t="s">
        <v>7595</v>
      </c>
      <c r="C7891" s="3" t="str">
        <f>IFERROR(__xludf.DUMMYFUNCTION("GOOGLETRANSLATE(B7891,""id"",""en"")"),"['Keereen', 'easy', 'simple']")</f>
        <v>['Keereen', 'easy', 'simple']</v>
      </c>
      <c r="D7891" s="3">
        <v>4.0</v>
      </c>
    </row>
    <row r="7892" ht="15.75" customHeight="1">
      <c r="A7892" s="1">
        <v>8480.0</v>
      </c>
      <c r="B7892" s="3" t="s">
        <v>7596</v>
      </c>
      <c r="C7892" s="3" t="str">
        <f>IFERROR(__xludf.DUMMYFUNCTION("GOOGLETRANSLATE(B7892,""id"",""en"")"),"['account', 'Top', 'Telkomsel', 'fast']")</f>
        <v>['account', 'Top', 'Telkomsel', 'fast']</v>
      </c>
      <c r="D7892" s="3">
        <v>5.0</v>
      </c>
    </row>
    <row r="7893" ht="15.75" customHeight="1">
      <c r="A7893" s="1">
        <v>8481.0</v>
      </c>
      <c r="B7893" s="3" t="s">
        <v>7597</v>
      </c>
      <c r="C7893" s="3" t="str">
        <f>IFERROR(__xludf.DUMMYFUNCTION("GOOGLETRANSLATE(B7893,""id"",""en"")"),"['Difficult', 'enter', '']")</f>
        <v>['Difficult', 'enter', '']</v>
      </c>
      <c r="D7893" s="3">
        <v>5.0</v>
      </c>
    </row>
    <row r="7894" ht="15.75" customHeight="1">
      <c r="A7894" s="1">
        <v>8483.0</v>
      </c>
      <c r="B7894" s="3" t="s">
        <v>7598</v>
      </c>
      <c r="C7894" s="3" t="str">
        <f>IFERROR(__xludf.DUMMYFUNCTION("GOOGLETRANSLATE(B7894,""id"",""en"")"),"['package', 'internet', 'expensive', 'compare', 'operator', '']")</f>
        <v>['package', 'internet', 'expensive', 'compare', 'operator', '']</v>
      </c>
      <c r="D7894" s="3">
        <v>1.0</v>
      </c>
    </row>
    <row r="7895" ht="15.75" customHeight="1">
      <c r="A7895" s="1">
        <v>8484.0</v>
      </c>
      <c r="B7895" s="3" t="s">
        <v>885</v>
      </c>
      <c r="C7895" s="3" t="str">
        <f>IFERROR(__xludf.DUMMYFUNCTION("GOOGLETRANSLATE(B7895,""id"",""en"")"),"['Good', 'application']")</f>
        <v>['Good', 'application']</v>
      </c>
      <c r="D7895" s="3">
        <v>5.0</v>
      </c>
    </row>
    <row r="7896" ht="15.75" customHeight="1">
      <c r="A7896" s="1">
        <v>8485.0</v>
      </c>
      <c r="B7896" s="3" t="s">
        <v>7599</v>
      </c>
      <c r="C7896" s="3" t="str">
        <f>IFERROR(__xludf.DUMMYFUNCTION("GOOGLETRANSLATE(B7896,""id"",""en"")"),"['package', 'expensive', 'expensive']")</f>
        <v>['package', 'expensive', 'expensive']</v>
      </c>
      <c r="D7896" s="3">
        <v>1.0</v>
      </c>
    </row>
    <row r="7897" ht="15.75" customHeight="1">
      <c r="A7897" s="1">
        <v>8486.0</v>
      </c>
      <c r="B7897" s="3" t="s">
        <v>7600</v>
      </c>
      <c r="C7897" s="3" t="str">
        <f>IFERROR(__xludf.DUMMYFUNCTION("GOOGLETRANSLATE(B7897,""id"",""en"")"),"['hopefully', '']")</f>
        <v>['hopefully', '']</v>
      </c>
      <c r="D7897" s="3">
        <v>5.0</v>
      </c>
    </row>
    <row r="7898" ht="15.75" customHeight="1">
      <c r="A7898" s="1">
        <v>8487.0</v>
      </c>
      <c r="B7898" s="3" t="s">
        <v>7601</v>
      </c>
      <c r="C7898" s="3" t="str">
        <f>IFERROR(__xludf.DUMMYFUNCTION("GOOGLETRANSLATE(B7898,""id"",""en"")"),"['quota', 'entered', 'Yesterday', 'payment', 'Gopay', 'application', 'Telkomsel']")</f>
        <v>['quota', 'entered', 'Yesterday', 'payment', 'Gopay', 'application', 'Telkomsel']</v>
      </c>
      <c r="D7898" s="3">
        <v>1.0</v>
      </c>
    </row>
    <row r="7899" ht="15.75" customHeight="1">
      <c r="A7899" s="1">
        <v>8488.0</v>
      </c>
      <c r="B7899" s="3" t="s">
        <v>7602</v>
      </c>
      <c r="C7899" s="3" t="str">
        <f>IFERROR(__xludf.DUMMYFUNCTION("GOOGLETRANSLATE(B7899,""id"",""en"")"),"['Application', 'BURIK', 'buy', 'package', 'system', 'busy', 'just']")</f>
        <v>['Application', 'BURIK', 'buy', 'package', 'system', 'busy', 'just']</v>
      </c>
      <c r="D7899" s="3">
        <v>1.0</v>
      </c>
    </row>
    <row r="7900" ht="15.75" customHeight="1">
      <c r="A7900" s="1">
        <v>8489.0</v>
      </c>
      <c r="B7900" s="3" t="s">
        <v>7603</v>
      </c>
      <c r="C7900" s="3" t="str">
        <f>IFERROR(__xludf.DUMMYFUNCTION("GOOGLETRANSLATE(B7900,""id"",""en"")"),"['Price', 'quota', 'according to', 'dangan', 'promote']")</f>
        <v>['Price', 'quota', 'according to', 'dangan', 'promote']</v>
      </c>
      <c r="D7900" s="3">
        <v>4.0</v>
      </c>
    </row>
    <row r="7901" ht="15.75" customHeight="1">
      <c r="A7901" s="1">
        <v>8490.0</v>
      </c>
      <c r="B7901" s="3" t="s">
        <v>7604</v>
      </c>
      <c r="C7901" s="3" t="str">
        <f>IFERROR(__xludf.DUMMYFUNCTION("GOOGLETRANSLATE(B7901,""id"",""en"")"),"['contents', 'pulse', 'open', 'apps', 'telkomsel', 'buy', 'package', 'sempet', 'buy', 'leftover', 'manteb', 'emang']")</f>
        <v>['contents', 'pulse', 'open', 'apps', 'telkomsel', 'buy', 'package', 'sempet', 'buy', 'leftover', 'manteb', 'emang']</v>
      </c>
      <c r="D7901" s="3">
        <v>1.0</v>
      </c>
    </row>
    <row r="7902" ht="15.75" customHeight="1">
      <c r="A7902" s="1">
        <v>8491.0</v>
      </c>
      <c r="B7902" s="3" t="s">
        <v>7605</v>
      </c>
      <c r="C7902" s="3" t="str">
        <f>IFERROR(__xludf.DUMMYFUNCTION("GOOGLETRANSLATE(B7902,""id"",""en"")"),"['Easy', 'got', 'Aamiin']")</f>
        <v>['Easy', 'got', 'Aamiin']</v>
      </c>
      <c r="D7902" s="3">
        <v>4.0</v>
      </c>
    </row>
    <row r="7903" ht="15.75" customHeight="1">
      <c r="A7903" s="1">
        <v>8492.0</v>
      </c>
      <c r="B7903" s="3" t="s">
        <v>7606</v>
      </c>
      <c r="C7903" s="3" t="str">
        <f>IFERROR(__xludf.DUMMYFUNCTION("GOOGLETRANSLATE(B7903,""id"",""en"")"),"['knp', 'application', 'open', '']")</f>
        <v>['knp', 'application', 'open', '']</v>
      </c>
      <c r="D7903" s="3">
        <v>5.0</v>
      </c>
    </row>
    <row r="7904" ht="15.75" customHeight="1">
      <c r="A7904" s="1">
        <v>8494.0</v>
      </c>
      <c r="B7904" s="3" t="s">
        <v>7607</v>
      </c>
      <c r="C7904" s="3" t="str">
        <f>IFERROR(__xludf.DUMMYFUNCTION("GOOGLETRANSLATE(B7904,""id"",""en"")"),"['application', 'useful', 'buy', 'package', 'difficult', 'good', 'promo', 'already', 'buy', 'pulse', 'according to', 'promo', ' promo ',' error ',' severe ']")</f>
        <v>['application', 'useful', 'buy', 'package', 'difficult', 'good', 'promo', 'already', 'buy', 'pulse', 'according to', 'promo', ' promo ',' error ',' severe ']</v>
      </c>
      <c r="D7904" s="3">
        <v>1.0</v>
      </c>
    </row>
    <row r="7905" ht="15.75" customHeight="1">
      <c r="A7905" s="1">
        <v>8495.0</v>
      </c>
      <c r="B7905" s="3" t="s">
        <v>7608</v>
      </c>
      <c r="C7905" s="3" t="str">
        <f>IFERROR(__xludf.DUMMYFUNCTION("GOOGLETRANSLATE(B7905,""id"",""en"")"),"['Severe', 'Signal', 'Network', 'ugly']")</f>
        <v>['Severe', 'Signal', 'Network', 'ugly']</v>
      </c>
      <c r="D7905" s="3">
        <v>1.0</v>
      </c>
    </row>
    <row r="7906" ht="15.75" customHeight="1">
      <c r="A7906" s="1">
        <v>8496.0</v>
      </c>
      <c r="B7906" s="3" t="s">
        <v>7609</v>
      </c>
      <c r="C7906" s="3" t="str">
        <f>IFERROR(__xludf.DUMMYFUNCTION("GOOGLETRANSLATE(B7906,""id"",""en"")"),"['Goood', 'Manggial', 'APK', 'mah']")</f>
        <v>['Goood', 'Manggial', 'APK', 'mah']</v>
      </c>
      <c r="D7906" s="3">
        <v>5.0</v>
      </c>
    </row>
    <row r="7907" ht="15.75" customHeight="1">
      <c r="A7907" s="1">
        <v>8497.0</v>
      </c>
      <c r="B7907" s="3" t="s">
        <v>7610</v>
      </c>
      <c r="C7907" s="3" t="str">
        <f>IFERROR(__xludf.DUMMYFUNCTION("GOOGLETRANSLATE(B7907,""id"",""en"")"),"['Sinyal', 'Kyk', 'now', 'buy', 'Paketan', 'Gede', 'Abis',' Should ',' Open ',' Video ',' Photo ',' Muter ',' Mulu ',' signal ']")</f>
        <v>['Sinyal', 'Kyk', 'now', 'buy', 'Paketan', 'Gede', 'Abis',' Should ',' Open ',' Video ',' Photo ',' Muter ',' Mulu ',' signal ']</v>
      </c>
      <c r="D7907" s="3">
        <v>1.0</v>
      </c>
    </row>
    <row r="7908" ht="15.75" customHeight="1">
      <c r="A7908" s="1">
        <v>8498.0</v>
      </c>
      <c r="B7908" s="3" t="s">
        <v>7611</v>
      </c>
      <c r="C7908" s="3" t="str">
        <f>IFERROR(__xludf.DUMMYFUNCTION("GOOGLETRANSLATE(B7908,""id"",""en"")"),"['convenience', 'registration', 'card', 'prepaid', 'sometimes',' requirements', 'filled', 'according to', 'request', 'filled', 'pulse', 'function', ' ']")</f>
        <v>['convenience', 'registration', 'card', 'prepaid', 'sometimes',' requirements', 'filled', 'according to', 'request', 'filled', 'pulse', 'function', ' ']</v>
      </c>
      <c r="D7908" s="3">
        <v>4.0</v>
      </c>
    </row>
    <row r="7909" ht="15.75" customHeight="1">
      <c r="A7909" s="1">
        <v>8499.0</v>
      </c>
      <c r="B7909" s="3" t="s">
        <v>7612</v>
      </c>
      <c r="C7909" s="3" t="str">
        <f>IFERROR(__xludf.DUMMYFUNCTION("GOOGLETRANSLATE(B7909,""id"",""en"")"),"['Good', 'trusted']")</f>
        <v>['Good', 'trusted']</v>
      </c>
      <c r="D7909" s="3">
        <v>5.0</v>
      </c>
    </row>
    <row r="7910" ht="15.75" customHeight="1">
      <c r="A7910" s="1">
        <v>8501.0</v>
      </c>
      <c r="B7910" s="3" t="s">
        <v>7613</v>
      </c>
      <c r="C7910" s="3" t="str">
        <f>IFERROR(__xludf.DUMMYFUNCTION("GOOGLETRANSLATE(B7910,""id"",""en"")"),"['Points', 'exchanged', 'pulses']")</f>
        <v>['Points', 'exchanged', 'pulses']</v>
      </c>
      <c r="D7910" s="3">
        <v>5.0</v>
      </c>
    </row>
    <row r="7911" ht="15.75" customHeight="1">
      <c r="A7911" s="1">
        <v>8503.0</v>
      </c>
      <c r="B7911" s="3" t="s">
        <v>7614</v>
      </c>
      <c r="C7911" s="3" t="str">
        <f>IFERROR(__xludf.DUMMYFUNCTION("GOOGLETRANSLATE(B7911,""id"",""en"")"),"['slow', 'signal', 'Telkomsel', 'LEG']")</f>
        <v>['slow', 'signal', 'Telkomsel', 'LEG']</v>
      </c>
      <c r="D7911" s="3">
        <v>1.0</v>
      </c>
    </row>
    <row r="7912" ht="15.75" customHeight="1">
      <c r="A7912" s="1">
        <v>8504.0</v>
      </c>
      <c r="B7912" s="3" t="s">
        <v>7615</v>
      </c>
      <c r="C7912" s="3" t="str">
        <f>IFERROR(__xludf.DUMMYFUNCTION("GOOGLETRANSLATE(B7912,""id"",""en"")"),"['heavy', 'application', 'eat', 'use', 'data', 'efficient']")</f>
        <v>['heavy', 'application', 'eat', 'use', 'data', 'efficient']</v>
      </c>
      <c r="D7912" s="3">
        <v>1.0</v>
      </c>
    </row>
    <row r="7913" ht="15.75" customHeight="1">
      <c r="A7913" s="1">
        <v>8505.0</v>
      </c>
      <c r="B7913" s="3" t="s">
        <v>7616</v>
      </c>
      <c r="C7913" s="3" t="str">
        <f>IFERROR(__xludf.DUMMYFUNCTION("GOOGLETRANSLATE(B7913,""id"",""en"")"),"['Package', 'Increases', 'Price', 'Quality', 'Signal', 'Stagnant']")</f>
        <v>['Package', 'Increases', 'Price', 'Quality', 'Signal', 'Stagnant']</v>
      </c>
      <c r="D7913" s="3">
        <v>4.0</v>
      </c>
    </row>
    <row r="7914" ht="15.75" customHeight="1">
      <c r="A7914" s="1">
        <v>8506.0</v>
      </c>
      <c r="B7914" s="3" t="s">
        <v>2458</v>
      </c>
      <c r="C7914" s="3" t="str">
        <f>IFERROR(__xludf.DUMMYFUNCTION("GOOGLETRANSLATE(B7914,""id"",""en"")"),"['Update']")</f>
        <v>['Update']</v>
      </c>
      <c r="D7914" s="3">
        <v>1.0</v>
      </c>
    </row>
    <row r="7915" ht="15.75" customHeight="1">
      <c r="A7915" s="1">
        <v>8507.0</v>
      </c>
      <c r="B7915" s="3" t="s">
        <v>7617</v>
      </c>
      <c r="C7915" s="3" t="str">
        <f>IFERROR(__xludf.DUMMYFUNCTION("GOOGLETRANSLATE(B7915,""id"",""en"")"),"['Overall', 'Signal', 'Sometimes', 'Region', 'Signal', 'Weak', ""]")</f>
        <v>['Overall', 'Signal', 'Sometimes', 'Region', 'Signal', 'Weak', "]</v>
      </c>
      <c r="D7915" s="3">
        <v>5.0</v>
      </c>
    </row>
    <row r="7916" ht="15.75" customHeight="1">
      <c r="A7916" s="1">
        <v>8508.0</v>
      </c>
      <c r="B7916" s="3" t="s">
        <v>7618</v>
      </c>
      <c r="C7916" s="3" t="str">
        <f>IFERROR(__xludf.DUMMYFUNCTION("GOOGLETRANSLATE(B7916,""id"",""en"")"),"['Telkomsel', 'Provider', 'bad', 'at the time', 'need', 'access',' ANBK ',' SSCN ',' Lalod ',' Nauzubillah ',' quota ',' provider ',' Current ',' expensive ',' signal ',' bad ',' Indonesia ',' rain ',' original ',' emotion ', ""]")</f>
        <v>['Telkomsel', 'Provider', 'bad', 'at the time', 'need', 'access',' ANBK ',' SSCN ',' Lalod ',' Nauzubillah ',' quota ',' provider ',' Current ',' expensive ',' signal ',' bad ',' Indonesia ',' rain ',' original ',' emotion ', "]</v>
      </c>
      <c r="D7916" s="3">
        <v>1.0</v>
      </c>
    </row>
    <row r="7917" ht="15.75" customHeight="1">
      <c r="A7917" s="1">
        <v>8509.0</v>
      </c>
      <c r="B7917" s="3" t="s">
        <v>7619</v>
      </c>
      <c r="C7917" s="3" t="str">
        <f>IFERROR(__xludf.DUMMYFUNCTION("GOOGLETRANSLATE(B7917,""id"",""en"")"),"['Bad', 'Network', 'GPRS', 'KRTU', 'Service', 'Internet', 'Card', 'Act']")</f>
        <v>['Bad', 'Network', 'GPRS', 'KRTU', 'Service', 'Internet', 'Card', 'Act']</v>
      </c>
      <c r="D7917" s="3">
        <v>1.0</v>
      </c>
    </row>
    <row r="7918" ht="15.75" customHeight="1">
      <c r="A7918" s="1">
        <v>8510.0</v>
      </c>
      <c r="B7918" s="3" t="s">
        <v>7620</v>
      </c>
      <c r="C7918" s="3" t="str">
        <f>IFERROR(__xludf.DUMMYFUNCTION("GOOGLETRANSLATE(B7918,""id"",""en"")"),"['experience', 'users',' pulses', 'run out', 'Often', 'SMS', 'Reminder', 'late', 'enter', 'pulse', 'run out', ' Wear ',' pulse ',' regular ',' suggestion ',' please ',' donk ',' feature ',' control ',' pulse ',' neighbor ',' next door ',' quota ',' main '"&amp;" , 'run out', 'pulse', 'sucked', 'automatic', 'thank', 'love']")</f>
        <v>['experience', 'users',' pulses', 'run out', 'Often', 'SMS', 'Reminder', 'late', 'enter', 'pulse', 'run out', ' Wear ',' pulse ',' regular ',' suggestion ',' please ',' donk ',' feature ',' control ',' pulse ',' neighbor ',' next door ',' quota ',' main ' , 'run out', 'pulse', 'sucked', 'automatic', 'thank', 'love']</v>
      </c>
      <c r="D7918" s="3">
        <v>2.0</v>
      </c>
    </row>
    <row r="7919" ht="15.75" customHeight="1">
      <c r="A7919" s="1">
        <v>8511.0</v>
      </c>
      <c r="B7919" s="3" t="s">
        <v>7621</v>
      </c>
      <c r="C7919" s="3" t="str">
        <f>IFERROR(__xludf.DUMMYFUNCTION("GOOGLETRANSLATE(B7919,""id"",""en"")"),"['The application', 'good', 'promo', '']")</f>
        <v>['The application', 'good', 'promo', '']</v>
      </c>
      <c r="D7919" s="3">
        <v>5.0</v>
      </c>
    </row>
    <row r="7920" ht="15.75" customHeight="1">
      <c r="A7920" s="1">
        <v>8512.0</v>
      </c>
      <c r="B7920" s="3" t="s">
        <v>7622</v>
      </c>
      <c r="C7920" s="3" t="str">
        <f>IFERROR(__xludf.DUMMYFUNCTION("GOOGLETRANSLATE(B7920,""id"",""en"")"),"['Severe', 'Telkomsel', 'Arean', 'Banyuwangi', 'Javanese', 'East', 'Kecamatan', 'Muncar', 'Signal', 'Lost', 'Slow', 'Forgiveness',' Please, 'improve', 'so', 'subscription', 'Telkomsel', 'signal', 'weak', 'season', 'rain']")</f>
        <v>['Severe', 'Telkomsel', 'Arean', 'Banyuwangi', 'Javanese', 'East', 'Kecamatan', 'Muncar', 'Signal', 'Lost', 'Slow', 'Forgiveness',' Please, 'improve', 'so', 'subscription', 'Telkomsel', 'signal', 'weak', 'season', 'rain']</v>
      </c>
      <c r="D7920" s="3">
        <v>1.0</v>
      </c>
    </row>
    <row r="7921" ht="15.75" customHeight="1">
      <c r="A7921" s="1">
        <v>8513.0</v>
      </c>
      <c r="B7921" s="3" t="s">
        <v>7623</v>
      </c>
      <c r="C7921" s="3" t="str">
        <f>IFERROR(__xludf.DUMMYFUNCTION("GOOGLETRANSLATE(B7921,""id"",""en"")"),"['Reality', 'Fear', 'Contents',' Credit ',' Telkomsel ',' Nursing ',' WiFi ',' Credit ',' Sumpot ',' Sickness', 'Heart', 'Lhooo', ' Solution ',' PDAH ',' BYK ',' complaints', 'pulses',' taedot ']")</f>
        <v>['Reality', 'Fear', 'Contents',' Credit ',' Telkomsel ',' Nursing ',' WiFi ',' Credit ',' Sumpot ',' Sickness', 'Heart', 'Lhooo', ' Solution ',' PDAH ',' BYK ',' complaints', 'pulses',' taedot ']</v>
      </c>
      <c r="D7921" s="3">
        <v>1.0</v>
      </c>
    </row>
    <row r="7922" ht="15.75" customHeight="1">
      <c r="A7922" s="1">
        <v>8516.0</v>
      </c>
      <c r="B7922" s="3" t="s">
        <v>7624</v>
      </c>
      <c r="C7922" s="3" t="str">
        <f>IFERROR(__xludf.DUMMYFUNCTION("GOOGLETRANSLATE(B7922,""id"",""en"")"),"['buy', 'package', 'internet', 'telephone', 'sms',' sms', 'enter', 'hope', 'fix', 'service', 'chat', ' very']")</f>
        <v>['buy', 'package', 'internet', 'telephone', 'sms',' sms', 'enter', 'hope', 'fix', 'service', 'chat', ' very']</v>
      </c>
      <c r="D7922" s="3">
        <v>3.0</v>
      </c>
    </row>
    <row r="7923" ht="15.75" customHeight="1">
      <c r="A7923" s="1">
        <v>8517.0</v>
      </c>
      <c r="B7923" s="3" t="s">
        <v>7625</v>
      </c>
      <c r="C7923" s="3" t="str">
        <f>IFERROR(__xludf.DUMMYFUNCTION("GOOGLETRANSLATE(B7923,""id"",""en"")"),"['signal', 'kek', 'fix', 'ngelag', 'then', 'maen']")</f>
        <v>['signal', 'kek', 'fix', 'ngelag', 'then', 'maen']</v>
      </c>
      <c r="D7923" s="3">
        <v>1.0</v>
      </c>
    </row>
    <row r="7924" ht="15.75" customHeight="1">
      <c r="A7924" s="1">
        <v>8518.0</v>
      </c>
      <c r="B7924" s="3" t="s">
        <v>7626</v>
      </c>
      <c r="C7924" s="3" t="str">
        <f>IFERROR(__xludf.DUMMYFUNCTION("GOOGLETRANSLATE(B7924,""id"",""en"")"),"['Service', 'bad', 'system', 'like', 'error', 'package', 'data', 'like', 'enter', 'pulse', 'cut ""]")</f>
        <v>['Service', 'bad', 'system', 'like', 'error', 'package', 'data', 'like', 'enter', 'pulse', 'cut "]</v>
      </c>
      <c r="D7924" s="3">
        <v>2.0</v>
      </c>
    </row>
    <row r="7925" ht="15.75" customHeight="1">
      <c r="A7925" s="1">
        <v>8519.0</v>
      </c>
      <c r="B7925" s="3" t="s">
        <v>7627</v>
      </c>
      <c r="C7925" s="3" t="str">
        <f>IFERROR(__xludf.DUMMYFUNCTION("GOOGLETRANSLATE(B7925,""id"",""en"")"),"['Suggestion', 'Telkomsel', 'version', 'Lite', 'use', 'RAM', 'GB', 'JDI', 'application']")</f>
        <v>['Suggestion', 'Telkomsel', 'version', 'Lite', 'use', 'RAM', 'GB', 'JDI', 'application']</v>
      </c>
      <c r="D7925" s="3">
        <v>4.0</v>
      </c>
    </row>
    <row r="7926" ht="15.75" customHeight="1">
      <c r="A7926" s="1">
        <v>8521.0</v>
      </c>
      <c r="B7926" s="3" t="s">
        <v>7628</v>
      </c>
      <c r="C7926" s="3" t="str">
        <f>IFERROR(__xludf.DUMMYFUNCTION("GOOGLETRANSLATE(B7926,""id"",""en"")"),"['Telkomsel', 'rampok', 'pulse', 'use', 'application', 'pulse', 'direct', 'truncated', 'sometimes', 'finished', 'pulses', ""]")</f>
        <v>['Telkomsel', 'rampok', 'pulse', 'use', 'application', 'pulse', 'direct', 'truncated', 'sometimes', 'finished', 'pulses', "]</v>
      </c>
      <c r="D7926" s="3">
        <v>1.0</v>
      </c>
    </row>
    <row r="7927" ht="15.75" customHeight="1">
      <c r="A7927" s="1">
        <v>8522.0</v>
      </c>
      <c r="B7927" s="3" t="s">
        <v>7629</v>
      </c>
      <c r="C7927" s="3" t="str">
        <f>IFERROR(__xludf.DUMMYFUNCTION("GOOGLETRANSLATE(B7927,""id"",""en"")"),"['It's easy', 'Thanks', 'Telkomsel']")</f>
        <v>['It's easy', 'Thanks', 'Telkomsel']</v>
      </c>
      <c r="D7927" s="3">
        <v>5.0</v>
      </c>
    </row>
    <row r="7928" ht="15.75" customHeight="1">
      <c r="A7928" s="1">
        <v>8523.0</v>
      </c>
      <c r="B7928" s="3" t="s">
        <v>7630</v>
      </c>
      <c r="C7928" s="3" t="str">
        <f>IFERROR(__xludf.DUMMYFUNCTION("GOOGLETRANSLATE(B7928,""id"",""en"")"),"['Package', 'Internet', 'complete', 'cheap']")</f>
        <v>['Package', 'Internet', 'complete', 'cheap']</v>
      </c>
      <c r="D7928" s="3">
        <v>5.0</v>
      </c>
    </row>
    <row r="7929" ht="15.75" customHeight="1">
      <c r="A7929" s="1">
        <v>8524.0</v>
      </c>
      <c r="B7929" s="3" t="s">
        <v>7631</v>
      </c>
      <c r="C7929" s="3" t="str">
        <f>IFERROR(__xludf.DUMMYFUNCTION("GOOGLETRANSLATE(B7929,""id"",""en"")"),"['Telkomsel', 'LEG', 'LAG', 'Network', 'Telkomsel', 'Good', 'Disappointing', 'Please', 'Kasi', 'Kenda', ""]")</f>
        <v>['Telkomsel', 'LEG', 'LAG', 'Network', 'Telkomsel', 'Good', 'Disappointing', 'Please', 'Kasi', 'Kenda', "]</v>
      </c>
      <c r="D7929" s="3">
        <v>1.0</v>
      </c>
    </row>
    <row r="7930" ht="15.75" customHeight="1">
      <c r="A7930" s="1">
        <v>8525.0</v>
      </c>
      <c r="B7930" s="3" t="s">
        <v>7632</v>
      </c>
      <c r="C7930" s="3" t="str">
        <f>IFERROR(__xludf.DUMMYFUNCTION("GOOGLETRANSLATE(B7930,""id"",""en"")"),"['Increase', 'Service', 'Top', 'Swallow', 'Use', 'Credit', 'Direct', 'Use', 'Application', 'Support']")</f>
        <v>['Increase', 'Service', 'Top', 'Swallow', 'Use', 'Credit', 'Direct', 'Use', 'Application', 'Support']</v>
      </c>
      <c r="D7930" s="3">
        <v>5.0</v>
      </c>
    </row>
    <row r="7931" ht="15.75" customHeight="1">
      <c r="A7931" s="1">
        <v>8526.0</v>
      </c>
      <c r="B7931" s="3" t="s">
        <v>7633</v>
      </c>
      <c r="C7931" s="3" t="str">
        <f>IFERROR(__xludf.DUMMYFUNCTION("GOOGLETRANSLATE(B7931,""id"",""en"")"),"['Help', 'process', 'transaction']")</f>
        <v>['Help', 'process', 'transaction']</v>
      </c>
      <c r="D7931" s="3">
        <v>4.0</v>
      </c>
    </row>
    <row r="7932" ht="15.75" customHeight="1">
      <c r="A7932" s="1">
        <v>8527.0</v>
      </c>
      <c r="B7932" s="3" t="s">
        <v>7634</v>
      </c>
      <c r="C7932" s="3" t="str">
        <f>IFERROR(__xludf.DUMMYFUNCTION("GOOGLETRANSLATE(B7932,""id"",""en"")"),"['Steady', 'the application', 'like']")</f>
        <v>['Steady', 'the application', 'like']</v>
      </c>
      <c r="D7932" s="3">
        <v>5.0</v>
      </c>
    </row>
    <row r="7933" ht="15.75" customHeight="1">
      <c r="A7933" s="1">
        <v>8528.0</v>
      </c>
      <c r="B7933" s="3" t="s">
        <v>7635</v>
      </c>
      <c r="C7933" s="3" t="str">
        <f>IFERROR(__xludf.DUMMYFUNCTION("GOOGLETRANSLATE(B7933,""id"",""en"")"),"['Use', 'Telkomsel', 'satisfying', 'heart', '']")</f>
        <v>['Use', 'Telkomsel', 'satisfying', 'heart', '']</v>
      </c>
      <c r="D7933" s="3">
        <v>5.0</v>
      </c>
    </row>
    <row r="7934" ht="15.75" customHeight="1">
      <c r="A7934" s="1">
        <v>8529.0</v>
      </c>
      <c r="B7934" s="3" t="s">
        <v>7636</v>
      </c>
      <c r="C7934" s="3" t="str">
        <f>IFERROR(__xludf.DUMMYFUNCTION("GOOGLETRANSLATE(B7934,""id"",""en"")"),"['application', 'good', 'network', 'good', 'ngeleg']")</f>
        <v>['application', 'good', 'network', 'good', 'ngeleg']</v>
      </c>
      <c r="D7934" s="3">
        <v>5.0</v>
      </c>
    </row>
    <row r="7935" ht="15.75" customHeight="1">
      <c r="A7935" s="1">
        <v>8530.0</v>
      </c>
      <c r="B7935" s="3" t="s">
        <v>7637</v>
      </c>
      <c r="C7935" s="3" t="str">
        <f>IFERROR(__xludf.DUMMYFUNCTION("GOOGLETRANSLATE(B7935,""id"",""en"")"),"['Dilapidated', 'sucked', 'pulse', 'hobinye']")</f>
        <v>['Dilapidated', 'sucked', 'pulse', 'hobinye']</v>
      </c>
      <c r="D7935" s="3">
        <v>1.0</v>
      </c>
    </row>
    <row r="7936" ht="15.75" customHeight="1">
      <c r="A7936" s="1">
        <v>8531.0</v>
      </c>
      <c r="B7936" s="3" t="s">
        <v>7638</v>
      </c>
      <c r="C7936" s="3" t="str">
        <f>IFERROR(__xludf.DUMMYFUNCTION("GOOGLETRANSLATE(B7936,""id"",""en"")"),"['Network', 'Region', 'Leet', 'Min']")</f>
        <v>['Network', 'Region', 'Leet', 'Min']</v>
      </c>
      <c r="D7936" s="3">
        <v>3.0</v>
      </c>
    </row>
    <row r="7937" ht="15.75" customHeight="1">
      <c r="A7937" s="1">
        <v>8532.0</v>
      </c>
      <c r="B7937" s="3" t="s">
        <v>7639</v>
      </c>
      <c r="C7937" s="3" t="str">
        <f>IFERROR(__xludf.DUMMYFUNCTION("GOOGLETRANSLATE(B7937,""id"",""en"")"),"['Good', 'APK', 'min', 'like', 'exchange', 'point', 'dngn', 'gift']")</f>
        <v>['Good', 'APK', 'min', 'like', 'exchange', 'point', 'dngn', 'gift']</v>
      </c>
      <c r="D7937" s="3">
        <v>5.0</v>
      </c>
    </row>
    <row r="7938" ht="15.75" customHeight="1">
      <c r="A7938" s="1">
        <v>8534.0</v>
      </c>
      <c r="B7938" s="3" t="s">
        <v>7640</v>
      </c>
      <c r="C7938" s="3" t="str">
        <f>IFERROR(__xludf.DUMMYFUNCTION("GOOGLETRANSLATE(B7938,""id"",""en"")"),"['expensive', 'package', 'Goblog']")</f>
        <v>['expensive', 'package', 'Goblog']</v>
      </c>
      <c r="D7938" s="3">
        <v>1.0</v>
      </c>
    </row>
    <row r="7939" ht="15.75" customHeight="1">
      <c r="A7939" s="1">
        <v>8535.0</v>
      </c>
      <c r="B7939" s="3" t="s">
        <v>7641</v>
      </c>
      <c r="C7939" s="3" t="str">
        <f>IFERROR(__xludf.DUMMYFUNCTION("GOOGLETRANSLATE(B7939,""id"",""en"")"),"['recommed', 'staple', '']")</f>
        <v>['recommed', 'staple', '']</v>
      </c>
      <c r="D7939" s="3">
        <v>4.0</v>
      </c>
    </row>
    <row r="7940" ht="15.75" customHeight="1">
      <c r="A7940" s="1">
        <v>8536.0</v>
      </c>
      <c r="B7940" s="3" t="s">
        <v>7642</v>
      </c>
      <c r="C7940" s="3" t="str">
        <f>IFERROR(__xludf.DUMMYFUNCTION("GOOGLETRANSLATE(B7940,""id"",""en"")"),"['proud', 'signal', 'good', 'sinynya', 'ugly', 'knapa', 'pdhal', 'price', 'quota', 'expensive', 'please', 'fix', ' signal ']")</f>
        <v>['proud', 'signal', 'good', 'sinynya', 'ugly', 'knapa', 'pdhal', 'price', 'quota', 'expensive', 'please', 'fix', ' signal ']</v>
      </c>
      <c r="D7940" s="3">
        <v>1.0</v>
      </c>
    </row>
    <row r="7941" ht="15.75" customHeight="1">
      <c r="A7941" s="1">
        <v>8537.0</v>
      </c>
      <c r="B7941" s="3" t="s">
        <v>7643</v>
      </c>
      <c r="C7941" s="3" t="str">
        <f>IFERROR(__xludf.DUMMYFUNCTION("GOOGLETRANSLATE(B7941,""id"",""en"")"),"['Application', 'Help']")</f>
        <v>['Application', 'Help']</v>
      </c>
      <c r="D7941" s="3">
        <v>5.0</v>
      </c>
    </row>
    <row r="7942" ht="15.75" customHeight="1">
      <c r="A7942" s="1">
        <v>8538.0</v>
      </c>
      <c r="B7942" s="3" t="s">
        <v>7644</v>
      </c>
      <c r="C7942" s="3" t="str">
        <f>IFERROR(__xludf.DUMMYFUNCTION("GOOGLETRANSLATE(B7942,""id"",""en"")"),"['adequate']")</f>
        <v>['adequate']</v>
      </c>
      <c r="D7942" s="3">
        <v>2.0</v>
      </c>
    </row>
    <row r="7943" ht="15.75" customHeight="1">
      <c r="A7943" s="1">
        <v>8539.0</v>
      </c>
      <c r="B7943" s="3" t="s">
        <v>7645</v>
      </c>
      <c r="C7943" s="3" t="str">
        <f>IFERROR(__xludf.DUMMYFUNCTION("GOOGLETRANSLATE(B7943,""id"",""en"")"),"['BNTNG', 'suggestion', 'warm', 'tlng', 'upgrade', 'lgi', 'jringn', 'intrnet', 'cell', 'chaotic', 'kdang', 'can', ' kdang ',' cell ',' Membuat ',' millions', 'plngng', 'stia', 'mnjdi', 'ksal', 'brat', 'yrs',' lbih ',' mgnkn ',' jringn ' , 'PKET', 'Data', "&amp;"'Intrnet', 'cell', 'plngng "",' loyal ',' cell ',' yrs ',' katas ',' upgrade ',' bonus ',' mslkn ',' Point ',' can ',' Tukrkn ',' plsa ',' data ',' mnit ',' phone ',' pket ',' magic ',' tmbhin ',' quota ',' mnit ',' mnt ' , 'Mnjdi', 'MNT', 'Mntap', 'cell'"&amp;", 'plimnggn', 'loyal', 'loss', '']")</f>
        <v>['BNTNG', 'suggestion', 'warm', 'tlng', 'upgrade', 'lgi', 'jringn', 'intrnet', 'cell', 'chaotic', 'kdang', 'can', ' kdang ',' cell ',' Membuat ',' millions', 'plngng', 'stia', 'mnjdi', 'ksal', 'brat', 'yrs',' lbih ',' mgnkn ',' jringn ' , 'PKET', 'Data', 'Intrnet', 'cell', 'plngng ",' loyal ',' cell ',' yrs ',' katas ',' upgrade ',' bonus ',' mslkn ',' Point ',' can ',' Tukrkn ',' plsa ',' data ',' mnit ',' phone ',' pket ',' magic ',' tmbhin ',' quota ',' mnit ',' mnt ' , 'Mnjdi', 'MNT', 'Mntap', 'cell', 'plimnggn', 'loyal', 'loss', '']</v>
      </c>
      <c r="D7943" s="3">
        <v>4.0</v>
      </c>
    </row>
    <row r="7944" ht="15.75" customHeight="1">
      <c r="A7944" s="1">
        <v>8540.0</v>
      </c>
      <c r="B7944" s="3" t="s">
        <v>7646</v>
      </c>
      <c r="C7944" s="3" t="str">
        <f>IFERROR(__xludf.DUMMYFUNCTION("GOOGLETRANSLATE(B7944,""id"",""en"")"),"['expensive', 'network', 'stable', 'ngeleg', 'play', 'game', 'pulse', 'like', 'ilang', 'try', 'doang', 'width', ' Have ',' Love ',' Email ',' Address', 'Macem', 'Ujung', 'Edge', 'Credit', ""]")</f>
        <v>['expensive', 'network', 'stable', 'ngeleg', 'play', 'game', 'pulse', 'like', 'ilang', 'try', 'doang', 'width', ' Have ',' Love ',' Email ',' Address', 'Macem', 'Ujung', 'Edge', 'Credit', "]</v>
      </c>
      <c r="D7944" s="3">
        <v>1.0</v>
      </c>
    </row>
    <row r="7945" ht="15.75" customHeight="1">
      <c r="A7945" s="1">
        <v>8541.0</v>
      </c>
      <c r="B7945" s="3" t="s">
        <v>7647</v>
      </c>
      <c r="C7945" s="3" t="str">
        <f>IFERROR(__xludf.DUMMYFUNCTION("GOOGLETRANSLATE(B7945,""id"",""en"")"),"['buy']")</f>
        <v>['buy']</v>
      </c>
      <c r="D7945" s="3">
        <v>1.0</v>
      </c>
    </row>
    <row r="7946" ht="15.75" customHeight="1">
      <c r="A7946" s="1">
        <v>8542.0</v>
      </c>
      <c r="B7946" s="3" t="s">
        <v>7648</v>
      </c>
      <c r="C7946" s="3" t="str">
        <f>IFERROR(__xludf.DUMMYFUNCTION("GOOGLETRANSLATE(B7946,""id"",""en"")"),"['difficult', 'bonus', 'update', 'mytelkomsel']")</f>
        <v>['difficult', 'bonus', 'update', 'mytelkomsel']</v>
      </c>
      <c r="D7946" s="3">
        <v>1.0</v>
      </c>
    </row>
    <row r="7947" ht="15.75" customHeight="1">
      <c r="A7947" s="1">
        <v>8543.0</v>
      </c>
      <c r="B7947" s="3" t="s">
        <v>7649</v>
      </c>
      <c r="C7947" s="3" t="str">
        <f>IFERROR(__xludf.DUMMYFUNCTION("GOOGLETRANSLATE(B7947,""id"",""en"")"),"['Points', 'exchanged']")</f>
        <v>['Points', 'exchanged']</v>
      </c>
      <c r="D7947" s="3">
        <v>5.0</v>
      </c>
    </row>
    <row r="7948" ht="15.75" customHeight="1">
      <c r="A7948" s="1">
        <v>8544.0</v>
      </c>
      <c r="B7948" s="3" t="s">
        <v>7650</v>
      </c>
      <c r="C7948" s="3" t="str">
        <f>IFERROR(__xludf.DUMMYFUNCTION("GOOGLETRANSLATE(B7948,""id"",""en"")"),"['', 'Pakek', 'Telkomsel', 'application', 'Knp', 'yaa', 'open', 'application', 'sring', 'lemmooooot', 'really', 'open', 'apalgi ',' Morning ',' please ',' fix ',' application ']")</f>
        <v>['', 'Pakek', 'Telkomsel', 'application', 'Knp', 'yaa', 'open', 'application', 'sring', 'lemmooooot', 'really', 'open', 'apalgi ',' Morning ',' please ',' fix ',' application ']</v>
      </c>
      <c r="D7948" s="3">
        <v>1.0</v>
      </c>
    </row>
    <row r="7949" ht="15.75" customHeight="1">
      <c r="A7949" s="1">
        <v>8545.0</v>
      </c>
      <c r="B7949" s="3" t="s">
        <v>7651</v>
      </c>
      <c r="C7949" s="3" t="str">
        <f>IFERROR(__xludf.DUMMYFUNCTION("GOOGLETRANSLATE(B7949,""id"",""en"")"),"['signal', 'really', 'disappointing', '']")</f>
        <v>['signal', 'really', 'disappointing', '']</v>
      </c>
      <c r="D7949" s="3">
        <v>1.0</v>
      </c>
    </row>
    <row r="7950" ht="15.75" customHeight="1">
      <c r="A7950" s="1">
        <v>8546.0</v>
      </c>
      <c r="B7950" s="3" t="s">
        <v>7652</v>
      </c>
      <c r="C7950" s="3" t="str">
        <f>IFERROR(__xludf.DUMMYFUNCTION("GOOGLETRANSLATE(B7950,""id"",""en"")"),"['Genesis',' plsa ',' sucked ',' package ',' active ',' msh ',' report ',' netting ',' automatic ',' plsa ',' eaten ',' krna ',' Package ',' Regular ',' sincere ',' is', 'Daily', 'Checkin', 'GB', 'Claim', 'Pay', 'Silver', 'Free', 'Krna', 'Kepepet' , 'Clai"&amp;"ms', 'Win', 'Kaga', 'Nyimpen', 'Credit']")</f>
        <v>['Genesis',' plsa ',' sucked ',' package ',' active ',' msh ',' report ',' netting ',' automatic ',' plsa ',' eaten ',' krna ',' Package ',' Regular ',' sincere ',' is', 'Daily', 'Checkin', 'GB', 'Claim', 'Pay', 'Silver', 'Free', 'Krna', 'Kepepet' , 'Claims', 'Win', 'Kaga', 'Nyimpen', 'Credit']</v>
      </c>
      <c r="D7950" s="3">
        <v>1.0</v>
      </c>
    </row>
    <row r="7951" ht="15.75" customHeight="1">
      <c r="A7951" s="1">
        <v>8547.0</v>
      </c>
      <c r="B7951" s="3" t="s">
        <v>7653</v>
      </c>
      <c r="C7951" s="3" t="str">
        <f>IFERROR(__xludf.DUMMYFUNCTION("GOOGLETRANSLATE(B7951,""id"",""en"")"),"['Hope', 'Karingan', 'Telkomsel', 'Good', '']")</f>
        <v>['Hope', 'Karingan', 'Telkomsel', 'Good', '']</v>
      </c>
      <c r="D7951" s="3">
        <v>5.0</v>
      </c>
    </row>
    <row r="7952" ht="15.75" customHeight="1">
      <c r="A7952" s="1">
        <v>8548.0</v>
      </c>
      <c r="B7952" s="3" t="s">
        <v>7654</v>
      </c>
      <c r="C7952" s="3" t="str">
        <f>IFERROR(__xludf.DUMMYFUNCTION("GOOGLETRANSLATE(B7952,""id"",""en"")"),"['Mantapss', 'subscribe', 'bln', ""]")</f>
        <v>['Mantapss', 'subscribe', 'bln', "]</v>
      </c>
      <c r="D7952" s="3">
        <v>5.0</v>
      </c>
    </row>
    <row r="7953" ht="15.75" customHeight="1">
      <c r="A7953" s="1">
        <v>8549.0</v>
      </c>
      <c r="B7953" s="3" t="s">
        <v>7655</v>
      </c>
      <c r="C7953" s="3" t="str">
        <f>IFERROR(__xludf.DUMMYFUNCTION("GOOGLETRANSLATE(B7953,""id"",""en"")"),"['Telkomsel', 'smooth']")</f>
        <v>['Telkomsel', 'smooth']</v>
      </c>
      <c r="D7953" s="3">
        <v>4.0</v>
      </c>
    </row>
    <row r="7954" ht="15.75" customHeight="1">
      <c r="A7954" s="1">
        <v>8550.0</v>
      </c>
      <c r="B7954" s="3" t="s">
        <v>7656</v>
      </c>
      <c r="C7954" s="3" t="str">
        <f>IFERROR(__xludf.DUMMYFUNCTION("GOOGLETRANSLATE(B7954,""id"",""en"")"),"['Santap', 'soul', 'soul', 'body', 'soul', 'young']")</f>
        <v>['Santap', 'soul', 'soul', 'body', 'soul', 'young']</v>
      </c>
      <c r="D7954" s="3">
        <v>5.0</v>
      </c>
    </row>
    <row r="7955" ht="15.75" customHeight="1">
      <c r="A7955" s="1">
        <v>8551.0</v>
      </c>
      <c r="B7955" s="3" t="s">
        <v>7657</v>
      </c>
      <c r="C7955" s="3" t="str">
        <f>IFERROR(__xludf.DUMMYFUNCTION("GOOGLETRANSLATE(B7955,""id"",""en"")"),"['Appsi', 'Help', 'Great', 'Anyway']")</f>
        <v>['Appsi', 'Help', 'Great', 'Anyway']</v>
      </c>
      <c r="D7955" s="3">
        <v>5.0</v>
      </c>
    </row>
    <row r="7956" ht="15.75" customHeight="1">
      <c r="A7956" s="1">
        <v>8552.0</v>
      </c>
      <c r="B7956" s="3" t="s">
        <v>3467</v>
      </c>
      <c r="C7956" s="3" t="str">
        <f>IFERROR(__xludf.DUMMYFUNCTION("GOOGLETRANSLATE(B7956,""id"",""en"")"),"['', 'help']")</f>
        <v>['', 'help']</v>
      </c>
      <c r="D7956" s="3">
        <v>5.0</v>
      </c>
    </row>
    <row r="7957" ht="15.75" customHeight="1">
      <c r="A7957" s="1">
        <v>8553.0</v>
      </c>
      <c r="B7957" s="3" t="s">
        <v>7658</v>
      </c>
      <c r="C7957" s="3" t="str">
        <f>IFERROR(__xludf.DUMMYFUNCTION("GOOGLETRANSLATE(B7957,""id"",""en"")"),"['Signal', 'in the city', 'Lined', 'Deket', 'Tower', 'COB', 'Expensive', 'Doang', 'Quality', 'KEK', 'Provider', 'Next to' wuuuuu ']")</f>
        <v>['Signal', 'in the city', 'Lined', 'Deket', 'Tower', 'COB', 'Expensive', 'Doang', 'Quality', 'KEK', 'Provider', 'Next to' wuuuuu ']</v>
      </c>
      <c r="D7957" s="3">
        <v>1.0</v>
      </c>
    </row>
    <row r="7958" ht="15.75" customHeight="1">
      <c r="A7958" s="1">
        <v>8554.0</v>
      </c>
      <c r="B7958" s="3" t="s">
        <v>7659</v>
      </c>
      <c r="C7958" s="3" t="str">
        <f>IFERROR(__xludf.DUMMYFUNCTION("GOOGLETRANSLATE(B7958,""id"",""en"")"),"['user', 'loyal', 'Tsel', 'clock', 'morning', 'noon', 'afternoon', 'play', 'mobile', 'legend', 'signal', 'missing', ' star', '']")</f>
        <v>['user', 'loyal', 'Tsel', 'clock', 'morning', 'noon', 'afternoon', 'play', 'mobile', 'legend', 'signal', 'missing', ' star', '']</v>
      </c>
      <c r="D7958" s="3">
        <v>1.0</v>
      </c>
    </row>
    <row r="7959" ht="15.75" customHeight="1">
      <c r="A7959" s="1">
        <v>8555.0</v>
      </c>
      <c r="B7959" s="3" t="s">
        <v>7660</v>
      </c>
      <c r="C7959" s="3" t="str">
        <f>IFERROR(__xludf.DUMMYFUNCTION("GOOGLETRANSLATE(B7959,""id"",""en"")"),"['Fix', 'cave', 'Telkomsel', 'cave', 'buy', 'package', 'gamesmax', 'TPI', 'network', 'super', 'ngaco', 'stable', ' cave ',' Telkomsel ',' mending ',' alternative ',' already ',' expensive ',' network ',' stingy ',' smooth ',' network ',' internet ',' regu"&amp;"lar ',' Benerin ' , '']")</f>
        <v>['Fix', 'cave', 'Telkomsel', 'cave', 'buy', 'package', 'gamesmax', 'TPI', 'network', 'super', 'ngaco', 'stable', ' cave ',' Telkomsel ',' mending ',' alternative ',' already ',' expensive ',' network ',' stingy ',' smooth ',' network ',' internet ',' regular ',' Benerin ' , '']</v>
      </c>
      <c r="D7959" s="3">
        <v>5.0</v>
      </c>
    </row>
    <row r="7960" ht="15.75" customHeight="1">
      <c r="A7960" s="1">
        <v>8556.0</v>
      </c>
      <c r="B7960" s="3" t="s">
        <v>7661</v>
      </c>
      <c r="C7960" s="3" t="str">
        <f>IFERROR(__xludf.DUMMYFUNCTION("GOOGLETRANSLATE(B7960,""id"",""en"")"),"['Bonos']")</f>
        <v>['Bonos']</v>
      </c>
      <c r="D7960" s="3">
        <v>5.0</v>
      </c>
    </row>
    <row r="7961" ht="15.75" customHeight="1">
      <c r="A7961" s="1">
        <v>8557.0</v>
      </c>
      <c r="B7961" s="3" t="s">
        <v>7662</v>
      </c>
      <c r="C7961" s="3" t="str">
        <f>IFERROR(__xludf.DUMMYFUNCTION("GOOGLETRANSLATE(B7961,""id"",""en"")"),"['Love', 'Read', 'Telkomsel', 'Dear', 'Network', 'Stay', 'Error', 'For a while', 'for a while', 'Lost', 'Please', 'Notice', ' because ',' results', 'eat', 'depends',' network ',' service ',' for ',' service ',' stay ',' mending ',' pull out ',' tower ',' "&amp;"planted ' , 'Village', 'Tok', 'Jugak', 'Thank', 'Love', ""]")</f>
        <v>['Love', 'Read', 'Telkomsel', 'Dear', 'Network', 'Stay', 'Error', 'For a while', 'for a while', 'Lost', 'Please', 'Notice', ' because ',' results', 'eat', 'depends',' network ',' service ',' for ',' service ',' stay ',' mending ',' pull out ',' tower ',' planted ' , 'Village', 'Tok', 'Jugak', 'Thank', 'Love', "]</v>
      </c>
      <c r="D7961" s="3">
        <v>1.0</v>
      </c>
    </row>
    <row r="7962" ht="15.75" customHeight="1">
      <c r="A7962" s="1">
        <v>8558.0</v>
      </c>
      <c r="B7962" s="3" t="s">
        <v>7663</v>
      </c>
      <c r="C7962" s="3" t="str">
        <f>IFERROR(__xludf.DUMMYFUNCTION("GOOGLETRANSLATE(B7962,""id"",""en"")"),"['Thank you', 'accompany me', 'Telkomsel', 'expensive', 'network', 'broke', 'Connect', 'Sorry', 'Min', 'I've,' Need ',' Help ',' ']")</f>
        <v>['Thank you', 'accompany me', 'Telkomsel', 'expensive', 'network', 'broke', 'Connect', 'Sorry', 'Min', 'I've,' Need ',' Help ',' ']</v>
      </c>
      <c r="D7962" s="3">
        <v>1.0</v>
      </c>
    </row>
    <row r="7963" ht="15.75" customHeight="1">
      <c r="A7963" s="1">
        <v>8559.0</v>
      </c>
      <c r="B7963" s="3" t="s">
        <v>7664</v>
      </c>
      <c r="C7963" s="3" t="str">
        <f>IFERROR(__xludf.DUMMYFUNCTION("GOOGLETRANSLATE(B7963,""id"",""en"")"),"['Good', 'easy', 'bonus', '']")</f>
        <v>['Good', 'easy', 'bonus', '']</v>
      </c>
      <c r="D7963" s="3">
        <v>5.0</v>
      </c>
    </row>
    <row r="7964" ht="15.75" customHeight="1">
      <c r="A7964" s="1">
        <v>8560.0</v>
      </c>
      <c r="B7964" s="3" t="s">
        <v>7665</v>
      </c>
      <c r="C7964" s="3" t="str">
        <f>IFERROR(__xludf.DUMMYFUNCTION("GOOGLETRANSLATE(B7964,""id"",""en"")"),"['Good', 'Anyway', 'Mantullllll']")</f>
        <v>['Good', 'Anyway', 'Mantullllll']</v>
      </c>
      <c r="D7964" s="3">
        <v>4.0</v>
      </c>
    </row>
    <row r="7965" ht="15.75" customHeight="1">
      <c r="A7965" s="1">
        <v>8561.0</v>
      </c>
      <c r="B7965" s="3" t="s">
        <v>7666</v>
      </c>
      <c r="C7965" s="3" t="str">
        <f>IFERROR(__xludf.DUMMYFUNCTION("GOOGLETRANSLATE(B7965,""id"",""en"")"),"['easy', 'communication']")</f>
        <v>['easy', 'communication']</v>
      </c>
      <c r="D7965" s="3">
        <v>5.0</v>
      </c>
    </row>
    <row r="7966" ht="15.75" customHeight="1">
      <c r="A7966" s="1">
        <v>8562.0</v>
      </c>
      <c r="B7966" s="3" t="s">
        <v>7667</v>
      </c>
      <c r="C7966" s="3" t="str">
        <f>IFERROR(__xludf.DUMMYFUNCTION("GOOGLETRANSLATE(B7966,""id"",""en"")"),"['', 'Telkomsel', 'help', 'forward', 'Telkomsel']")</f>
        <v>['', 'Telkomsel', 'help', 'forward', 'Telkomsel']</v>
      </c>
      <c r="D7966" s="3">
        <v>5.0</v>
      </c>
    </row>
    <row r="7967" ht="15.75" customHeight="1">
      <c r="A7967" s="1">
        <v>8563.0</v>
      </c>
      <c r="B7967" s="3" t="s">
        <v>7668</v>
      </c>
      <c r="C7967" s="3" t="str">
        <f>IFERROR(__xludf.DUMMYFUNCTION("GOOGLETRANSLATE(B7967,""id"",""en"")"),"['ndaft', 'data', 'vocer', 'writing', 'sorry', 'voucher', 'regional', 'info', 'contact', 'so', 'confused', 'vocer', ' Belom ',' already ',' ilang ',' voucher ']")</f>
        <v>['ndaft', 'data', 'vocer', 'writing', 'sorry', 'voucher', 'regional', 'info', 'contact', 'so', 'confused', 'vocer', ' Belom ',' already ',' ilang ',' voucher ']</v>
      </c>
      <c r="D7967" s="3">
        <v>1.0</v>
      </c>
    </row>
    <row r="7968" ht="15.75" customHeight="1">
      <c r="A7968" s="1">
        <v>8564.0</v>
      </c>
      <c r="B7968" s="3" t="s">
        <v>7669</v>
      </c>
      <c r="C7968" s="3" t="str">
        <f>IFERROR(__xludf.DUMMYFUNCTION("GOOGLETRANSLATE(B7968,""id"",""en"")"),"['Package', 'Internet', 'Emergency']")</f>
        <v>['Package', 'Internet', 'Emergency']</v>
      </c>
      <c r="D7968" s="3">
        <v>5.0</v>
      </c>
    </row>
    <row r="7969" ht="15.75" customHeight="1">
      <c r="A7969" s="1">
        <v>8565.0</v>
      </c>
      <c r="B7969" s="3" t="s">
        <v>7670</v>
      </c>
      <c r="C7969" s="3" t="str">
        <f>IFERROR(__xludf.DUMMYFUNCTION("GOOGLETRANSLATE(B7969,""id"",""en"")"),"['Disappointed', 'Telkomsel', 'charging', 'pulse', 'leftover', 'RBAN', 'Ludes', 'Greetings', 'Binjai']")</f>
        <v>['Disappointed', 'Telkomsel', 'charging', 'pulse', 'leftover', 'RBAN', 'Ludes', 'Greetings', 'Binjai']</v>
      </c>
      <c r="D7969" s="3">
        <v>4.0</v>
      </c>
    </row>
    <row r="7970" ht="15.75" customHeight="1">
      <c r="A7970" s="1">
        <v>8566.0</v>
      </c>
      <c r="B7970" s="3" t="s">
        <v>7671</v>
      </c>
      <c r="C7970" s="3" t="str">
        <f>IFERROR(__xludf.DUMMYFUNCTION("GOOGLETRANSLATE(B7970,""id"",""en"")"),"['Please', 'pig', 'network', 'Benerin', 'Ngegame', 'trs',' ilang ',' ampe ',' minute ',' fast ',' kbnykn ',' ilang ',' Stable ',' unlimited ',' GB ',' Ancur ',' Telkomsel ', ""]")</f>
        <v>['Please', 'pig', 'network', 'Benerin', 'Ngegame', 'trs',' ilang ',' ampe ',' minute ',' fast ',' kbnykn ',' ilang ',' Stable ',' unlimited ',' GB ',' Ancur ',' Telkomsel ', "]</v>
      </c>
      <c r="D7970" s="3">
        <v>1.0</v>
      </c>
    </row>
    <row r="7971" ht="15.75" customHeight="1">
      <c r="A7971" s="1">
        <v>8567.0</v>
      </c>
      <c r="B7971" s="3" t="s">
        <v>7672</v>
      </c>
      <c r="C7971" s="3" t="str">
        <f>IFERROR(__xludf.DUMMYFUNCTION("GOOGLETRANSLATE(B7971,""id"",""en"")"),"['Package', 'On', 'Internet', 'Instant', 'Wear', 'Credit', 'Pulse', 'Angus', ""]")</f>
        <v>['Package', 'On', 'Internet', 'Instant', 'Wear', 'Credit', 'Pulse', 'Angus', "]</v>
      </c>
      <c r="D7971" s="3">
        <v>1.0</v>
      </c>
    </row>
    <row r="7972" ht="15.75" customHeight="1">
      <c r="A7972" s="1">
        <v>8568.0</v>
      </c>
      <c r="B7972" s="3" t="s">
        <v>7673</v>
      </c>
      <c r="C7972" s="3" t="str">
        <f>IFERROR(__xludf.DUMMYFUNCTION("GOOGLETRANSLATE(B7972,""id"",""en"")"),"['Not bad', 'Simple']")</f>
        <v>['Not bad', 'Simple']</v>
      </c>
      <c r="D7972" s="3">
        <v>5.0</v>
      </c>
    </row>
    <row r="7973" ht="15.75" customHeight="1">
      <c r="A7973" s="1">
        <v>8569.0</v>
      </c>
      <c r="B7973" s="3" t="s">
        <v>7674</v>
      </c>
      <c r="C7973" s="3" t="str">
        <f>IFERROR(__xludf.DUMMYFUNCTION("GOOGLETRANSLATE(B7973,""id"",""en"")"),"['buy', 'pulse', 'bonus', 'thank', 'love']")</f>
        <v>['buy', 'pulse', 'bonus', 'thank', 'love']</v>
      </c>
      <c r="D7973" s="3">
        <v>5.0</v>
      </c>
    </row>
    <row r="7974" ht="15.75" customHeight="1">
      <c r="A7974" s="1">
        <v>8570.0</v>
      </c>
      <c r="B7974" s="3" t="s">
        <v>7675</v>
      </c>
      <c r="C7974" s="3" t="str">
        <f>IFERROR(__xludf.DUMMYFUNCTION("GOOGLETRANSLATE(B7974,""id"",""en"")"),"['signal', 'Sometimes', 'ilang']")</f>
        <v>['signal', 'Sometimes', 'ilang']</v>
      </c>
      <c r="D7974" s="3">
        <v>3.0</v>
      </c>
    </row>
    <row r="7975" ht="15.75" customHeight="1">
      <c r="A7975" s="1">
        <v>8571.0</v>
      </c>
      <c r="B7975" s="3" t="s">
        <v>7676</v>
      </c>
      <c r="C7975" s="3" t="str">
        <f>IFERROR(__xludf.DUMMYFUNCTION("GOOGLETRANSLATE(B7975,""id"",""en"")"),"['Telkomsel', 'Amit', 'Amit', 'Hih', 'Amit', 'Amit', 'Anyway', 'Meaning', 'Amit', 'Amit', 'Concluding', 'Okay', ' ']")</f>
        <v>['Telkomsel', 'Amit', 'Amit', 'Hih', 'Amit', 'Amit', 'Anyway', 'Meaning', 'Amit', 'Amit', 'Concluding', 'Okay', ' ']</v>
      </c>
      <c r="D7975" s="3">
        <v>1.0</v>
      </c>
    </row>
    <row r="7976" ht="15.75" customHeight="1">
      <c r="A7976" s="1">
        <v>8572.0</v>
      </c>
      <c r="B7976" s="3" t="s">
        <v>7677</v>
      </c>
      <c r="C7976" s="3" t="str">
        <f>IFERROR(__xludf.DUMMYFUNCTION("GOOGLETRANSLATE(B7976,""id"",""en"")"),"['Sis',' please ',' pnetrast ',' buy ',' credit ',' blom ',' mnit ',' pulse ',' entry ',' left ',' then ',' kmna ',' Try ',' pdhl ',' enter ',' please ',' explanation ']")</f>
        <v>['Sis',' please ',' pnetrast ',' buy ',' credit ',' blom ',' mnit ',' pulse ',' entry ',' left ',' then ',' kmna ',' Try ',' pdhl ',' enter ',' please ',' explanation ']</v>
      </c>
      <c r="D7976" s="3">
        <v>3.0</v>
      </c>
    </row>
    <row r="7977" ht="15.75" customHeight="1">
      <c r="A7977" s="1">
        <v>8573.0</v>
      </c>
      <c r="B7977" s="3" t="s">
        <v>7678</v>
      </c>
      <c r="C7977" s="3" t="str">
        <f>IFERROR(__xludf.DUMMYFUNCTION("GOOGLETRANSLATE(B7977,""id"",""en"")"),"['Tellkom', 'TELKOM', 'Destroyed', 'Difficult', 'Signal', 'Price', 'Peket', 'Expensive', 'Please', 'Impreciate', 'The Line', 'Janagan', ' disappointing ',' user ',' user ',' telkom ']")</f>
        <v>['Tellkom', 'TELKOM', 'Destroyed', 'Difficult', 'Signal', 'Price', 'Peket', 'Expensive', 'Please', 'Impreciate', 'The Line', 'Janagan', ' disappointing ',' user ',' user ',' telkom ']</v>
      </c>
      <c r="D7977" s="3">
        <v>1.0</v>
      </c>
    </row>
    <row r="7978" ht="15.75" customHeight="1">
      <c r="A7978" s="1">
        <v>8574.0</v>
      </c>
      <c r="B7978" s="3" t="s">
        <v>7679</v>
      </c>
      <c r="C7978" s="3" t="str">
        <f>IFERROR(__xludf.DUMMYFUNCTION("GOOGLETRANSLATE(B7978,""id"",""en"")"),"['easy', 'access']")</f>
        <v>['easy', 'access']</v>
      </c>
      <c r="D7978" s="3">
        <v>5.0</v>
      </c>
    </row>
    <row r="7979" ht="15.75" customHeight="1">
      <c r="A7979" s="1">
        <v>8575.0</v>
      </c>
      <c r="B7979" s="3" t="s">
        <v>7680</v>
      </c>
      <c r="C7979" s="3" t="str">
        <f>IFERROR(__xludf.DUMMYFUNCTION("GOOGLETRANSLATE(B7979,""id"",""en"")"),"['Try', 'downlod', 'application', 'ksh']")</f>
        <v>['Try', 'downlod', 'application', 'ksh']</v>
      </c>
      <c r="D7979" s="3">
        <v>4.0</v>
      </c>
    </row>
    <row r="7980" ht="15.75" customHeight="1">
      <c r="A7980" s="1">
        <v>8576.0</v>
      </c>
      <c r="B7980" s="3" t="s">
        <v>7681</v>
      </c>
      <c r="C7980" s="3" t="str">
        <f>IFERROR(__xludf.DUMMYFUNCTION("GOOGLETRANSLATE(B7980,""id"",""en"")"),"['Baguuuuuussssssss']")</f>
        <v>['Baguuuuuussssssss']</v>
      </c>
      <c r="D7980" s="3">
        <v>5.0</v>
      </c>
    </row>
    <row r="7981" ht="15.75" customHeight="1">
      <c r="A7981" s="1">
        <v>8577.0</v>
      </c>
      <c r="B7981" s="3" t="s">
        <v>7682</v>
      </c>
      <c r="C7981" s="3" t="str">
        <f>IFERROR(__xludf.DUMMYFUNCTION("GOOGLETRANSLATE(B7981,""id"",""en"")"),"['Points', 'Exchange', 'pulses']")</f>
        <v>['Points', 'Exchange', 'pulses']</v>
      </c>
      <c r="D7981" s="3">
        <v>5.0</v>
      </c>
    </row>
    <row r="7982" ht="15.75" customHeight="1">
      <c r="A7982" s="1">
        <v>8578.0</v>
      </c>
      <c r="B7982" s="3" t="s">
        <v>7683</v>
      </c>
      <c r="C7982" s="3" t="str">
        <f>IFERROR(__xludf.DUMMYFUNCTION("GOOGLETRANSLATE(B7982,""id"",""en"")"),"['Package', 'Save', 'Heres']")</f>
        <v>['Package', 'Save', 'Heres']</v>
      </c>
      <c r="D7982" s="3">
        <v>3.0</v>
      </c>
    </row>
    <row r="7983" ht="15.75" customHeight="1">
      <c r="A7983" s="1">
        <v>8579.0</v>
      </c>
      <c r="B7983" s="3" t="s">
        <v>7684</v>
      </c>
      <c r="C7983" s="3" t="str">
        <f>IFERROR(__xludf.DUMMYFUNCTION("GOOGLETRANSLATE(B7983,""id"",""en"")"),"['', 'hope', 'star', 'Telkomsel']")</f>
        <v>['', 'hope', 'star', 'Telkomsel']</v>
      </c>
      <c r="D7983" s="3">
        <v>5.0</v>
      </c>
    </row>
    <row r="7984" ht="15.75" customHeight="1">
      <c r="A7984" s="1">
        <v>8580.0</v>
      </c>
      <c r="B7984" s="3" t="s">
        <v>7685</v>
      </c>
      <c r="C7984" s="3" t="str">
        <f>IFERROR(__xludf.DUMMYFUNCTION("GOOGLETRANSLATE(B7984,""id"",""en"")"),"['Application', 'Useful', 'Based', 'Function', '']")</f>
        <v>['Application', 'Useful', 'Based', 'Function', '']</v>
      </c>
      <c r="D7984" s="3">
        <v>5.0</v>
      </c>
    </row>
    <row r="7985" ht="15.75" customHeight="1">
      <c r="A7985" s="1">
        <v>8581.0</v>
      </c>
      <c r="B7985" s="3" t="s">
        <v>7686</v>
      </c>
      <c r="C7985" s="3" t="str">
        <f>IFERROR(__xludf.DUMMYFUNCTION("GOOGLETRANSLATE(B7985,""id"",""en"")"),"['Promo', 'Combo', 'Sakti']")</f>
        <v>['Promo', 'Combo', 'Sakti']</v>
      </c>
      <c r="D7985" s="3">
        <v>4.0</v>
      </c>
    </row>
    <row r="7986" ht="15.75" customHeight="1">
      <c r="A7986" s="1">
        <v>8583.0</v>
      </c>
      <c r="B7986" s="3" t="s">
        <v>7687</v>
      </c>
      <c r="C7986" s="3" t="str">
        <f>IFERROR(__xludf.DUMMYFUNCTION("GOOGLETRANSLATE(B7986,""id"",""en"")"),"['Promo', 'expensive', 'Reduce', 'Data', 'Out', 'Extend', '']")</f>
        <v>['Promo', 'expensive', 'Reduce', 'Data', 'Out', 'Extend', '']</v>
      </c>
      <c r="D7986" s="3">
        <v>5.0</v>
      </c>
    </row>
    <row r="7987" ht="15.75" customHeight="1">
      <c r="A7987" s="1">
        <v>8584.0</v>
      </c>
      <c r="B7987" s="3" t="s">
        <v>7688</v>
      </c>
      <c r="C7987" s="3" t="str">
        <f>IFERROR(__xludf.DUMMYFUNCTION("GOOGLETRANSLATE(B7987,""id"",""en"")"),"['hope', 'network', 'internet', 'break up', ""]")</f>
        <v>['hope', 'network', 'internet', 'break up', "]</v>
      </c>
      <c r="D7987" s="3">
        <v>5.0</v>
      </c>
    </row>
    <row r="7988" ht="15.75" customHeight="1">
      <c r="A7988" s="1">
        <v>8585.0</v>
      </c>
      <c r="B7988" s="3" t="s">
        <v>7689</v>
      </c>
      <c r="C7988" s="3" t="str">
        <f>IFERROR(__xludf.DUMMYFUNCTION("GOOGLETRANSLATE(B7988,""id"",""en"")"),"['Good', 'special']")</f>
        <v>['Good', 'special']</v>
      </c>
      <c r="D7988" s="3">
        <v>5.0</v>
      </c>
    </row>
    <row r="7989" ht="15.75" customHeight="1">
      <c r="A7989" s="1">
        <v>8586.0</v>
      </c>
      <c r="B7989" s="3" t="s">
        <v>7690</v>
      </c>
      <c r="C7989" s="3" t="str">
        <f>IFERROR(__xludf.DUMMYFUNCTION("GOOGLETRANSLATE(B7989,""id"",""en"")"),"['Application', 'People', 'Pingin', 'SERBA', 'FAST', '']")</f>
        <v>['Application', 'People', 'Pingin', 'SERBA', 'FAST', '']</v>
      </c>
      <c r="D7989" s="3">
        <v>5.0</v>
      </c>
    </row>
    <row r="7990" ht="15.75" customHeight="1">
      <c r="A7990" s="1">
        <v>8587.0</v>
      </c>
      <c r="B7990" s="3" t="s">
        <v>7691</v>
      </c>
      <c r="C7990" s="3" t="str">
        <f>IFERROR(__xludf.DUMMYFUNCTION("GOOGLETRANSLATE(B7990,""id"",""en"")"),"['Sapa', 'write', 'yaa', 'feeling', 'nulis',' star ',' anneeh ',' see ',' review ',' okaaah ',' dee ',' use ',' Telkomsel ',' KMBLI ',' Dee ',' GTUU ',' Bye ',' At Oruut ',' Horrified ',' Acra ',' Credit ',' Sumpot ',' All ',' Ampyuunn ',' Hyuuung ' , 'BK"&amp;"N', 'might', 'okay', 'trbbbbbbelkng', 'telkomsel', 'repaired', 'cmn', 'told', 'twitter', 'laaa', 'chest', 'laa', ' Nymbung ',' In ',' conrelation ',' gada ',' improvement ',' BIG ',' Noo ',' it ishh ',' ']")</f>
        <v>['Sapa', 'write', 'yaa', 'feeling', 'nulis',' star ',' anneeh ',' see ',' review ',' okaaah ',' dee ',' use ',' Telkomsel ',' KMBLI ',' Dee ',' GTUU ',' Bye ',' At Oruut ',' Horrified ',' Acra ',' Credit ',' Sumpot ',' All ',' Ampyuunn ',' Hyuuung ' , 'BKN', 'might', 'okay', 'trbbbbbbelkng', 'telkomsel', 'repaired', 'cmn', 'told', 'twitter', 'laaa', 'chest', 'laa', ' Nymbung ',' In ',' conrelation ',' gada ',' improvement ',' BIG ',' Noo ',' it ishh ',' ']</v>
      </c>
      <c r="D7990" s="3">
        <v>1.0</v>
      </c>
    </row>
    <row r="7991" ht="15.75" customHeight="1">
      <c r="A7991" s="1">
        <v>8588.0</v>
      </c>
      <c r="B7991" s="3" t="s">
        <v>7692</v>
      </c>
      <c r="C7991" s="3" t="str">
        <f>IFERROR(__xludf.DUMMYFUNCTION("GOOGLETRANSLATE(B7991,""id"",""en"")"),"['Steady', 'Jaya']")</f>
        <v>['Steady', 'Jaya']</v>
      </c>
      <c r="D7991" s="3">
        <v>5.0</v>
      </c>
    </row>
    <row r="7992" ht="15.75" customHeight="1">
      <c r="A7992" s="1">
        <v>8589.0</v>
      </c>
      <c r="B7992" s="3" t="s">
        <v>7693</v>
      </c>
      <c r="C7992" s="3" t="str">
        <f>IFERROR(__xludf.DUMMYFUNCTION("GOOGLETRANSLATE(B7992,""id"",""en"")"),"['Kasi', 'promo', 'thanks']")</f>
        <v>['Kasi', 'promo', 'thanks']</v>
      </c>
      <c r="D7992" s="3">
        <v>5.0</v>
      </c>
    </row>
    <row r="7993" ht="15.75" customHeight="1">
      <c r="A7993" s="1">
        <v>8590.0</v>
      </c>
      <c r="B7993" s="3" t="s">
        <v>7694</v>
      </c>
      <c r="C7993" s="3" t="str">
        <f>IFERROR(__xludf.DUMMYFUNCTION("GOOGLETRANSLATE(B7993,""id"",""en"")"),"['Good', 'skali', 'application']")</f>
        <v>['Good', 'skali', 'application']</v>
      </c>
      <c r="D7993" s="3">
        <v>5.0</v>
      </c>
    </row>
    <row r="7994" ht="15.75" customHeight="1">
      <c r="A7994" s="1">
        <v>8591.0</v>
      </c>
      <c r="B7994" s="3" t="s">
        <v>7695</v>
      </c>
      <c r="C7994" s="3" t="str">
        <f>IFERROR(__xludf.DUMMYFUNCTION("GOOGLETRANSLATE(B7994,""id"",""en"")"),"['Hello', 'min', 'fares',' knp ',' kouta ',' suck ',' sya ',' kouta ',' gb ',' kouta ',' sya ',' suck ',' Next time ',' what ',' min ',' ']")</f>
        <v>['Hello', 'min', 'fares',' knp ',' kouta ',' suck ',' sya ',' kouta ',' gb ',' kouta ',' sya ',' suck ',' Next time ',' what ',' min ',' ']</v>
      </c>
      <c r="D7994" s="3">
        <v>1.0</v>
      </c>
    </row>
    <row r="7995" ht="15.75" customHeight="1">
      <c r="A7995" s="1">
        <v>8592.0</v>
      </c>
      <c r="B7995" s="3" t="s">
        <v>7696</v>
      </c>
      <c r="C7995" s="3" t="str">
        <f>IFERROR(__xludf.DUMMYFUNCTION("GOOGLETRANSLATE(B7995,""id"",""en"")"),"['signal', 'already', 'Not bad', 'fast', 'TPI', 'Card', 'Telkom', 'Sya', 'Bener', 'expensive', 'really', 'Please', ' Telkom ',' Price ',' Package ',' Card ',' Sya ',' Gli ',' LGI ', ""]")</f>
        <v>['signal', 'already', 'Not bad', 'fast', 'TPI', 'Card', 'Telkom', 'Sya', 'Bener', 'expensive', 'really', 'Please', ' Telkom ',' Price ',' Package ',' Card ',' Sya ',' Gli ',' LGI ', "]</v>
      </c>
      <c r="D7995" s="3">
        <v>4.0</v>
      </c>
    </row>
    <row r="7996" ht="15.75" customHeight="1">
      <c r="A7996" s="1">
        <v>8593.0</v>
      </c>
      <c r="B7996" s="3" t="s">
        <v>7697</v>
      </c>
      <c r="C7996" s="3" t="str">
        <f>IFERROR(__xludf.DUMMYFUNCTION("GOOGLETRANSLATE(B7996,""id"",""en"")"),"['Log', 'out', 'use', 'exchange', 'Points']")</f>
        <v>['Log', 'out', 'use', 'exchange', 'Points']</v>
      </c>
      <c r="D7996" s="3">
        <v>1.0</v>
      </c>
    </row>
    <row r="7997" ht="15.75" customHeight="1">
      <c r="A7997" s="1">
        <v>8594.0</v>
      </c>
      <c r="B7997" s="3" t="s">
        <v>7698</v>
      </c>
      <c r="C7997" s="3" t="str">
        <f>IFERROR(__xludf.DUMMYFUNCTION("GOOGLETRANSLATE(B7997,""id"",""en"")"),"['installed', 'Android', '']")</f>
        <v>['installed', 'Android', '']</v>
      </c>
      <c r="D7997" s="3">
        <v>1.0</v>
      </c>
    </row>
    <row r="7998" ht="15.75" customHeight="1">
      <c r="A7998" s="1">
        <v>8595.0</v>
      </c>
      <c r="B7998" s="3" t="s">
        <v>7699</v>
      </c>
      <c r="C7998" s="3" t="str">
        <f>IFERROR(__xludf.DUMMYFUNCTION("GOOGLETRANSLATE(B7998,""id"",""en"")"),"['Application', 'Sangaaaaaaaat', 'Good']")</f>
        <v>['Application', 'Sangaaaaaaaat', 'Good']</v>
      </c>
      <c r="D7998" s="3">
        <v>5.0</v>
      </c>
    </row>
    <row r="7999" ht="15.75" customHeight="1">
      <c r="A7999" s="1">
        <v>8596.0</v>
      </c>
      <c r="B7999" s="3" t="s">
        <v>7700</v>
      </c>
      <c r="C7999" s="3" t="str">
        <f>IFERROR(__xludf.DUMMYFUNCTION("GOOGLETRANSLATE(B7999,""id"",""en"")"),"['Skrang', 'Leled', 'Loading', 'Please', 'Fix']")</f>
        <v>['Skrang', 'Leled', 'Loading', 'Please', 'Fix']</v>
      </c>
      <c r="D7999" s="3">
        <v>3.0</v>
      </c>
    </row>
    <row r="8000" ht="15.75" customHeight="1">
      <c r="A8000" s="1">
        <v>8597.0</v>
      </c>
      <c r="B8000" s="3" t="s">
        <v>7701</v>
      </c>
      <c r="C8000" s="3" t="str">
        <f>IFERROR(__xludf.DUMMYFUNCTION("GOOGLETRANSLATE(B8000,""id"",""en"")"),"['oath', 'Bener', 'network', 'network', 'cave', 'morning', 'ngak', 'now', 'just', 'second', 'cave', 'play', ' games', 'ngak', 'comfortable', 'cave', 'area', 'ngak', 'city', 'deli', 'serdang', 'just', 'until', 'potatoes',' cave ' , 'Tampol', 'plis', 'good'"&amp;", 'cave', 'pay', 'expensive', 'contents', 'package', 'gini', 'jaringa']")</f>
        <v>['oath', 'Bener', 'network', 'network', 'cave', 'morning', 'ngak', 'now', 'just', 'second', 'cave', 'play', ' games', 'ngak', 'comfortable', 'cave', 'area', 'ngak', 'city', 'deli', 'serdang', 'just', 'until', 'potatoes',' cave ' , 'Tampol', 'plis', 'good', 'cave', 'pay', 'expensive', 'contents', 'package', 'gini', 'jaringa']</v>
      </c>
      <c r="D8000" s="3">
        <v>1.0</v>
      </c>
    </row>
    <row r="8001" ht="15.75" customHeight="1">
      <c r="A8001" s="1">
        <v>8598.0</v>
      </c>
      <c r="B8001" s="3" t="s">
        <v>7702</v>
      </c>
      <c r="C8001" s="3" t="str">
        <f>IFERROR(__xludf.DUMMYFUNCTION("GOOGLETRANSLATE(B8001,""id"",""en"")"),"['Application', 'look', 'try']")</f>
        <v>['Application', 'look', 'try']</v>
      </c>
      <c r="D8001" s="3">
        <v>1.0</v>
      </c>
    </row>
    <row r="8002" ht="15.75" customHeight="1">
      <c r="A8002" s="1">
        <v>8599.0</v>
      </c>
      <c r="B8002" s="3" t="s">
        <v>7703</v>
      </c>
      <c r="C8002" s="3" t="str">
        <f>IFERROR(__xludf.DUMMYFUNCTION("GOOGLETRANSLATE(B8002,""id"",""en"")"),"['Severe', 'Culametan', 'Lebay', 'Abiz', 'UDH', 'THN', 'CARD', 'SIMPATI', 'FEATURES', 'SOS', 'Credit', 'Emergency', ' Sorry ',' System ',' Busy ',' Ntahlah ',' Imagine ',' THN ',' UDH ',' MAKE ',' MINJAM ',' Credit ',' Severe ',' Telkomsel ']")</f>
        <v>['Severe', 'Culametan', 'Lebay', 'Abiz', 'UDH', 'THN', 'CARD', 'SIMPATI', 'FEATURES', 'SOS', 'Credit', 'Emergency', ' Sorry ',' System ',' Busy ',' Ntahlah ',' Imagine ',' THN ',' UDH ',' MAKE ',' MINJAM ',' Credit ',' Severe ',' Telkomsel ']</v>
      </c>
      <c r="D8002" s="3">
        <v>1.0</v>
      </c>
    </row>
    <row r="8003" ht="15.75" customHeight="1">
      <c r="A8003" s="1">
        <v>8600.0</v>
      </c>
      <c r="B8003" s="3" t="s">
        <v>7704</v>
      </c>
      <c r="C8003" s="3" t="str">
        <f>IFERROR(__xludf.DUMMYFUNCTION("GOOGLETRANSLATE(B8003,""id"",""en"")"),"['Network', 'Telkomsel', 'Severe', 'really']")</f>
        <v>['Network', 'Telkomsel', 'Severe', 'really']</v>
      </c>
      <c r="D8003" s="3">
        <v>1.0</v>
      </c>
    </row>
    <row r="8004" ht="15.75" customHeight="1">
      <c r="A8004" s="1">
        <v>8601.0</v>
      </c>
      <c r="B8004" s="3" t="s">
        <v>7705</v>
      </c>
      <c r="C8004" s="3" t="str">
        <f>IFERROR(__xludf.DUMMYFUNCTION("GOOGLETRANSLATE(B8004,""id"",""en"")"),"['Network', 'low']")</f>
        <v>['Network', 'low']</v>
      </c>
      <c r="D8004" s="3">
        <v>1.0</v>
      </c>
    </row>
    <row r="8005" ht="15.75" customHeight="1">
      <c r="A8005" s="1">
        <v>8602.0</v>
      </c>
      <c r="B8005" s="3" t="s">
        <v>7706</v>
      </c>
      <c r="C8005" s="3" t="str">
        <f>IFERROR(__xludf.DUMMYFUNCTION("GOOGLETRANSLATE(B8005,""id"",""en"")"),"['Package', 'expensive', 'connection', 'bad', 'Jaringa', 'room', 'point', 'LTE', 'Main', 'mobile', 'Legend', 'network', ' is lost']")</f>
        <v>['Package', 'expensive', 'connection', 'bad', 'Jaringa', 'room', 'point', 'LTE', 'Main', 'mobile', 'Legend', 'network', ' is lost']</v>
      </c>
      <c r="D8005" s="3">
        <v>1.0</v>
      </c>
    </row>
    <row r="8006" ht="15.75" customHeight="1">
      <c r="A8006" s="1">
        <v>8603.0</v>
      </c>
      <c r="B8006" s="3" t="s">
        <v>7707</v>
      </c>
      <c r="C8006" s="3" t="str">
        <f>IFERROR(__xludf.DUMMYFUNCTION("GOOGLETRANSLATE(B8006,""id"",""en"")"),"['Uda', 'Ujan', 'cem', 'pull', 'network', 'Mangkin', 'Mangkin', 'ORDER']")</f>
        <v>['Uda', 'Ujan', 'cem', 'pull', 'network', 'Mangkin', 'Mangkin', 'ORDER']</v>
      </c>
      <c r="D8006" s="3">
        <v>2.0</v>
      </c>
    </row>
    <row r="8007" ht="15.75" customHeight="1">
      <c r="A8007" s="1">
        <v>8604.0</v>
      </c>
      <c r="B8007" s="3" t="s">
        <v>7708</v>
      </c>
      <c r="C8007" s="3" t="str">
        <f>IFERROR(__xludf.DUMMYFUNCTION("GOOGLETRANSLATE(B8007,""id"",""en"")"),"['Network', 'bapuk', '']")</f>
        <v>['Network', 'bapuk', '']</v>
      </c>
      <c r="D8007" s="3">
        <v>2.0</v>
      </c>
    </row>
    <row r="8008" ht="15.75" customHeight="1">
      <c r="A8008" s="1">
        <v>8605.0</v>
      </c>
      <c r="B8008" s="3" t="s">
        <v>7709</v>
      </c>
      <c r="C8008" s="3" t="str">
        <f>IFERROR(__xludf.DUMMYFUNCTION("GOOGLETRANSLATE(B8008,""id"",""en"")"),"['signal', 'no', 'stable', 'provider', 'safe', 'safe', 'really', 'missing', 'signal', ""]")</f>
        <v>['signal', 'no', 'stable', 'provider', 'safe', 'safe', 'really', 'missing', 'signal', "]</v>
      </c>
      <c r="D8008" s="3">
        <v>1.0</v>
      </c>
    </row>
    <row r="8009" ht="15.75" customHeight="1">
      <c r="A8009" s="1">
        <v>8606.0</v>
      </c>
      <c r="B8009" s="3" t="s">
        <v>7710</v>
      </c>
      <c r="C8009" s="3" t="str">
        <f>IFERROR(__xludf.DUMMYFUNCTION("GOOGLETRANSLATE(B8009,""id"",""en"")"),"['Gajelasss',' Package ',' Call ',' Minutes', 'Telkomsel', 'Call', 'People', 'Kouta', 'Call', 'Shame', 'then', 'deliberate', ' Speaklings', 'numbers',' kebeli ',' packages', 'emergency', 'call', 'pulses',' sometimes', 'ilang', 'sndri', 'sms',' notif ',' p"&amp;"ackage ' , 'leftover', 'little', 'sometimes', 'enter', 'sometimes', 'Cut', 'pulse']")</f>
        <v>['Gajelasss',' Package ',' Call ',' Minutes', 'Telkomsel', 'Call', 'People', 'Kouta', 'Call', 'Shame', 'then', 'deliberate', ' Speaklings', 'numbers',' kebeli ',' packages', 'emergency', 'call', 'pulses',' sometimes', 'ilang', 'sndri', 'sms',' notif ',' package ' , 'leftover', 'little', 'sometimes', 'enter', 'sometimes', 'Cut', 'pulse']</v>
      </c>
      <c r="D8009" s="3">
        <v>1.0</v>
      </c>
    </row>
    <row r="8010" ht="15.75" customHeight="1">
      <c r="A8010" s="1">
        <v>8608.0</v>
      </c>
      <c r="B8010" s="3" t="s">
        <v>7711</v>
      </c>
      <c r="C8010" s="3" t="str">
        <f>IFERROR(__xludf.DUMMYFUNCTION("GOOGLETRANSLATE(B8010,""id"",""en"")"),"['Good', 'tool', 'transaction', 'kekeke', 'thank', 'love', 'Telkomsel']")</f>
        <v>['Good', 'tool', 'transaction', 'kekeke', 'thank', 'love', 'Telkomsel']</v>
      </c>
      <c r="D8010" s="3">
        <v>5.0</v>
      </c>
    </row>
    <row r="8011" ht="15.75" customHeight="1">
      <c r="A8011" s="1">
        <v>8609.0</v>
      </c>
      <c r="B8011" s="3" t="s">
        <v>7712</v>
      </c>
      <c r="C8011" s="3" t="str">
        <f>IFERROR(__xludf.DUMMYFUNCTION("GOOGLETRANSLATE(B8011,""id"",""en"")"),"['pulse']")</f>
        <v>['pulse']</v>
      </c>
      <c r="D8011" s="3">
        <v>5.0</v>
      </c>
    </row>
    <row r="8012" ht="15.75" customHeight="1">
      <c r="A8012" s="1">
        <v>8610.0</v>
      </c>
      <c r="B8012" s="3" t="s">
        <v>7713</v>
      </c>
      <c r="C8012" s="3" t="str">
        <f>IFERROR(__xludf.DUMMYFUNCTION("GOOGLETRANSLATE(B8012,""id"",""en"")"),"['Good', 'fast', 'list', 'package']")</f>
        <v>['Good', 'fast', 'list', 'package']</v>
      </c>
      <c r="D8012" s="3">
        <v>5.0</v>
      </c>
    </row>
    <row r="8013" ht="15.75" customHeight="1">
      <c r="A8013" s="1">
        <v>8611.0</v>
      </c>
      <c r="B8013" s="3" t="s">
        <v>7714</v>
      </c>
      <c r="C8013" s="3" t="str">
        <f>IFERROR(__xludf.DUMMYFUNCTION("GOOGLETRANSLATE(B8013,""id"",""en"")"),"['', 'good']")</f>
        <v>['', 'good']</v>
      </c>
      <c r="D8013" s="3">
        <v>5.0</v>
      </c>
    </row>
    <row r="8014" ht="15.75" customHeight="1">
      <c r="A8014" s="1">
        <v>8612.0</v>
      </c>
      <c r="B8014" s="3" t="s">
        <v>7715</v>
      </c>
      <c r="C8014" s="3" t="str">
        <f>IFERROR(__xludf.DUMMYFUNCTION("GOOGLETRANSLATE(B8014,""id"",""en"")"),"['', 'understand', 'Sya', 'work', 'app', 'difficult', 'really', 'ekukanya', 'dusing', 'hope', 'good', ""]")</f>
        <v>['', 'understand', 'Sya', 'work', 'app', 'difficult', 'really', 'ekukanya', 'dusing', 'hope', 'good', "]</v>
      </c>
      <c r="D8014" s="3">
        <v>4.0</v>
      </c>
    </row>
    <row r="8015" ht="15.75" customHeight="1">
      <c r="A8015" s="1">
        <v>8613.0</v>
      </c>
      <c r="B8015" s="3" t="s">
        <v>7716</v>
      </c>
      <c r="C8015" s="3" t="str">
        <f>IFERROR(__xludf.DUMMYFUNCTION("GOOGLETRANSLATE(B8015,""id"",""en"")"),"['Love', 'Star', 'Network', 'Kek', 'Pig', 'Good', 'City', 'Doang']")</f>
        <v>['Love', 'Star', 'Network', 'Kek', 'Pig', 'Good', 'City', 'Doang']</v>
      </c>
      <c r="D8015" s="3">
        <v>1.0</v>
      </c>
    </row>
    <row r="8016" ht="15.75" customHeight="1">
      <c r="A8016" s="1">
        <v>8614.0</v>
      </c>
      <c r="B8016" s="3" t="s">
        <v>7717</v>
      </c>
      <c r="C8016" s="3" t="str">
        <f>IFERROR(__xludf.DUMMYFUNCTION("GOOGLETRANSLATE(B8016,""id"",""en"")"),"['Kapok', 'signal', 'down']")</f>
        <v>['Kapok', 'signal', 'down']</v>
      </c>
      <c r="D8016" s="3">
        <v>3.0</v>
      </c>
    </row>
    <row r="8017" ht="15.75" customHeight="1">
      <c r="A8017" s="1">
        <v>8615.0</v>
      </c>
      <c r="B8017" s="3" t="s">
        <v>7718</v>
      </c>
      <c r="C8017" s="3" t="str">
        <f>IFERROR(__xludf.DUMMYFUNCTION("GOOGLETRANSLATE(B8017,""id"",""en"")"),"['pulse', 'monetary', 'Kekeke', 'buy', 'package', 'package', 'pulse', 'monetary', 'thousand', 'pulseku', 'thousand', 'pulses',' The original ',' Kekeke ',' pulse ',' monetary ',' please ',' repaired ',' ']")</f>
        <v>['pulse', 'monetary', 'Kekeke', 'buy', 'package', 'package', 'pulse', 'monetary', 'thousand', 'pulseku', 'thousand', 'pulses',' The original ',' Kekeke ',' pulse ',' monetary ',' please ',' repaired ',' ']</v>
      </c>
      <c r="D8017" s="3">
        <v>1.0</v>
      </c>
    </row>
    <row r="8018" ht="15.75" customHeight="1">
      <c r="A8018" s="1">
        <v>8616.0</v>
      </c>
      <c r="B8018" s="3" t="s">
        <v>7719</v>
      </c>
      <c r="C8018" s="3" t="str">
        <f>IFERROR(__xludf.DUMMYFUNCTION("GOOGLETRANSLATE(B8018,""id"",""en"")"),"['Quota', 'Network', 'Lemott', 'Move', 'Fix']")</f>
        <v>['Quota', 'Network', 'Lemott', 'Move', 'Fix']</v>
      </c>
      <c r="D8018" s="3">
        <v>2.0</v>
      </c>
    </row>
    <row r="8019" ht="15.75" customHeight="1">
      <c r="A8019" s="1">
        <v>8617.0</v>
      </c>
      <c r="B8019" s="3" t="s">
        <v>7720</v>
      </c>
      <c r="C8019" s="3" t="str">
        <f>IFERROR(__xludf.DUMMYFUNCTION("GOOGLETRANSLATE(B8019,""id"",""en"")"),"['signal', 'Digame', 'Red']")</f>
        <v>['signal', 'Digame', 'Red']</v>
      </c>
      <c r="D8019" s="3">
        <v>1.0</v>
      </c>
    </row>
    <row r="8020" ht="15.75" customHeight="1">
      <c r="A8020" s="1">
        <v>8618.0</v>
      </c>
      <c r="B8020" s="3" t="s">
        <v>7721</v>
      </c>
      <c r="C8020" s="3" t="str">
        <f>IFERROR(__xludf.DUMMYFUNCTION("GOOGLETRANSLATE(B8020,""id"",""en"")"),"['Easy', 'user']")</f>
        <v>['Easy', 'user']</v>
      </c>
      <c r="D8020" s="3">
        <v>5.0</v>
      </c>
    </row>
    <row r="8021" ht="15.75" customHeight="1">
      <c r="A8021" s="1">
        <v>8619.0</v>
      </c>
      <c r="B8021" s="3" t="s">
        <v>7722</v>
      </c>
      <c r="C8021" s="3" t="str">
        <f>IFERROR(__xludf.DUMMYFUNCTION("GOOGLETRANSLATE(B8021,""id"",""en"")"),"['Please', 'Fix', 'No "",' Buy ',' Package ',' Internet ',' Sakti ',' Monthly ',' buy ',' November ',' November ',' emang ',' Monthly ',' HRI ',' Cuman ',' Wrong ',' Telkomsel ',' Internet ',' Sakti ',' Jdi ',' Kaga ',' Jelala ',' Please ',' Fix ']")</f>
        <v>['Please', 'Fix', 'No ",' Buy ',' Package ',' Internet ',' Sakti ',' Monthly ',' buy ',' November ',' November ',' emang ',' Monthly ',' HRI ',' Cuman ',' Wrong ',' Telkomsel ',' Internet ',' Sakti ',' Jdi ',' Kaga ',' Jelala ',' Please ',' Fix ']</v>
      </c>
      <c r="D8021" s="3">
        <v>1.0</v>
      </c>
    </row>
    <row r="8022" ht="15.75" customHeight="1">
      <c r="A8022" s="1">
        <v>8620.0</v>
      </c>
      <c r="B8022" s="3" t="s">
        <v>7723</v>
      </c>
      <c r="C8022" s="3" t="str">
        <f>IFERROR(__xludf.DUMMYFUNCTION("GOOGLETRANSLATE(B8022,""id"",""en"")"),"['Cheap', 'buy', '']")</f>
        <v>['Cheap', 'buy', '']</v>
      </c>
      <c r="D8022" s="3">
        <v>5.0</v>
      </c>
    </row>
    <row r="8023" ht="15.75" customHeight="1">
      <c r="A8023" s="1">
        <v>8621.0</v>
      </c>
      <c r="B8023" s="3" t="s">
        <v>3467</v>
      </c>
      <c r="C8023" s="3" t="str">
        <f>IFERROR(__xludf.DUMMYFUNCTION("GOOGLETRANSLATE(B8023,""id"",""en"")"),"['', 'help']")</f>
        <v>['', 'help']</v>
      </c>
      <c r="D8023" s="3">
        <v>4.0</v>
      </c>
    </row>
    <row r="8024" ht="15.75" customHeight="1">
      <c r="A8024" s="1">
        <v>8622.0</v>
      </c>
      <c r="B8024" s="3" t="s">
        <v>7724</v>
      </c>
      <c r="C8024" s="3" t="str">
        <f>IFERROR(__xludf.DUMMYFUNCTION("GOOGLETRANSLATE(B8024,""id"",""en"")"),"['Telkomsel', 'disorder', 'how', 'week', 'date', 'buy', 'pulse', 'thousand', 'no', 'entered', 'pdhal', 'bnar', ' Malem ',' Sya ',' Disconnect ',' BLI ',' package ',' worth ',' artisan ',' credit ',' no ',' entry ',' BNAR ',' Transi ',' success' , 'PDAH', "&amp;"'MONEY', 'I'M,' ']")</f>
        <v>['Telkomsel', 'disorder', 'how', 'week', 'date', 'buy', 'pulse', 'thousand', 'no', 'entered', 'pdhal', 'bnar', ' Malem ',' Sya ',' Disconnect ',' BLI ',' package ',' worth ',' artisan ',' credit ',' no ',' entry ',' BNAR ',' Transi ',' success' , 'PDAH', 'MONEY', 'I'M,' ']</v>
      </c>
      <c r="D8024" s="3">
        <v>1.0</v>
      </c>
    </row>
    <row r="8025" ht="15.75" customHeight="1">
      <c r="A8025" s="1">
        <v>8623.0</v>
      </c>
      <c r="B8025" s="3" t="s">
        <v>7725</v>
      </c>
      <c r="C8025" s="3" t="str">
        <f>IFERROR(__xludf.DUMMYFUNCTION("GOOGLETRANSLATE(B8025,""id"",""en"")"),"['buy', 'quota', 'easy', 'cheap']")</f>
        <v>['buy', 'quota', 'easy', 'cheap']</v>
      </c>
      <c r="D8025" s="3">
        <v>5.0</v>
      </c>
    </row>
    <row r="8026" ht="15.75" customHeight="1">
      <c r="A8026" s="1">
        <v>8624.0</v>
      </c>
      <c r="B8026" s="3" t="s">
        <v>1245</v>
      </c>
      <c r="C8026" s="3" t="str">
        <f>IFERROR(__xludf.DUMMYFUNCTION("GOOGLETRANSLATE(B8026,""id"",""en"")"),"['', 'Telkomsel', 'help']")</f>
        <v>['', 'Telkomsel', 'help']</v>
      </c>
      <c r="D8026" s="3">
        <v>4.0</v>
      </c>
    </row>
    <row r="8027" ht="15.75" customHeight="1">
      <c r="A8027" s="1">
        <v>8625.0</v>
      </c>
      <c r="B8027" s="3" t="s">
        <v>7726</v>
      </c>
      <c r="C8027" s="3" t="str">
        <f>IFERROR(__xludf.DUMMYFUNCTION("GOOGLETRANSLATE(B8027,""id"",""en"")"),"['app', 'meet', 'need', 'access',' easy ',' description ',' quota ',' watch ',' package ',' unlimitedmax ',' used ',' send ',' Email ',' Bales ',' please ',' quota ',' watch ""]")</f>
        <v>['app', 'meet', 'need', 'access',' easy ',' description ',' quota ',' watch ',' package ',' unlimitedmax ',' used ',' send ',' Email ',' Bales ',' please ',' quota ',' watch "]</v>
      </c>
      <c r="D8027" s="3">
        <v>2.0</v>
      </c>
    </row>
    <row r="8028" ht="15.75" customHeight="1">
      <c r="A8028" s="1">
        <v>8626.0</v>
      </c>
      <c r="B8028" s="3" t="s">
        <v>7727</v>
      </c>
      <c r="C8028" s="3" t="str">
        <f>IFERROR(__xludf.DUMMYFUNCTION("GOOGLETRANSLATE(B8028,""id"",""en"")"),"['Telkomsel', 'package', 'cheap', 'subscribe', 'card', 'package', 'cheap', '']")</f>
        <v>['Telkomsel', 'package', 'cheap', 'subscribe', 'card', 'package', 'cheap', '']</v>
      </c>
      <c r="D8028" s="3">
        <v>1.0</v>
      </c>
    </row>
    <row r="8029" ht="15.75" customHeight="1">
      <c r="A8029" s="1">
        <v>8627.0</v>
      </c>
      <c r="B8029" s="3" t="s">
        <v>7728</v>
      </c>
      <c r="C8029" s="3" t="str">
        <f>IFERROR(__xludf.DUMMYFUNCTION("GOOGLETRANSLATE(B8029,""id"",""en"")"),"['signal', 'internet', 'Telkomsel', 'ugly', 'slow', 'ngilan', 'ngilani', 'price', 'quota', 'counted', 'expensive', ""]")</f>
        <v>['signal', 'internet', 'Telkomsel', 'ugly', 'slow', 'ngilan', 'ngilani', 'price', 'quota', 'counted', 'expensive', "]</v>
      </c>
      <c r="D8029" s="3">
        <v>1.0</v>
      </c>
    </row>
    <row r="8030" ht="15.75" customHeight="1">
      <c r="A8030" s="1">
        <v>8628.0</v>
      </c>
      <c r="B8030" s="3" t="s">
        <v>7729</v>
      </c>
      <c r="C8030" s="3" t="str">
        <f>IFERROR(__xludf.DUMMYFUNCTION("GOOGLETRANSLATE(B8030,""id"",""en"")"),"['jerk', 'mentang', 'mentang', 'already', 'signal', 'crash', 'Sebau', 'Telkomm', 'good', 'signal', 'moncer', 'crash', ' ']")</f>
        <v>['jerk', 'mentang', 'mentang', 'already', 'signal', 'crash', 'Sebau', 'Telkomm', 'good', 'signal', 'moncer', 'crash', ' ']</v>
      </c>
      <c r="D8030" s="3">
        <v>1.0</v>
      </c>
    </row>
    <row r="8031" ht="15.75" customHeight="1">
      <c r="A8031" s="1">
        <v>8629.0</v>
      </c>
      <c r="B8031" s="3" t="s">
        <v>7730</v>
      </c>
      <c r="C8031" s="3" t="str">
        <f>IFERROR(__xludf.DUMMYFUNCTION("GOOGLETRANSLATE(B8031,""id"",""en"")"),"['Credit', 'Reduced', 'Data', 'Cellular', 'On', 'Call', 'SMS', 'Basic', 'Telkomsel', 'Bazard']")</f>
        <v>['Credit', 'Reduced', 'Data', 'Cellular', 'On', 'Call', 'SMS', 'Basic', 'Telkomsel', 'Bazard']</v>
      </c>
      <c r="D8031" s="3">
        <v>1.0</v>
      </c>
    </row>
    <row r="8032" ht="15.75" customHeight="1">
      <c r="A8032" s="1">
        <v>8630.0</v>
      </c>
      <c r="B8032" s="3" t="s">
        <v>7731</v>
      </c>
      <c r="C8032" s="3" t="str">
        <f>IFERROR(__xludf.DUMMYFUNCTION("GOOGLETRANSLATE(B8032,""id"",""en"")"),"['Hopefully', 'Cheap', 'Need', 'Package', 'Learning', '']")</f>
        <v>['Hopefully', 'Cheap', 'Need', 'Package', 'Learning', '']</v>
      </c>
      <c r="D8032" s="3">
        <v>5.0</v>
      </c>
    </row>
    <row r="8033" ht="15.75" customHeight="1">
      <c r="A8033" s="1">
        <v>8631.0</v>
      </c>
      <c r="B8033" s="3" t="s">
        <v>7732</v>
      </c>
      <c r="C8033" s="3" t="str">
        <f>IFERROR(__xludf.DUMMYFUNCTION("GOOGLETRANSLATE(B8033,""id"",""en"")"),"['Help', 'driver', 'line', 'signal', 'evenly', 'suburb', 'city', '']")</f>
        <v>['Help', 'driver', 'line', 'signal', 'evenly', 'suburb', 'city', '']</v>
      </c>
      <c r="D8033" s="3">
        <v>5.0</v>
      </c>
    </row>
    <row r="8034" ht="15.75" customHeight="1">
      <c r="A8034" s="1">
        <v>8632.0</v>
      </c>
      <c r="B8034" s="3" t="s">
        <v>7733</v>
      </c>
      <c r="C8034" s="3" t="str">
        <f>IFERROR(__xludf.DUMMYFUNCTION("GOOGLETRANSLATE(B8034,""id"",""en"")"),"['steady', 'byk', 'promo']")</f>
        <v>['steady', 'byk', 'promo']</v>
      </c>
      <c r="D8034" s="3">
        <v>5.0</v>
      </c>
    </row>
    <row r="8035" ht="15.75" customHeight="1">
      <c r="A8035" s="1">
        <v>8633.0</v>
      </c>
      <c r="B8035" s="3" t="s">
        <v>7734</v>
      </c>
      <c r="C8035" s="3" t="str">
        <f>IFERROR(__xludf.DUMMYFUNCTION("GOOGLETRANSLATE(B8035,""id"",""en"")"),"['Network', 'bad', 'expensive', 'price', 'according to', '']")</f>
        <v>['Network', 'bad', 'expensive', 'price', 'according to', '']</v>
      </c>
      <c r="D8035" s="3">
        <v>2.0</v>
      </c>
    </row>
    <row r="8036" ht="15.75" customHeight="1">
      <c r="A8036" s="1">
        <v>8634.0</v>
      </c>
      <c r="B8036" s="3" t="s">
        <v>7735</v>
      </c>
      <c r="C8036" s="3" t="str">
        <f>IFERROR(__xludf.DUMMYFUNCTION("GOOGLETRANSLATE(B8036,""id"",""en"")"),"['buy', 'package', 'internet', 'GB', 'DGAN', 'price', 'tnggal', 'November', 'hour', 'payment', 'APK', 'Link', ' The balance ',' Link ',' Cutting ',' Package ',' Internet ',' It is', 'Enter', 'Really', 'Disappointed', 'Sya', 'Telkomsel']")</f>
        <v>['buy', 'package', 'internet', 'GB', 'DGAN', 'price', 'tnggal', 'November', 'hour', 'payment', 'APK', 'Link', ' The balance ',' Link ',' Cutting ',' Package ',' Internet ',' It is', 'Enter', 'Really', 'Disappointed', 'Sya', 'Telkomsel']</v>
      </c>
      <c r="D8036" s="3">
        <v>2.0</v>
      </c>
    </row>
    <row r="8037" ht="15.75" customHeight="1">
      <c r="A8037" s="1">
        <v>8635.0</v>
      </c>
      <c r="B8037" s="3" t="s">
        <v>7736</v>
      </c>
      <c r="C8037" s="3" t="str">
        <f>IFERROR(__xludf.DUMMYFUNCTION("GOOGLETRANSLATE(B8037,""id"",""en"")"),"['package', 'expensive', 'expensive', 'signal', 'ugly']")</f>
        <v>['package', 'expensive', 'expensive', 'signal', 'ugly']</v>
      </c>
      <c r="D8037" s="3">
        <v>4.0</v>
      </c>
    </row>
    <row r="8038" ht="15.75" customHeight="1">
      <c r="A8038" s="1">
        <v>8637.0</v>
      </c>
      <c r="B8038" s="3" t="s">
        <v>7737</v>
      </c>
      <c r="C8038" s="3" t="str">
        <f>IFERROR(__xludf.DUMMYFUNCTION("GOOGLETRANSLATE(B8038,""id"",""en"")"),"['Netizen', 'Quality', '']")</f>
        <v>['Netizen', 'Quality', '']</v>
      </c>
      <c r="D8038" s="3">
        <v>4.0</v>
      </c>
    </row>
    <row r="8039" ht="15.75" customHeight="1">
      <c r="A8039" s="1">
        <v>8638.0</v>
      </c>
      <c r="B8039" s="3" t="s">
        <v>885</v>
      </c>
      <c r="C8039" s="3" t="str">
        <f>IFERROR(__xludf.DUMMYFUNCTION("GOOGLETRANSLATE(B8039,""id"",""en"")"),"['Good', 'application']")</f>
        <v>['Good', 'application']</v>
      </c>
      <c r="D8039" s="3">
        <v>5.0</v>
      </c>
    </row>
    <row r="8040" ht="15.75" customHeight="1">
      <c r="A8040" s="1">
        <v>8639.0</v>
      </c>
      <c r="B8040" s="3" t="s">
        <v>7738</v>
      </c>
      <c r="C8040" s="3" t="str">
        <f>IFERROR(__xludf.DUMMYFUNCTION("GOOGLETRANSLATE(B8040,""id"",""en"")"),"['Disappointed', 'buy', 'quota', 'expensive', 'TPY', 'according to', 'expectation', 'network', 'stable', 'right', 'drizzle', 'intention', ' Nge ',' Game ',' Entertainment ',' Mah ',' Jdi ',' Emotion ',' Gara ',' Network ',' Stable ']")</f>
        <v>['Disappointed', 'buy', 'quota', 'expensive', 'TPY', 'according to', 'expectation', 'network', 'stable', 'right', 'drizzle', 'intention', ' Nge ',' Game ',' Entertainment ',' Mah ',' Jdi ',' Emotion ',' Gara ',' Network ',' Stable ']</v>
      </c>
      <c r="D8040" s="3">
        <v>1.0</v>
      </c>
    </row>
    <row r="8041" ht="15.75" customHeight="1">
      <c r="A8041" s="1">
        <v>8640.0</v>
      </c>
      <c r="B8041" s="3" t="s">
        <v>7739</v>
      </c>
      <c r="C8041" s="3" t="str">
        <f>IFERROR(__xludf.DUMMYFUNCTION("GOOGLETRANSLATE(B8041,""id"",""en"")"),"['Sekarash', 'stable', 'signal']")</f>
        <v>['Sekarash', 'stable', 'signal']</v>
      </c>
      <c r="D8041" s="3">
        <v>3.0</v>
      </c>
    </row>
    <row r="8042" ht="15.75" customHeight="1">
      <c r="A8042" s="1">
        <v>8641.0</v>
      </c>
      <c r="B8042" s="3" t="s">
        <v>7740</v>
      </c>
      <c r="C8042" s="3" t="str">
        <f>IFERROR(__xludf.DUMMYFUNCTION("GOOGLETRANSLATE(B8042,""id"",""en"")"),"['The network', 'weak']")</f>
        <v>['The network', 'weak']</v>
      </c>
      <c r="D8042" s="3">
        <v>1.0</v>
      </c>
    </row>
    <row r="8043" ht="15.75" customHeight="1">
      <c r="A8043" s="1">
        <v>8642.0</v>
      </c>
      <c r="B8043" s="3" t="s">
        <v>7741</v>
      </c>
      <c r="C8043" s="3" t="str">
        <f>IFERROR(__xludf.DUMMYFUNCTION("GOOGLETRANSLATE(B8043,""id"",""en"")"),"['signal', 'Kayak', 'Severe', 'Next', 'Padah', 'already', 'Telkomsel', 'Severe', 'already', 'package', 'expensive']")</f>
        <v>['signal', 'Kayak', 'Severe', 'Next', 'Padah', 'already', 'Telkomsel', 'Severe', 'already', 'package', 'expensive']</v>
      </c>
      <c r="D8043" s="3">
        <v>1.0</v>
      </c>
    </row>
    <row r="8044" ht="15.75" customHeight="1">
      <c r="A8044" s="1">
        <v>8643.0</v>
      </c>
      <c r="B8044" s="3" t="s">
        <v>7742</v>
      </c>
      <c r="C8044" s="3" t="str">
        <f>IFERROR(__xludf.DUMMYFUNCTION("GOOGLETRANSLATE(B8044,""id"",""en"")"),"['steady', 'app']")</f>
        <v>['steady', 'app']</v>
      </c>
      <c r="D8044" s="3">
        <v>5.0</v>
      </c>
    </row>
    <row r="8045" ht="15.75" customHeight="1">
      <c r="A8045" s="1">
        <v>8646.0</v>
      </c>
      <c r="B8045" s="3" t="s">
        <v>7743</v>
      </c>
      <c r="C8045" s="3" t="str">
        <f>IFERROR(__xludf.DUMMYFUNCTION("GOOGLETRANSLATE(B8045,""id"",""en"")"),"['rotten', 'really', 'signal', 'Nge', 'game', 'right', 'kvm', 'match', 'laggg', ""]")</f>
        <v>['rotten', 'really', 'signal', 'Nge', 'game', 'right', 'kvm', 'match', 'laggg', "]</v>
      </c>
      <c r="D8045" s="3">
        <v>3.0</v>
      </c>
    </row>
    <row r="8046" ht="15.75" customHeight="1">
      <c r="A8046" s="1">
        <v>8647.0</v>
      </c>
      <c r="B8046" s="3" t="s">
        <v>7744</v>
      </c>
      <c r="C8046" s="3" t="str">
        <f>IFERROR(__xludf.DUMMYFUNCTION("GOOGLETRANSLATE(B8046,""id"",""en"")"),"['Enter', 'enter', 'knapa', ""]")</f>
        <v>['Enter', 'enter', 'knapa', "]</v>
      </c>
      <c r="D8046" s="3">
        <v>5.0</v>
      </c>
    </row>
    <row r="8047" ht="15.75" customHeight="1">
      <c r="A8047" s="1">
        <v>8648.0</v>
      </c>
      <c r="B8047" s="3" t="s">
        <v>7745</v>
      </c>
      <c r="C8047" s="3" t="str">
        <f>IFERROR(__xludf.DUMMYFUNCTION("GOOGLETRANSLATE(B8047,""id"",""en"")"),"['Telkomsel', 'Network', 'Not bad', 'Good', ""]")</f>
        <v>['Telkomsel', 'Network', 'Not bad', 'Good', "]</v>
      </c>
      <c r="D8047" s="3">
        <v>5.0</v>
      </c>
    </row>
    <row r="8048" ht="15.75" customHeight="1">
      <c r="A8048" s="1">
        <v>8649.0</v>
      </c>
      <c r="B8048" s="3" t="s">
        <v>7746</v>
      </c>
      <c r="C8048" s="3" t="str">
        <f>IFERROR(__xludf.DUMMYFUNCTION("GOOGLETRANSLATE(B8048,""id"",""en"")"),"['Package', 'Combo', 'Unlimetet', 'Mantap', 'Joss', 'Telkomsel', 'Hopefully', 'Promotions', 'Price', 'Cheap']")</f>
        <v>['Package', 'Combo', 'Unlimetet', 'Mantap', 'Joss', 'Telkomsel', 'Hopefully', 'Promotions', 'Price', 'Cheap']</v>
      </c>
      <c r="D8048" s="3">
        <v>5.0</v>
      </c>
    </row>
    <row r="8049" ht="15.75" customHeight="1">
      <c r="A8049" s="1">
        <v>8650.0</v>
      </c>
      <c r="B8049" s="3" t="s">
        <v>7747</v>
      </c>
      <c r="C8049" s="3" t="str">
        <f>IFERROR(__xludf.DUMMYFUNCTION("GOOGLETRANSLATE(B8049,""id"",""en"")"),"['Telkomsel', 'ngelunjak', 'price', 'quota', 'trs']")</f>
        <v>['Telkomsel', 'ngelunjak', 'price', 'quota', 'trs']</v>
      </c>
      <c r="D8049" s="3">
        <v>1.0</v>
      </c>
    </row>
    <row r="8050" ht="15.75" customHeight="1">
      <c r="A8050" s="1">
        <v>8651.0</v>
      </c>
      <c r="B8050" s="3" t="s">
        <v>7748</v>
      </c>
      <c r="C8050" s="3" t="str">
        <f>IFERROR(__xludf.DUMMYFUNCTION("GOOGLETRANSLATE(B8050,""id"",""en"")"),"['The network', 'Rich', 'FudgleTTT']")</f>
        <v>['The network', 'Rich', 'FudgleTTT']</v>
      </c>
      <c r="D8050" s="3">
        <v>1.0</v>
      </c>
    </row>
    <row r="8051" ht="15.75" customHeight="1">
      <c r="A8051" s="1">
        <v>8652.0</v>
      </c>
      <c r="B8051" s="3" t="s">
        <v>7749</v>
      </c>
      <c r="C8051" s="3" t="str">
        <f>IFERROR(__xludf.DUMMYFUNCTION("GOOGLETRANSLATE(B8051,""id"",""en"")"),"['Success', 'in the future', 'Hopefully', 'work', 'office', 'Telkomsel', 'Aamiin']")</f>
        <v>['Success', 'in the future', 'Hopefully', 'work', 'office', 'Telkomsel', 'Aamiin']</v>
      </c>
      <c r="D8051" s="3">
        <v>3.0</v>
      </c>
    </row>
    <row r="8052" ht="15.75" customHeight="1">
      <c r="A8052" s="1">
        <v>8653.0</v>
      </c>
      <c r="B8052" s="3" t="s">
        <v>7750</v>
      </c>
      <c r="C8052" s="3" t="str">
        <f>IFERROR(__xludf.DUMMYFUNCTION("GOOGLETRANSLATE(B8052,""id"",""en"")"),"['steady', 'deh', 'Telkomsel', 'gift', '']")</f>
        <v>['steady', 'deh', 'Telkomsel', 'gift', '']</v>
      </c>
      <c r="D8052" s="3">
        <v>5.0</v>
      </c>
    </row>
    <row r="8053" ht="15.75" customHeight="1">
      <c r="A8053" s="1">
        <v>8654.0</v>
      </c>
      <c r="B8053" s="3" t="s">
        <v>7751</v>
      </c>
      <c r="C8053" s="3" t="str">
        <f>IFERROR(__xludf.DUMMYFUNCTION("GOOGLETRANSLATE(B8053,""id"",""en"")"),"['Please', 'Tsel', 'Application', 'Increase', 'Connection', 'Network', 'Job', 'Helped', 'Connection', 'Network', 'Bad', 'Night']")</f>
        <v>['Please', 'Tsel', 'Application', 'Increase', 'Connection', 'Network', 'Job', 'Helped', 'Connection', 'Network', 'Bad', 'Night']</v>
      </c>
      <c r="D8053" s="3">
        <v>1.0</v>
      </c>
    </row>
    <row r="8054" ht="15.75" customHeight="1">
      <c r="A8054" s="1">
        <v>8655.0</v>
      </c>
      <c r="B8054" s="3" t="s">
        <v>7752</v>
      </c>
      <c r="C8054" s="3" t="str">
        <f>IFERROR(__xludf.DUMMYFUNCTION("GOOGLETRANSLATE(B8054,""id"",""en"")"),"['Package', 'buy', 'expensive', 'network', 'nya', 'ugly', 'times', ""]")</f>
        <v>['Package', 'buy', 'expensive', 'network', 'nya', 'ugly', 'times', "]</v>
      </c>
      <c r="D8054" s="3">
        <v>1.0</v>
      </c>
    </row>
    <row r="8055" ht="15.75" customHeight="1">
      <c r="A8055" s="1">
        <v>8656.0</v>
      </c>
      <c r="B8055" s="3" t="s">
        <v>7753</v>
      </c>
      <c r="C8055" s="3" t="str">
        <f>IFERROR(__xludf.DUMMYFUNCTION("GOOGLETRANSLATE(B8055,""id"",""en"")"),"['how', 'tsel', 'signal', 'like', 'missing', 'ngegame', 'disturbing', 'really', 'please', 'berberinin', 'system', 'thanks',' ']")</f>
        <v>['how', 'tsel', 'signal', 'like', 'missing', 'ngegame', 'disturbing', 'really', 'please', 'berberinin', 'system', 'thanks',' ']</v>
      </c>
      <c r="D8055" s="3">
        <v>1.0</v>
      </c>
    </row>
    <row r="8056" ht="15.75" customHeight="1">
      <c r="A8056" s="1">
        <v>8657.0</v>
      </c>
      <c r="B8056" s="3" t="s">
        <v>7754</v>
      </c>
      <c r="C8056" s="3" t="str">
        <f>IFERROR(__xludf.DUMMYFUNCTION("GOOGLETRANSLATE(B8056,""id"",""en"")"),"['Disappointed', 'Network', 'Telkomsel', 'Bad', 'Network', 'Bad', 'Please', 'Fix', 'Ancurrrrrr', ""]")</f>
        <v>['Disappointed', 'Network', 'Telkomsel', 'Bad', 'Network', 'Bad', 'Please', 'Fix', 'Ancurrrrrr', "]</v>
      </c>
      <c r="D8056" s="3">
        <v>3.0</v>
      </c>
    </row>
    <row r="8057" ht="15.75" customHeight="1">
      <c r="A8057" s="1">
        <v>8658.0</v>
      </c>
      <c r="B8057" s="3" t="s">
        <v>7755</v>
      </c>
      <c r="C8057" s="3" t="str">
        <f>IFERROR(__xludf.DUMMYFUNCTION("GOOGLETRANSLATE(B8057,""id"",""en"")"),"['Telkomsel', 'Network', 'good', 'quota', 'price', 'expensive', 'expensive', 'LGI', 'network', 'JDI', 'BURIK', 'Fix', ' emng ',' people ',' difficult ',' Telkomsel ']")</f>
        <v>['Telkomsel', 'Network', 'good', 'quota', 'price', 'expensive', 'expensive', 'LGI', 'network', 'JDI', 'BURIK', 'Fix', ' emng ',' people ',' difficult ',' Telkomsel ']</v>
      </c>
      <c r="D8057" s="3">
        <v>1.0</v>
      </c>
    </row>
    <row r="8058" ht="15.75" customHeight="1">
      <c r="A8058" s="1">
        <v>8659.0</v>
      </c>
      <c r="B8058" s="3" t="s">
        <v>7756</v>
      </c>
      <c r="C8058" s="3" t="str">
        <f>IFERROR(__xludf.DUMMYFUNCTION("GOOGLETRANSLATE(B8058,""id"",""en"")"),"['Telkomsel', 'here', 'severe', 'gada', 'signal', 'Telkomsel', 'signal', 'good', 'gini', 'severe', 'really']")</f>
        <v>['Telkomsel', 'here', 'severe', 'gada', 'signal', 'Telkomsel', 'signal', 'good', 'gini', 'severe', 'really']</v>
      </c>
      <c r="D8058" s="3">
        <v>1.0</v>
      </c>
    </row>
    <row r="8059" ht="15.75" customHeight="1">
      <c r="A8059" s="1">
        <v>8660.0</v>
      </c>
      <c r="B8059" s="3" t="s">
        <v>7757</v>
      </c>
      <c r="C8059" s="3" t="str">
        <f>IFERROR(__xludf.DUMMYFUNCTION("GOOGLETRANSLATE(B8059,""id"",""en"")"),"['Dih', 'Telkomsel', 'JDI', 'annoyed', 'card', 'Sultan', 'Network', 'Kagak', 'Package', 'Mahalll', 'Network', 'ugly', ' ']")</f>
        <v>['Dih', 'Telkomsel', 'JDI', 'annoyed', 'card', 'Sultan', 'Network', 'Kagak', 'Package', 'Mahalll', 'Network', 'ugly', ' ']</v>
      </c>
      <c r="D8059" s="3">
        <v>1.0</v>
      </c>
    </row>
    <row r="8060" ht="15.75" customHeight="1">
      <c r="A8060" s="1">
        <v>8661.0</v>
      </c>
      <c r="B8060" s="3" t="s">
        <v>7758</v>
      </c>
      <c r="C8060" s="3" t="str">
        <f>IFERROR(__xludf.DUMMYFUNCTION("GOOGLETRANSLATE(B8060,""id"",""en"")"),"['Good', 'really', 'apk', 'like', 'success', 'Telkomsel']")</f>
        <v>['Good', 'really', 'apk', 'like', 'success', 'Telkomsel']</v>
      </c>
      <c r="D8060" s="3">
        <v>5.0</v>
      </c>
    </row>
    <row r="8061" ht="15.75" customHeight="1">
      <c r="A8061" s="1">
        <v>8662.0</v>
      </c>
      <c r="B8061" s="3" t="s">
        <v>6436</v>
      </c>
      <c r="C8061" s="3" t="str">
        <f>IFERROR(__xludf.DUMMYFUNCTION("GOOGLETRANSLATE(B8061,""id"",""en"")"),"['satisfying']")</f>
        <v>['satisfying']</v>
      </c>
      <c r="D8061" s="3">
        <v>5.0</v>
      </c>
    </row>
    <row r="8062" ht="15.75" customHeight="1">
      <c r="A8062" s="1">
        <v>8664.0</v>
      </c>
      <c r="B8062" s="3" t="s">
        <v>7759</v>
      </c>
      <c r="C8062" s="3" t="str">
        <f>IFERROR(__xludf.DUMMYFUNCTION("GOOGLETRANSLATE(B8062,""id"",""en"")"),"['slow']")</f>
        <v>['slow']</v>
      </c>
      <c r="D8062" s="3">
        <v>5.0</v>
      </c>
    </row>
    <row r="8063" ht="15.75" customHeight="1">
      <c r="A8063" s="1">
        <v>8665.0</v>
      </c>
      <c r="B8063" s="3" t="s">
        <v>7760</v>
      </c>
      <c r="C8063" s="3" t="str">
        <f>IFERROR(__xludf.DUMMYFUNCTION("GOOGLETRANSLATE(B8063,""id"",""en"")"),"['quota', 'expensive', 'signal', 'right', 'right', 'Alah', 'Telkomsel']")</f>
        <v>['quota', 'expensive', 'signal', 'right', 'right', 'Alah', 'Telkomsel']</v>
      </c>
      <c r="D8063" s="3">
        <v>1.0</v>
      </c>
    </row>
    <row r="8064" ht="15.75" customHeight="1">
      <c r="A8064" s="1">
        <v>8666.0</v>
      </c>
      <c r="B8064" s="3" t="s">
        <v>7761</v>
      </c>
      <c r="C8064" s="3" t="str">
        <f>IFERROR(__xludf.DUMMYFUNCTION("GOOGLETRANSLATE(B8064,""id"",""en"")"),"['Service', 'satisfying', 'facilitates', 'purchase', 'internet', 'forward', 'Telkomsel']")</f>
        <v>['Service', 'satisfying', 'facilitates', 'purchase', 'internet', 'forward', 'Telkomsel']</v>
      </c>
      <c r="D8064" s="3">
        <v>5.0</v>
      </c>
    </row>
    <row r="8065" ht="15.75" customHeight="1">
      <c r="A8065" s="1">
        <v>8667.0</v>
      </c>
      <c r="B8065" s="3" t="s">
        <v>7762</v>
      </c>
      <c r="C8065" s="3" t="str">
        <f>IFERROR(__xludf.DUMMYFUNCTION("GOOGLETRANSLATE(B8065,""id"",""en"")"),"['Please', 'quota', 'expensive', 'expensive', 'boss']")</f>
        <v>['Please', 'quota', 'expensive', 'expensive', 'boss']</v>
      </c>
      <c r="D8065" s="3">
        <v>5.0</v>
      </c>
    </row>
    <row r="8066" ht="15.75" customHeight="1">
      <c r="A8066" s="1">
        <v>8668.0</v>
      </c>
      <c r="B8066" s="3" t="s">
        <v>7763</v>
      </c>
      <c r="C8066" s="3" t="str">
        <f>IFERROR(__xludf.DUMMYFUNCTION("GOOGLETRANSLATE(B8066,""id"",""en"")"),"['network', 'Telkomsel', 'doubts', 'where', 'network', 'stable', 'smooth', '']")</f>
        <v>['network', 'Telkomsel', 'doubts', 'where', 'network', 'stable', 'smooth', '']</v>
      </c>
      <c r="D8066" s="3">
        <v>5.0</v>
      </c>
    </row>
    <row r="8067" ht="15.75" customHeight="1">
      <c r="A8067" s="1">
        <v>8669.0</v>
      </c>
      <c r="B8067" s="3" t="s">
        <v>7764</v>
      </c>
      <c r="C8067" s="3" t="str">
        <f>IFERROR(__xludf.DUMMYFUNCTION("GOOGLETRANSLATE(B8067,""id"",""en"")"),"['Network', 'lag']")</f>
        <v>['Network', 'lag']</v>
      </c>
      <c r="D8067" s="3">
        <v>5.0</v>
      </c>
    </row>
    <row r="8068" ht="15.75" customHeight="1">
      <c r="A8068" s="1">
        <v>8670.0</v>
      </c>
      <c r="B8068" s="3" t="s">
        <v>7765</v>
      </c>
      <c r="C8068" s="3" t="str">
        <f>IFERROR(__xludf.DUMMYFUNCTION("GOOGLETRANSLATE(B8068,""id"",""en"")"),"['Woii', 'buy', 'Telkomsel', 'Ntar', 'already', 'expensive', 'signal']")</f>
        <v>['Woii', 'buy', 'Telkomsel', 'Ntar', 'already', 'expensive', 'signal']</v>
      </c>
      <c r="D8068" s="3">
        <v>1.0</v>
      </c>
    </row>
    <row r="8069" ht="15.75" customHeight="1">
      <c r="A8069" s="1">
        <v>8671.0</v>
      </c>
      <c r="B8069" s="3" t="s">
        <v>7766</v>
      </c>
      <c r="C8069" s="3" t="str">
        <f>IFERROR(__xludf.DUMMYFUNCTION("GOOGLETRANSLATE(B8069,""id"",""en"")"),"['Duh', 'Reedem', 'Voucher', 'Kim', 'Clinic', 'Notif', 'right', 'check', 'list', 'voucher', 'enter', 'enter', ' How ',' Please ',' Fix ',' Felt ',' Boongin ']")</f>
        <v>['Duh', 'Reedem', 'Voucher', 'Kim', 'Clinic', 'Notif', 'right', 'check', 'list', 'voucher', 'enter', 'enter', ' How ',' Please ',' Fix ',' Felt ',' Boongin ']</v>
      </c>
      <c r="D8069" s="3">
        <v>2.0</v>
      </c>
    </row>
    <row r="8070" ht="15.75" customHeight="1">
      <c r="A8070" s="1">
        <v>8673.0</v>
      </c>
      <c r="B8070" s="3" t="s">
        <v>7767</v>
      </c>
      <c r="C8070" s="3" t="str">
        <f>IFERROR(__xludf.DUMMYFUNCTION("GOOGLETRANSLATE(B8070,""id"",""en"")"),"['KSE', 'star']")</f>
        <v>['KSE', 'star']</v>
      </c>
      <c r="D8070" s="3">
        <v>5.0</v>
      </c>
    </row>
    <row r="8071" ht="15.75" customHeight="1">
      <c r="A8071" s="1">
        <v>8674.0</v>
      </c>
      <c r="B8071" s="3" t="s">
        <v>800</v>
      </c>
      <c r="C8071" s="3" t="str">
        <f>IFERROR(__xludf.DUMMYFUNCTION("GOOGLETRANSLATE(B8071,""id"",""en"")"),"['Promo']")</f>
        <v>['Promo']</v>
      </c>
      <c r="D8071" s="3">
        <v>4.0</v>
      </c>
    </row>
    <row r="8072" ht="15.75" customHeight="1">
      <c r="A8072" s="1">
        <v>8675.0</v>
      </c>
      <c r="B8072" s="3" t="s">
        <v>7768</v>
      </c>
      <c r="C8072" s="3" t="str">
        <f>IFERROR(__xludf.DUMMYFUNCTION("GOOGLETRANSLATE(B8072,""id"",""en"")"),"['application', 'error', 'network', 'ugly', 'kek', 'price', 'expensive', 'price', 'according to', 'quality', 'this ""city', ' wrong ',' regret ',' biggest ',' spend ',' money ',' provider ']")</f>
        <v>['application', 'error', 'network', 'ugly', 'kek', 'price', 'expensive', 'price', 'according to', 'quality', 'this "city', ' wrong ',' regret ',' biggest ',' spend ',' money ',' provider ']</v>
      </c>
      <c r="D8072" s="3">
        <v>1.0</v>
      </c>
    </row>
    <row r="8073" ht="15.75" customHeight="1">
      <c r="A8073" s="1">
        <v>8677.0</v>
      </c>
      <c r="B8073" s="3" t="s">
        <v>7769</v>
      </c>
      <c r="C8073" s="3" t="str">
        <f>IFERROR(__xludf.DUMMYFUNCTION("GOOGLETRANSLATE(B8073,""id"",""en"")"),"['Sya', 'buy', 'Pakek', 'NGK', 'enter', 'Telkomsel', 'pulse', 'dri', 'sampr', 'run out']")</f>
        <v>['Sya', 'buy', 'Pakek', 'NGK', 'enter', 'Telkomsel', 'pulse', 'dri', 'sampr', 'run out']</v>
      </c>
      <c r="D8073" s="3">
        <v>1.0</v>
      </c>
    </row>
    <row r="8074" ht="15.75" customHeight="1">
      <c r="A8074" s="1">
        <v>8678.0</v>
      </c>
      <c r="B8074" s="3" t="s">
        <v>7770</v>
      </c>
      <c r="C8074" s="3" t="str">
        <f>IFERROR(__xludf.DUMMYFUNCTION("GOOGLETRANSLATE(B8074,""id"",""en"")"),"['Telkomsel', 'gave', 'bonus',' pulse ',' TPI ',' call ',' call ',' free ',' berih ',' pulses', 'no', 'coakes',' Mending ',' gave ',' Kaga ',' use ',' name ',' doang ',' bonus', 'no', 'Telkomsel', 'severe']")</f>
        <v>['Telkomsel', 'gave', 'bonus',' pulse ',' TPI ',' call ',' call ',' free ',' berih ',' pulses', 'no', 'coakes',' Mending ',' gave ',' Kaga ',' use ',' name ',' doang ',' bonus', 'no', 'Telkomsel', 'severe']</v>
      </c>
      <c r="D8074" s="3">
        <v>1.0</v>
      </c>
    </row>
    <row r="8075" ht="15.75" customHeight="1">
      <c r="A8075" s="1">
        <v>8679.0</v>
      </c>
      <c r="B8075" s="3" t="s">
        <v>7771</v>
      </c>
      <c r="C8075" s="3" t="str">
        <f>IFERROR(__xludf.DUMMYFUNCTION("GOOGLETRANSLATE(B8075,""id"",""en"")"),"['Telkomsel', 'here', 'ugly', 'open', 'internet', 'muter', 'wait', 'please', 'return', 'Telkomsel', 'famous',' network ',' Wuzz ',' App ',' Thanks', '']")</f>
        <v>['Telkomsel', 'here', 'ugly', 'open', 'internet', 'muter', 'wait', 'please', 'return', 'Telkomsel', 'famous',' network ',' Wuzz ',' App ',' Thanks', '']</v>
      </c>
      <c r="D8075" s="3">
        <v>1.0</v>
      </c>
    </row>
    <row r="8076" ht="15.75" customHeight="1">
      <c r="A8076" s="1">
        <v>8680.0</v>
      </c>
      <c r="B8076" s="3" t="s">
        <v>7772</v>
      </c>
      <c r="C8076" s="3" t="str">
        <f>IFERROR(__xludf.DUMMYFUNCTION("GOOGLETRANSLATE(B8076,""id"",""en"")"),"['Network', 'uda', 'rich', 'uda', 'ugly', 'really', 'check', 'pulse', 'code', 'mmii', 'berkku', 'uda', ' complicated ',' really ',' entered ',' telkall ',' Susa ',' really ',' mistake ',' mulu ',' nakya ',' lei ',' telkomsel ',' mala ',' lei ' , 'Bad', 'c"&amp;"ave', 'telkom', 'uda', 'skarang', 'gini', 'pulse', 'sometimes',' run out ',' Hadeh ',' telkom ',' uda ',' ']")</f>
        <v>['Network', 'uda', 'rich', 'uda', 'ugly', 'really', 'check', 'pulse', 'code', 'mmii', 'berkku', 'uda', ' complicated ',' really ',' entered ',' telkall ',' Susa ',' really ',' mistake ',' mulu ',' nakya ',' lei ',' telkomsel ',' mala ',' lei ' , 'Bad', 'cave', 'telkom', 'uda', 'skarang', 'gini', 'pulse', 'sometimes',' run out ',' Hadeh ',' telkom ',' uda ',' ']</v>
      </c>
      <c r="D8076" s="3">
        <v>1.0</v>
      </c>
    </row>
    <row r="8077" ht="15.75" customHeight="1">
      <c r="A8077" s="1">
        <v>8681.0</v>
      </c>
      <c r="B8077" s="3" t="s">
        <v>7773</v>
      </c>
      <c r="C8077" s="3" t="str">
        <f>IFERROR(__xludf.DUMMYFUNCTION("GOOGLETRANSLATE(B8077,""id"",""en"")"),"['Display', 'good', 'neat', 'response', 'application', 'sometimes', 'sometimes', 'slow']")</f>
        <v>['Display', 'good', 'neat', 'response', 'application', 'sometimes', 'sometimes', 'slow']</v>
      </c>
      <c r="D8077" s="3">
        <v>4.0</v>
      </c>
    </row>
    <row r="8078" ht="15.75" customHeight="1">
      <c r="A8078" s="1">
        <v>8682.0</v>
      </c>
      <c r="B8078" s="3" t="s">
        <v>7774</v>
      </c>
      <c r="C8078" s="3" t="str">
        <f>IFERROR(__xludf.DUMMYFUNCTION("GOOGLETRANSLATE(B8078,""id"",""en"")"),"['Unfortunate', 'Produk', 'Telkomsel', 'Network', 'Bad', 'Network', 'Leet', 'Quota', 'Wood', 'Sya', 'Lma', 'Telkomsel', ' Disappointed ',' Thank you ']")</f>
        <v>['Unfortunate', 'Produk', 'Telkomsel', 'Network', 'Bad', 'Network', 'Leet', 'Quota', 'Wood', 'Sya', 'Lma', 'Telkomsel', ' Disappointed ',' Thank you ']</v>
      </c>
      <c r="D8078" s="3">
        <v>1.0</v>
      </c>
    </row>
    <row r="8079" ht="15.75" customHeight="1">
      <c r="A8079" s="1">
        <v>8683.0</v>
      </c>
      <c r="B8079" s="3" t="s">
        <v>7775</v>
      </c>
      <c r="C8079" s="3" t="str">
        <f>IFERROR(__xludf.DUMMYFUNCTION("GOOGLETRANSLATE(B8079,""id"",""en"")"),"['Kasi', 'star', 'dlu']")</f>
        <v>['Kasi', 'star', 'dlu']</v>
      </c>
      <c r="D8079" s="3">
        <v>3.0</v>
      </c>
    </row>
    <row r="8080" ht="15.75" customHeight="1">
      <c r="A8080" s="1">
        <v>8684.0</v>
      </c>
      <c r="B8080" s="3" t="s">
        <v>7776</v>
      </c>
      <c r="C8080" s="3" t="str">
        <f>IFERROR(__xludf.DUMMYFUNCTION("GOOGLETRANSLATE(B8080,""id"",""en"")"),"['package', 'expensive', 'expensive']")</f>
        <v>['package', 'expensive', 'expensive']</v>
      </c>
      <c r="D8080" s="3">
        <v>3.0</v>
      </c>
    </row>
    <row r="8081" ht="15.75" customHeight="1">
      <c r="A8081" s="1">
        <v>8685.0</v>
      </c>
      <c r="B8081" s="3" t="s">
        <v>7777</v>
      </c>
      <c r="C8081" s="3" t="str">
        <f>IFERROR(__xludf.DUMMYFUNCTION("GOOGLETRANSLATE(B8081,""id"",""en"")"),"['Come', 'Signal', 'Telkomsel', 'Blee', 'Severe', 'ugly', ""]")</f>
        <v>['Come', 'Signal', 'Telkomsel', 'Blee', 'Severe', 'ugly', "]</v>
      </c>
      <c r="D8081" s="3">
        <v>1.0</v>
      </c>
    </row>
    <row r="8082" ht="15.75" customHeight="1">
      <c r="A8082" s="1">
        <v>8687.0</v>
      </c>
      <c r="B8082" s="3" t="s">
        <v>7778</v>
      </c>
      <c r="C8082" s="3" t="str">
        <f>IFERROR(__xludf.DUMMYFUNCTION("GOOGLETRANSLATE(B8082,""id"",""en"")"),"['signal', 'ugly', 'according to', 'price', 'package', 'expensive', 'disappointed', '']")</f>
        <v>['signal', 'ugly', 'according to', 'price', 'package', 'expensive', 'disappointed', '']</v>
      </c>
      <c r="D8082" s="3">
        <v>1.0</v>
      </c>
    </row>
    <row r="8083" ht="15.75" customHeight="1">
      <c r="A8083" s="1">
        <v>8688.0</v>
      </c>
      <c r="B8083" s="3" t="s">
        <v>7779</v>
      </c>
      <c r="C8083" s="3" t="str">
        <f>IFERROR(__xludf.DUMMYFUNCTION("GOOGLETRANSLATE(B8083,""id"",""en"")"),"['disappointing', 'quota', 'expensive', 'disappointing', 'drizzle', 'already', 'signal']")</f>
        <v>['disappointing', 'quota', 'expensive', 'disappointing', 'drizzle', 'already', 'signal']</v>
      </c>
      <c r="D8083" s="3">
        <v>1.0</v>
      </c>
    </row>
    <row r="8084" ht="15.75" customHeight="1">
      <c r="A8084" s="1">
        <v>8689.0</v>
      </c>
      <c r="B8084" s="3" t="s">
        <v>7780</v>
      </c>
      <c r="C8084" s="3" t="str">
        <f>IFERROR(__xludf.DUMMYFUNCTION("GOOGLETRANSLATE(B8084,""id"",""en"")"),"['hrg', 'quota', 'expensive', '']")</f>
        <v>['hrg', 'quota', 'expensive', '']</v>
      </c>
      <c r="D8084" s="3">
        <v>4.0</v>
      </c>
    </row>
    <row r="8085" ht="15.75" customHeight="1">
      <c r="A8085" s="1">
        <v>8690.0</v>
      </c>
      <c r="B8085" s="3" t="s">
        <v>7781</v>
      </c>
      <c r="C8085" s="3" t="str">
        <f>IFERROR(__xludf.DUMMYFUNCTION("GOOGLETRANSLATE(B8085,""id"",""en"")"),"['Application', 'fuss']")</f>
        <v>['Application', 'fuss']</v>
      </c>
      <c r="D8085" s="3">
        <v>5.0</v>
      </c>
    </row>
    <row r="8086" ht="15.75" customHeight="1">
      <c r="A8086" s="1">
        <v>8691.0</v>
      </c>
      <c r="B8086" s="3" t="s">
        <v>7782</v>
      </c>
      <c r="C8086" s="3" t="str">
        <f>IFERROR(__xludf.DUMMYFUNCTION("GOOGLETRANSLATE(B8086,""id"",""en"")"),"['signal', 'bad', 'area']")</f>
        <v>['signal', 'bad', 'area']</v>
      </c>
      <c r="D8086" s="3">
        <v>1.0</v>
      </c>
    </row>
    <row r="8087" ht="15.75" customHeight="1">
      <c r="A8087" s="1">
        <v>8692.0</v>
      </c>
      <c r="B8087" s="3" t="s">
        <v>7783</v>
      </c>
      <c r="C8087" s="3" t="str">
        <f>IFERROR(__xludf.DUMMYFUNCTION("GOOGLETRANSLATE(B8087,""id"",""en"")"),"['', 'Anyway', 'DPT', 'bonus']")</f>
        <v>['', 'Anyway', 'DPT', 'bonus']</v>
      </c>
      <c r="D8087" s="3">
        <v>4.0</v>
      </c>
    </row>
    <row r="8088" ht="15.75" customHeight="1">
      <c r="A8088" s="1">
        <v>8694.0</v>
      </c>
      <c r="B8088" s="3" t="s">
        <v>7784</v>
      </c>
      <c r="C8088" s="3" t="str">
        <f>IFERROR(__xludf.DUMMYFUNCTION("GOOGLETRANSLATE(B8088,""id"",""en"")"),"['Good', 'network', 'bsa', 'pke', 'where', 'mksih']")</f>
        <v>['Good', 'network', 'bsa', 'pke', 'where', 'mksih']</v>
      </c>
      <c r="D8088" s="3">
        <v>4.0</v>
      </c>
    </row>
    <row r="8089" ht="15.75" customHeight="1">
      <c r="A8089" s="1">
        <v>8695.0</v>
      </c>
      <c r="B8089" s="3" t="s">
        <v>7785</v>
      </c>
      <c r="C8089" s="3" t="str">
        <f>IFERROR(__xludf.DUMMYFUNCTION("GOOGLETRANSLATE(B8089,""id"",""en"")"),"['package', 'quota', 'friend', 'cheap', 'price', 'package', 'wifi', 'dri', 'kelurahan', 'managed', 'bumdes',' thousand ',' family ',' please ',' save ',' expensive ',' ']")</f>
        <v>['package', 'quota', 'friend', 'cheap', 'price', 'package', 'wifi', 'dri', 'kelurahan', 'managed', 'bumdes',' thousand ',' family ',' please ',' save ',' expensive ',' ']</v>
      </c>
      <c r="D8089" s="3">
        <v>1.0</v>
      </c>
    </row>
    <row r="8090" ht="15.75" customHeight="1">
      <c r="A8090" s="1">
        <v>8696.0</v>
      </c>
      <c r="B8090" s="3" t="s">
        <v>7786</v>
      </c>
      <c r="C8090" s="3" t="str">
        <f>IFERROR(__xludf.DUMMYFUNCTION("GOOGLETRANSLATE(B8090,""id"",""en"")"),"['Easy', 'Han', 'gift', 'Telkomsel']")</f>
        <v>['Easy', 'Han', 'gift', 'Telkomsel']</v>
      </c>
      <c r="D8090" s="3">
        <v>5.0</v>
      </c>
    </row>
    <row r="8091" ht="15.75" customHeight="1">
      <c r="A8091" s="1">
        <v>8697.0</v>
      </c>
      <c r="B8091" s="3" t="s">
        <v>7787</v>
      </c>
      <c r="C8091" s="3" t="str">
        <f>IFERROR(__xludf.DUMMYFUNCTION("GOOGLETRANSLATE(B8091,""id"",""en"")"),"['Dour', 'Sia', 'Sia', 'buy', 'quota', 'multimedia', 'NGK', 'quota', 'regular', 'turn', 'quota', 'regular', ' NGK ',' Out ',' quota ',' Requler ',' Multimedia ',' kagak ', ""]")</f>
        <v>['Dour', 'Sia', 'Sia', 'buy', 'quota', 'multimedia', 'NGK', 'quota', 'regular', 'turn', 'quota', 'regular', ' NGK ',' Out ',' quota ',' Requler ',' Multimedia ',' kagak ', "]</v>
      </c>
      <c r="D8091" s="3">
        <v>3.0</v>
      </c>
    </row>
    <row r="8092" ht="15.75" customHeight="1">
      <c r="A8092" s="1">
        <v>8698.0</v>
      </c>
      <c r="B8092" s="3" t="s">
        <v>968</v>
      </c>
      <c r="C8092" s="3" t="str">
        <f>IFERROR(__xludf.DUMMYFUNCTION("GOOGLETRANSLATE(B8092,""id"",""en"")"),"['application', '']")</f>
        <v>['application', '']</v>
      </c>
      <c r="D8092" s="3">
        <v>1.0</v>
      </c>
    </row>
    <row r="8093" ht="15.75" customHeight="1">
      <c r="A8093" s="1">
        <v>8699.0</v>
      </c>
      <c r="B8093" s="3" t="s">
        <v>7788</v>
      </c>
      <c r="C8093" s="3" t="str">
        <f>IFERROR(__xludf.DUMMYFUNCTION("GOOGLETRANSLATE(B8093,""id"",""en"")"),"['Package', 'expensive', 'loyal', 'users', 'Telkomsel', 'package', 'cheap', 'users', 'Telkomsel', 'thank you']")</f>
        <v>['Package', 'expensive', 'loyal', 'users', 'Telkomsel', 'package', 'cheap', 'users', 'Telkomsel', 'thank you']</v>
      </c>
      <c r="D8093" s="3">
        <v>5.0</v>
      </c>
    </row>
    <row r="8094" ht="15.75" customHeight="1">
      <c r="A8094" s="1">
        <v>8700.0</v>
      </c>
      <c r="B8094" s="3" t="s">
        <v>7789</v>
      </c>
      <c r="C8094" s="3" t="str">
        <f>IFERROR(__xludf.DUMMYFUNCTION("GOOGLETRANSLATE(B8094,""id"",""en"")"),"['Hot', 'promo', 'fix', 'expensive']")</f>
        <v>['Hot', 'promo', 'fix', 'expensive']</v>
      </c>
      <c r="D8094" s="3">
        <v>3.0</v>
      </c>
    </row>
    <row r="8095" ht="15.75" customHeight="1">
      <c r="A8095" s="1">
        <v>8701.0</v>
      </c>
      <c r="B8095" s="3" t="s">
        <v>7790</v>
      </c>
      <c r="C8095" s="3" t="str">
        <f>IFERROR(__xludf.DUMMYFUNCTION("GOOGLETRANSLATE(B8095,""id"",""en"")"),"['Telkomsel', 'emang', 'Oye']")</f>
        <v>['Telkomsel', 'emang', 'Oye']</v>
      </c>
      <c r="D8095" s="3">
        <v>5.0</v>
      </c>
    </row>
    <row r="8096" ht="15.75" customHeight="1">
      <c r="A8096" s="1">
        <v>8702.0</v>
      </c>
      <c r="B8096" s="3" t="s">
        <v>7791</v>
      </c>
      <c r="C8096" s="3" t="str">
        <f>IFERROR(__xludf.DUMMYFUNCTION("GOOGLETRANSLATE(B8096,""id"",""en"")"),"['Please', 'Benerin', 'Sousiny', 'Lemot', ""]")</f>
        <v>['Please', 'Benerin', 'Sousiny', 'Lemot', "]</v>
      </c>
      <c r="D8096" s="3">
        <v>2.0</v>
      </c>
    </row>
    <row r="8097" ht="15.75" customHeight="1">
      <c r="A8097" s="1">
        <v>8703.0</v>
      </c>
      <c r="B8097" s="3" t="s">
        <v>7792</v>
      </c>
      <c r="C8097" s="3" t="str">
        <f>IFERROR(__xludf.DUMMYFUNCTION("GOOGLETRANSLATE(B8097,""id"",""en"")"),"['beginner']")</f>
        <v>['beginner']</v>
      </c>
      <c r="D8097" s="3">
        <v>5.0</v>
      </c>
    </row>
    <row r="8098" ht="15.75" customHeight="1">
      <c r="A8098" s="1">
        <v>8704.0</v>
      </c>
      <c r="B8098" s="3" t="s">
        <v>6436</v>
      </c>
      <c r="C8098" s="3" t="str">
        <f>IFERROR(__xludf.DUMMYFUNCTION("GOOGLETRANSLATE(B8098,""id"",""en"")"),"['satisfying']")</f>
        <v>['satisfying']</v>
      </c>
      <c r="D8098" s="3">
        <v>5.0</v>
      </c>
    </row>
    <row r="8099" ht="15.75" customHeight="1">
      <c r="A8099" s="1">
        <v>8705.0</v>
      </c>
      <c r="B8099" s="3" t="s">
        <v>7793</v>
      </c>
      <c r="C8099" s="3" t="str">
        <f>IFERROR(__xludf.DUMMYFUNCTION("GOOGLETRANSLATE(B8099,""id"",""en"")"),"['Main', 'game', 'mobile', 'legend', 'like', 'missing', 'signal']")</f>
        <v>['Main', 'game', 'mobile', 'legend', 'like', 'missing', 'signal']</v>
      </c>
      <c r="D8099" s="3">
        <v>1.0</v>
      </c>
    </row>
    <row r="8100" ht="15.75" customHeight="1">
      <c r="A8100" s="1">
        <v>8707.0</v>
      </c>
      <c r="B8100" s="3" t="s">
        <v>7794</v>
      </c>
      <c r="C8100" s="3" t="str">
        <f>IFERROR(__xludf.DUMMYFUNCTION("GOOGLETRANSLATE(B8100,""id"",""en"")"),"['Good', 'comfortable', 'beloved', 'lottery', 'possessed', 'follow']")</f>
        <v>['Good', 'comfortable', 'beloved', 'lottery', 'possessed', 'follow']</v>
      </c>
      <c r="D8100" s="3">
        <v>4.0</v>
      </c>
    </row>
    <row r="8101" ht="15.75" customHeight="1">
      <c r="A8101" s="1">
        <v>8708.0</v>
      </c>
      <c r="B8101" s="3" t="s">
        <v>7795</v>
      </c>
      <c r="C8101" s="3" t="str">
        <f>IFERROR(__xludf.DUMMYFUNCTION("GOOGLETRANSLATE(B8101,""id"",""en"")"),"['Gajelas', 'BURIK']")</f>
        <v>['Gajelas', 'BURIK']</v>
      </c>
      <c r="D8101" s="3">
        <v>1.0</v>
      </c>
    </row>
    <row r="8102" ht="15.75" customHeight="1">
      <c r="A8102" s="1">
        <v>8709.0</v>
      </c>
      <c r="B8102" s="3" t="s">
        <v>7796</v>
      </c>
      <c r="C8102" s="3" t="str">
        <f>IFERROR(__xludf.DUMMYFUNCTION("GOOGLETRANSLATE(B8102,""id"",""en"")"),"['Dead', 'Lights', 'Region', 'Network', 'Telkomsel', 'Lost', 'Good', 'Please', 'Notice', ""]")</f>
        <v>['Dead', 'Lights', 'Region', 'Network', 'Telkomsel', 'Lost', 'Good', 'Please', 'Notice', "]</v>
      </c>
      <c r="D8102" s="3">
        <v>1.0</v>
      </c>
    </row>
    <row r="8103" ht="15.75" customHeight="1">
      <c r="A8103" s="1">
        <v>8710.0</v>
      </c>
      <c r="B8103" s="3" t="s">
        <v>7797</v>
      </c>
      <c r="C8103" s="3" t="str">
        <f>IFERROR(__xludf.DUMMYFUNCTION("GOOGLETRANSLATE(B8103,""id"",""en"")"),"['signal', 'Telkomsel', 'knpa', 'ugly', 'maen', 'game', 'lag', '']")</f>
        <v>['signal', 'Telkomsel', 'knpa', 'ugly', 'maen', 'game', 'lag', '']</v>
      </c>
      <c r="D8103" s="3">
        <v>1.0</v>
      </c>
    </row>
    <row r="8104" ht="15.75" customHeight="1">
      <c r="A8104" s="1">
        <v>8711.0</v>
      </c>
      <c r="B8104" s="3" t="s">
        <v>7798</v>
      </c>
      <c r="C8104" s="3" t="str">
        <f>IFERROR(__xludf.DUMMYFUNCTION("GOOGLETRANSLATE(B8104,""id"",""en"")"),"['Josss', 'excellent', 'easy', 'integration', 'promo', 'gift', 'Thanks', 'Telkomsel']")</f>
        <v>['Josss', 'excellent', 'easy', 'integration', 'promo', 'gift', 'Thanks', 'Telkomsel']</v>
      </c>
      <c r="D8104" s="3">
        <v>5.0</v>
      </c>
    </row>
    <row r="8105" ht="15.75" customHeight="1">
      <c r="A8105" s="1">
        <v>8712.0</v>
      </c>
      <c r="B8105" s="3" t="s">
        <v>7799</v>
      </c>
      <c r="C8105" s="3" t="str">
        <f>IFERROR(__xludf.DUMMYFUNCTION("GOOGLETRANSLATE(B8105,""id"",""en"")"),"['Sorry', 'Telkomsel', 'Please', 'Set', 'Rates',' Package ',' Use ',' Price ',' Odd ',' Example ',' Package ',' RB ',' rb ',' pulse ',' price ',' rb ',' buy ',' gb ',' buy ',' pulse ',' rb ',' pulse ',' left ',' rb ',' pulled ' , 'Credit', 'behavior', 'en"&amp;"ter', 'sense', 'sense', 'Akalan', ""]")</f>
        <v>['Sorry', 'Telkomsel', 'Please', 'Set', 'Rates',' Package ',' Use ',' Price ',' Odd ',' Example ',' Package ',' RB ',' rb ',' pulse ',' price ',' rb ',' buy ',' gb ',' buy ',' pulse ',' rb ',' pulse ',' left ',' rb ',' pulled ' , 'Credit', 'behavior', 'enter', 'sense', 'sense', 'Akalan', "]</v>
      </c>
      <c r="D8105" s="3">
        <v>2.0</v>
      </c>
    </row>
    <row r="8106" ht="15.75" customHeight="1">
      <c r="A8106" s="1">
        <v>8713.0</v>
      </c>
      <c r="B8106" s="3" t="s">
        <v>7800</v>
      </c>
      <c r="C8106" s="3" t="str">
        <f>IFERROR(__xludf.DUMMYFUNCTION("GOOGLETRANSLATE(B8106,""id"",""en"")"),"['ugly', 'signal']")</f>
        <v>['ugly', 'signal']</v>
      </c>
      <c r="D8106" s="3">
        <v>1.0</v>
      </c>
    </row>
    <row r="8107" ht="15.75" customHeight="1">
      <c r="A8107" s="1">
        <v>8714.0</v>
      </c>
      <c r="B8107" s="3" t="s">
        <v>7801</v>
      </c>
      <c r="C8107" s="3" t="str">
        <f>IFERROR(__xludf.DUMMYFUNCTION("GOOGLETRANSLATE(B8107,""id"",""en"")"),"['Not bad', 'simple', 'hope', 'error']")</f>
        <v>['Not bad', 'simple', 'hope', 'error']</v>
      </c>
      <c r="D8107" s="3">
        <v>5.0</v>
      </c>
    </row>
    <row r="8108" ht="15.75" customHeight="1">
      <c r="A8108" s="1">
        <v>8715.0</v>
      </c>
      <c r="B8108" s="3" t="s">
        <v>7802</v>
      </c>
      <c r="C8108" s="3" t="str">
        <f>IFERROR(__xludf.DUMMYFUNCTION("GOOGLETRANSLATE(B8108,""id"",""en"")"),"['Kacauuu', 'Kouaa', 'Mahalll', 'Network', 'Nyaa', 'Ngelaggg', 'Cuteuu', 'Ally', 'TelkomSelll', 'Please', 'Fix', 'Jaringnnn', ' Nyeselll ',' Mea ',' use ',' Telkomsel ']")</f>
        <v>['Kacauuu', 'Kouaa', 'Mahalll', 'Network', 'Nyaa', 'Ngelaggg', 'Cuteuu', 'Ally', 'TelkomSelll', 'Please', 'Fix', 'Jaringnnn', ' Nyeselll ',' Mea ',' use ',' Telkomsel ']</v>
      </c>
      <c r="D8108" s="3">
        <v>1.0</v>
      </c>
    </row>
    <row r="8109" ht="15.75" customHeight="1">
      <c r="A8109" s="1">
        <v>8716.0</v>
      </c>
      <c r="B8109" s="3" t="s">
        <v>3021</v>
      </c>
      <c r="C8109" s="3" t="str">
        <f>IFERROR(__xludf.DUMMYFUNCTION("GOOGLETRANSLATE(B8109,""id"",""en"")"),"['Telkomsel', 'Jaya']")</f>
        <v>['Telkomsel', 'Jaya']</v>
      </c>
      <c r="D8109" s="3">
        <v>5.0</v>
      </c>
    </row>
    <row r="8110" ht="15.75" customHeight="1">
      <c r="A8110" s="1">
        <v>8717.0</v>
      </c>
      <c r="B8110" s="3" t="s">
        <v>7803</v>
      </c>
      <c r="C8110" s="3" t="str">
        <f>IFERROR(__xludf.DUMMYFUNCTION("GOOGLETRANSLATE(B8110,""id"",""en"")"),"['Please', 'Sorry', 'The network', 'repay', 'Customer', 'Satisfied', 'Network', 'Internet', 'Play', 'Game', 'Sometimes',' The Network ',' Jumping ',' users', 'Telkomsel', 'On', 'card', 'a year', '']")</f>
        <v>['Please', 'Sorry', 'The network', 'repay', 'Customer', 'Satisfied', 'Network', 'Internet', 'Play', 'Game', 'Sometimes',' The Network ',' Jumping ',' users', 'Telkomsel', 'On', 'card', 'a year', '']</v>
      </c>
      <c r="D8110" s="3">
        <v>2.0</v>
      </c>
    </row>
    <row r="8111" ht="15.75" customHeight="1">
      <c r="A8111" s="1">
        <v>8718.0</v>
      </c>
      <c r="B8111" s="3" t="s">
        <v>7804</v>
      </c>
      <c r="C8111" s="3" t="str">
        <f>IFERROR(__xludf.DUMMYFUNCTION("GOOGLETRANSLATE(B8111,""id"",""en"")"),"['Mantul', 'like', 'application', 'help']")</f>
        <v>['Mantul', 'like', 'application', 'help']</v>
      </c>
      <c r="D8111" s="3">
        <v>5.0</v>
      </c>
    </row>
    <row r="8112" ht="15.75" customHeight="1">
      <c r="A8112" s="1">
        <v>8719.0</v>
      </c>
      <c r="B8112" s="3" t="s">
        <v>7805</v>
      </c>
      <c r="C8112" s="3" t="str">
        <f>IFERROR(__xludf.DUMMYFUNCTION("GOOGLETRANSLATE(B8112,""id"",""en"")"),"['signal', 'ugly', 'really', '']")</f>
        <v>['signal', 'ugly', 'really', '']</v>
      </c>
      <c r="D8112" s="3">
        <v>1.0</v>
      </c>
    </row>
    <row r="8113" ht="15.75" customHeight="1">
      <c r="A8113" s="1">
        <v>8721.0</v>
      </c>
      <c r="B8113" s="3" t="s">
        <v>7806</v>
      </c>
      <c r="C8113" s="3" t="str">
        <f>IFERROR(__xludf.DUMMYFUNCTION("GOOGLETRANSLATE(B8113,""id"",""en"")"),"['Fix', 'signal']")</f>
        <v>['Fix', 'signal']</v>
      </c>
      <c r="D8113" s="3">
        <v>5.0</v>
      </c>
    </row>
    <row r="8114" ht="15.75" customHeight="1">
      <c r="A8114" s="1">
        <v>8722.0</v>
      </c>
      <c r="B8114" s="3" t="s">
        <v>7807</v>
      </c>
      <c r="C8114" s="3" t="str">
        <f>IFERROR(__xludf.DUMMYFUNCTION("GOOGLETRANSLATE(B8114,""id"",""en"")"),"['pulseku', 'run out', 'check', 'morning', 'pulse', 'check', 'afternoon', 'disappear', ""]")</f>
        <v>['pulseku', 'run out', 'check', 'morning', 'pulse', 'check', 'afternoon', 'disappear', "]</v>
      </c>
      <c r="D8114" s="3">
        <v>1.0</v>
      </c>
    </row>
    <row r="8115" ht="15.75" customHeight="1">
      <c r="A8115" s="1">
        <v>8723.0</v>
      </c>
      <c r="B8115" s="3" t="s">
        <v>7808</v>
      </c>
      <c r="C8115" s="3" t="str">
        <f>IFERROR(__xludf.DUMMYFUNCTION("GOOGLETRANSLATE(B8115,""id"",""en"")"),"['Network', 'Good']")</f>
        <v>['Network', 'Good']</v>
      </c>
      <c r="D8115" s="3">
        <v>3.0</v>
      </c>
    </row>
    <row r="8116" ht="15.75" customHeight="1">
      <c r="A8116" s="1">
        <v>8724.0</v>
      </c>
      <c r="B8116" s="3" t="s">
        <v>7809</v>
      </c>
      <c r="C8116" s="3" t="str">
        <f>IFERROR(__xludf.DUMMYFUNCTION("GOOGLETRANSLATE(B8116,""id"",""en"")"),"['Please', 'Network', 'Rich', 'Kuwota', 'Cepet', 'Out', 'Rich', 'Card', '']")</f>
        <v>['Please', 'Network', 'Rich', 'Kuwota', 'Cepet', 'Out', 'Rich', 'Card', '']</v>
      </c>
      <c r="D8116" s="3">
        <v>1.0</v>
      </c>
    </row>
    <row r="8117" ht="15.75" customHeight="1">
      <c r="A8117" s="1">
        <v>8725.0</v>
      </c>
      <c r="B8117" s="3" t="s">
        <v>7810</v>
      </c>
      <c r="C8117" s="3" t="str">
        <f>IFERROR(__xludf.DUMMYFUNCTION("GOOGLETRANSLATE(B8117,""id"",""en"")"),"['JELLE', 'Play', 'Pabji', 'Miscol', 'NDA', 'Credit', 'already', 'Nda', 'Switch', 'Jelleki', ""]")</f>
        <v>['JELLE', 'Play', 'Pabji', 'Miscol', 'NDA', 'Credit', 'already', 'Nda', 'Switch', 'Jelleki', "]</v>
      </c>
      <c r="D8117" s="3">
        <v>1.0</v>
      </c>
    </row>
    <row r="8118" ht="15.75" customHeight="1">
      <c r="A8118" s="1">
        <v>8726.0</v>
      </c>
      <c r="B8118" s="3" t="s">
        <v>7811</v>
      </c>
      <c r="C8118" s="3" t="str">
        <f>IFERROR(__xludf.DUMMYFUNCTION("GOOGLETRANSLATE(B8118,""id"",""en"")"),"['incident', 'NGK', 'SKLI', 'Kali', 'list', 'Telkomsel', 'pulse', 'tens',' thousand ',' scorched ',' DFTari ',' thousand ',' response ',' mala ',' package ',' non ',' quota ',' pulse ',' thousand ',' lost ',' operator ',' how ',' bk ',' maybe ',' mala ' ,"&amp;" 'Disappointed', 'pulse', 'missing', '']")</f>
        <v>['incident', 'NGK', 'SKLI', 'Kali', 'list', 'Telkomsel', 'pulse', 'tens',' thousand ',' scorched ',' DFTari ',' thousand ',' response ',' mala ',' package ',' non ',' quota ',' pulse ',' thousand ',' lost ',' operator ',' how ',' bk ',' maybe ',' mala ' , 'Disappointed', 'pulse', 'missing', '']</v>
      </c>
      <c r="D8118" s="3">
        <v>1.0</v>
      </c>
    </row>
    <row r="8119" ht="15.75" customHeight="1">
      <c r="A8119" s="1">
        <v>8727.0</v>
      </c>
      <c r="B8119" s="3" t="s">
        <v>7812</v>
      </c>
      <c r="C8119" s="3" t="str">
        <f>IFERROR(__xludf.DUMMYFUNCTION("GOOGLETRANSLATE(B8119,""id"",""en"")"),"['Memidbud', 'Main', 'Game', '']")</f>
        <v>['Memidbud', 'Main', 'Game', '']</v>
      </c>
      <c r="D8119" s="3">
        <v>1.0</v>
      </c>
    </row>
    <row r="8120" ht="15.75" customHeight="1">
      <c r="A8120" s="1">
        <v>8728.0</v>
      </c>
      <c r="B8120" s="3" t="s">
        <v>7813</v>
      </c>
      <c r="C8120" s="3" t="str">
        <f>IFERROR(__xludf.DUMMYFUNCTION("GOOGLETRANSLATE(B8120,""id"",""en"")"),"['Disappointed', 'Telkomsel', 'skrang', 'use', 'bli', 'pulse', 'bnyak', 'can', 'point', 'point', 'exchange', 'trus',' Take ',' pulse ',' high school ',' SJA ',' Suda ',' Loss', 'Sngat', 'disappointed', 'skali', 'skrng', 'dftran', 'package', 'expensive' , "&amp;"'']")</f>
        <v>['Disappointed', 'Telkomsel', 'skrang', 'use', 'bli', 'pulse', 'bnyak', 'can', 'point', 'point', 'exchange', 'trus',' Take ',' pulse ',' high school ',' SJA ',' Suda ',' Loss', 'Sngat', 'disappointed', 'skali', 'skrng', 'dftran', 'package', 'expensive' , '']</v>
      </c>
      <c r="D8120" s="3">
        <v>1.0</v>
      </c>
    </row>
    <row r="8121" ht="15.75" customHeight="1">
      <c r="A8121" s="1">
        <v>8729.0</v>
      </c>
      <c r="B8121" s="3" t="s">
        <v>7814</v>
      </c>
      <c r="C8121" s="3" t="str">
        <f>IFERROR(__xludf.DUMMYFUNCTION("GOOGLETRANSLATE(B8121,""id"",""en"")"),"['Nda', 'Exchange', 'Points', 'Credit']")</f>
        <v>['Nda', 'Exchange', 'Points', 'Credit']</v>
      </c>
      <c r="D8121" s="3">
        <v>4.0</v>
      </c>
    </row>
    <row r="8122" ht="15.75" customHeight="1">
      <c r="A8122" s="1">
        <v>8730.0</v>
      </c>
      <c r="B8122" s="3" t="s">
        <v>3943</v>
      </c>
      <c r="C8122" s="3" t="str">
        <f>IFERROR(__xludf.DUMMYFUNCTION("GOOGLETRANSLATE(B8122,""id"",""en"")"),"['steady']")</f>
        <v>['steady']</v>
      </c>
      <c r="D8122" s="3">
        <v>5.0</v>
      </c>
    </row>
    <row r="8123" ht="15.75" customHeight="1">
      <c r="A8123" s="1">
        <v>8732.0</v>
      </c>
      <c r="B8123" s="3" t="s">
        <v>7815</v>
      </c>
      <c r="C8123" s="3" t="str">
        <f>IFERROR(__xludf.DUMMYFUNCTION("GOOGLETRANSLATE(B8123,""id"",""en"")"),"['Steady', 'Telkomsel', 'Best']")</f>
        <v>['Steady', 'Telkomsel', 'Best']</v>
      </c>
      <c r="D8123" s="3">
        <v>5.0</v>
      </c>
    </row>
    <row r="8124" ht="15.75" customHeight="1">
      <c r="A8124" s="1">
        <v>8733.0</v>
      </c>
      <c r="B8124" s="3" t="s">
        <v>7816</v>
      </c>
      <c r="C8124" s="3" t="str">
        <f>IFERROR(__xludf.DUMMYFUNCTION("GOOGLETRANSLATE(B8124,""id"",""en"")"),"['easy', 'access']")</f>
        <v>['easy', 'access']</v>
      </c>
      <c r="D8124" s="3">
        <v>5.0</v>
      </c>
    </row>
    <row r="8125" ht="15.75" customHeight="1">
      <c r="A8125" s="1">
        <v>8734.0</v>
      </c>
      <c r="B8125" s="3" t="s">
        <v>7817</v>
      </c>
      <c r="C8125" s="3" t="str">
        <f>IFERROR(__xludf.DUMMYFUNCTION("GOOGLETRANSLATE(B8125,""id"",""en"")"),"['accessible', 'easy', 'fast', 'payment', 'can', 'gopay']")</f>
        <v>['accessible', 'easy', 'fast', 'payment', 'can', 'gopay']</v>
      </c>
      <c r="D8125" s="3">
        <v>5.0</v>
      </c>
    </row>
    <row r="8126" ht="15.75" customHeight="1">
      <c r="A8126" s="1">
        <v>8735.0</v>
      </c>
      <c r="B8126" s="3" t="s">
        <v>7818</v>
      </c>
      <c r="C8126" s="3" t="str">
        <f>IFERROR(__xludf.DUMMYFUNCTION("GOOGLETRANSLATE(B8126,""id"",""en"")"),"['obstacle', 'faced', 'network', 'stable', 'sometimes', 'sometimes', 'missing', ""]")</f>
        <v>['obstacle', 'faced', 'network', 'stable', 'sometimes', 'sometimes', 'missing', "]</v>
      </c>
      <c r="D8126" s="3">
        <v>3.0</v>
      </c>
    </row>
    <row r="8127" ht="15.75" customHeight="1">
      <c r="A8127" s="1">
        <v>8736.0</v>
      </c>
      <c r="B8127" s="3" t="s">
        <v>7819</v>
      </c>
      <c r="C8127" s="3" t="str">
        <f>IFERROR(__xludf.DUMMYFUNCTION("GOOGLETRANSLATE(B8127,""id"",""en"")"),"['Leg', 'Region', 'Cikampek', 'Kab', 'Karawang']")</f>
        <v>['Leg', 'Region', 'Cikampek', 'Kab', 'Karawang']</v>
      </c>
      <c r="D8127" s="3">
        <v>1.0</v>
      </c>
    </row>
    <row r="8128" ht="15.75" customHeight="1">
      <c r="A8128" s="1">
        <v>8737.0</v>
      </c>
      <c r="B8128" s="3" t="s">
        <v>7820</v>
      </c>
      <c r="C8128" s="3" t="str">
        <f>IFERROR(__xludf.DUMMYFUNCTION("GOOGLETRANSLATE(B8128,""id"",""en"")"),"['Telkomsel', 'Sousal', 'Severe', 'expensive', 'signal', 'tangled', 'what', 'open', 'application', 'YouTube', 'open', 'consumer', ' Partners', 'submit', 'complain', 'company']")</f>
        <v>['Telkomsel', 'Sousal', 'Severe', 'expensive', 'signal', 'tangled', 'what', 'open', 'application', 'YouTube', 'open', 'consumer', ' Partners', 'submit', 'complain', 'company']</v>
      </c>
      <c r="D8128" s="3">
        <v>1.0</v>
      </c>
    </row>
    <row r="8129" ht="15.75" customHeight="1">
      <c r="A8129" s="1">
        <v>8738.0</v>
      </c>
      <c r="B8129" s="3" t="s">
        <v>7821</v>
      </c>
      <c r="C8129" s="3" t="str">
        <f>IFERROR(__xludf.DUMMYFUNCTION("GOOGLETRANSLATE(B8129,""id"",""en"")"),"['Please', 'Love', 'HDiah', 'MOVER', 'USE', 'TLKM']")</f>
        <v>['Please', 'Love', 'HDiah', 'MOVER', 'USE', 'TLKM']</v>
      </c>
      <c r="D8129" s="3">
        <v>5.0</v>
      </c>
    </row>
    <row r="8130" ht="15.75" customHeight="1">
      <c r="A8130" s="1">
        <v>8739.0</v>
      </c>
      <c r="B8130" s="3" t="s">
        <v>7822</v>
      </c>
      <c r="C8130" s="3" t="str">
        <f>IFERROR(__xludf.DUMMYFUNCTION("GOOGLETRANSLATE(B8130,""id"",""en"")"),"['Buy', 'Credit', 'Enter', 'Fund', 'Transaction', 'Success']")</f>
        <v>['Buy', 'Credit', 'Enter', 'Fund', 'Transaction', 'Success']</v>
      </c>
      <c r="D8130" s="3">
        <v>1.0</v>
      </c>
    </row>
    <row r="8131" ht="15.75" customHeight="1">
      <c r="A8131" s="1">
        <v>8740.0</v>
      </c>
      <c r="B8131" s="3" t="s">
        <v>7823</v>
      </c>
      <c r="C8131" s="3" t="str">
        <f>IFERROR(__xludf.DUMMYFUNCTION("GOOGLETRANSLATE(B8131,""id"",""en"")"),"['Wear', 'application', 'MyTelkomsel', 'Fortunately', 'promo', 'day', 'users', 'Telkom', 'happy']")</f>
        <v>['Wear', 'application', 'MyTelkomsel', 'Fortunately', 'promo', 'day', 'users', 'Telkom', 'happy']</v>
      </c>
      <c r="D8131" s="3">
        <v>4.0</v>
      </c>
    </row>
    <row r="8132" ht="15.75" customHeight="1">
      <c r="A8132" s="1">
        <v>8741.0</v>
      </c>
      <c r="B8132" s="3" t="s">
        <v>7824</v>
      </c>
      <c r="C8132" s="3" t="str">
        <f>IFERROR(__xludf.DUMMYFUNCTION("GOOGLETRANSLATE(B8132,""id"",""en"")"),"['Dhlah', 'Move', 'Rich', 'Gini', 'Transfer', 'Credit', 'Enter', 'Udh', 'Wait', 'Morning', 'Enter']")</f>
        <v>['Dhlah', 'Move', 'Rich', 'Gini', 'Transfer', 'Credit', 'Enter', 'Udh', 'Wait', 'Morning', 'Enter']</v>
      </c>
      <c r="D8132" s="3">
        <v>1.0</v>
      </c>
    </row>
    <row r="8133" ht="15.75" customHeight="1">
      <c r="A8133" s="1">
        <v>8742.0</v>
      </c>
      <c r="B8133" s="3" t="s">
        <v>7825</v>
      </c>
      <c r="C8133" s="3" t="str">
        <f>IFERROR(__xludf.DUMMYFUNCTION("GOOGLETRANSLATE(B8133,""id"",""en"")"),"['Wear', 'card', 'tekomsel', 'gift', 'anything', 'tekomsel', 'please', 'love', 'how', 'bonus', 'tekomel', 'thank you']")</f>
        <v>['Wear', 'card', 'tekomsel', 'gift', 'anything', 'tekomsel', 'please', 'love', 'how', 'bonus', 'tekomel', 'thank you']</v>
      </c>
      <c r="D8133" s="3">
        <v>5.0</v>
      </c>
    </row>
    <row r="8134" ht="15.75" customHeight="1">
      <c r="A8134" s="1">
        <v>8743.0</v>
      </c>
      <c r="B8134" s="3" t="s">
        <v>7826</v>
      </c>
      <c r="C8134" s="3" t="str">
        <f>IFERROR(__xludf.DUMMYFUNCTION("GOOGLETRANSLATE(B8134,""id"",""en"")"),"['Bener', 'Bener', 'Disappointed', 'Telkomsel', 'already', 'Memek', 'signal', 'ugly', 'really', 'no', 'no', 'quota', ' keuang ',' vain ',' vain ',' beg ',' repaired ',' signal ', ""]")</f>
        <v>['Bener', 'Bener', 'Disappointed', 'Telkomsel', 'already', 'Memek', 'signal', 'ugly', 'really', 'no', 'no', 'quota', ' keuang ',' vain ',' vain ',' beg ',' repaired ',' signal ', "]</v>
      </c>
      <c r="D8134" s="3">
        <v>1.0</v>
      </c>
    </row>
    <row r="8135" ht="15.75" customHeight="1">
      <c r="A8135" s="1">
        <v>8744.0</v>
      </c>
      <c r="B8135" s="3" t="s">
        <v>7827</v>
      </c>
      <c r="C8135" s="3" t="str">
        <f>IFERROR(__xludf.DUMMYFUNCTION("GOOGLETRANSLATE(B8135,""id"",""en"")"),"['Support', 'compatible', 'Android', 'Come on', 'Acted-up', 'Relationship', 'Brand', 'Smartphone', 'Release', 'device']")</f>
        <v>['Support', 'compatible', 'Android', 'Come on', 'Acted-up', 'Relationship', 'Brand', 'Smartphone', 'Release', 'device']</v>
      </c>
      <c r="D8135" s="3">
        <v>1.0</v>
      </c>
    </row>
    <row r="8136" ht="15.75" customHeight="1">
      <c r="A8136" s="1">
        <v>8745.0</v>
      </c>
      <c r="B8136" s="3" t="s">
        <v>7828</v>
      </c>
      <c r="C8136" s="3" t="str">
        <f>IFERROR(__xludf.DUMMYFUNCTION("GOOGLETRANSLATE(B8136,""id"",""en"")"),"['comment', 'cave', 'apk', 'deliberate', 'delete', 'woi', 'cave', 'top', 'pulse', 'acculy', 'transaction', 'succeed', ' pulses', 'enter', 'contact', 'hope', 'wait', 'no', 'response', 'telkomsel', 'pantesan', 'reting', 'star', 'service', 'his castamer' , '"&amp;"pleasant']")</f>
        <v>['comment', 'cave', 'apk', 'deliberate', 'delete', 'woi', 'cave', 'top', 'pulse', 'acculy', 'transaction', 'succeed', ' pulses', 'enter', 'contact', 'hope', 'wait', 'no', 'response', 'telkomsel', 'pantesan', 'reting', 'star', 'service', 'his castamer' , 'pleasant']</v>
      </c>
      <c r="D8136" s="3">
        <v>1.0</v>
      </c>
    </row>
    <row r="8137" ht="15.75" customHeight="1">
      <c r="A8137" s="1">
        <v>8746.0</v>
      </c>
      <c r="B8137" s="3" t="s">
        <v>7829</v>
      </c>
      <c r="C8137" s="3" t="str">
        <f>IFERROR(__xludf.DUMMYFUNCTION("GOOGLETRANSLATE(B8137,""id"",""en"")"),"['' Yahan ',' government ',' please ',' Pantengi ',' people ',' hit ',' disaster ']")</f>
        <v>['' Yahan ',' government ',' please ',' Pantengi ',' people ',' hit ',' disaster ']</v>
      </c>
      <c r="D8137" s="3">
        <v>5.0</v>
      </c>
    </row>
    <row r="8138" ht="15.75" customHeight="1">
      <c r="A8138" s="1">
        <v>8747.0</v>
      </c>
      <c r="B8138" s="3" t="s">
        <v>7830</v>
      </c>
      <c r="C8138" s="3" t="str">
        <f>IFERROR(__xludf.DUMMYFUNCTION("GOOGLETRANSLATE(B8138,""id"",""en"")"),"['APLKSI', 'MANTAP']")</f>
        <v>['APLKSI', 'MANTAP']</v>
      </c>
      <c r="D8138" s="3">
        <v>2.0</v>
      </c>
    </row>
    <row r="8139" ht="15.75" customHeight="1">
      <c r="A8139" s="1">
        <v>8748.0</v>
      </c>
      <c r="B8139" s="3" t="s">
        <v>7831</v>
      </c>
      <c r="C8139" s="3" t="str">
        <f>IFERROR(__xludf.DUMMYFUNCTION("GOOGLETRANSLATE(B8139,""id"",""en"")"),"['Electricity', 'go out', 'signal', 'go out']")</f>
        <v>['Electricity', 'go out', 'signal', 'go out']</v>
      </c>
      <c r="D8139" s="3">
        <v>4.0</v>
      </c>
    </row>
    <row r="8140" ht="15.75" customHeight="1">
      <c r="A8140" s="1">
        <v>8749.0</v>
      </c>
      <c r="B8140" s="3" t="s">
        <v>7832</v>
      </c>
      <c r="C8140" s="3" t="str">
        <f>IFERROR(__xludf.DUMMYFUNCTION("GOOGLETRANSLATE(B8140,""id"",""en"")"),"['Purchase', 'Fastest', 'Sometimes', 'Network', 'Weak']")</f>
        <v>['Purchase', 'Fastest', 'Sometimes', 'Network', 'Weak']</v>
      </c>
      <c r="D8140" s="3">
        <v>5.0</v>
      </c>
    </row>
    <row r="8141" ht="15.75" customHeight="1">
      <c r="A8141" s="1">
        <v>8750.0</v>
      </c>
      <c r="B8141" s="3" t="s">
        <v>7833</v>
      </c>
      <c r="C8141" s="3" t="str">
        <f>IFERROR(__xludf.DUMMYFUNCTION("GOOGLETRANSLATE(B8141,""id"",""en"")"),"['signal', 'ugly', 'bngt', 'anjinc', 'replace', 'card', '']")</f>
        <v>['signal', 'ugly', 'bngt', 'anjinc', 'replace', 'card', '']</v>
      </c>
      <c r="D8141" s="3">
        <v>1.0</v>
      </c>
    </row>
    <row r="8142" ht="15.75" customHeight="1">
      <c r="A8142" s="1">
        <v>8751.0</v>
      </c>
      <c r="B8142" s="3" t="s">
        <v>7834</v>
      </c>
      <c r="C8142" s="3" t="str">
        <f>IFERROR(__xludf.DUMMYFUNCTION("GOOGLETRANSLATE(B8142,""id"",""en"")"),"['Profitable', 'Customer']")</f>
        <v>['Profitable', 'Customer']</v>
      </c>
      <c r="D8142" s="3">
        <v>5.0</v>
      </c>
    </row>
    <row r="8143" ht="15.75" customHeight="1">
      <c r="A8143" s="1">
        <v>8753.0</v>
      </c>
      <c r="B8143" s="3" t="s">
        <v>1624</v>
      </c>
      <c r="C8143" s="3" t="str">
        <f>IFERROR(__xludf.DUMMYFUNCTION("GOOGLETRANSLATE(B8143,""id"",""en"")"),"['Easy', 'use']")</f>
        <v>['Easy', 'use']</v>
      </c>
      <c r="D8143" s="3">
        <v>5.0</v>
      </c>
    </row>
    <row r="8144" ht="15.75" customHeight="1">
      <c r="A8144" s="1">
        <v>8754.0</v>
      </c>
      <c r="B8144" s="3" t="s">
        <v>7835</v>
      </c>
      <c r="C8144" s="3" t="str">
        <f>IFERROR(__xludf.DUMMYFUNCTION("GOOGLETRANSLATE(B8144,""id"",""en"")"),"['process', 'fast', 'easy', '']")</f>
        <v>['process', 'fast', 'easy', '']</v>
      </c>
      <c r="D8144" s="3">
        <v>5.0</v>
      </c>
    </row>
    <row r="8145" ht="15.75" customHeight="1">
      <c r="A8145" s="1">
        <v>8755.0</v>
      </c>
      <c r="B8145" s="3" t="s">
        <v>7836</v>
      </c>
      <c r="C8145" s="3" t="str">
        <f>IFERROR(__xludf.DUMMYFUNCTION("GOOGLETRANSLATE(B8145,""id"",""en"")"),"['number', 'package', 'expensive', 'rb', 'please', 'return', 'package', 'change', 'card', ""]")</f>
        <v>['number', 'package', 'expensive', 'rb', 'please', 'return', 'package', 'change', 'card', "]</v>
      </c>
      <c r="D8145" s="3">
        <v>2.0</v>
      </c>
    </row>
    <row r="8146" ht="15.75" customHeight="1">
      <c r="A8146" s="1">
        <v>8756.0</v>
      </c>
      <c r="B8146" s="3" t="s">
        <v>7837</v>
      </c>
      <c r="C8146" s="3" t="str">
        <f>IFERROR(__xludf.DUMMYFUNCTION("GOOGLETRANSLATE(B8146,""id"",""en"")"),"['Hopefully', 'smooth', 'success', 'Telkomsel', 'hope', 'lucky', 'amin']")</f>
        <v>['Hopefully', 'smooth', 'success', 'Telkomsel', 'hope', 'lucky', 'amin']</v>
      </c>
      <c r="D8146" s="3">
        <v>5.0</v>
      </c>
    </row>
    <row r="8147" ht="15.75" customHeight="1">
      <c r="A8147" s="1">
        <v>8757.0</v>
      </c>
      <c r="B8147" s="3" t="s">
        <v>7838</v>
      </c>
      <c r="C8147" s="3" t="str">
        <f>IFERROR(__xludf.DUMMYFUNCTION("GOOGLETRANSLATE(B8147,""id"",""en"")"),"['intangan', 'easy', 'understand', 'please', 'fix', 'slow', 'slow', 'apk', 'thank you']")</f>
        <v>['intangan', 'easy', 'understand', 'please', 'fix', 'slow', 'slow', 'apk', 'thank you']</v>
      </c>
      <c r="D8147" s="3">
        <v>5.0</v>
      </c>
    </row>
    <row r="8148" ht="15.75" customHeight="1">
      <c r="A8148" s="1">
        <v>8758.0</v>
      </c>
      <c r="B8148" s="3" t="s">
        <v>7839</v>
      </c>
      <c r="C8148" s="3" t="str">
        <f>IFERROR(__xludf.DUMMYFUNCTION("GOOGLETRANSLATE(B8148,""id"",""en"")"),"['Credit', 'Cut "",' skrg ',' mala ',' afraid ',' buy ',' pulse ',' really ',' system ',' luck ']")</f>
        <v>['Credit', 'Cut ",' skrg ',' mala ',' afraid ',' buy ',' pulse ',' really ',' system ',' luck ']</v>
      </c>
      <c r="D8148" s="3">
        <v>1.0</v>
      </c>
    </row>
    <row r="8149" ht="15.75" customHeight="1">
      <c r="A8149" s="1">
        <v>8759.0</v>
      </c>
      <c r="B8149" s="3" t="s">
        <v>7840</v>
      </c>
      <c r="C8149" s="3" t="str">
        <f>IFERROR(__xludf.DUMMYFUNCTION("GOOGLETRANSLATE(B8149,""id"",""en"")"),"['Satisfied', 'card', 'telkomssl']")</f>
        <v>['Satisfied', 'card', 'telkomssl']</v>
      </c>
      <c r="D8149" s="3">
        <v>5.0</v>
      </c>
    </row>
    <row r="8150" ht="15.75" customHeight="1">
      <c r="A8150" s="1">
        <v>8760.0</v>
      </c>
      <c r="B8150" s="3" t="s">
        <v>7841</v>
      </c>
      <c r="C8150" s="3" t="str">
        <f>IFERROR(__xludf.DUMMYFUNCTION("GOOGLETRANSLATE(B8150,""id"",""en"")"),"['Please', 'repaired', 'network', 'Panimbang', 'Banten', 'access', 'cellular', 'internet', 'tlg', 'accelerated', ""]")</f>
        <v>['Please', 'repaired', 'network', 'Panimbang', 'Banten', 'access', 'cellular', 'internet', 'tlg', 'accelerated', "]</v>
      </c>
      <c r="D8150" s="3">
        <v>3.0</v>
      </c>
    </row>
    <row r="8151" ht="15.75" customHeight="1">
      <c r="A8151" s="1">
        <v>8761.0</v>
      </c>
      <c r="B8151" s="3" t="s">
        <v>7842</v>
      </c>
      <c r="C8151" s="3" t="str">
        <f>IFERROR(__xludf.DUMMYFUNCTION("GOOGLETRANSLATE(B8151,""id"",""en"")"),"['', 'Telkomsel', 'help', 'contents', 'package', '']")</f>
        <v>['', 'Telkomsel', 'help', 'contents', 'package', '']</v>
      </c>
      <c r="D8151" s="3">
        <v>4.0</v>
      </c>
    </row>
    <row r="8152" ht="15.75" customHeight="1">
      <c r="A8152" s="1">
        <v>8762.0</v>
      </c>
      <c r="B8152" s="3" t="s">
        <v>7843</v>
      </c>
      <c r="C8152" s="3" t="str">
        <f>IFERROR(__xludf.DUMMYFUNCTION("GOOGLETRANSLATE(B8152,""id"",""en"")"),"['Love', 'Telkom', 'Please', 'Fix', 'Network', 'Region', 'Pandeglang', 'Banten', 'Asuu', 'Signal']")</f>
        <v>['Love', 'Telkom', 'Please', 'Fix', 'Network', 'Region', 'Pandeglang', 'Banten', 'Asuu', 'Signal']</v>
      </c>
      <c r="D8152" s="3">
        <v>1.0</v>
      </c>
    </row>
    <row r="8153" ht="15.75" customHeight="1">
      <c r="A8153" s="1">
        <v>8763.0</v>
      </c>
      <c r="B8153" s="3" t="s">
        <v>7844</v>
      </c>
      <c r="C8153" s="3" t="str">
        <f>IFERROR(__xludf.DUMMYFUNCTION("GOOGLETRANSLATE(B8153,""id"",""en"")"),"['Credit', 'Reduced', 'Blm', 'Apain', 'Please', 'Already', 'Use', 'Telkomsel', 'A Year', 'Constraints', 'Gini']")</f>
        <v>['Credit', 'Reduced', 'Blm', 'Apain', 'Please', 'Already', 'Use', 'Telkomsel', 'A Year', 'Constraints', 'Gini']</v>
      </c>
      <c r="D8153" s="3">
        <v>1.0</v>
      </c>
    </row>
    <row r="8154" ht="15.75" customHeight="1">
      <c r="A8154" s="1">
        <v>8764.0</v>
      </c>
      <c r="B8154" s="3" t="s">
        <v>4740</v>
      </c>
      <c r="C8154" s="3" t="str">
        <f>IFERROR(__xludf.DUMMYFUNCTION("GOOGLETRANSLATE(B8154,""id"",""en"")"),"['Good']")</f>
        <v>['Good']</v>
      </c>
      <c r="D8154" s="3">
        <v>4.0</v>
      </c>
    </row>
    <row r="8155" ht="15.75" customHeight="1">
      <c r="A8155" s="1">
        <v>8765.0</v>
      </c>
      <c r="B8155" s="3" t="s">
        <v>7845</v>
      </c>
      <c r="C8155" s="3" t="str">
        <f>IFERROR(__xludf.DUMMYFUNCTION("GOOGLETRANSLATE(B8155,""id"",""en"")"),"['Thank you for the information']")</f>
        <v>['Thank you for the information']</v>
      </c>
      <c r="D8155" s="3">
        <v>5.0</v>
      </c>
    </row>
    <row r="8156" ht="15.75" customHeight="1">
      <c r="A8156" s="1">
        <v>8766.0</v>
      </c>
      <c r="B8156" s="3" t="s">
        <v>7846</v>
      </c>
      <c r="C8156" s="3" t="str">
        <f>IFERROR(__xludf.DUMMYFUNCTION("GOOGLETRANSLATE(B8156,""id"",""en"")"),"['sympathy', 'ugly', 'omukan', 'increases', 'price', 'expensive', 'quality', 'downhill']")</f>
        <v>['sympathy', 'ugly', 'omukan', 'increases', 'price', 'expensive', 'quality', 'downhill']</v>
      </c>
      <c r="D8156" s="3">
        <v>4.0</v>
      </c>
    </row>
    <row r="8157" ht="15.75" customHeight="1">
      <c r="A8157" s="1">
        <v>8767.0</v>
      </c>
      <c r="B8157" s="3" t="s">
        <v>7847</v>
      </c>
      <c r="C8157" s="3" t="str">
        <f>IFERROR(__xludf.DUMMYFUNCTION("GOOGLETRANSLATE(B8157,""id"",""en"")"),"['Help', 'like', 'Telkomsel']")</f>
        <v>['Help', 'like', 'Telkomsel']</v>
      </c>
      <c r="D8157" s="3">
        <v>5.0</v>
      </c>
    </row>
    <row r="8158" ht="15.75" customHeight="1">
      <c r="A8158" s="1">
        <v>8768.0</v>
      </c>
      <c r="B8158" s="3" t="s">
        <v>7848</v>
      </c>
      <c r="C8158" s="3" t="str">
        <f>IFERROR(__xludf.DUMMYFUNCTION("GOOGLETRANSLATE(B8158,""id"",""en"")"),"['expensive', 'doang', 'signal', 'ilang']")</f>
        <v>['expensive', 'doang', 'signal', 'ilang']</v>
      </c>
      <c r="D8158" s="3">
        <v>1.0</v>
      </c>
    </row>
    <row r="8159" ht="15.75" customHeight="1">
      <c r="A8159" s="1">
        <v>8769.0</v>
      </c>
      <c r="B8159" s="3" t="s">
        <v>7849</v>
      </c>
      <c r="C8159" s="3" t="str">
        <f>IFERROR(__xludf.DUMMYFUNCTION("GOOGLETRANSLATE(B8159,""id"",""en"")"),"['price', 'LBH', 'MHL', 'here', 'signal', 'bad', 'slow', 'hrs', 'move', 'server', 'hmm']")</f>
        <v>['price', 'LBH', 'MHL', 'here', 'signal', 'bad', 'slow', 'hrs', 'move', 'server', 'hmm']</v>
      </c>
      <c r="D8159" s="3">
        <v>1.0</v>
      </c>
    </row>
    <row r="8160" ht="15.75" customHeight="1">
      <c r="A8160" s="1">
        <v>8770.0</v>
      </c>
      <c r="B8160" s="3" t="s">
        <v>7850</v>
      </c>
      <c r="C8160" s="3" t="str">
        <f>IFERROR(__xludf.DUMMYFUNCTION("GOOGLETRANSLATE(B8160,""id"",""en"")"),"['Disappointed', 'Telkomsel', 'already', 'buy', 'package', 'data', 'expensive', 'really', 'network', 'please', 'fix', 'service', ' network ',' ngelamin ',' pulse ',' reduced ',' customer ',' salt ',' moved ',' provider ',' ']")</f>
        <v>['Disappointed', 'Telkomsel', 'already', 'buy', 'package', 'data', 'expensive', 'really', 'network', 'please', 'fix', 'service', ' network ',' ngelamin ',' pulse ',' reduced ',' customer ',' salt ',' moved ',' provider ',' ']</v>
      </c>
      <c r="D8160" s="3">
        <v>1.0</v>
      </c>
    </row>
    <row r="8161" ht="15.75" customHeight="1">
      <c r="A8161" s="1">
        <v>8771.0</v>
      </c>
      <c r="B8161" s="3" t="s">
        <v>7851</v>
      </c>
      <c r="C8161" s="3" t="str">
        <f>IFERROR(__xludf.DUMMYFUNCTION("GOOGLETRANSLATE(B8161,""id"",""en"")"),"['win', 'expensive', 'doang', 'network', 'rich', 'turtle', 'lemoooooTTT', 'baanngeeett', 'please', 'doong', 'fix', 'tuk', ' network ',' min ',' disappointing ',' customer ',' doong ',' min ',' ']")</f>
        <v>['win', 'expensive', 'doang', 'network', 'rich', 'turtle', 'lemoooooTTT', 'baanngeeett', 'please', 'doong', 'fix', 'tuk', ' network ',' min ',' disappointing ',' customer ',' doong ',' min ',' ']</v>
      </c>
      <c r="D8161" s="3">
        <v>1.0</v>
      </c>
    </row>
    <row r="8162" ht="15.75" customHeight="1">
      <c r="A8162" s="1">
        <v>8772.0</v>
      </c>
      <c r="B8162" s="3" t="s">
        <v>7852</v>
      </c>
      <c r="C8162" s="3" t="str">
        <f>IFERROR(__xludf.DUMMYFUNCTION("GOOGLETRANSLATE(B8162,""id"",""en"")"),"['Use', 'easy']")</f>
        <v>['Use', 'easy']</v>
      </c>
      <c r="D8162" s="3">
        <v>4.0</v>
      </c>
    </row>
    <row r="8163" ht="15.75" customHeight="1">
      <c r="A8163" s="1">
        <v>8773.0</v>
      </c>
      <c r="B8163" s="3" t="s">
        <v>7853</v>
      </c>
      <c r="C8163" s="3" t="str">
        <f>IFERROR(__xludf.DUMMYFUNCTION("GOOGLETRANSLATE(B8163,""id"",""en"")"),"['', 'Nusa', 'penida', 'signal', 'Drop', 'really', 'please', 'increase', 'quality', 'network']")</f>
        <v>['', 'Nusa', 'penida', 'signal', 'Drop', 'really', 'please', 'increase', 'quality', 'network']</v>
      </c>
      <c r="D8163" s="3">
        <v>1.0</v>
      </c>
    </row>
    <row r="8164" ht="15.75" customHeight="1">
      <c r="A8164" s="1">
        <v>8774.0</v>
      </c>
      <c r="B8164" s="3" t="s">
        <v>7854</v>
      </c>
      <c r="C8164" s="3" t="str">
        <f>IFERROR(__xludf.DUMMYFUNCTION("GOOGLETRANSLATE(B8164,""id"",""en"")"),"['Package', 'call']")</f>
        <v>['Package', 'call']</v>
      </c>
      <c r="D8164" s="3">
        <v>1.0</v>
      </c>
    </row>
    <row r="8165" ht="15.75" customHeight="1">
      <c r="A8165" s="1">
        <v>8775.0</v>
      </c>
      <c r="B8165" s="3" t="s">
        <v>7855</v>
      </c>
      <c r="C8165" s="3" t="str">
        <f>IFERROR(__xludf.DUMMYFUNCTION("GOOGLETRANSLATE(B8165,""id"",""en"")"),"['Trima', 'Kasij', 'makes it easy', 'sya']")</f>
        <v>['Trima', 'Kasij', 'makes it easy', 'sya']</v>
      </c>
      <c r="D8165" s="3">
        <v>5.0</v>
      </c>
    </row>
    <row r="8166" ht="15.75" customHeight="1">
      <c r="A8166" s="1">
        <v>8776.0</v>
      </c>
      <c r="B8166" s="3" t="s">
        <v>7856</v>
      </c>
      <c r="C8166" s="3" t="str">
        <f>IFERROR(__xludf.DUMMYFUNCTION("GOOGLETRANSLATE(B8166,""id"",""en"")"),"['Helpful', 'Sekai', '']")</f>
        <v>['Helpful', 'Sekai', '']</v>
      </c>
      <c r="D8166" s="3">
        <v>5.0</v>
      </c>
    </row>
    <row r="8167" ht="15.75" customHeight="1">
      <c r="A8167" s="1">
        <v>8777.0</v>
      </c>
      <c r="B8167" s="3" t="s">
        <v>7857</v>
      </c>
      <c r="C8167" s="3" t="str">
        <f>IFERROR(__xludf.DUMMYFUNCTION("GOOGLETRANSLATE(B8167,""id"",""en"")"),"['application', 'mntap']")</f>
        <v>['application', 'mntap']</v>
      </c>
      <c r="D8167" s="3">
        <v>5.0</v>
      </c>
    </row>
    <row r="8168" ht="15.75" customHeight="1">
      <c r="A8168" s="1">
        <v>8778.0</v>
      </c>
      <c r="B8168" s="3" t="s">
        <v>7858</v>
      </c>
      <c r="C8168" s="3" t="str">
        <f>IFERROR(__xludf.DUMMYFUNCTION("GOOGLETRANSLATE(B8168,""id"",""en"")"),"['already', 'list', 'package', 'data', 'expensive', 'gedeg', 'Telkomsel', 'Application', 'jelekkk', 'bangett']")</f>
        <v>['already', 'list', 'package', 'data', 'expensive', 'gedeg', 'Telkomsel', 'Application', 'jelekkk', 'bangett']</v>
      </c>
      <c r="D8168" s="3">
        <v>1.0</v>
      </c>
    </row>
    <row r="8169" ht="15.75" customHeight="1">
      <c r="A8169" s="1">
        <v>8780.0</v>
      </c>
      <c r="B8169" s="3" t="s">
        <v>7859</v>
      </c>
      <c r="C8169" s="3" t="str">
        <f>IFERROR(__xludf.DUMMYFUNCTION("GOOGLETRANSLATE(B8169,""id"",""en"")"),"['Not bad', 'help', ""]")</f>
        <v>['Not bad', 'help', "]</v>
      </c>
      <c r="D8169" s="3">
        <v>4.0</v>
      </c>
    </row>
    <row r="8170" ht="15.75" customHeight="1">
      <c r="A8170" s="1">
        <v>8782.0</v>
      </c>
      <c r="B8170" s="3" t="s">
        <v>2898</v>
      </c>
      <c r="C8170" s="3" t="str">
        <f>IFERROR(__xludf.DUMMYFUNCTION("GOOGLETRANSLATE(B8170,""id"",""en"")"),"['good luck']")</f>
        <v>['good luck']</v>
      </c>
      <c r="D8170" s="3">
        <v>5.0</v>
      </c>
    </row>
    <row r="8171" ht="15.75" customHeight="1">
      <c r="A8171" s="1">
        <v>8783.0</v>
      </c>
      <c r="B8171" s="3" t="s">
        <v>5804</v>
      </c>
      <c r="C8171" s="3" t="str">
        <f>IFERROR(__xludf.DUMMYFUNCTION("GOOGLETRANSLATE(B8171,""id"",""en"")"),"['Star', 'talk']")</f>
        <v>['Star', 'talk']</v>
      </c>
      <c r="D8171" s="3">
        <v>5.0</v>
      </c>
    </row>
    <row r="8172" ht="15.75" customHeight="1">
      <c r="A8172" s="1">
        <v>8784.0</v>
      </c>
      <c r="B8172" s="3" t="s">
        <v>7860</v>
      </c>
      <c r="C8172" s="3" t="str">
        <f>IFERROR(__xludf.DUMMYFUNCTION("GOOGLETRANSLATE(B8172,""id"",""en"")"),"['TOP', 'DIAMPND', 'APK', 'Telkomsel', 'Thishh', ""]")</f>
        <v>['TOP', 'DIAMPND', 'APK', 'Telkomsel', 'Thishh', "]</v>
      </c>
      <c r="D8172" s="3">
        <v>5.0</v>
      </c>
    </row>
    <row r="8173" ht="15.75" customHeight="1">
      <c r="A8173" s="1">
        <v>8786.0</v>
      </c>
      <c r="B8173" s="3" t="s">
        <v>7861</v>
      </c>
      <c r="C8173" s="3" t="str">
        <f>IFERROR(__xludf.DUMMYFUNCTION("GOOGLETRANSLATE(B8173,""id"",""en"")"),"['Cave', 'Reach', 'The widest', 'Please', 'Thinking', 'Customer', 'Buy', 'Quota', 'Update', 'Application', 'Mulu', 'Gausah', ' Frequency ',' Update ',' Napa ',' Nor ',' Nge "", 'cave', 'ugly', 'then', 'connection', 'Kenceng']")</f>
        <v>['Cave', 'Reach', 'The widest', 'Please', 'Thinking', 'Customer', 'Buy', 'Quota', 'Update', 'Application', 'Mulu', 'Gausah', ' Frequency ',' Update ',' Napa ',' Nor ',' Nge ", 'cave', 'ugly', 'then', 'connection', 'Kenceng']</v>
      </c>
      <c r="D8173" s="3">
        <v>1.0</v>
      </c>
    </row>
    <row r="8174" ht="15.75" customHeight="1">
      <c r="A8174" s="1">
        <v>8787.0</v>
      </c>
      <c r="B8174" s="3" t="s">
        <v>7862</v>
      </c>
      <c r="C8174" s="3" t="str">
        <f>IFERROR(__xludf.DUMMYFUNCTION("GOOGLETRANSLATE(B8174,""id"",""en"")"),"['Signal', 'ugly', 'Pay', 'Signal', 'Severe', 'Maen', 'Game', 'Send', 'Leet']")</f>
        <v>['Signal', 'ugly', 'Pay', 'Signal', 'Severe', 'Maen', 'Game', 'Send', 'Leet']</v>
      </c>
      <c r="D8174" s="3">
        <v>1.0</v>
      </c>
    </row>
    <row r="8175" ht="15.75" customHeight="1">
      <c r="A8175" s="1">
        <v>8788.0</v>
      </c>
      <c r="B8175" s="3" t="s">
        <v>7863</v>
      </c>
      <c r="C8175" s="3" t="str">
        <f>IFERROR(__xludf.DUMMYFUNCTION("GOOGLETRANSLATE(B8175,""id"",""en"")"),"['Good', 'Save']")</f>
        <v>['Good', 'Save']</v>
      </c>
      <c r="D8175" s="3">
        <v>5.0</v>
      </c>
    </row>
    <row r="8176" ht="15.75" customHeight="1">
      <c r="A8176" s="1">
        <v>8789.0</v>
      </c>
      <c r="B8176" s="3" t="s">
        <v>7864</v>
      </c>
      <c r="C8176" s="3" t="str">
        <f>IFERROR(__xludf.DUMMYFUNCTION("GOOGLETRANSLATE(B8176,""id"",""en"")"),"['Telkomsel', 'price', 'standard', 'reach', 'broad', 'signal', 'stable', 'Telkomsel', 'all-round', 'expensive', 'reach', 'extensive', ' signal ',' severe ',' wkwkwk ',' cry ',' cave ',' telkomsel ',' ping ',' nyampe ']")</f>
        <v>['Telkomsel', 'price', 'standard', 'reach', 'broad', 'signal', 'stable', 'Telkomsel', 'all-round', 'expensive', 'reach', 'extensive', ' signal ',' severe ',' wkwkwk ',' cry ',' cave ',' telkomsel ',' ping ',' nyampe ']</v>
      </c>
      <c r="D8176" s="3">
        <v>1.0</v>
      </c>
    </row>
    <row r="8177" ht="15.75" customHeight="1">
      <c r="A8177" s="1">
        <v>8790.0</v>
      </c>
      <c r="B8177" s="3" t="s">
        <v>7865</v>
      </c>
      <c r="C8177" s="3" t="str">
        <f>IFERROR(__xludf.DUMMYFUNCTION("GOOGLETRANSLATE(B8177,""id"",""en"")"),"['Telkomsel', 'Bazard', 'greedy', 'contents', 'pulse', 'missing', 'disorted', 'bawk', 'dog']")</f>
        <v>['Telkomsel', 'Bazard', 'greedy', 'contents', 'pulse', 'missing', 'disorted', 'bawk', 'dog']</v>
      </c>
      <c r="D8177" s="3">
        <v>1.0</v>
      </c>
    </row>
    <row r="8178" ht="15.75" customHeight="1">
      <c r="A8178" s="1">
        <v>8791.0</v>
      </c>
      <c r="B8178" s="3" t="s">
        <v>7866</v>
      </c>
      <c r="C8178" s="3" t="str">
        <f>IFERROR(__xludf.DUMMYFUNCTION("GOOGLETRANSLATE(B8178,""id"",""en"")"),"['expensive', 'doang', 'signal', 'ilang', 'Mulu', '']")</f>
        <v>['expensive', 'doang', 'signal', 'ilang', 'Mulu', '']</v>
      </c>
      <c r="D8178" s="3">
        <v>1.0</v>
      </c>
    </row>
    <row r="8179" ht="15.75" customHeight="1">
      <c r="A8179" s="1">
        <v>8792.0</v>
      </c>
      <c r="B8179" s="3" t="s">
        <v>7867</v>
      </c>
      <c r="C8179" s="3" t="str">
        <f>IFERROR(__xludf.DUMMYFUNCTION("GOOGLETRANSLATE(B8179,""id"",""en"")"),"['Honey', 'use', 'package', 'data']")</f>
        <v>['Honey', 'use', 'package', 'data']</v>
      </c>
      <c r="D8179" s="3">
        <v>5.0</v>
      </c>
    </row>
    <row r="8180" ht="15.75" customHeight="1">
      <c r="A8180" s="1">
        <v>8793.0</v>
      </c>
      <c r="B8180" s="3" t="s">
        <v>7868</v>
      </c>
      <c r="C8180" s="3" t="str">
        <f>IFERROR(__xludf.DUMMYFUNCTION("GOOGLETRANSLATE(B8180,""id"",""en"")"),"['Application', 'delicious']")</f>
        <v>['Application', 'delicious']</v>
      </c>
      <c r="D8180" s="3">
        <v>3.0</v>
      </c>
    </row>
    <row r="8181" ht="15.75" customHeight="1">
      <c r="A8181" s="1">
        <v>8794.0</v>
      </c>
      <c r="B8181" s="3" t="s">
        <v>7869</v>
      </c>
      <c r="C8181" s="3" t="str">
        <f>IFERROR(__xludf.DUMMYFUNCTION("GOOGLETRANSLATE(B8181,""id"",""en"")"),"['buy', 'package', 'promi', 'application', 'response', 'really', 'sometimes', 'error', 'really']")</f>
        <v>['buy', 'package', 'promi', 'application', 'response', 'really', 'sometimes', 'error', 'really']</v>
      </c>
      <c r="D8181" s="3">
        <v>5.0</v>
      </c>
    </row>
    <row r="8182" ht="15.75" customHeight="1">
      <c r="A8182" s="1">
        <v>8795.0</v>
      </c>
      <c r="B8182" s="3" t="s">
        <v>7870</v>
      </c>
      <c r="C8182" s="3" t="str">
        <f>IFERROR(__xludf.DUMMYFUNCTION("GOOGLETRANSLATE(B8182,""id"",""en"")"),"['Sorry', 'Sis', 'Network', 'Telkomsel', 'Leet', 'TPI', 'Tetep', 'Leet', 'Severe', 'Telkomsel']")</f>
        <v>['Sorry', 'Sis', 'Network', 'Telkomsel', 'Leet', 'TPI', 'Tetep', 'Leet', 'Severe', 'Telkomsel']</v>
      </c>
      <c r="D8182" s="3">
        <v>1.0</v>
      </c>
    </row>
    <row r="8183" ht="15.75" customHeight="1">
      <c r="A8183" s="1">
        <v>8796.0</v>
      </c>
      <c r="B8183" s="3" t="s">
        <v>7871</v>
      </c>
      <c r="C8183" s="3" t="str">
        <f>IFERROR(__xludf.DUMMYFUNCTION("GOOGLETRANSLATE(B8183,""id"",""en"")"),"['open', 'application', 'data', 'run', 'MB', 'quota', 'stay', 'little', 'was',' was', 'check', 'quota', ' See ',' Promo ',' ']")</f>
        <v>['open', 'application', 'data', 'run', 'MB', 'quota', 'stay', 'little', 'was',' was', 'check', 'quota', ' See ',' Promo ',' ']</v>
      </c>
      <c r="D8183" s="3">
        <v>1.0</v>
      </c>
    </row>
    <row r="8184" ht="15.75" customHeight="1">
      <c r="A8184" s="1">
        <v>8797.0</v>
      </c>
      <c r="B8184" s="3" t="s">
        <v>7872</v>
      </c>
      <c r="C8184" s="3" t="str">
        <f>IFERROR(__xludf.DUMMYFUNCTION("GOOGLETRANSLATE(B8184,""id"",""en"")"),"['Please', 'Fix', 'Quality', 'The Line', 'In the future']")</f>
        <v>['Please', 'Fix', 'Quality', 'The Line', 'In the future']</v>
      </c>
      <c r="D8184" s="3">
        <v>1.0</v>
      </c>
    </row>
    <row r="8185" ht="15.75" customHeight="1">
      <c r="A8185" s="1">
        <v>8798.0</v>
      </c>
      <c r="B8185" s="3" t="s">
        <v>7873</v>
      </c>
      <c r="C8185" s="3" t="str">
        <f>IFERROR(__xludf.DUMMYFUNCTION("GOOGLETRANSLATE(B8185,""id"",""en"")"),"['Login', 'Direct', 'Application']")</f>
        <v>['Login', 'Direct', 'Application']</v>
      </c>
      <c r="D8185" s="3">
        <v>4.0</v>
      </c>
    </row>
    <row r="8186" ht="15.75" customHeight="1">
      <c r="A8186" s="1">
        <v>8799.0</v>
      </c>
      <c r="B8186" s="3" t="s">
        <v>2620</v>
      </c>
      <c r="C8186" s="3" t="str">
        <f>IFERROR(__xludf.DUMMYFUNCTION("GOOGLETRANSLATE(B8186,""id"",""en"")"),"Of course")</f>
        <v>Of course</v>
      </c>
      <c r="D8186" s="3">
        <v>5.0</v>
      </c>
    </row>
    <row r="8187" ht="15.75" customHeight="1">
      <c r="A8187" s="1">
        <v>8800.0</v>
      </c>
      <c r="B8187" s="3" t="s">
        <v>7874</v>
      </c>
      <c r="C8187" s="3" t="str">
        <f>IFERROR(__xludf.DUMMYFUNCTION("GOOGLETRANSLATE(B8187,""id"",""en"")"),"['Bonus', 'Data', 'Adin', 'Donk', '']")</f>
        <v>['Bonus', 'Data', 'Adin', 'Donk', '']</v>
      </c>
      <c r="D8187" s="3">
        <v>4.0</v>
      </c>
    </row>
    <row r="8188" ht="15.75" customHeight="1">
      <c r="A8188" s="1">
        <v>8801.0</v>
      </c>
      <c r="B8188" s="3" t="s">
        <v>7875</v>
      </c>
      <c r="C8188" s="3" t="str">
        <f>IFERROR(__xludf.DUMMYFUNCTION("GOOGLETRANSLATE(B8188,""id"",""en"")"),"['fast', 'solid', 'love', 'star']")</f>
        <v>['fast', 'solid', 'love', 'star']</v>
      </c>
      <c r="D8188" s="3">
        <v>3.0</v>
      </c>
    </row>
    <row r="8189" ht="15.75" customHeight="1">
      <c r="A8189" s="1">
        <v>8802.0</v>
      </c>
      <c r="B8189" s="3" t="s">
        <v>7876</v>
      </c>
      <c r="C8189" s="3" t="str">
        <f>IFERROR(__xludf.DUMMYFUNCTION("GOOGLETRANSLATE(B8189,""id"",""en"")"),"['signal', 'Telkomsel', 'bad', 'status',' signal ',' open ',' sosmed ',' package ',' package ',' Telkomsel ',' expensive ',' please ',' Fix ',' signal ',' ']")</f>
        <v>['signal', 'Telkomsel', 'bad', 'status',' signal ',' open ',' sosmed ',' package ',' package ',' Telkomsel ',' expensive ',' please ',' Fix ',' signal ',' ']</v>
      </c>
      <c r="D8189" s="3">
        <v>1.0</v>
      </c>
    </row>
    <row r="8190" ht="15.75" customHeight="1">
      <c r="A8190" s="1">
        <v>8803.0</v>
      </c>
      <c r="B8190" s="3" t="s">
        <v>7877</v>
      </c>
      <c r="C8190" s="3" t="str">
        <f>IFERROR(__xludf.DUMMYFUNCTION("GOOGLETRANSLATE(B8190,""id"",""en"")"),"['Internet', 'smooth']")</f>
        <v>['Internet', 'smooth']</v>
      </c>
      <c r="D8190" s="3">
        <v>5.0</v>
      </c>
    </row>
    <row r="8191" ht="15.75" customHeight="1">
      <c r="A8191" s="1">
        <v>8804.0</v>
      </c>
      <c r="B8191" s="3" t="s">
        <v>7878</v>
      </c>
      <c r="C8191" s="3" t="str">
        <f>IFERROR(__xludf.DUMMYFUNCTION("GOOGLETRANSLATE(B8191,""id"",""en"")"),"['easy', 'package', 'quota', ""]")</f>
        <v>['easy', 'package', 'quota', "]</v>
      </c>
      <c r="D8191" s="3">
        <v>5.0</v>
      </c>
    </row>
    <row r="8192" ht="15.75" customHeight="1">
      <c r="A8192" s="1">
        <v>8805.0</v>
      </c>
      <c r="B8192" s="3" t="s">
        <v>7879</v>
      </c>
      <c r="C8192" s="3" t="str">
        <f>IFERROR(__xludf.DUMMYFUNCTION("GOOGLETRANSLATE(B8192,""id"",""en"")"),"['Feature', 'Key', 'Credit', 'Credit', 'Out', 'Data', 'Data', 'Internet', 'Out']")</f>
        <v>['Feature', 'Key', 'Credit', 'Credit', 'Out', 'Data', 'Data', 'Internet', 'Out']</v>
      </c>
      <c r="D8192" s="3">
        <v>2.0</v>
      </c>
    </row>
    <row r="8193" ht="15.75" customHeight="1">
      <c r="A8193" s="1">
        <v>8806.0</v>
      </c>
      <c r="B8193" s="3" t="s">
        <v>7880</v>
      </c>
      <c r="C8193" s="3" t="str">
        <f>IFERROR(__xludf.DUMMYFUNCTION("GOOGLETRANSLATE(B8193,""id"",""en"")"),"['Teimakasih', 'Telkomsel', 'serve', 'annoyed', 'because', 'network', 'help', 'cet', 'just' waiting ',' wak ',' acting ',' Oprator ',' family ']")</f>
        <v>['Teimakasih', 'Telkomsel', 'serve', 'annoyed', 'because', 'network', 'help', 'cet', 'just' waiting ',' wak ',' acting ',' Oprator ',' family ']</v>
      </c>
      <c r="D8193" s="3">
        <v>1.0</v>
      </c>
    </row>
    <row r="8194" ht="15.75" customHeight="1">
      <c r="A8194" s="1">
        <v>8807.0</v>
      </c>
      <c r="B8194" s="3" t="s">
        <v>7881</v>
      </c>
      <c r="C8194" s="3" t="str">
        <f>IFERROR(__xludf.DUMMYFUNCTION("GOOGLETRANSLATE(B8194,""id"",""en"")"),"['Nomer', 'blocked', 'active', 'change', 'card']")</f>
        <v>['Nomer', 'blocked', 'active', 'change', 'card']</v>
      </c>
      <c r="D8194" s="3">
        <v>5.0</v>
      </c>
    </row>
    <row r="8195" ht="15.75" customHeight="1">
      <c r="A8195" s="1">
        <v>8808.0</v>
      </c>
      <c r="B8195" s="3" t="s">
        <v>7882</v>
      </c>
      <c r="C8195" s="3" t="str">
        <f>IFERROR(__xludf.DUMMYFUNCTION("GOOGLETRANSLATE(B8195,""id"",""en"")"),"['Traffic', 'Internet', 'Mbps', 'Open', 'App', 'Crazy', ""]")</f>
        <v>['Traffic', 'Internet', 'Mbps', 'Open', 'App', 'Crazy', "]</v>
      </c>
      <c r="D8195" s="3">
        <v>1.0</v>
      </c>
    </row>
    <row r="8196" ht="15.75" customHeight="1">
      <c r="A8196" s="1">
        <v>8809.0</v>
      </c>
      <c r="B8196" s="3" t="s">
        <v>7883</v>
      </c>
      <c r="C8196" s="3" t="str">
        <f>IFERROR(__xludf.DUMMYFUNCTION("GOOGLETRANSLATE(B8196,""id"",""en"")"),"['Provider', 'Network', 'Daille', 'Sinya', 'Parrraahhhhh']")</f>
        <v>['Provider', 'Network', 'Daille', 'Sinya', 'Parrraahhhhh']</v>
      </c>
      <c r="D8196" s="3">
        <v>1.0</v>
      </c>
    </row>
    <row r="8197" ht="15.75" customHeight="1">
      <c r="A8197" s="1">
        <v>8810.0</v>
      </c>
      <c r="B8197" s="3" t="s">
        <v>7884</v>
      </c>
      <c r="C8197" s="3" t="str">
        <f>IFERROR(__xludf.DUMMYFUNCTION("GOOGLETRANSLATE(B8197,""id"",""en"")"),"['Connection', 'Internet', 'Stable']")</f>
        <v>['Connection', 'Internet', 'Stable']</v>
      </c>
      <c r="D8197" s="3">
        <v>1.0</v>
      </c>
    </row>
    <row r="8198" ht="15.75" customHeight="1">
      <c r="A8198" s="1">
        <v>8811.0</v>
      </c>
      <c r="B8198" s="3" t="s">
        <v>7885</v>
      </c>
      <c r="C8198" s="3" t="str">
        <f>IFERROR(__xludf.DUMMYFUNCTION("GOOGLETRANSLATE(B8198,""id"",""en"")"),"['thank', 'love', 'Telkomsel', 'fuss', ""]")</f>
        <v>['thank', 'love', 'Telkomsel', 'fuss', "]</v>
      </c>
      <c r="D8198" s="3">
        <v>5.0</v>
      </c>
    </row>
    <row r="8199" ht="15.75" customHeight="1">
      <c r="A8199" s="1">
        <v>8812.0</v>
      </c>
      <c r="B8199" s="3" t="s">
        <v>7886</v>
      </c>
      <c r="C8199" s="3" t="str">
        <f>IFERROR(__xludf.DUMMYFUNCTION("GOOGLETRANSLATE(B8199,""id"",""en"")"),"['buy', 'pulse', 'mytelkomsel']")</f>
        <v>['buy', 'pulse', 'mytelkomsel']</v>
      </c>
      <c r="D8199" s="3">
        <v>5.0</v>
      </c>
    </row>
    <row r="8200" ht="15.75" customHeight="1">
      <c r="A8200" s="1">
        <v>8813.0</v>
      </c>
      <c r="B8200" s="3" t="s">
        <v>7887</v>
      </c>
      <c r="C8200" s="3" t="str">
        <f>IFERROR(__xludf.DUMMYFUNCTION("GOOGLETRANSLATE(B8200,""id"",""en"")"),"['Good', 'ALIH', 'APPLICATION']")</f>
        <v>['Good', 'ALIH', 'APPLICATION']</v>
      </c>
      <c r="D8200" s="3">
        <v>5.0</v>
      </c>
    </row>
    <row r="8201" ht="15.75" customHeight="1">
      <c r="A8201" s="1">
        <v>8814.0</v>
      </c>
      <c r="B8201" s="3" t="s">
        <v>7888</v>
      </c>
      <c r="C8201" s="3" t="str">
        <f>IFERROR(__xludf.DUMMYFUNCTION("GOOGLETRANSLATE(B8201,""id"",""en"")"),"['Service', 'Optimized']")</f>
        <v>['Service', 'Optimized']</v>
      </c>
      <c r="D8201" s="3">
        <v>3.0</v>
      </c>
    </row>
    <row r="8202" ht="15.75" customHeight="1">
      <c r="A8202" s="1">
        <v>8815.0</v>
      </c>
      <c r="B8202" s="3" t="s">
        <v>7889</v>
      </c>
      <c r="C8202" s="3" t="str">
        <f>IFERROR(__xludf.DUMMYFUNCTION("GOOGLETRANSLATE(B8202,""id"",""en"")"),"['Pay', 'expensive', 'signal', 'ngelag', 'mending', 'sell', 'package']")</f>
        <v>['Pay', 'expensive', 'signal', 'ngelag', 'mending', 'sell', 'package']</v>
      </c>
      <c r="D8202" s="3">
        <v>1.0</v>
      </c>
    </row>
    <row r="8203" ht="15.75" customHeight="1">
      <c r="A8203" s="1">
        <v>8816.0</v>
      </c>
      <c r="B8203" s="3" t="s">
        <v>7890</v>
      </c>
      <c r="C8203" s="3" t="str">
        <f>IFERROR(__xludf.DUMMYFUNCTION("GOOGLETRANSLATE(B8203,""id"",""en"")"),"['MSLH', 'Network', 'Tlp', 'Island', 'Disorders', ""]")</f>
        <v>['MSLH', 'Network', 'Tlp', 'Island', 'Disorders', "]</v>
      </c>
      <c r="D8203" s="3">
        <v>3.0</v>
      </c>
    </row>
    <row r="8204" ht="15.75" customHeight="1">
      <c r="A8204" s="1">
        <v>8817.0</v>
      </c>
      <c r="B8204" s="3" t="s">
        <v>7891</v>
      </c>
      <c r="C8204" s="3" t="str">
        <f>IFERROR(__xludf.DUMMYFUNCTION("GOOGLETRANSLATE(B8204,""id"",""en"")"),"['price', 'expensive', 'signal', 'pulp', 'tsel', 'network', 'conditionin']")</f>
        <v>['price', 'expensive', 'signal', 'pulp', 'tsel', 'network', 'conditionin']</v>
      </c>
      <c r="D8204" s="3">
        <v>1.0</v>
      </c>
    </row>
    <row r="8205" ht="15.75" customHeight="1">
      <c r="A8205" s="1">
        <v>8818.0</v>
      </c>
      <c r="B8205" s="3" t="s">
        <v>7892</v>
      </c>
      <c r="C8205" s="3" t="str">
        <f>IFERROR(__xludf.DUMMYFUNCTION("GOOGLETRANSLATE(B8205,""id"",""en"")"),"['like', 'makes it easy', 'customer']")</f>
        <v>['like', 'makes it easy', 'customer']</v>
      </c>
      <c r="D8205" s="3">
        <v>5.0</v>
      </c>
    </row>
    <row r="8206" ht="15.75" customHeight="1">
      <c r="A8206" s="1">
        <v>8819.0</v>
      </c>
      <c r="B8206" s="3" t="s">
        <v>7893</v>
      </c>
      <c r="C8206" s="3" t="str">
        <f>IFERROR(__xludf.DUMMYFUNCTION("GOOGLETRANSLATE(B8206,""id"",""en"")"),"['Telkomsel', 'The network', 'bad']")</f>
        <v>['Telkomsel', 'The network', 'bad']</v>
      </c>
      <c r="D8206" s="3">
        <v>1.0</v>
      </c>
    </row>
    <row r="8207" ht="15.75" customHeight="1">
      <c r="A8207" s="1">
        <v>8820.0</v>
      </c>
      <c r="B8207" s="3" t="s">
        <v>7894</v>
      </c>
      <c r="C8207" s="3" t="str">
        <f>IFERROR(__xludf.DUMMYFUNCTION("GOOGLETRANSLATE(B8207,""id"",""en"")"),"['Try', 'See', 'use', 'NMR', 'KPN', 'card', 'SKR', 'Amenities',' BGS ',' Published ',' SKR ',' GMN ',' disappointed ',' donk ',' customer ',' loyal ',' spti ',' ']")</f>
        <v>['Try', 'See', 'use', 'NMR', 'KPN', 'card', 'SKR', 'Amenities',' BGS ',' Published ',' SKR ',' GMN ',' disappointed ',' donk ',' customer ',' loyal ',' spti ',' ']</v>
      </c>
      <c r="D8207" s="3">
        <v>3.0</v>
      </c>
    </row>
    <row r="8208" ht="15.75" customHeight="1">
      <c r="A8208" s="1">
        <v>8821.0</v>
      </c>
      <c r="B8208" s="3" t="s">
        <v>7895</v>
      </c>
      <c r="C8208" s="3" t="str">
        <f>IFERROR(__xludf.DUMMYFUNCTION("GOOGLETRANSLATE(B8208,""id"",""en"")"),"['Yes thanks']")</f>
        <v>['Yes thanks']</v>
      </c>
      <c r="D8208" s="3">
        <v>5.0</v>
      </c>
    </row>
    <row r="8209" ht="15.75" customHeight="1">
      <c r="A8209" s="1">
        <v>8822.0</v>
      </c>
      <c r="B8209" s="3" t="s">
        <v>7896</v>
      </c>
      <c r="C8209" s="3" t="str">
        <f>IFERROR(__xludf.DUMMYFUNCTION("GOOGLETRANSLATE(B8209,""id"",""en"")"),"['Please', 'MAF', 'Disappointed', 'Strength', 'Internet', 'Decreases',' Rich ',' Lagih ',' Quota ',' All-round ',' Expensive ',' Telkom ',' TPI ',' Network ',' according to ',' Please ',' Fix ',' Times', 'Disappointed', 'Network', 'The Widest', 'KNPA', 'S"&amp;"ignal', 'Speed', 'Internet' , 'decrease']")</f>
        <v>['Please', 'MAF', 'Disappointed', 'Strength', 'Internet', 'Decreases',' Rich ',' Lagih ',' Quota ',' All-round ',' Expensive ',' Telkom ',' TPI ',' Network ',' according to ',' Please ',' Fix ',' Times', 'Disappointed', 'Network', 'The Widest', 'KNPA', 'Signal', 'Speed', 'Internet' , 'decrease']</v>
      </c>
      <c r="D8209" s="3">
        <v>1.0</v>
      </c>
    </row>
    <row r="8210" ht="15.75" customHeight="1">
      <c r="A8210" s="1">
        <v>8823.0</v>
      </c>
      <c r="B8210" s="3" t="s">
        <v>7897</v>
      </c>
      <c r="C8210" s="3" t="str">
        <f>IFERROR(__xludf.DUMMYFUNCTION("GOOGLETRANSLATE(B8210,""id"",""en"")"),"['Network', 'Telkomsel', '']")</f>
        <v>['Network', 'Telkomsel', '']</v>
      </c>
      <c r="D8210" s="3">
        <v>1.0</v>
      </c>
    </row>
    <row r="8211" ht="15.75" customHeight="1">
      <c r="A8211" s="1">
        <v>8826.0</v>
      </c>
      <c r="B8211" s="3" t="s">
        <v>7898</v>
      </c>
      <c r="C8211" s="3" t="str">
        <f>IFERROR(__xludf.DUMMYFUNCTION("GOOGLETRANSLATE(B8211,""id"",""en"")"),"['price', 'quota', 'expensive', 'signal', 'ugly', 'city', 'bandung', 'lho', 'rain', 'ambless']")</f>
        <v>['price', 'quota', 'expensive', 'signal', 'ugly', 'city', 'bandung', 'lho', 'rain', 'ambless']</v>
      </c>
      <c r="D8211" s="3">
        <v>2.0</v>
      </c>
    </row>
    <row r="8212" ht="15.75" customHeight="1">
      <c r="A8212" s="1">
        <v>8827.0</v>
      </c>
      <c r="B8212" s="3" t="s">
        <v>7899</v>
      </c>
      <c r="C8212" s="3" t="str">
        <f>IFERROR(__xludf.DUMMYFUNCTION("GOOGLETRANSLATE(B8212,""id"",""en"")"),"['Napa', 'Telkomsel', 'slow', 'game', 'network', 'ugly', 'Nge', 'lag', 'please', 'repaired', 'customer', ' Telkomsel ',' Dibenarin ',' Change ',' Card ',' Customer ',' Telkomsel ',' Thank ',' Love ', ""]")</f>
        <v>['Napa', 'Telkomsel', 'slow', 'game', 'network', 'ugly', 'Nge', 'lag', 'please', 'repaired', 'customer', ' Telkomsel ',' Dibenarin ',' Change ',' Card ',' Customer ',' Telkomsel ',' Thank ',' Love ', "]</v>
      </c>
      <c r="D8212" s="3">
        <v>1.0</v>
      </c>
    </row>
    <row r="8213" ht="15.75" customHeight="1">
      <c r="A8213" s="1">
        <v>8828.0</v>
      </c>
      <c r="B8213" s="3" t="s">
        <v>6258</v>
      </c>
      <c r="C8213" s="3" t="str">
        <f>IFERROR(__xludf.DUMMYFUNCTION("GOOGLETRANSLATE(B8213,""id"",""en"")"),"['satisfied']")</f>
        <v>['satisfied']</v>
      </c>
      <c r="D8213" s="3">
        <v>5.0</v>
      </c>
    </row>
    <row r="8214" ht="15.75" customHeight="1">
      <c r="A8214" s="1">
        <v>8829.0</v>
      </c>
      <c r="B8214" s="3" t="s">
        <v>7900</v>
      </c>
      <c r="C8214" s="3" t="str">
        <f>IFERROR(__xludf.DUMMYFUNCTION("GOOGLETRANSLATE(B8214,""id"",""en"")"),"['smga', 'prize', 'nggk', 'tricky', 'masarakat']")</f>
        <v>['smga', 'prize', 'nggk', 'tricky', 'masarakat']</v>
      </c>
      <c r="D8214" s="3">
        <v>5.0</v>
      </c>
    </row>
    <row r="8215" ht="15.75" customHeight="1">
      <c r="A8215" s="1">
        <v>8831.0</v>
      </c>
      <c r="B8215" s="3" t="s">
        <v>7901</v>
      </c>
      <c r="C8215" s="3" t="str">
        <f>IFERROR(__xludf.DUMMYFUNCTION("GOOGLETRANSLATE(B8215,""id"",""en"")"),"['signal', 'taiiii', 'slow', 'stable', 'network', 'tacky', 'reasons',' naek ',' tower ',' signal ',' good ',' taiii ',' ']")</f>
        <v>['signal', 'taiiii', 'slow', 'stable', 'network', 'tacky', 'reasons',' naek ',' tower ',' signal ',' good ',' taiii ',' ']</v>
      </c>
      <c r="D8215" s="3">
        <v>1.0</v>
      </c>
    </row>
    <row r="8216" ht="15.75" customHeight="1">
      <c r="A8216" s="1">
        <v>8832.0</v>
      </c>
      <c r="B8216" s="3" t="s">
        <v>7902</v>
      </c>
      <c r="C8216" s="3" t="str">
        <f>IFERROR(__xludf.DUMMYFUNCTION("GOOGLETRANSLATE(B8216,""id"",""en"")"),"['Mantabs', 'continue']")</f>
        <v>['Mantabs', 'continue']</v>
      </c>
      <c r="D8216" s="3">
        <v>5.0</v>
      </c>
    </row>
    <row r="8217" ht="15.75" customHeight="1">
      <c r="A8217" s="1">
        <v>8833.0</v>
      </c>
      <c r="B8217" s="3" t="s">
        <v>7903</v>
      </c>
      <c r="C8217" s="3" t="str">
        <f>IFERROR(__xludf.DUMMYFUNCTION("GOOGLETRANSLATE(B8217,""id"",""en"")"),"['Good', 'fast', 'NGK', 'obstacle']")</f>
        <v>['Good', 'fast', 'NGK', 'obstacle']</v>
      </c>
      <c r="D8217" s="3">
        <v>5.0</v>
      </c>
    </row>
    <row r="8218" ht="15.75" customHeight="1">
      <c r="A8218" s="1">
        <v>8834.0</v>
      </c>
      <c r="B8218" s="3" t="s">
        <v>7904</v>
      </c>
      <c r="C8218" s="3" t="str">
        <f>IFERROR(__xludf.DUMMYFUNCTION("GOOGLETRANSLATE(B8218,""id"",""en"")"),"['Good', 'Cool', 'Kece']")</f>
        <v>['Good', 'Cool', 'Kece']</v>
      </c>
      <c r="D8218" s="3">
        <v>5.0</v>
      </c>
    </row>
    <row r="8219" ht="15.75" customHeight="1">
      <c r="A8219" s="1">
        <v>8835.0</v>
      </c>
      <c r="B8219" s="3" t="s">
        <v>7905</v>
      </c>
      <c r="C8219" s="3" t="str">
        <f>IFERROR(__xludf.DUMMYFUNCTION("GOOGLETRANSLATE(B8219,""id"",""en"")"),"['May', 'bsa', 'ngsih', 'bntang', 'zero', 'coma', 'me', 'love', 'signal', 'bsa', 'severe', 'bngt', ' The village ',' PDHL ',' GSM ',' TPI ',' Lost ',' High School ', ""]")</f>
        <v>['May', 'bsa', 'ngsih', 'bntang', 'zero', 'coma', 'me', 'love', 'signal', 'bsa', 'severe', 'bngt', ' The village ',' PDHL ',' GSM ',' TPI ',' Lost ',' High School ', "]</v>
      </c>
      <c r="D8219" s="3">
        <v>1.0</v>
      </c>
    </row>
    <row r="8220" ht="15.75" customHeight="1">
      <c r="A8220" s="1">
        <v>8836.0</v>
      </c>
      <c r="B8220" s="3" t="s">
        <v>7906</v>
      </c>
      <c r="C8220" s="3" t="str">
        <f>IFERROR(__xludf.DUMMYFUNCTION("GOOGLETRANSLATE(B8220,""id"",""en"")"),"['Disappointed', 'rotten', 'use', 'card', 'Telkomsel', 'tempted', 'program', 'unlimitide', 'price', 'run out', 'package', 'normal', ' Access', 'Google', 'smooth', 'access',' YouTube ',' smooth ',' access', 'Google', 'YouTube', 'etc.', 'send', 'image', 'si"&amp;"ze' , 'KB', 'Minutes', 'Badkkkk', ""]")</f>
        <v>['Disappointed', 'rotten', 'use', 'card', 'Telkomsel', 'tempted', 'program', 'unlimitide', 'price', 'run out', 'package', 'normal', ' Access', 'Google', 'smooth', 'access',' YouTube ',' smooth ',' access', 'Google', 'YouTube', 'etc.', 'send', 'image', 'size' , 'KB', 'Minutes', 'Badkkkk', "]</v>
      </c>
      <c r="D8220" s="3">
        <v>1.0</v>
      </c>
    </row>
    <row r="8221" ht="15.75" customHeight="1">
      <c r="A8221" s="1">
        <v>8837.0</v>
      </c>
      <c r="B8221" s="3" t="s">
        <v>7907</v>
      </c>
      <c r="C8221" s="3" t="str">
        <f>IFERROR(__xludf.DUMMYFUNCTION("GOOGLETRANSLATE(B8221,""id"",""en"")"),"['Nga', 'cheap', 'package', 'regret', 'download']")</f>
        <v>['Nga', 'cheap', 'package', 'regret', 'download']</v>
      </c>
      <c r="D8221" s="3">
        <v>1.0</v>
      </c>
    </row>
    <row r="8222" ht="15.75" customHeight="1">
      <c r="A8222" s="1">
        <v>8838.0</v>
      </c>
      <c r="B8222" s="3" t="s">
        <v>7908</v>
      </c>
      <c r="C8222" s="3" t="str">
        <f>IFERROR(__xludf.DUMMYFUNCTION("GOOGLETRANSLATE(B8222,""id"",""en"")"),"['', 'The network', 'slow', 'really']")</f>
        <v>['', 'The network', 'slow', 'really']</v>
      </c>
      <c r="D8222" s="3">
        <v>1.0</v>
      </c>
    </row>
    <row r="8223" ht="15.75" customHeight="1">
      <c r="A8223" s="1">
        <v>8839.0</v>
      </c>
      <c r="B8223" s="3" t="s">
        <v>636</v>
      </c>
      <c r="C8223" s="3" t="str">
        <f>IFERROR(__xludf.DUMMYFUNCTION("GOOGLETRANSLATE(B8223,""id"",""en"")"),"['The application', 'Good', '']")</f>
        <v>['The application', 'Good', '']</v>
      </c>
      <c r="D8223" s="3">
        <v>5.0</v>
      </c>
    </row>
    <row r="8224" ht="15.75" customHeight="1">
      <c r="A8224" s="1">
        <v>8840.0</v>
      </c>
      <c r="B8224" s="3" t="s">
        <v>7909</v>
      </c>
      <c r="C8224" s="3" t="str">
        <f>IFERROR(__xludf.DUMMYFUNCTION("GOOGLETRANSLATE(B8224,""id"",""en"")"),"['The application', 'difficult', 'opened']")</f>
        <v>['The application', 'difficult', 'opened']</v>
      </c>
      <c r="D8224" s="3">
        <v>1.0</v>
      </c>
    </row>
    <row r="8225" ht="15.75" customHeight="1">
      <c r="A8225" s="1">
        <v>8841.0</v>
      </c>
      <c r="B8225" s="3" t="s">
        <v>7910</v>
      </c>
      <c r="C8225" s="3" t="str">
        <f>IFERROR(__xludf.DUMMYFUNCTION("GOOGLETRANSLATE(B8225,""id"",""en"")"),"['Forgiveness',' Daaah ',' Package ',' Telkomsel ',' expensive ',' really ',' moved ',' next door ',' suggestion ',' cheap ',' even though ',' No ',' Gede ',' no ',' Papa ',' satisfying ',' users', 'take', 'luck', 'mah', 'no', 'continuous',' luck ',' Gede"&amp;" ' , 'bankrupt', '']")</f>
        <v>['Forgiveness',' Daaah ',' Package ',' Telkomsel ',' expensive ',' really ',' moved ',' next door ',' suggestion ',' cheap ',' even though ',' No ',' Gede ',' no ',' Papa ',' satisfying ',' users', 'take', 'luck', 'mah', 'no', 'continuous',' luck ',' Gede ' , 'bankrupt', '']</v>
      </c>
      <c r="D8225" s="3">
        <v>1.0</v>
      </c>
    </row>
    <row r="8226" ht="15.75" customHeight="1">
      <c r="A8226" s="1">
        <v>8842.0</v>
      </c>
      <c r="B8226" s="3" t="s">
        <v>7911</v>
      </c>
      <c r="C8226" s="3" t="str">
        <f>IFERROR(__xludf.DUMMYFUNCTION("GOOGLETRANSLATE(B8226,""id"",""en"")"),"['Sorry', 'Telkomsel', 'connection', 'internet', 'smooth', 'stay', 'in the area', 'said', 'remote', 'entry', 'November', 'network', ' Broken ',' Place ',' Region ',' Disturbing ',' Play ',' Game ',' Online ',' YouTube ',' Instagram ',' Please ',' Explanat"&amp;"ion ', ""]")</f>
        <v>['Sorry', 'Telkomsel', 'connection', 'internet', 'smooth', 'stay', 'in the area', 'said', 'remote', 'entry', 'November', 'network', ' Broken ',' Place ',' Region ',' Disturbing ',' Play ',' Game ',' Online ',' YouTube ',' Instagram ',' Please ',' Explanation ', "]</v>
      </c>
      <c r="D8226" s="3">
        <v>1.0</v>
      </c>
    </row>
    <row r="8227" ht="15.75" customHeight="1">
      <c r="A8227" s="1">
        <v>8843.0</v>
      </c>
      <c r="B8227" s="3" t="s">
        <v>7912</v>
      </c>
      <c r="C8227" s="3" t="str">
        <f>IFERROR(__xludf.DUMMYFUNCTION("GOOGLETRANSLATE(B8227,""id"",""en"")"),"['Transfer', 'pulse', 'number', 'wrong', 'number', 'wrong', 'notification', 'number', 'already', 'try', 'wrong']")</f>
        <v>['Transfer', 'pulse', 'number', 'wrong', 'number', 'wrong', 'notification', 'number', 'already', 'try', 'wrong']</v>
      </c>
      <c r="D8227" s="3">
        <v>1.0</v>
      </c>
    </row>
    <row r="8228" ht="15.75" customHeight="1">
      <c r="A8228" s="1">
        <v>8844.0</v>
      </c>
      <c r="B8228" s="3" t="s">
        <v>7913</v>
      </c>
      <c r="C8228" s="3" t="str">
        <f>IFERROR(__xludf.DUMMYFUNCTION("GOOGLETRANSLATE(B8228,""id"",""en"")"),"['number', 'koq', 'expensive', 'buy', 'data', 'pulse']")</f>
        <v>['number', 'koq', 'expensive', 'buy', 'data', 'pulse']</v>
      </c>
      <c r="D8228" s="3">
        <v>5.0</v>
      </c>
    </row>
    <row r="8229" ht="15.75" customHeight="1">
      <c r="A8229" s="1">
        <v>8845.0</v>
      </c>
      <c r="B8229" s="3" t="s">
        <v>7914</v>
      </c>
      <c r="C8229" s="3" t="str">
        <f>IFERROR(__xludf.DUMMYFUNCTION("GOOGLETRANSLATE(B8229,""id"",""en"")"),"['Trimakasi', 'UDH', 'Exchange', 'Points']")</f>
        <v>['Trimakasi', 'UDH', 'Exchange', 'Points']</v>
      </c>
      <c r="D8229" s="3">
        <v>5.0</v>
      </c>
    </row>
    <row r="8230" ht="15.75" customHeight="1">
      <c r="A8230" s="1">
        <v>8846.0</v>
      </c>
      <c r="B8230" s="3" t="s">
        <v>7915</v>
      </c>
      <c r="C8230" s="3" t="str">
        <f>IFERROR(__xludf.DUMMYFUNCTION("GOOGLETRANSLATE(B8230,""id"",""en"")"),"['Bismillah', 'Hope', 'Champion']")</f>
        <v>['Bismillah', 'Hope', 'Champion']</v>
      </c>
      <c r="D8230" s="3">
        <v>5.0</v>
      </c>
    </row>
    <row r="8231" ht="15.75" customHeight="1">
      <c r="A8231" s="1">
        <v>8847.0</v>
      </c>
      <c r="B8231" s="3" t="s">
        <v>7916</v>
      </c>
      <c r="C8231" s="3" t="str">
        <f>IFERROR(__xludf.DUMMYFUNCTION("GOOGLETRANSLATE(B8231,""id"",""en"")"),"['Promo', 'interesting', 'donk']")</f>
        <v>['Promo', 'interesting', 'donk']</v>
      </c>
      <c r="D8231" s="3">
        <v>4.0</v>
      </c>
    </row>
    <row r="8232" ht="15.75" customHeight="1">
      <c r="A8232" s="1">
        <v>8849.0</v>
      </c>
      <c r="B8232" s="3" t="s">
        <v>7917</v>
      </c>
      <c r="C8232" s="3" t="str">
        <f>IFERROR(__xludf.DUMMYFUNCTION("GOOGLETRANSLATE(B8232,""id"",""en"")"),"['Wind', 'rain', 'dead', 'lights',' storm ',' disorder ',' anjink ',' invited ',' noise ',' how ',' Serlok ',' burn ',' Building ',' Telkomsel ',' Dakjal ',' Creator ',' Telkomsel ',' Saver ',' Telkomsel ',' Pig ',' Creator ',' Kayak ',' Anjik ',' Disrupt"&amp;"ion ',' Mulu ' , 'Promise', 'palsumy']")</f>
        <v>['Wind', 'rain', 'dead', 'lights',' storm ',' disorder ',' anjink ',' invited ',' noise ',' how ',' Serlok ',' burn ',' Building ',' Telkomsel ',' Dakjal ',' Creator ',' Telkomsel ',' Saver ',' Telkomsel ',' Pig ',' Creator ',' Kayak ',' Anjik ',' Disruption ',' Mulu ' , 'Promise', 'palsumy']</v>
      </c>
      <c r="D8232" s="3">
        <v>1.0</v>
      </c>
    </row>
    <row r="8233" ht="15.75" customHeight="1">
      <c r="A8233" s="1">
        <v>8850.0</v>
      </c>
      <c r="B8233" s="3" t="s">
        <v>7918</v>
      </c>
      <c r="C8233" s="3" t="str">
        <f>IFERROR(__xludf.DUMMYFUNCTION("GOOGLETRANSLATE(B8233,""id"",""en"")"),"['APK', 'good', 'Bangat', 'like']")</f>
        <v>['APK', 'good', 'Bangat', 'like']</v>
      </c>
      <c r="D8233" s="3">
        <v>5.0</v>
      </c>
    </row>
    <row r="8234" ht="15.75" customHeight="1">
      <c r="A8234" s="1">
        <v>8851.0</v>
      </c>
      <c r="B8234" s="3" t="s">
        <v>7919</v>
      </c>
      <c r="C8234" s="3" t="str">
        <f>IFERROR(__xludf.DUMMYFUNCTION("GOOGLETRANSLATE(B8234,""id"",""en"")"),"['', 'lag', 'network', 'problematic', 'waterpark', 'men']")</f>
        <v>['', 'lag', 'network', 'problematic', 'waterpark', 'men']</v>
      </c>
      <c r="D8234" s="3">
        <v>1.0</v>
      </c>
    </row>
    <row r="8235" ht="15.75" customHeight="1">
      <c r="A8235" s="1">
        <v>8853.0</v>
      </c>
      <c r="B8235" s="3" t="s">
        <v>7920</v>
      </c>
      <c r="C8235" s="3" t="str">
        <f>IFERROR(__xludf.DUMMYFUNCTION("GOOGLETRANSLATE(B8235,""id"",""en"")"),"['poor', 'Telkomsel', 'Network', 'The widest', 'accessed', 'DiLiok', 'Putok', 'Signal', 'Telkomsel', 'Lost', 'Provider', 'Please', ' Folded ',' luck ',' Doang ',' satisfaction ',' customer ',' neglected ']")</f>
        <v>['poor', 'Telkomsel', 'Network', 'The widest', 'accessed', 'DiLiok', 'Putok', 'Signal', 'Telkomsel', 'Lost', 'Provider', 'Please', ' Folded ',' luck ',' Doang ',' satisfaction ',' customer ',' neglected ']</v>
      </c>
      <c r="D8235" s="3">
        <v>2.0</v>
      </c>
    </row>
    <row r="8236" ht="15.75" customHeight="1">
      <c r="A8236" s="1">
        <v>8854.0</v>
      </c>
      <c r="B8236" s="3" t="s">
        <v>7921</v>
      </c>
      <c r="C8236" s="3" t="str">
        <f>IFERROR(__xludf.DUMMYFUNCTION("GOOGLETRANSLATE(B8236,""id"",""en"")"),"['Points', 'No', 'Exchange', 'Sapa', 'Package', 'Internet']")</f>
        <v>['Points', 'No', 'Exchange', 'Sapa', 'Package', 'Internet']</v>
      </c>
      <c r="D8236" s="3">
        <v>1.0</v>
      </c>
    </row>
    <row r="8237" ht="15.75" customHeight="1">
      <c r="A8237" s="1">
        <v>8855.0</v>
      </c>
      <c r="B8237" s="3" t="s">
        <v>7922</v>
      </c>
      <c r="C8237" s="3" t="str">
        <f>IFERROR(__xludf.DUMMYFUNCTION("GOOGLETRANSLATE(B8237,""id"",""en"")"),"['Good', 'Application', 'MyTelkomsel', 'Banya', 'Undiyan', 'Hadiya', 'Telkomsel', 'Success']")</f>
        <v>['Good', 'Application', 'MyTelkomsel', 'Banya', 'Undiyan', 'Hadiya', 'Telkomsel', 'Success']</v>
      </c>
      <c r="D8237" s="3">
        <v>5.0</v>
      </c>
    </row>
    <row r="8238" ht="15.75" customHeight="1">
      <c r="A8238" s="1">
        <v>8856.0</v>
      </c>
      <c r="B8238" s="3" t="s">
        <v>7923</v>
      </c>
      <c r="C8238" s="3" t="str">
        <f>IFERROR(__xludf.DUMMYFUNCTION("GOOGLETRANSLATE(B8238,""id"",""en"")"),"['buy', 'package', 'expensive', 'expensive', 'right', 'leftover', 'quota', 'unlimited', 'gabisa', 'dipake', 'telkomtol', 'boss',' Senggol ']")</f>
        <v>['buy', 'package', 'expensive', 'expensive', 'right', 'leftover', 'quota', 'unlimited', 'gabisa', 'dipake', 'telkomtol', 'boss',' Senggol ']</v>
      </c>
      <c r="D8238" s="3">
        <v>1.0</v>
      </c>
    </row>
    <row r="8239" ht="15.75" customHeight="1">
      <c r="A8239" s="1">
        <v>8857.0</v>
      </c>
      <c r="B8239" s="3" t="s">
        <v>7924</v>
      </c>
      <c r="C8239" s="3" t="str">
        <f>IFERROR(__xludf.DUMMYFUNCTION("GOOGLETRANSLATE(B8239,""id"",""en"")"),"['Service', 'bad', 'contents',' reset ',' credit ',' ovo ',' rb ',' pulse ',' enter ',' help ',' complicated ',' play ',' Telkomsel ',' digit ',' Ovo ',' Ovo ',' gave ',' digit ',' pokonya ',' service ',' disappointing ']")</f>
        <v>['Service', 'bad', 'contents',' reset ',' credit ',' ovo ',' rb ',' pulse ',' enter ',' help ',' complicated ',' play ',' Telkomsel ',' digit ',' Ovo ',' Ovo ',' gave ',' digit ',' pokonya ',' service ',' disappointing ']</v>
      </c>
      <c r="D8239" s="3">
        <v>1.0</v>
      </c>
    </row>
    <row r="8240" ht="15.75" customHeight="1">
      <c r="A8240" s="1">
        <v>8858.0</v>
      </c>
      <c r="B8240" s="3" t="s">
        <v>7925</v>
      </c>
      <c r="C8240" s="3" t="str">
        <f>IFERROR(__xludf.DUMMYFUNCTION("GOOGLETRANSLATE(B8240,""id"",""en"")"),"['application', 'ugly', 'bangett', 'love', 'star', 'thank you']")</f>
        <v>['application', 'ugly', 'bangett', 'love', 'star', 'thank you']</v>
      </c>
      <c r="D8240" s="3">
        <v>5.0</v>
      </c>
    </row>
    <row r="8241" ht="15.75" customHeight="1">
      <c r="A8241" s="1">
        <v>8859.0</v>
      </c>
      <c r="B8241" s="3" t="s">
        <v>7926</v>
      </c>
      <c r="C8241" s="3" t="str">
        <f>IFERROR(__xludf.DUMMYFUNCTION("GOOGLETRANSLATE(B8241,""id"",""en"")"),"['Telkomsel', 'KEK', 'Thai', 'LEG', 'Bat', 'Push', 'Rank', 'Lost', 'Mulu', 'Gara', 'Gara', 'Network', ' SEZ ',' Thai ']")</f>
        <v>['Telkomsel', 'KEK', 'Thai', 'LEG', 'Bat', 'Push', 'Rank', 'Lost', 'Mulu', 'Gara', 'Gara', 'Network', ' SEZ ',' Thai ']</v>
      </c>
      <c r="D8241" s="3">
        <v>1.0</v>
      </c>
    </row>
    <row r="8242" ht="15.75" customHeight="1">
      <c r="A8242" s="1">
        <v>8860.0</v>
      </c>
      <c r="B8242" s="3" t="s">
        <v>7927</v>
      </c>
      <c r="C8242" s="3" t="str">
        <f>IFERROR(__xludf.DUMMYFUNCTION("GOOGLETRANSLATE(B8242,""id"",""en"")"),"['Card', 'Telkomsel', 'already', 'many years', 'promo', 'like', 'card', 'Telkomsel', ""]")</f>
        <v>['Card', 'Telkomsel', 'already', 'many years', 'promo', 'like', 'card', 'Telkomsel', "]</v>
      </c>
      <c r="D8242" s="3">
        <v>2.0</v>
      </c>
    </row>
    <row r="8243" ht="15.75" customHeight="1">
      <c r="A8243" s="1">
        <v>8861.0</v>
      </c>
      <c r="B8243" s="3" t="s">
        <v>7928</v>
      </c>
      <c r="C8243" s="3" t="str">
        <f>IFERROR(__xludf.DUMMYFUNCTION("GOOGLETRANSLATE(B8243,""id"",""en"")"),"['signal', 'good', 'right', 'at home', '']")</f>
        <v>['signal', 'good', 'right', 'at home', '']</v>
      </c>
      <c r="D8243" s="3">
        <v>3.0</v>
      </c>
    </row>
    <row r="8244" ht="15.75" customHeight="1">
      <c r="A8244" s="1">
        <v>8862.0</v>
      </c>
      <c r="B8244" s="3" t="s">
        <v>7929</v>
      </c>
      <c r="C8244" s="3" t="str">
        <f>IFERROR(__xludf.DUMMYFUNCTION("GOOGLETRANSLATE(B8244,""id"",""en"")"),"['Luckle', '']")</f>
        <v>['Luckle', '']</v>
      </c>
      <c r="D8244" s="3">
        <v>5.0</v>
      </c>
    </row>
    <row r="8245" ht="15.75" customHeight="1">
      <c r="A8245" s="1">
        <v>8863.0</v>
      </c>
      <c r="B8245" s="3" t="s">
        <v>286</v>
      </c>
      <c r="C8245" s="3" t="str">
        <f>IFERROR(__xludf.DUMMYFUNCTION("GOOGLETRANSLATE(B8245,""id"",""en"")"),"['good']")</f>
        <v>['good']</v>
      </c>
      <c r="D8245" s="3">
        <v>5.0</v>
      </c>
    </row>
    <row r="8246" ht="15.75" customHeight="1">
      <c r="A8246" s="1">
        <v>8864.0</v>
      </c>
      <c r="B8246" s="3" t="s">
        <v>7930</v>
      </c>
      <c r="C8246" s="3" t="str">
        <f>IFERROR(__xludf.DUMMYFUNCTION("GOOGLETRANSLATE(B8246,""id"",""en"")"),"['Bru', 'try']")</f>
        <v>['Bru', 'try']</v>
      </c>
      <c r="D8246" s="3">
        <v>4.0</v>
      </c>
    </row>
    <row r="8247" ht="15.75" customHeight="1">
      <c r="A8247" s="1">
        <v>8865.0</v>
      </c>
      <c r="B8247" s="3" t="s">
        <v>7931</v>
      </c>
      <c r="C8247" s="3" t="str">
        <f>IFERROR(__xludf.DUMMYFUNCTION("GOOGLETRANSLATE(B8247,""id"",""en"")"),"['poor', 'good', 'service', 'threat', '']")</f>
        <v>['poor', 'good', 'service', 'threat', '']</v>
      </c>
      <c r="D8247" s="3">
        <v>1.0</v>
      </c>
    </row>
    <row r="8248" ht="15.75" customHeight="1">
      <c r="A8248" s="1">
        <v>8866.0</v>
      </c>
      <c r="B8248" s="3" t="s">
        <v>7932</v>
      </c>
      <c r="C8248" s="3" t="str">
        <f>IFERROR(__xludf.DUMMYFUNCTION("GOOGLETRANSLATE(B8248,""id"",""en"")"),"['fill', 'pulse', 'thousand', 'buy', 'package', 'MB', 'pulse', 'sucked', 'I'll be' hope ',' Telkomsel ',' return ',' Credit ',' sucked ']")</f>
        <v>['fill', 'pulse', 'thousand', 'buy', 'package', 'MB', 'pulse', 'sucked', 'I'll be' hope ',' Telkomsel ',' return ',' Credit ',' sucked ']</v>
      </c>
      <c r="D8248" s="3">
        <v>1.0</v>
      </c>
    </row>
    <row r="8249" ht="15.75" customHeight="1">
      <c r="A8249" s="1">
        <v>8867.0</v>
      </c>
      <c r="B8249" s="3" t="s">
        <v>7933</v>
      </c>
      <c r="C8249" s="3" t="str">
        <f>IFERROR(__xludf.DUMMYFUNCTION("GOOGLETRANSLATE(B8249,""id"",""en"")"),"['Please', 'signal', 'stable', 'good', 'region', 'Banyumas', 'trmkasih']")</f>
        <v>['Please', 'signal', 'stable', 'good', 'region', 'Banyumas', 'trmkasih']</v>
      </c>
      <c r="D8249" s="3">
        <v>3.0</v>
      </c>
    </row>
    <row r="8250" ht="15.75" customHeight="1">
      <c r="A8250" s="1">
        <v>8868.0</v>
      </c>
      <c r="B8250" s="3" t="s">
        <v>7934</v>
      </c>
      <c r="C8250" s="3" t="str">
        <f>IFERROR(__xludf.DUMMYFUNCTION("GOOGLETRANSLATE(B8250,""id"",""en"")"),"['Good', 'promo', 'thanks', 'Telkomsel']")</f>
        <v>['Good', 'promo', 'thanks', 'Telkomsel']</v>
      </c>
      <c r="D8250" s="3">
        <v>5.0</v>
      </c>
    </row>
    <row r="8251" ht="15.75" customHeight="1">
      <c r="A8251" s="1">
        <v>8869.0</v>
      </c>
      <c r="B8251" s="3" t="s">
        <v>7935</v>
      </c>
      <c r="C8251" s="3" t="str">
        <f>IFERROR(__xludf.DUMMYFUNCTION("GOOGLETRANSLATE(B8251,""id"",""en"")"),"['Customer', 'LBH', 'TH', 'Rates', 'Expensive', 'Signal', 'Lemot', ""]")</f>
        <v>['Customer', 'LBH', 'TH', 'Rates', 'Expensive', 'Signal', 'Lemot', "]</v>
      </c>
      <c r="D8251" s="3">
        <v>1.0</v>
      </c>
    </row>
    <row r="8252" ht="15.75" customHeight="1">
      <c r="A8252" s="1">
        <v>8870.0</v>
      </c>
      <c r="B8252" s="3" t="s">
        <v>7936</v>
      </c>
      <c r="C8252" s="3" t="str">
        <f>IFERROR(__xludf.DUMMYFUNCTION("GOOGLETRANSLATE(B8252,""id"",""en"")"),"['Network', 'Telkomsel', 'Disruption', 'Please', 'Fix', 'Search', 'Untung', 'Doank', 'TPI', 'Quality', 'ugly', 'Lost', ' Next to ',' Please ',' Very ',' Region ',' Karawang ',' Fix ',' subscribe ',' then ',' ugly ',' Mending ',' Move ',' Next to ',' ']")</f>
        <v>['Network', 'Telkomsel', 'Disruption', 'Please', 'Fix', 'Search', 'Untung', 'Doank', 'TPI', 'Quality', 'ugly', 'Lost', ' Next to ',' Please ',' Very ',' Region ',' Karawang ',' Fix ',' subscribe ',' then ',' ugly ',' Mending ',' Move ',' Next to ',' ']</v>
      </c>
      <c r="D8252" s="3">
        <v>1.0</v>
      </c>
    </row>
    <row r="8253" ht="15.75" customHeight="1">
      <c r="A8253" s="1">
        <v>8871.0</v>
      </c>
      <c r="B8253" s="3" t="s">
        <v>7937</v>
      </c>
      <c r="C8253" s="3" t="str">
        <f>IFERROR(__xludf.DUMMYFUNCTION("GOOGLETRANSLATE(B8253,""id"",""en"")"),"['BURIK', 'service', 'internet', 'person', 'complaining', 'Moor', 'Network', 'deteriorated', 'complementary', 'Peru', 'Radan', 'sorry', ' Sorry ',' Complete ']")</f>
        <v>['BURIK', 'service', 'internet', 'person', 'complaining', 'Moor', 'Network', 'deteriorated', 'complementary', 'Peru', 'Radan', 'sorry', ' Sorry ',' Complete ']</v>
      </c>
      <c r="D8253" s="3">
        <v>1.0</v>
      </c>
    </row>
    <row r="8254" ht="15.75" customHeight="1">
      <c r="A8254" s="1">
        <v>8872.0</v>
      </c>
      <c r="B8254" s="3" t="s">
        <v>7938</v>
      </c>
      <c r="C8254" s="3" t="str">
        <f>IFERROR(__xludf.DUMMYFUNCTION("GOOGLETRANSLATE(B8254,""id"",""en"")"),"['Good', 'really', 'SIH', 'KLW', 'Application', 'Telkomsel', 'Ribet']")</f>
        <v>['Good', 'really', 'SIH', 'KLW', 'Application', 'Telkomsel', 'Ribet']</v>
      </c>
      <c r="D8254" s="3">
        <v>5.0</v>
      </c>
    </row>
    <row r="8255" ht="15.75" customHeight="1">
      <c r="A8255" s="1">
        <v>8873.0</v>
      </c>
      <c r="B8255" s="3" t="s">
        <v>7939</v>
      </c>
      <c r="C8255" s="3" t="str">
        <f>IFERROR(__xludf.DUMMYFUNCTION("GOOGLETRANSLATE(B8255,""id"",""en"")"),"['Hareh', 'Application', 'Fraud', 'Gimna', 'Buy', 'Package', 'Yutub', 'Pakee', ""]")</f>
        <v>['Hareh', 'Application', 'Fraud', 'Gimna', 'Buy', 'Package', 'Yutub', 'Pakee', "]</v>
      </c>
      <c r="D8255" s="3">
        <v>1.0</v>
      </c>
    </row>
    <row r="8256" ht="15.75" customHeight="1">
      <c r="A8256" s="1">
        <v>8874.0</v>
      </c>
      <c r="B8256" s="3" t="s">
        <v>7940</v>
      </c>
      <c r="C8256" s="3" t="str">
        <f>IFERROR(__xludf.DUMMYFUNCTION("GOOGLETRANSLATE(B8256,""id"",""en"")"),"['silly', 'expensive', '']")</f>
        <v>['silly', 'expensive', '']</v>
      </c>
      <c r="D8256" s="3">
        <v>5.0</v>
      </c>
    </row>
    <row r="8257" ht="15.75" customHeight="1">
      <c r="A8257" s="1">
        <v>8875.0</v>
      </c>
      <c r="B8257" s="3" t="s">
        <v>7941</v>
      </c>
      <c r="C8257" s="3" t="str">
        <f>IFERROR(__xludf.DUMMYFUNCTION("GOOGLETRANSLATE(B8257,""id"",""en"")"),"['lag', 'Napa', 'signal', ""]")</f>
        <v>['lag', 'Napa', 'signal', "]</v>
      </c>
      <c r="D8257" s="3">
        <v>3.0</v>
      </c>
    </row>
    <row r="8258" ht="15.75" customHeight="1">
      <c r="A8258" s="1">
        <v>8876.0</v>
      </c>
      <c r="B8258" s="3" t="s">
        <v>7942</v>
      </c>
      <c r="C8258" s="3" t="str">
        <f>IFERROR(__xludf.DUMMYFUNCTION("GOOGLETRANSLATE(B8258,""id"",""en"")"),"['Please', 'Love', 'Feature', 'Credit', 'Sumpot', 'Credit', 'Cave', 'Sumpot', 'MLU', 'Season', 'Cave', 'PDAH', ' already ',' buy ',' quota ',' youtube ',' unlimited ',' right ',' quota ',' kemdikbud ',' msuk ',' mlh ',' sumps', 'pulse', 'salty' , 'cave', "&amp;"'']")</f>
        <v>['Please', 'Love', 'Feature', 'Credit', 'Sumpot', 'Credit', 'Cave', 'Sumpot', 'MLU', 'Season', 'Cave', 'PDAH', ' already ',' buy ',' quota ',' youtube ',' unlimited ',' right ',' quota ',' kemdikbud ',' msuk ',' mlh ',' sumps', 'pulse', 'salty' , 'cave', '']</v>
      </c>
      <c r="D8258" s="3">
        <v>1.0</v>
      </c>
    </row>
    <row r="8259" ht="15.75" customHeight="1">
      <c r="A8259" s="1">
        <v>8877.0</v>
      </c>
      <c r="B8259" s="3" t="s">
        <v>7943</v>
      </c>
      <c r="C8259" s="3" t="str">
        <f>IFERROR(__xludf.DUMMYFUNCTION("GOOGLETRANSLATE(B8259,""id"",""en"")"),"['difficult', 'login', 'use', 'data', 'cellular', 'use', 'wifi', 'fast', ""]")</f>
        <v>['difficult', 'login', 'use', 'data', 'cellular', 'use', 'wifi', 'fast', "]</v>
      </c>
      <c r="D8259" s="3">
        <v>1.0</v>
      </c>
    </row>
    <row r="8260" ht="15.75" customHeight="1">
      <c r="A8260" s="1">
        <v>8879.0</v>
      </c>
      <c r="B8260" s="3" t="s">
        <v>7944</v>
      </c>
      <c r="C8260" s="3" t="str">
        <f>IFERROR(__xludf.DUMMYFUNCTION("GOOGLETRANSLATE(B8260,""id"",""en"")"),"['Increase', 'promo', 'cheap']")</f>
        <v>['Increase', 'promo', 'cheap']</v>
      </c>
      <c r="D8260" s="3">
        <v>4.0</v>
      </c>
    </row>
    <row r="8261" ht="15.75" customHeight="1">
      <c r="A8261" s="1">
        <v>8880.0</v>
      </c>
      <c r="B8261" s="3" t="s">
        <v>7945</v>
      </c>
      <c r="C8261" s="3" t="str">
        <f>IFERROR(__xludf.DUMMYFUNCTION("GOOGLETRANSLATE(B8261,""id"",""en"")"),"['Please', 'Network', 'repaired', 'play', 'game', 'Ngelaq', 'really', 'already', 'expensive', 'Ngelaq', 'Pulak']")</f>
        <v>['Please', 'Network', 'repaired', 'play', 'game', 'Ngelaq', 'really', 'already', 'expensive', 'Ngelaq', 'Pulak']</v>
      </c>
      <c r="D8261" s="3">
        <v>1.0</v>
      </c>
    </row>
    <row r="8262" ht="15.75" customHeight="1">
      <c r="A8262" s="1">
        <v>8881.0</v>
      </c>
      <c r="B8262" s="3" t="s">
        <v>7946</v>
      </c>
      <c r="C8262" s="3" t="str">
        <f>IFERROR(__xludf.DUMMYFUNCTION("GOOGLETRANSLATE(B8262,""id"",""en"")"),"['', 'Paketan', 'Different', 'Different', 'Application', 'Package', 'Night', 'Gigamax', 'Buy', 'Package', 'Quota', 'Internet', 'Main ']")</f>
        <v>['', 'Paketan', 'Different', 'Different', 'Application', 'Package', 'Night', 'Gigamax', 'Buy', 'Package', 'Quota', 'Internet', 'Main ']</v>
      </c>
      <c r="D8262" s="3">
        <v>1.0</v>
      </c>
    </row>
    <row r="8263" ht="15.75" customHeight="1">
      <c r="A8263" s="1">
        <v>8882.0</v>
      </c>
      <c r="B8263" s="3" t="s">
        <v>7947</v>
      </c>
      <c r="C8263" s="3" t="str">
        <f>IFERROR(__xludf.DUMMYFUNCTION("GOOGLETRANSLATE(B8263,""id"",""en"")"),"['Baguts', 'Pakek', 'Tsa']")</f>
        <v>['Baguts', 'Pakek', 'Tsa']</v>
      </c>
      <c r="D8263" s="3">
        <v>5.0</v>
      </c>
    </row>
    <row r="8264" ht="15.75" customHeight="1">
      <c r="A8264" s="1">
        <v>8884.0</v>
      </c>
      <c r="B8264" s="3" t="s">
        <v>7948</v>
      </c>
      <c r="C8264" s="3" t="str">
        <f>IFERROR(__xludf.DUMMYFUNCTION("GOOGLETRANSLATE(B8264,""id"",""en"")"),"['Telkomsel', 'Speed', 'Test', 'price', 'expensive', 'service', 'ugly']")</f>
        <v>['Telkomsel', 'Speed', 'Test', 'price', 'expensive', 'service', 'ugly']</v>
      </c>
      <c r="D8264" s="3">
        <v>1.0</v>
      </c>
    </row>
    <row r="8265" ht="15.75" customHeight="1">
      <c r="A8265" s="1">
        <v>8885.0</v>
      </c>
      <c r="B8265" s="3" t="s">
        <v>7949</v>
      </c>
      <c r="C8265" s="3" t="str">
        <f>IFERROR(__xludf.DUMMYFUNCTION("GOOGLETRANSLATE(B8265,""id"",""en"")"),"['Bgus', 'bngettt', 'tlong', 'bonus', 'tmbahin', ""]")</f>
        <v>['Bgus', 'bngettt', 'tlong', 'bonus', 'tmbahin', "]</v>
      </c>
      <c r="D8265" s="3">
        <v>5.0</v>
      </c>
    </row>
    <row r="8266" ht="15.75" customHeight="1">
      <c r="A8266" s="1">
        <v>8886.0</v>
      </c>
      <c r="B8266" s="3" t="s">
        <v>7950</v>
      </c>
      <c r="C8266" s="3" t="str">
        <f>IFERROR(__xludf.DUMMYFUNCTION("GOOGLETRANSLATE(B8266,""id"",""en"")"),"['Telkomsel', 'network', 'slow', 'kayak', 'sugless', 'snail', 'stable', 'employee', 'corruptor', ""]")</f>
        <v>['Telkomsel', 'network', 'slow', 'kayak', 'sugless', 'snail', 'stable', 'employee', 'corruptor', "]</v>
      </c>
      <c r="D8266" s="3">
        <v>1.0</v>
      </c>
    </row>
    <row r="8267" ht="15.75" customHeight="1">
      <c r="A8267" s="1">
        <v>8887.0</v>
      </c>
      <c r="B8267" s="3" t="s">
        <v>7951</v>
      </c>
      <c r="C8267" s="3" t="str">
        <f>IFERROR(__xludf.DUMMYFUNCTION("GOOGLETRANSLATE(B8267,""id"",""en"")"),"['Use', 'hope', 'serves', 'Bags', '']")</f>
        <v>['Use', 'hope', 'serves', 'Bags', '']</v>
      </c>
      <c r="D8267" s="3">
        <v>4.0</v>
      </c>
    </row>
    <row r="8268" ht="15.75" customHeight="1">
      <c r="A8268" s="1">
        <v>8888.0</v>
      </c>
      <c r="B8268" s="3" t="s">
        <v>7952</v>
      </c>
      <c r="C8268" s="3" t="str">
        <f>IFERROR(__xludf.DUMMYFUNCTION("GOOGLETRANSLATE(B8268,""id"",""en"")"),"['Save', 'bother']")</f>
        <v>['Save', 'bother']</v>
      </c>
      <c r="D8268" s="3">
        <v>5.0</v>
      </c>
    </row>
    <row r="8269" ht="15.75" customHeight="1">
      <c r="A8269" s="1">
        <v>8889.0</v>
      </c>
      <c r="B8269" s="3" t="s">
        <v>7953</v>
      </c>
      <c r="C8269" s="3" t="str">
        <f>IFERROR(__xludf.DUMMYFUNCTION("GOOGLETRANSLATE(B8269,""id"",""en"")"),"['Location', 'Sya', 'stay', 'Increase', 'Success', ""]")</f>
        <v>['Location', 'Sya', 'stay', 'Increase', 'Success', "]</v>
      </c>
      <c r="D8269" s="3">
        <v>5.0</v>
      </c>
    </row>
    <row r="8270" ht="15.75" customHeight="1">
      <c r="A8270" s="1">
        <v>8890.0</v>
      </c>
      <c r="B8270" s="3" t="s">
        <v>7954</v>
      </c>
      <c r="C8270" s="3" t="str">
        <f>IFERROR(__xludf.DUMMYFUNCTION("GOOGLETRANSLATE(B8270,""id"",""en"")"),"['hope', 'best', 'hope', 'lucky', 'aamiin', '']")</f>
        <v>['hope', 'best', 'hope', 'lucky', 'aamiin', '']</v>
      </c>
      <c r="D8270" s="3">
        <v>2.0</v>
      </c>
    </row>
    <row r="8271" ht="15.75" customHeight="1">
      <c r="A8271" s="1">
        <v>8891.0</v>
      </c>
      <c r="B8271" s="3" t="s">
        <v>2898</v>
      </c>
      <c r="C8271" s="3" t="str">
        <f>IFERROR(__xludf.DUMMYFUNCTION("GOOGLETRANSLATE(B8271,""id"",""en"")"),"['good luck']")</f>
        <v>['good luck']</v>
      </c>
      <c r="D8271" s="3">
        <v>5.0</v>
      </c>
    </row>
    <row r="8272" ht="15.75" customHeight="1">
      <c r="A8272" s="1">
        <v>8892.0</v>
      </c>
      <c r="B8272" s="3" t="s">
        <v>7955</v>
      </c>
      <c r="C8272" s="3" t="str">
        <f>IFERROR(__xludf.DUMMYFUNCTION("GOOGLETRANSLATE(B8272,""id"",""en"")"),"['card', 'expensive', 'yes', 'signal', 'ilang', 'Nilagan', 'taik']")</f>
        <v>['card', 'expensive', 'yes', 'signal', 'ilang', 'Nilagan', 'taik']</v>
      </c>
      <c r="D8272" s="3">
        <v>1.0</v>
      </c>
    </row>
    <row r="8273" ht="15.75" customHeight="1">
      <c r="A8273" s="1">
        <v>8893.0</v>
      </c>
      <c r="B8273" s="3" t="s">
        <v>7956</v>
      </c>
      <c r="C8273" s="3" t="str">
        <f>IFERROR(__xludf.DUMMYFUNCTION("GOOGLETRANSLATE(B8273,""id"",""en"")"),"['byu', 'telkampret', 'asuuuuuuuuuu', 'regret', 'buy', 'packetane', 'expensive', 'slow', '']")</f>
        <v>['byu', 'telkampret', 'asuuuuuuuuuu', 'regret', 'buy', 'packetane', 'expensive', 'slow', '']</v>
      </c>
      <c r="D8273" s="3">
        <v>1.0</v>
      </c>
    </row>
    <row r="8274" ht="15.75" customHeight="1">
      <c r="A8274" s="1">
        <v>8894.0</v>
      </c>
      <c r="B8274" s="3" t="s">
        <v>7957</v>
      </c>
      <c r="C8274" s="3" t="str">
        <f>IFERROR(__xludf.DUMMYFUNCTION("GOOGLETRANSLATE(B8274,""id"",""en"")"),"['Application', 'Heavy']")</f>
        <v>['Application', 'Heavy']</v>
      </c>
      <c r="D8274" s="3">
        <v>3.0</v>
      </c>
    </row>
    <row r="8275" ht="15.75" customHeight="1">
      <c r="A8275" s="1">
        <v>8895.0</v>
      </c>
      <c r="B8275" s="3" t="s">
        <v>7958</v>
      </c>
      <c r="C8275" s="3" t="str">
        <f>IFERROR(__xludf.DUMMYFUNCTION("GOOGLETRANSLATE(B8275,""id"",""en"")"),"['Please', 'Signal', 'Region', 'Jatipadang', 'UDH', 'Full', 'Forgiveness',' UDH ',' Repair ',' Signal ',' Change ',' Review ',' use ',' Telkomsel ',' yrs', 'times',' signal ',' drmh ',' ugly ']")</f>
        <v>['Please', 'Signal', 'Region', 'Jatipadang', 'UDH', 'Full', 'Forgiveness',' UDH ',' Repair ',' Signal ',' Change ',' Review ',' use ',' Telkomsel ',' yrs', 'times',' signal ',' drmh ',' ugly ']</v>
      </c>
      <c r="D8275" s="3">
        <v>1.0</v>
      </c>
    </row>
    <row r="8276" ht="15.75" customHeight="1">
      <c r="A8276" s="1">
        <v>8896.0</v>
      </c>
      <c r="B8276" s="3" t="s">
        <v>7959</v>
      </c>
      <c r="C8276" s="3" t="str">
        <f>IFERROR(__xludf.DUMMYFUNCTION("GOOGLETRANSLATE(B8276,""id"",""en"")"),"['steady', 'cheap', 'package', 'internet', 'package', 'phone']")</f>
        <v>['steady', 'cheap', 'package', 'internet', 'package', 'phone']</v>
      </c>
      <c r="D8276" s="3">
        <v>4.0</v>
      </c>
    </row>
    <row r="8277" ht="15.75" customHeight="1">
      <c r="A8277" s="1">
        <v>8897.0</v>
      </c>
      <c r="B8277" s="3" t="s">
        <v>7960</v>
      </c>
      <c r="C8277" s="3" t="str">
        <f>IFERROR(__xludf.DUMMYFUNCTION("GOOGLETRANSLATE(B8277,""id"",""en"")"),"['interface', 'good', 'simple', 'aspect', 'function', 'suggestion', 'manyin', 'promo', 'bonus',' quota ',' login ',' daily ',' Overall ',' Great ',' Work ',' Keep ',' ']")</f>
        <v>['interface', 'good', 'simple', 'aspect', 'function', 'suggestion', 'manyin', 'promo', 'bonus',' quota ',' login ',' daily ',' Overall ',' Great ',' Work ',' Keep ',' ']</v>
      </c>
      <c r="D8277" s="3">
        <v>5.0</v>
      </c>
    </row>
    <row r="8278" ht="15.75" customHeight="1">
      <c r="A8278" s="1">
        <v>8898.0</v>
      </c>
      <c r="B8278" s="3" t="s">
        <v>7961</v>
      </c>
      <c r="C8278" s="3" t="str">
        <f>IFERROR(__xludf.DUMMYFUNCTION("GOOGLETRANSLATE(B8278,""id"",""en"")"),"['play', 'game', 'ngelag', 'signal', 'sosmed', 'smooth', '']")</f>
        <v>['play', 'game', 'ngelag', 'signal', 'sosmed', 'smooth', '']</v>
      </c>
      <c r="D8278" s="3">
        <v>1.0</v>
      </c>
    </row>
    <row r="8279" ht="15.75" customHeight="1">
      <c r="A8279" s="1">
        <v>8899.0</v>
      </c>
      <c r="B8279" s="3" t="s">
        <v>7962</v>
      </c>
      <c r="C8279" s="3" t="str">
        <f>IFERROR(__xludf.DUMMYFUNCTION("GOOGLETRANSLATE(B8279,""id"",""en"")"),"['Signal', 'Increase']")</f>
        <v>['Signal', 'Increase']</v>
      </c>
      <c r="D8279" s="3">
        <v>5.0</v>
      </c>
    </row>
    <row r="8280" ht="15.75" customHeight="1">
      <c r="A8280" s="1">
        <v>8900.0</v>
      </c>
      <c r="B8280" s="3" t="s">
        <v>7963</v>
      </c>
      <c r="C8280" s="3" t="str">
        <f>IFERROR(__xludf.DUMMYFUNCTION("GOOGLETRANSLATE(B8280,""id"",""en"")"),"['Love', 'Star', 'Fill', 'Credit', 'Credit', 'Cut', 'Buy', 'Money', ""]")</f>
        <v>['Love', 'Star', 'Fill', 'Credit', 'Credit', 'Cut', 'Buy', 'Money', "]</v>
      </c>
      <c r="D8280" s="3">
        <v>1.0</v>
      </c>
    </row>
    <row r="8281" ht="15.75" customHeight="1">
      <c r="A8281" s="1">
        <v>8901.0</v>
      </c>
      <c r="B8281" s="3" t="s">
        <v>7964</v>
      </c>
      <c r="C8281" s="3" t="str">
        <f>IFERROR(__xludf.DUMMYFUNCTION("GOOGLETRANSLATE(B8281,""id"",""en"")"),"[ 'Good', 'mantaaaaaaaaaaaaaaaaaaaaaaaaaaaaaaaaaaaaaaaaaaaaaaaaaaaaaaaaaaaaaaaaaaaaaaaaaaaaaaaaaaaaaaaaaaaaaaaaaaaassssssssaaaasaaaaaaaaaaaaaaaaaaaaaaaaaaaaaaaaaaaaaaaaaaaaaapppppppppppppppppppppppppppp']")</f>
        <v>[ 'Good', 'mantaaaaaaaaaaaaaaaaaaaaaaaaaaaaaaaaaaaaaaaaaaaaaaaaaaaaaaaaaaaaaaaaaaaaaaaaaaaaaaaaaaaaaaaaaaaaaaaaaaaassssssssaaaasaaaaaaaaaaaaaaaaaaaaaaaaaaaaaaaaaaaaaaaaaaaaaapppppppppppppppppppppppppppp']</v>
      </c>
      <c r="D8281" s="3">
        <v>5.0</v>
      </c>
    </row>
    <row r="8282" ht="15.75" customHeight="1">
      <c r="A8282" s="1">
        <v>8902.0</v>
      </c>
      <c r="B8282" s="3" t="s">
        <v>7965</v>
      </c>
      <c r="C8282" s="3" t="str">
        <f>IFERROR(__xludf.DUMMYFUNCTION("GOOGLETRANSLATE(B8282,""id"",""en"")"),"['Network', 'stable', 'satisfying']")</f>
        <v>['Network', 'stable', 'satisfying']</v>
      </c>
      <c r="D8282" s="3">
        <v>1.0</v>
      </c>
    </row>
    <row r="8283" ht="15.75" customHeight="1">
      <c r="A8283" s="1">
        <v>8903.0</v>
      </c>
      <c r="B8283" s="3" t="s">
        <v>7966</v>
      </c>
      <c r="C8283" s="3" t="str">
        <f>IFERROR(__xludf.DUMMYFUNCTION("GOOGLETRANSLATE(B8283,""id"",""en"")"),"['Strength', 'signal', 'can', 'can', 'please', 'package', 'combo', 'Sakti', 'Hold']")</f>
        <v>['Strength', 'signal', 'can', 'can', 'please', 'package', 'combo', 'Sakti', 'Hold']</v>
      </c>
      <c r="D8283" s="3">
        <v>5.0</v>
      </c>
    </row>
    <row r="8284" ht="15.75" customHeight="1">
      <c r="A8284" s="1">
        <v>8905.0</v>
      </c>
      <c r="B8284" s="3" t="s">
        <v>7967</v>
      </c>
      <c r="C8284" s="3" t="str">
        <f>IFERROR(__xludf.DUMMYFUNCTION("GOOGLETRANSLATE(B8284,""id"",""en"")"),"['price', 'expensive', 'quality', 'below', 'standard', 'signal', 'lost', 'stable', 'network', 'error', 'quality', 'qualified', ' Buy ',' Disappointed ',' Heavy ',' Mending ',' Change ',' Card ',' Ajalah ',' I ',' Delivery ', ""]")</f>
        <v>['price', 'expensive', 'quality', 'below', 'standard', 'signal', 'lost', 'stable', 'network', 'error', 'quality', 'qualified', ' Buy ',' Disappointed ',' Heavy ',' Mending ',' Change ',' Card ',' Ajalah ',' I ',' Delivery ', "]</v>
      </c>
      <c r="D8284" s="3">
        <v>1.0</v>
      </c>
    </row>
    <row r="8285" ht="15.75" customHeight="1">
      <c r="A8285" s="1">
        <v>8906.0</v>
      </c>
      <c r="B8285" s="3" t="s">
        <v>7968</v>
      </c>
      <c r="C8285" s="3" t="str">
        <f>IFERROR(__xludf.DUMMYFUNCTION("GOOGLETRANSLATE(B8285,""id"",""en"")"),"['apps', 'good']")</f>
        <v>['apps', 'good']</v>
      </c>
      <c r="D8285" s="3">
        <v>5.0</v>
      </c>
    </row>
    <row r="8286" ht="15.75" customHeight="1">
      <c r="A8286" s="1">
        <v>8907.0</v>
      </c>
      <c r="B8286" s="3" t="s">
        <v>7969</v>
      </c>
      <c r="C8286" s="3" t="str">
        <f>IFERROR(__xludf.DUMMYFUNCTION("GOOGLETRANSLATE(B8286,""id"",""en"")"),"['Please', 'Add', 'Vitur', 'Lock', 'Quota', 'Delicious',' Package ',' Low ',' Low ',' Pretty ',' Sumpot ',' Package ',' Stay ',' GB ',' Stay ',' Out ',' Download ',' Film ',' Eee ',' Palak ',' Quota ',' Help ',' Please ',' Add ',' Feature ' , 'Lock', 'quo"&amp;"ta', 'sumps', 'quota', 'GB', 'set', 'quota', 'hopefully', 'fulfilled']")</f>
        <v>['Please', 'Add', 'Vitur', 'Lock', 'Quota', 'Delicious',' Package ',' Low ',' Low ',' Pretty ',' Sumpot ',' Package ',' Stay ',' GB ',' Stay ',' Out ',' Download ',' Film ',' Eee ',' Palak ',' Quota ',' Help ',' Please ',' Add ',' Feature ' , 'Lock', 'quota', 'sumps', 'quota', 'GB', 'set', 'quota', 'hopefully', 'fulfilled']</v>
      </c>
      <c r="D8286" s="3">
        <v>4.0</v>
      </c>
    </row>
    <row r="8287" ht="15.75" customHeight="1">
      <c r="A8287" s="1">
        <v>8908.0</v>
      </c>
      <c r="B8287" s="3" t="s">
        <v>7970</v>
      </c>
      <c r="C8287" s="3" t="str">
        <f>IFERROR(__xludf.DUMMYFUNCTION("GOOGLETRANSLATE(B8287,""id"",""en"")"),"['login']")</f>
        <v>['login']</v>
      </c>
      <c r="D8287" s="3">
        <v>1.0</v>
      </c>
    </row>
    <row r="8288" ht="15.75" customHeight="1">
      <c r="A8288" s="1">
        <v>8909.0</v>
      </c>
      <c r="B8288" s="3" t="s">
        <v>7971</v>
      </c>
      <c r="C8288" s="3" t="str">
        <f>IFERROR(__xludf.DUMMYFUNCTION("GOOGLETRANSLATE(B8288,""id"",""en"")"),"['Cool', 'simple']")</f>
        <v>['Cool', 'simple']</v>
      </c>
      <c r="D8288" s="3">
        <v>5.0</v>
      </c>
    </row>
    <row r="8289" ht="15.75" customHeight="1">
      <c r="A8289" s="1">
        <v>8910.0</v>
      </c>
      <c r="B8289" s="3" t="s">
        <v>7972</v>
      </c>
      <c r="C8289" s="3" t="str">
        <f>IFERROR(__xludf.DUMMYFUNCTION("GOOGLETRANSLATE(B8289,""id"",""en"")"),"['chaotic', 'buy', 'package', 'quota', 'application', 'pulse', 'buy', 'package', 'quota', 'kemnag', 'open', 'application', ' opening ',' Try ',' reset ',' package ',' success', 'bought', 'credit', 'reduced', 'nontiftion', 'usage', 'non', 'package', 'has' "&amp;", 'GB', 'quota', 'Ministry of Religion', 'Terzolimi', ""]")</f>
        <v>['chaotic', 'buy', 'package', 'quota', 'application', 'pulse', 'buy', 'package', 'quota', 'kemnag', 'open', 'application', ' opening ',' Try ',' reset ',' package ',' success', 'bought', 'credit', 'reduced', 'nontiftion', 'usage', 'non', 'package', 'has' , 'GB', 'quota', 'Ministry of Religion', 'Terzolimi', "]</v>
      </c>
      <c r="D8289" s="3">
        <v>1.0</v>
      </c>
    </row>
    <row r="8290" ht="15.75" customHeight="1">
      <c r="A8290" s="1">
        <v>8911.0</v>
      </c>
      <c r="B8290" s="3" t="s">
        <v>7973</v>
      </c>
      <c r="C8290" s="3" t="str">
        <f>IFERROR(__xludf.DUMMYFUNCTION("GOOGLETRANSLATE(B8290,""id"",""en"")"),"['Lumbayan', 'help']")</f>
        <v>['Lumbayan', 'help']</v>
      </c>
      <c r="D8290" s="3">
        <v>4.0</v>
      </c>
    </row>
    <row r="8291" ht="15.75" customHeight="1">
      <c r="A8291" s="1">
        <v>8912.0</v>
      </c>
      <c r="B8291" s="3" t="s">
        <v>7974</v>
      </c>
      <c r="C8291" s="3" t="str">
        <f>IFERROR(__xludf.DUMMYFUNCTION("GOOGLETRANSLATE(B8291,""id"",""en"")"),"['Good', 'practical']")</f>
        <v>['Good', 'practical']</v>
      </c>
      <c r="D8291" s="3">
        <v>4.0</v>
      </c>
    </row>
    <row r="8292" ht="15.75" customHeight="1">
      <c r="A8292" s="1">
        <v>8913.0</v>
      </c>
      <c r="B8292" s="3" t="s">
        <v>7975</v>
      </c>
      <c r="C8292" s="3" t="str">
        <f>IFERROR(__xludf.DUMMYFUNCTION("GOOGLETRANSLATE(B8292,""id"",""en"")"),"['Steady', 'really', 'Telkomsel', 'hope', 'Jaya', '']")</f>
        <v>['Steady', 'really', 'Telkomsel', 'hope', 'Jaya', '']</v>
      </c>
      <c r="D8292" s="3">
        <v>5.0</v>
      </c>
    </row>
    <row r="8293" ht="15.75" customHeight="1">
      <c r="A8293" s="1">
        <v>8914.0</v>
      </c>
      <c r="B8293" s="3" t="s">
        <v>7976</v>
      </c>
      <c r="C8293" s="3" t="str">
        <f>IFERROR(__xludf.DUMMYFUNCTION("GOOGLETRANSLATE(B8293,""id"",""en"")"),"['Please', 'fix', 'network', 'in the area', 'buy', 'package', 'signal', 'Kalopun', 'Loading', 'slow']")</f>
        <v>['Please', 'fix', 'network', 'in the area', 'buy', 'package', 'signal', 'Kalopun', 'Loading', 'slow']</v>
      </c>
      <c r="D8293" s="3">
        <v>1.0</v>
      </c>
    </row>
    <row r="8294" ht="15.75" customHeight="1">
      <c r="A8294" s="1">
        <v>8915.0</v>
      </c>
      <c r="B8294" s="3" t="s">
        <v>7977</v>
      </c>
      <c r="C8294" s="3" t="str">
        <f>IFERROR(__xludf.DUMMYFUNCTION("GOOGLETRANSLATE(B8294,""id"",""en"")"),"['Season', 'Telkomsel', 'difficult', 'signal', 'UDH', 'price', 'exorbitant', 'TPI', 'Quality', 'Different', 'price', 'LBH', ' inexpensive']")</f>
        <v>['Season', 'Telkomsel', 'difficult', 'signal', 'UDH', 'price', 'exorbitant', 'TPI', 'Quality', 'Different', 'price', 'LBH', ' inexpensive']</v>
      </c>
      <c r="D8294" s="3">
        <v>1.0</v>
      </c>
    </row>
    <row r="8295" ht="15.75" customHeight="1">
      <c r="A8295" s="1">
        <v>8916.0</v>
      </c>
      <c r="B8295" s="3" t="s">
        <v>7978</v>
      </c>
      <c r="C8295" s="3" t="str">
        <f>IFERROR(__xludf.DUMMYFUNCTION("GOOGLETRANSLATE(B8295,""id"",""en"")"),"['Steady', 'Ribet']")</f>
        <v>['Steady', 'Ribet']</v>
      </c>
      <c r="D8295" s="3">
        <v>5.0</v>
      </c>
    </row>
    <row r="8296" ht="15.75" customHeight="1">
      <c r="A8296" s="1">
        <v>8917.0</v>
      </c>
      <c r="B8296" s="3" t="s">
        <v>7979</v>
      </c>
      <c r="C8296" s="3" t="str">
        <f>IFERROR(__xludf.DUMMYFUNCTION("GOOGLETRANSLATE(B8296,""id"",""en"")"),"['Steady', 'help', ""]")</f>
        <v>['Steady', 'help', "]</v>
      </c>
      <c r="D8296" s="3">
        <v>5.0</v>
      </c>
    </row>
    <row r="8297" ht="15.75" customHeight="1">
      <c r="A8297" s="1">
        <v>8918.0</v>
      </c>
      <c r="B8297" s="3" t="s">
        <v>5240</v>
      </c>
      <c r="C8297" s="3" t="str">
        <f>IFERROR(__xludf.DUMMYFUNCTION("GOOGLETRANSLATE(B8297,""id"",""en"")"),"['try']")</f>
        <v>['try']</v>
      </c>
      <c r="D8297" s="3">
        <v>3.0</v>
      </c>
    </row>
    <row r="8298" ht="15.75" customHeight="1">
      <c r="A8298" s="1">
        <v>8919.0</v>
      </c>
      <c r="B8298" s="3" t="s">
        <v>7980</v>
      </c>
      <c r="C8298" s="3" t="str">
        <f>IFERROR(__xludf.DUMMYFUNCTION("GOOGLETRANSLATE(B8298,""id"",""en"")"),"['pulses', 'Target', 'package', 'Datany', 'enter', 'how', 'please', 'Telkomsel']")</f>
        <v>['pulses', 'Target', 'package', 'Datany', 'enter', 'how', 'please', 'Telkomsel']</v>
      </c>
      <c r="D8298" s="3">
        <v>1.0</v>
      </c>
    </row>
    <row r="8299" ht="15.75" customHeight="1">
      <c r="A8299" s="1">
        <v>8920.0</v>
      </c>
      <c r="B8299" s="3" t="s">
        <v>7981</v>
      </c>
      <c r="C8299" s="3" t="str">
        <f>IFERROR(__xludf.DUMMYFUNCTION("GOOGLETRANSLATE(B8299,""id"",""en"")"),"['Link', 'Link', 'enter', 'send', 'sent', 'expired']")</f>
        <v>['Link', 'Link', 'enter', 'send', 'sent', 'expired']</v>
      </c>
      <c r="D8299" s="3">
        <v>3.0</v>
      </c>
    </row>
    <row r="8300" ht="15.75" customHeight="1">
      <c r="A8300" s="1">
        <v>8921.0</v>
      </c>
      <c r="B8300" s="3" t="s">
        <v>7982</v>
      </c>
      <c r="C8300" s="3" t="str">
        <f>IFERROR(__xludf.DUMMYFUNCTION("GOOGLETRANSLATE(B8300,""id"",""en"")"),"['easy', 'check', 'quota', 'credit', 'bonus', 'click', 'step', 'just', 'check', 'pulse', 'package', '']")</f>
        <v>['easy', 'check', 'quota', 'credit', 'bonus', 'click', 'step', 'just', 'check', 'pulse', 'package', '']</v>
      </c>
      <c r="D8300" s="3">
        <v>5.0</v>
      </c>
    </row>
    <row r="8301" ht="15.75" customHeight="1">
      <c r="A8301" s="1">
        <v>8922.0</v>
      </c>
      <c r="B8301" s="3" t="s">
        <v>7983</v>
      </c>
      <c r="C8301" s="3" t="str">
        <f>IFERROR(__xludf.DUMMYFUNCTION("GOOGLETRANSLATE(B8301,""id"",""en"")"),"['Not bad', 'help', 'lazy', 'buy', 'package', 'internet', 'stay', 'pressure', 'minus',' multiply ',' diverse ',' choice ',' Quota ',' bought ',' ']")</f>
        <v>['Not bad', 'help', 'lazy', 'buy', 'package', 'internet', 'stay', 'pressure', 'minus',' multiply ',' diverse ',' choice ',' Quota ',' bought ',' ']</v>
      </c>
      <c r="D8301" s="3">
        <v>5.0</v>
      </c>
    </row>
    <row r="8302" ht="15.75" customHeight="1">
      <c r="A8302" s="1">
        <v>8923.0</v>
      </c>
      <c r="B8302" s="3" t="s">
        <v>7984</v>
      </c>
      <c r="C8302" s="3" t="str">
        <f>IFERROR(__xludf.DUMMYFUNCTION("GOOGLETRANSLATE(B8302,""id"",""en"")"),"['signal', 'ugly', 'price', 'quota', 'expensive', 'thank you', 'Telkomsel', 'replace', 'card', 'package', 'cheap', 'signal', ' Strong ',' Kayak ',' Telkomsel ',' Kayak ',' Taik ',' Cat ']")</f>
        <v>['signal', 'ugly', 'price', 'quota', 'expensive', 'thank you', 'Telkomsel', 'replace', 'card', 'package', 'cheap', 'signal', ' Strong ',' Kayak ',' Telkomsel ',' Kayak ',' Taik ',' Cat ']</v>
      </c>
      <c r="D8302" s="3">
        <v>1.0</v>
      </c>
    </row>
    <row r="8303" ht="15.75" customHeight="1">
      <c r="A8303" s="1">
        <v>8924.0</v>
      </c>
      <c r="B8303" s="3" t="s">
        <v>7985</v>
      </c>
      <c r="C8303" s="3" t="str">
        <f>IFERROR(__xludf.DUMMYFUNCTION("GOOGLETRANSLATE(B8303,""id"",""en"")"),"['signal', 'missing', 'package', 'expensive', 'emotion', '']")</f>
        <v>['signal', 'missing', 'package', 'expensive', 'emotion', '']</v>
      </c>
      <c r="D8303" s="3">
        <v>1.0</v>
      </c>
    </row>
    <row r="8304" ht="15.75" customHeight="1">
      <c r="A8304" s="1">
        <v>8925.0</v>
      </c>
      <c r="B8304" s="3" t="s">
        <v>7986</v>
      </c>
      <c r="C8304" s="3" t="str">
        <f>IFERROR(__xludf.DUMMYFUNCTION("GOOGLETRANSLATE(B8304,""id"",""en"")"),"['Missing', 'buy', 'package', 'data', 'good', 'job']")</f>
        <v>['Missing', 'buy', 'package', 'data', 'good', 'job']</v>
      </c>
      <c r="D8304" s="3">
        <v>5.0</v>
      </c>
    </row>
    <row r="8305" ht="15.75" customHeight="1">
      <c r="A8305" s="1">
        <v>8926.0</v>
      </c>
      <c r="B8305" s="3" t="s">
        <v>7987</v>
      </c>
      <c r="C8305" s="3" t="str">
        <f>IFERROR(__xludf.DUMMYFUNCTION("GOOGLETRANSLATE(B8305,""id"",""en"")"),"['Internet', 'Advanced', 'Access', 'Thanks', '']")</f>
        <v>['Internet', 'Advanced', 'Access', 'Thanks', '']</v>
      </c>
      <c r="D8305" s="3">
        <v>1.0</v>
      </c>
    </row>
    <row r="8306" ht="15.75" customHeight="1">
      <c r="A8306" s="1">
        <v>8927.0</v>
      </c>
      <c r="B8306" s="3" t="s">
        <v>7988</v>
      </c>
      <c r="C8306" s="3" t="str">
        <f>IFERROR(__xludf.DUMMYFUNCTION("GOOGLETRANSLATE(B8306,""id"",""en"")"),"['Please', 'repaired', 'signal', 'network', 'repairs', 'speed', 'access', 'internet']")</f>
        <v>['Please', 'repaired', 'signal', 'network', 'repairs', 'speed', 'access', 'internet']</v>
      </c>
      <c r="D8306" s="3">
        <v>3.0</v>
      </c>
    </row>
    <row r="8307" ht="15.75" customHeight="1">
      <c r="A8307" s="1">
        <v>8928.0</v>
      </c>
      <c r="B8307" s="3" t="s">
        <v>7989</v>
      </c>
      <c r="C8307" s="3" t="str">
        <f>IFERROR(__xludf.DUMMYFUNCTION("GOOGLETRANSLATE(B8307,""id"",""en"")"),"['Get', 'car', 'dream', '']")</f>
        <v>['Get', 'car', 'dream', '']</v>
      </c>
      <c r="D8307" s="3">
        <v>5.0</v>
      </c>
    </row>
    <row r="8308" ht="15.75" customHeight="1">
      <c r="A8308" s="1">
        <v>8929.0</v>
      </c>
      <c r="B8308" s="3" t="s">
        <v>7990</v>
      </c>
      <c r="C8308" s="3" t="str">
        <f>IFERROR(__xludf.DUMMYFUNCTION("GOOGLETRANSLATE(B8308,""id"",""en"")"),"['', 'restore', 'quota', 'emergency', 'contents',' reset ',' pulse ',' cut ',' pulse ',' quota ',' emergency ',' times', 'times ',' Telkomsel ',' jerk ',' ']")</f>
        <v>['', 'restore', 'quota', 'emergency', 'contents',' reset ',' pulse ',' cut ',' pulse ',' quota ',' emergency ',' times', 'times ',' Telkomsel ',' jerk ',' ']</v>
      </c>
      <c r="D8308" s="3">
        <v>1.0</v>
      </c>
    </row>
    <row r="8309" ht="15.75" customHeight="1">
      <c r="A8309" s="1">
        <v>8930.0</v>
      </c>
      <c r="B8309" s="3" t="s">
        <v>7991</v>
      </c>
      <c r="C8309" s="3" t="str">
        <f>IFERROR(__xludf.DUMMYFUNCTION("GOOGLETRANSLATE(B8309,""id"",""en"")"),"['Package', 'relative', 'expensive']")</f>
        <v>['Package', 'relative', 'expensive']</v>
      </c>
      <c r="D8309" s="3">
        <v>3.0</v>
      </c>
    </row>
    <row r="8310" ht="15.75" customHeight="1">
      <c r="A8310" s="1">
        <v>8931.0</v>
      </c>
      <c r="B8310" s="3" t="s">
        <v>7992</v>
      </c>
      <c r="C8310" s="3" t="str">
        <f>IFERROR(__xludf.DUMMYFUNCTION("GOOGLETRANSLATE(B8310,""id"",""en"")"),"['Can't', 'installed', 'Android', 'lol']")</f>
        <v>['Can't', 'installed', 'Android', 'lol']</v>
      </c>
      <c r="D8310" s="3">
        <v>1.0</v>
      </c>
    </row>
    <row r="8311" ht="15.75" customHeight="1">
      <c r="A8311" s="1">
        <v>8932.0</v>
      </c>
      <c r="B8311" s="3" t="s">
        <v>7993</v>
      </c>
      <c r="C8311" s="3" t="str">
        <f>IFERROR(__xludf.DUMMYFUNCTION("GOOGLETRANSLATE(B8311,""id"",""en"")"),"['Help', 'trimakasih', 'Telkomsel']")</f>
        <v>['Help', 'trimakasih', 'Telkomsel']</v>
      </c>
      <c r="D8311" s="3">
        <v>5.0</v>
      </c>
    </row>
    <row r="8312" ht="15.75" customHeight="1">
      <c r="A8312" s="1">
        <v>8934.0</v>
      </c>
      <c r="B8312" s="3" t="s">
        <v>7994</v>
      </c>
      <c r="C8312" s="3" t="str">
        <f>IFERROR(__xludf.DUMMYFUNCTION("GOOGLETRANSLATE(B8312,""id"",""en"")"),"['Use', 'Application', 'MyTelkomsel', 'Help']")</f>
        <v>['Use', 'Application', 'MyTelkomsel', 'Help']</v>
      </c>
      <c r="D8312" s="3">
        <v>5.0</v>
      </c>
    </row>
    <row r="8313" ht="15.75" customHeight="1">
      <c r="A8313" s="1">
        <v>8935.0</v>
      </c>
      <c r="B8313" s="3" t="s">
        <v>7995</v>
      </c>
      <c r="C8313" s="3" t="str">
        <f>IFERROR(__xludf.DUMMYFUNCTION("GOOGLETRANSLATE(B8313,""id"",""en"")"),"['Missing', 'users', 'Telcoms', '']")</f>
        <v>['Missing', 'users', 'Telcoms', '']</v>
      </c>
      <c r="D8313" s="3">
        <v>5.0</v>
      </c>
    </row>
    <row r="8314" ht="15.75" customHeight="1">
      <c r="A8314" s="1">
        <v>8936.0</v>
      </c>
      <c r="B8314" s="3" t="s">
        <v>7996</v>
      </c>
      <c r="C8314" s="3" t="str">
        <f>IFERROR(__xludf.DUMMYFUNCTION("GOOGLETRANSLATE(B8314,""id"",""en"")"),"['Speed ​​up', 'communication']")</f>
        <v>['Speed ​​up', 'communication']</v>
      </c>
      <c r="D8314" s="3">
        <v>4.0</v>
      </c>
    </row>
    <row r="8315" ht="15.75" customHeight="1">
      <c r="A8315" s="1">
        <v>8937.0</v>
      </c>
      <c r="B8315" s="3" t="s">
        <v>7997</v>
      </c>
      <c r="C8315" s="3" t="str">
        <f>IFERROR(__xludf.DUMMYFUNCTION("GOOGLETRANSLATE(B8315,""id"",""en"")"),"['Good', 'APK', 'like', 'apk', 'suggestion', 'price', 'package', 'dumped', 'yes',' package ',' call ',' mah ',' a month ',' cheap ',' yes', 'okay']")</f>
        <v>['Good', 'APK', 'like', 'apk', 'suggestion', 'price', 'package', 'dumped', 'yes',' package ',' call ',' mah ',' a month ',' cheap ',' yes', 'okay']</v>
      </c>
      <c r="D8315" s="3">
        <v>5.0</v>
      </c>
    </row>
    <row r="8316" ht="15.75" customHeight="1">
      <c r="A8316" s="1">
        <v>8939.0</v>
      </c>
      <c r="B8316" s="3" t="s">
        <v>7998</v>
      </c>
      <c r="C8316" s="3" t="str">
        <f>IFERROR(__xludf.DUMMYFUNCTION("GOOGLETRANSLATE(B8316,""id"",""en"")"),"['What', 'already', 'buy', 'package', 'already', 'succeed', 'tbtb', 'plsa', 'finished', 'trnyta', 'package', 'ngk', ' How ',' Sihhh ',' plsa ',' run out ', ""]")</f>
        <v>['What', 'already', 'buy', 'package', 'already', 'succeed', 'tbtb', 'plsa', 'finished', 'trnyta', 'package', 'ngk', ' How ',' Sihhh ',' plsa ',' run out ', "]</v>
      </c>
      <c r="D8316" s="3">
        <v>1.0</v>
      </c>
    </row>
    <row r="8317" ht="15.75" customHeight="1">
      <c r="A8317" s="1">
        <v>8940.0</v>
      </c>
      <c r="B8317" s="3" t="s">
        <v>7999</v>
      </c>
      <c r="C8317" s="3" t="str">
        <f>IFERROR(__xludf.DUMMYFUNCTION("GOOGLETRANSLATE(B8317,""id"",""en"")"),"['Steady', 'loyal', 'Telkomsel']")</f>
        <v>['Steady', 'loyal', 'Telkomsel']</v>
      </c>
      <c r="D8317" s="3">
        <v>5.0</v>
      </c>
    </row>
    <row r="8318" ht="15.75" customHeight="1">
      <c r="A8318" s="1">
        <v>8941.0</v>
      </c>
      <c r="B8318" s="3" t="s">
        <v>8000</v>
      </c>
      <c r="C8318" s="3" t="str">
        <f>IFERROR(__xludf.DUMMYFUNCTION("GOOGLETRANSLATE(B8318,""id"",""en"")"),"['It's easy', 'promo', 'package', '']")</f>
        <v>['It's easy', 'promo', 'package', '']</v>
      </c>
      <c r="D8318" s="3">
        <v>5.0</v>
      </c>
    </row>
    <row r="8319" ht="15.75" customHeight="1">
      <c r="A8319" s="1">
        <v>8942.0</v>
      </c>
      <c r="B8319" s="3" t="s">
        <v>8001</v>
      </c>
      <c r="C8319" s="3" t="str">
        <f>IFERROR(__xludf.DUMMYFUNCTION("GOOGLETRANSLATE(B8319,""id"",""en"")"),"['Application', 'Good', 'Please', 'Addin', 'Feature', 'Key', 'Credit', 'Pas',' Quota ',' Out ',' Credit ',' Santeot ',' thanks']")</f>
        <v>['Application', 'Good', 'Please', 'Addin', 'Feature', 'Key', 'Credit', 'Pas',' Quota ',' Out ',' Credit ',' Santeot ',' thanks']</v>
      </c>
      <c r="D8319" s="3">
        <v>5.0</v>
      </c>
    </row>
    <row r="8320" ht="15.75" customHeight="1">
      <c r="A8320" s="1">
        <v>8943.0</v>
      </c>
      <c r="B8320" s="3" t="s">
        <v>8002</v>
      </c>
      <c r="C8320" s="3" t="str">
        <f>IFERROR(__xludf.DUMMYFUNCTION("GOOGLETRANSLATE(B8320,""id"",""en"")"),"['Disappointed', 'Points', 'On', 'Use', 'Products', 'Telkomsel', 'Bintang', 'MyTelkomsel', '']")</f>
        <v>['Disappointed', 'Points', 'On', 'Use', 'Products', 'Telkomsel', 'Bintang', 'MyTelkomsel', '']</v>
      </c>
      <c r="D8320" s="3">
        <v>1.0</v>
      </c>
    </row>
    <row r="8321" ht="15.75" customHeight="1">
      <c r="A8321" s="1">
        <v>8944.0</v>
      </c>
      <c r="B8321" s="3" t="s">
        <v>8003</v>
      </c>
      <c r="C8321" s="3" t="str">
        <f>IFERROR(__xludf.DUMMYFUNCTION("GOOGLETRANSLATE(B8321,""id"",""en"")"),"['Severe', 'Better', 'Disband', 'Telkomsel', 'Main', 'Game', 'Ngak', 'Disappointing', 'Forced', 'Change', 'Card', 'Telkomsel', ' Bubarrrrr ',' ']")</f>
        <v>['Severe', 'Better', 'Disband', 'Telkomsel', 'Main', 'Game', 'Ngak', 'Disappointing', 'Forced', 'Change', 'Card', 'Telkomsel', ' Bubarrrrr ',' ']</v>
      </c>
      <c r="D8321" s="3">
        <v>1.0</v>
      </c>
    </row>
    <row r="8322" ht="15.75" customHeight="1">
      <c r="A8322" s="1">
        <v>8945.0</v>
      </c>
      <c r="B8322" s="3" t="s">
        <v>8004</v>
      </c>
      <c r="C8322" s="3" t="str">
        <f>IFERROR(__xludf.DUMMYFUNCTION("GOOGLETRANSLATE(B8322,""id"",""en"")"),"['Confirmation', 'number', 'difficult', 'use it', 'bgus', 'and always', 'apdet', 'full', 'ram']")</f>
        <v>['Confirmation', 'number', 'difficult', 'use it', 'bgus', 'and always', 'apdet', 'full', 'ram']</v>
      </c>
      <c r="D8322" s="3">
        <v>1.0</v>
      </c>
    </row>
    <row r="8323" ht="15.75" customHeight="1">
      <c r="A8323" s="1">
        <v>8946.0</v>
      </c>
      <c r="B8323" s="3" t="s">
        <v>8005</v>
      </c>
      <c r="C8323" s="3" t="str">
        <f>IFERROR(__xludf.DUMMYFUNCTION("GOOGLETRANSLATE(B8323,""id"",""en"")"),"['Install', 'Telkomsel', 'Purchase', 'use', 'Fund', 'Persulit', 'Wait', 'work', 'pokonya', 'use', 'Telkomsel', 'idiot']")</f>
        <v>['Install', 'Telkomsel', 'Purchase', 'use', 'Fund', 'Persulit', 'Wait', 'work', 'pokonya', 'use', 'Telkomsel', 'idiot']</v>
      </c>
      <c r="D8323" s="3">
        <v>1.0</v>
      </c>
    </row>
    <row r="8324" ht="15.75" customHeight="1">
      <c r="A8324" s="1">
        <v>8947.0</v>
      </c>
      <c r="B8324" s="3" t="s">
        <v>8006</v>
      </c>
      <c r="C8324" s="3" t="str">
        <f>IFERROR(__xludf.DUMMYFUNCTION("GOOGLETRANSLATE(B8324,""id"",""en"")"),"['It's easy', 'transaction', 'purchase', 'pulse', 'quota', 'choice', 'method', 'payment']")</f>
        <v>['It's easy', 'transaction', 'purchase', 'pulse', 'quota', 'choice', 'method', 'payment']</v>
      </c>
      <c r="D8324" s="3">
        <v>5.0</v>
      </c>
    </row>
    <row r="8325" ht="15.75" customHeight="1">
      <c r="A8325" s="1">
        <v>8949.0</v>
      </c>
      <c r="B8325" s="3" t="s">
        <v>8007</v>
      </c>
      <c r="C8325" s="3" t="str">
        <f>IFERROR(__xludf.DUMMYFUNCTION("GOOGLETRANSLATE(B8325,""id"",""en"")"),"['application', 'help', 'makes it easy', 'user', 'buy', 'pulse', 'quota']")</f>
        <v>['application', 'help', 'makes it easy', 'user', 'buy', 'pulse', 'quota']</v>
      </c>
      <c r="D8325" s="3">
        <v>5.0</v>
      </c>
    </row>
    <row r="8326" ht="15.75" customHeight="1">
      <c r="A8326" s="1">
        <v>8950.0</v>
      </c>
      <c r="B8326" s="3" t="s">
        <v>1790</v>
      </c>
      <c r="C8326" s="3" t="str">
        <f>IFERROR(__xludf.DUMMYFUNCTION("GOOGLETRANSLATE(B8326,""id"",""en"")"),"['Lemot', 'expensive']")</f>
        <v>['Lemot', 'expensive']</v>
      </c>
      <c r="D8326" s="3">
        <v>1.0</v>
      </c>
    </row>
    <row r="8327" ht="15.75" customHeight="1">
      <c r="A8327" s="1">
        <v>8951.0</v>
      </c>
      <c r="B8327" s="3" t="s">
        <v>8008</v>
      </c>
      <c r="C8327" s="3" t="str">
        <f>IFERROR(__xludf.DUMMYFUNCTION("GOOGLETRANSLATE(B8327,""id"",""en"")"),"['Steady', 'Service']")</f>
        <v>['Steady', 'Service']</v>
      </c>
      <c r="D8327" s="3">
        <v>5.0</v>
      </c>
    </row>
    <row r="8328" ht="15.75" customHeight="1">
      <c r="A8328" s="1">
        <v>8952.0</v>
      </c>
      <c r="B8328" s="3" t="s">
        <v>8009</v>
      </c>
      <c r="C8328" s="3" t="str">
        <f>IFERROR(__xludf.DUMMYFUNCTION("GOOGLETRANSLATE(B8328,""id"",""en"")"),"['Telkomsel', 'trusted', 'best']")</f>
        <v>['Telkomsel', 'trusted', 'best']</v>
      </c>
      <c r="D8328" s="3">
        <v>5.0</v>
      </c>
    </row>
    <row r="8329" ht="15.75" customHeight="1">
      <c r="A8329" s="1">
        <v>8953.0</v>
      </c>
      <c r="B8329" s="3" t="s">
        <v>8010</v>
      </c>
      <c r="C8329" s="3" t="str">
        <f>IFERROR(__xludf.DUMMYFUNCTION("GOOGLETRANSLATE(B8329,""id"",""en"")"),"['Steady', 'package', 'promo']")</f>
        <v>['Steady', 'package', 'promo']</v>
      </c>
      <c r="D8329" s="3">
        <v>3.0</v>
      </c>
    </row>
    <row r="8330" ht="15.75" customHeight="1">
      <c r="A8330" s="1">
        <v>8954.0</v>
      </c>
      <c r="B8330" s="3" t="s">
        <v>8011</v>
      </c>
      <c r="C8330" s="3" t="str">
        <f>IFERROR(__xludf.DUMMYFUNCTION("GOOGLETRANSLATE(B8330,""id"",""en"")"),"['Good', 'dear', 'signal', 'good', 'contents', 'pulses', 'like']")</f>
        <v>['Good', 'dear', 'signal', 'good', 'contents', 'pulses', 'like']</v>
      </c>
      <c r="D8330" s="3">
        <v>5.0</v>
      </c>
    </row>
    <row r="8331" ht="15.75" customHeight="1">
      <c r="A8331" s="1">
        <v>8955.0</v>
      </c>
      <c r="B8331" s="3" t="s">
        <v>8012</v>
      </c>
      <c r="C8331" s="3" t="str">
        <f>IFERROR(__xludf.DUMMYFUNCTION("GOOGLETRANSLATE(B8331,""id"",""en"")"),"['Yaa', 'KOQ', 'Bulum', 'Open', 'Application', 'MyTelkomsel', 'Delicious', ""]")</f>
        <v>['Yaa', 'KOQ', 'Bulum', 'Open', 'Application', 'MyTelkomsel', 'Delicious', "]</v>
      </c>
      <c r="D8331" s="3">
        <v>5.0</v>
      </c>
    </row>
    <row r="8332" ht="15.75" customHeight="1">
      <c r="A8332" s="1">
        <v>8956.0</v>
      </c>
      <c r="B8332" s="3" t="s">
        <v>8013</v>
      </c>
      <c r="C8332" s="3" t="str">
        <f>IFERROR(__xludf.DUMMYFUNCTION("GOOGLETRANSLATE(B8332,""id"",""en"")"),"['Contents', 'package', 'fast']")</f>
        <v>['Contents', 'package', 'fast']</v>
      </c>
      <c r="D8332" s="3">
        <v>5.0</v>
      </c>
    </row>
    <row r="8333" ht="15.75" customHeight="1">
      <c r="A8333" s="1">
        <v>8957.0</v>
      </c>
      <c r="B8333" s="3" t="s">
        <v>8014</v>
      </c>
      <c r="C8333" s="3" t="str">
        <f>IFERROR(__xludf.DUMMYFUNCTION("GOOGLETRANSLATE(B8333,""id"",""en"")"),"['', 'Telkom', 'contents',' reset ',' voucher ',' package ',' already ',' wait ',' mai ',' contents', 'package', 'sorry', 'system ',' Sedanh ',' Busy ',' Please ',' Try ']")</f>
        <v>['', 'Telkom', 'contents',' reset ',' voucher ',' package ',' already ',' wait ',' mai ',' contents', 'package', 'sorry', 'system ',' Sedanh ',' Busy ',' Please ',' Try ']</v>
      </c>
      <c r="D8333" s="3">
        <v>1.0</v>
      </c>
    </row>
    <row r="8334" ht="15.75" customHeight="1">
      <c r="A8334" s="1">
        <v>8959.0</v>
      </c>
      <c r="B8334" s="3" t="s">
        <v>8015</v>
      </c>
      <c r="C8334" s="3" t="str">
        <f>IFERROR(__xludf.DUMMYFUNCTION("GOOGLETRANSLATE(B8334,""id"",""en"")"),"['Buy', 'Package', 'Responsive']")</f>
        <v>['Buy', 'Package', 'Responsive']</v>
      </c>
      <c r="D8334" s="3">
        <v>2.0</v>
      </c>
    </row>
    <row r="8335" ht="15.75" customHeight="1">
      <c r="A8335" s="1">
        <v>8960.0</v>
      </c>
      <c r="B8335" s="3" t="s">
        <v>8016</v>
      </c>
      <c r="C8335" s="3" t="str">
        <f>IFERROR(__xludf.DUMMYFUNCTION("GOOGLETRANSLATE(B8335,""id"",""en"")"),"['MyTelkomsel', 'knp', 'buy', 'package', 'enter', 'money', '']")</f>
        <v>['MyTelkomsel', 'knp', 'buy', 'package', 'enter', 'money', '']</v>
      </c>
      <c r="D8335" s="3">
        <v>1.0</v>
      </c>
    </row>
    <row r="8336" ht="15.75" customHeight="1">
      <c r="A8336" s="1">
        <v>8961.0</v>
      </c>
      <c r="B8336" s="3" t="s">
        <v>8017</v>
      </c>
      <c r="C8336" s="3" t="str">
        <f>IFERROR(__xludf.DUMMYFUNCTION("GOOGLETRANSLATE(B8336,""id"",""en"")"),"['wooooiiiii', 'application', 'error', 'at the time', 'Genting', '']")</f>
        <v>['wooooiiiii', 'application', 'error', 'at the time', 'Genting', '']</v>
      </c>
      <c r="D8336" s="3">
        <v>5.0</v>
      </c>
    </row>
    <row r="8337" ht="15.75" customHeight="1">
      <c r="A8337" s="1">
        <v>8962.0</v>
      </c>
      <c r="B8337" s="3" t="s">
        <v>8018</v>
      </c>
      <c r="C8337" s="3" t="str">
        <f>IFERROR(__xludf.DUMMYFUNCTION("GOOGLETRANSLATE(B8337,""id"",""en"")"),"['Clay', 'comment', 'star', 'already', 'determines', 'quality', 'service', ""]")</f>
        <v>['Clay', 'comment', 'star', 'already', 'determines', 'quality', 'service', "]</v>
      </c>
      <c r="D8337" s="3">
        <v>5.0</v>
      </c>
    </row>
    <row r="8338" ht="15.75" customHeight="1">
      <c r="A8338" s="1">
        <v>8963.0</v>
      </c>
      <c r="B8338" s="3" t="s">
        <v>8019</v>
      </c>
      <c r="C8338" s="3" t="str">
        <f>IFERROR(__xludf.DUMMYFUNCTION("GOOGLETRANSLATE(B8338,""id"",""en"")"),"['Package', 'Telkomsel', 'expensive', 'signal', 'slow', 'als', 'disorder']")</f>
        <v>['Package', 'Telkomsel', 'expensive', 'signal', 'slow', 'als', 'disorder']</v>
      </c>
      <c r="D8338" s="3">
        <v>2.0</v>
      </c>
    </row>
    <row r="8339" ht="15.75" customHeight="1">
      <c r="A8339" s="1">
        <v>8964.0</v>
      </c>
      <c r="B8339" s="3" t="s">
        <v>8020</v>
      </c>
      <c r="C8339" s="3" t="str">
        <f>IFERROR(__xludf.DUMMYFUNCTION("GOOGLETRANSLATE(B8339,""id"",""en"")"),"['Come on', 'APK', 'Telkomsel']")</f>
        <v>['Come on', 'APK', 'Telkomsel']</v>
      </c>
      <c r="D8339" s="3">
        <v>5.0</v>
      </c>
    </row>
    <row r="8340" ht="15.75" customHeight="1">
      <c r="A8340" s="1">
        <v>8965.0</v>
      </c>
      <c r="B8340" s="3" t="s">
        <v>8021</v>
      </c>
      <c r="C8340" s="3" t="str">
        <f>IFERROR(__xludf.DUMMYFUNCTION("GOOGLETRANSLATE(B8340,""id"",""en"")"),"['Hopefully', 'lucky', 'times', 'gift', 'pulse', 'Telkomsel', 'Aamiin', '']")</f>
        <v>['Hopefully', 'lucky', 'times', 'gift', 'pulse', 'Telkomsel', 'Aamiin', '']</v>
      </c>
      <c r="D8340" s="3">
        <v>5.0</v>
      </c>
    </row>
    <row r="8341" ht="15.75" customHeight="1">
      <c r="A8341" s="1">
        <v>8966.0</v>
      </c>
      <c r="B8341" s="3" t="s">
        <v>8022</v>
      </c>
      <c r="C8341" s="3" t="str">
        <f>IFERROR(__xludf.DUMMYFUNCTION("GOOGLETRANSLATE(B8341,""id"",""en"")"),"['hard', 'package', 'unlimitedmax', 'sekrng', 'interest', 'replace', 'card', '']")</f>
        <v>['hard', 'package', 'unlimitedmax', 'sekrng', 'interest', 'replace', 'card', '']</v>
      </c>
      <c r="D8341" s="3">
        <v>1.0</v>
      </c>
    </row>
    <row r="8342" ht="15.75" customHeight="1">
      <c r="A8342" s="1">
        <v>8967.0</v>
      </c>
      <c r="B8342" s="3" t="s">
        <v>8023</v>
      </c>
      <c r="C8342" s="3" t="str">
        <f>IFERROR(__xludf.DUMMYFUNCTION("GOOGLETRANSLATE(B8342,""id"",""en"")"),"['Good', 'Select', 'Select', 'Package', 'Cheap', '']")</f>
        <v>['Good', 'Select', 'Select', 'Package', 'Cheap', '']</v>
      </c>
      <c r="D8342" s="3">
        <v>5.0</v>
      </c>
    </row>
    <row r="8343" ht="15.75" customHeight="1">
      <c r="A8343" s="1">
        <v>8968.0</v>
      </c>
      <c r="B8343" s="3" t="s">
        <v>8024</v>
      </c>
      <c r="C8343" s="3" t="str">
        <f>IFERROR(__xludf.DUMMYFUNCTION("GOOGLETRANSLATE(B8343,""id"",""en"")"),"['customer']")</f>
        <v>['customer']</v>
      </c>
      <c r="D8343" s="3">
        <v>5.0</v>
      </c>
    </row>
    <row r="8344" ht="15.75" customHeight="1">
      <c r="A8344" s="1">
        <v>8969.0</v>
      </c>
      <c r="B8344" s="3" t="s">
        <v>8025</v>
      </c>
      <c r="C8344" s="3" t="str">
        <f>IFERROR(__xludf.DUMMYFUNCTION("GOOGLETRANSLATE(B8344,""id"",""en"")"),"['Sapapapai', 'network', 'Telkomsel', 'bad', 'Telkomsel', 'package', 'quota', 'expensive', 'network', 'no', 'according to', 'yes' Patience ',' Ampe ',' Moor ',' Hampit ',' THN ']")</f>
        <v>['Sapapapai', 'network', 'Telkomsel', 'bad', 'Telkomsel', 'package', 'quota', 'expensive', 'network', 'no', 'according to', 'yes' Patience ',' Ampe ',' Moor ',' Hampit ',' THN ']</v>
      </c>
      <c r="D8344" s="3">
        <v>1.0</v>
      </c>
    </row>
    <row r="8345" ht="15.75" customHeight="1">
      <c r="A8345" s="1">
        <v>8970.0</v>
      </c>
      <c r="B8345" s="3" t="s">
        <v>7444</v>
      </c>
      <c r="C8345" s="3" t="str">
        <f>IFERROR(__xludf.DUMMYFUNCTION("GOOGLETRANSLATE(B8345,""id"",""en"")"),"['try']")</f>
        <v>['try']</v>
      </c>
      <c r="D8345" s="3">
        <v>3.0</v>
      </c>
    </row>
    <row r="8346" ht="15.75" customHeight="1">
      <c r="A8346" s="1">
        <v>8971.0</v>
      </c>
      <c r="B8346" s="3" t="s">
        <v>8026</v>
      </c>
      <c r="C8346" s="3" t="str">
        <f>IFERROR(__xludf.DUMMYFUNCTION("GOOGLETRANSLATE(B8346,""id"",""en"")"),"['Network', 'good', 'area', 'secluded', 'price', 'populat']")</f>
        <v>['Network', 'good', 'area', 'secluded', 'price', 'populat']</v>
      </c>
      <c r="D8346" s="3">
        <v>5.0</v>
      </c>
    </row>
    <row r="8347" ht="15.75" customHeight="1">
      <c r="A8347" s="1">
        <v>8972.0</v>
      </c>
      <c r="B8347" s="3" t="s">
        <v>8027</v>
      </c>
      <c r="C8347" s="3" t="str">
        <f>IFERROR(__xludf.DUMMYFUNCTION("GOOGLETRANSLATE(B8347,""id"",""en"")"),"['makes it easier', 'transaction', 'credit', 'dsn', 'internet', 'Telkomsel', '']")</f>
        <v>['makes it easier', 'transaction', 'credit', 'dsn', 'internet', 'Telkomsel', '']</v>
      </c>
      <c r="D8347" s="3">
        <v>5.0</v>
      </c>
    </row>
    <row r="8348" ht="15.75" customHeight="1">
      <c r="A8348" s="1">
        <v>8973.0</v>
      </c>
      <c r="B8348" s="3" t="s">
        <v>1308</v>
      </c>
      <c r="C8348" s="3" t="str">
        <f>IFERROR(__xludf.DUMMYFUNCTION("GOOGLETRANSLATE(B8348,""id"",""en"")"),"['Application', 'Help']")</f>
        <v>['Application', 'Help']</v>
      </c>
      <c r="D8348" s="3">
        <v>5.0</v>
      </c>
    </row>
    <row r="8349" ht="15.75" customHeight="1">
      <c r="A8349" s="1">
        <v>8974.0</v>
      </c>
      <c r="B8349" s="3" t="s">
        <v>8028</v>
      </c>
      <c r="C8349" s="3" t="str">
        <f>IFERROR(__xludf.DUMMYFUNCTION("GOOGLETRANSLATE(B8349,""id"",""en"")"),"['Disappointed', 'Region', 'Threadin', 'Kec', 'Teweh', 'East', 'Barito', 'North', 'Kal', 'Teng', 'Visit', 'Network', ' Koutaa ',' Ministry of Education and Culture ',' Difficult ',' Kasian ',' Students', 'Search', 'Material', 'Learning', 'Network', 'Leet'"&amp;", 'Please', 'Fix', 'Quality' , 'Customers', 'difficult', 'contact', 'Telkomsel', 'Kamipun', 'Taktau', 'Waiting', 'Current', 'Normal', 'Kembail', ""]")</f>
        <v>['Disappointed', 'Region', 'Threadin', 'Kec', 'Teweh', 'East', 'Barito', 'North', 'Kal', 'Teng', 'Visit', 'Network', ' Koutaa ',' Ministry of Education and Culture ',' Difficult ',' Kasian ',' Students', 'Search', 'Material', 'Learning', 'Network', 'Leet', 'Please', 'Fix', 'Quality' , 'Customers', 'difficult', 'contact', 'Telkomsel', 'Kamipun', 'Taktau', 'Waiting', 'Current', 'Normal', 'Kembail', "]</v>
      </c>
      <c r="D8349" s="3">
        <v>1.0</v>
      </c>
    </row>
    <row r="8350" ht="15.75" customHeight="1">
      <c r="A8350" s="1">
        <v>8977.0</v>
      </c>
      <c r="B8350" s="3" t="s">
        <v>8029</v>
      </c>
      <c r="C8350" s="3" t="str">
        <f>IFERROR(__xludf.DUMMYFUNCTION("GOOGLETRANSLATE(B8350,""id"",""en"")"),"['Review', 'Login', 'BKN', 'Review', 'Buy', 'Package', 'MyTelkomsel']")</f>
        <v>['Review', 'Login', 'BKN', 'Review', 'Buy', 'Package', 'MyTelkomsel']</v>
      </c>
      <c r="D8350" s="3">
        <v>5.0</v>
      </c>
    </row>
    <row r="8351" ht="15.75" customHeight="1">
      <c r="A8351" s="1">
        <v>8978.0</v>
      </c>
      <c r="B8351" s="3" t="s">
        <v>8030</v>
      </c>
      <c r="C8351" s="3" t="str">
        <f>IFERROR(__xludf.DUMMYFUNCTION("GOOGLETRANSLATE(B8351,""id"",""en"")"),"['Please', 'Optimized', 'Singal', 'Network', 'Telkomsel', 'Wear', 'Card', 'Telkomsel', 'Singal', 'Full', 'Use', 'Loading', ' Please ',' Optimized ',' Comfort ',' User ',' ']")</f>
        <v>['Please', 'Optimized', 'Singal', 'Network', 'Telkomsel', 'Wear', 'Card', 'Telkomsel', 'Singal', 'Full', 'Use', 'Loading', ' Please ',' Optimized ',' Comfort ',' User ',' ']</v>
      </c>
      <c r="D8351" s="3">
        <v>1.0</v>
      </c>
    </row>
    <row r="8352" ht="15.75" customHeight="1">
      <c r="A8352" s="1">
        <v>8979.0</v>
      </c>
      <c r="B8352" s="3" t="s">
        <v>8031</v>
      </c>
      <c r="C8352" s="3" t="str">
        <f>IFERROR(__xludf.DUMMYFUNCTION("GOOGLETRANSLATE(B8352,""id"",""en"")"),"['promo', 'cheap', 'internet']")</f>
        <v>['promo', 'cheap', 'internet']</v>
      </c>
      <c r="D8352" s="3">
        <v>5.0</v>
      </c>
    </row>
    <row r="8353" ht="15.75" customHeight="1">
      <c r="A8353" s="1">
        <v>8980.0</v>
      </c>
      <c r="B8353" s="3" t="s">
        <v>8032</v>
      </c>
      <c r="C8353" s="3" t="str">
        <f>IFERROR(__xludf.DUMMYFUNCTION("GOOGLETRANSLATE(B8353,""id"",""en"")"),"['Love', 'Strong', 'Network', 'Signal']")</f>
        <v>['Love', 'Strong', 'Network', 'Signal']</v>
      </c>
      <c r="D8353" s="3">
        <v>5.0</v>
      </c>
    </row>
    <row r="8354" ht="15.75" customHeight="1">
      <c r="A8354" s="1">
        <v>8981.0</v>
      </c>
      <c r="B8354" s="3" t="s">
        <v>8033</v>
      </c>
      <c r="C8354" s="3" t="str">
        <f>IFERROR(__xludf.DUMMYFUNCTION("GOOGLETRANSLATE(B8354,""id"",""en"")"),"['pulse', 'ilang', 'non', 'package', 'non', 'package', '']")</f>
        <v>['pulse', 'ilang', 'non', 'package', 'non', 'package', '']</v>
      </c>
      <c r="D8354" s="3">
        <v>1.0</v>
      </c>
    </row>
    <row r="8355" ht="15.75" customHeight="1">
      <c r="A8355" s="1">
        <v>8982.0</v>
      </c>
      <c r="B8355" s="3" t="s">
        <v>8034</v>
      </c>
      <c r="C8355" s="3" t="str">
        <f>IFERROR(__xludf.DUMMYFUNCTION("GOOGLETRANSLATE(B8355,""id"",""en"")"),"['Jos', 'promo']")</f>
        <v>['Jos', 'promo']</v>
      </c>
      <c r="D8355" s="3">
        <v>5.0</v>
      </c>
    </row>
    <row r="8356" ht="15.75" customHeight="1">
      <c r="A8356" s="1">
        <v>8983.0</v>
      </c>
      <c r="B8356" s="3" t="s">
        <v>1525</v>
      </c>
      <c r="C8356" s="3" t="str">
        <f>IFERROR(__xludf.DUMMYFUNCTION("GOOGLETRANSLATE(B8356,""id"",""en"")"),"['APK']")</f>
        <v>['APK']</v>
      </c>
      <c r="D8356" s="3">
        <v>5.0</v>
      </c>
    </row>
    <row r="8357" ht="15.75" customHeight="1">
      <c r="A8357" s="1">
        <v>8984.0</v>
      </c>
      <c r="B8357" s="3" t="s">
        <v>3359</v>
      </c>
      <c r="C8357" s="3" t="str">
        <f>IFERROR(__xludf.DUMMYFUNCTION("GOOGLETRANSLATE(B8357,""id"",""en"")"),"['', 'Telkomsel', 'steady']")</f>
        <v>['', 'Telkomsel', 'steady']</v>
      </c>
      <c r="D8357" s="3">
        <v>5.0</v>
      </c>
    </row>
    <row r="8358" ht="15.75" customHeight="1">
      <c r="A8358" s="1">
        <v>8985.0</v>
      </c>
      <c r="B8358" s="3" t="s">
        <v>8035</v>
      </c>
      <c r="C8358" s="3" t="str">
        <f>IFERROR(__xludf.DUMMYFUNCTION("GOOGLETRANSLATE(B8358,""id"",""en"")"),"['Betah', 'Telkomsel', 'bonus']")</f>
        <v>['Betah', 'Telkomsel', 'bonus']</v>
      </c>
      <c r="D8358" s="3">
        <v>5.0</v>
      </c>
    </row>
    <row r="8359" ht="15.75" customHeight="1">
      <c r="A8359" s="1">
        <v>8986.0</v>
      </c>
      <c r="B8359" s="3" t="s">
        <v>8036</v>
      </c>
      <c r="C8359" s="3" t="str">
        <f>IFERROR(__xludf.DUMMYFUNCTION("GOOGLETRANSLATE(B8359,""id"",""en"")"),"['', 'Bintang', 'comment', ""]")</f>
        <v>['', 'Bintang', 'comment', "]</v>
      </c>
      <c r="D8359" s="3">
        <v>5.0</v>
      </c>
    </row>
    <row r="8360" ht="15.75" customHeight="1">
      <c r="A8360" s="1">
        <v>8987.0</v>
      </c>
      <c r="B8360" s="3" t="s">
        <v>8037</v>
      </c>
      <c r="C8360" s="3" t="str">
        <f>IFERROR(__xludf.DUMMYFUNCTION("GOOGLETRANSLATE(B8360,""id"",""en"")"),"['Disight', 'Customer', 'Buy', 'Package', 'Data', 'Clock', 'Package', 'Abis',' Clock ',' Entrance ',' Jam ',' Patse ',' date', '']")</f>
        <v>['Disight', 'Customer', 'Buy', 'Package', 'Data', 'Clock', 'Package', 'Abis',' Clock ',' Entrance ',' Jam ',' Patse ',' date', '']</v>
      </c>
      <c r="D8360" s="3">
        <v>1.0</v>
      </c>
    </row>
    <row r="8361" ht="15.75" customHeight="1">
      <c r="A8361" s="1">
        <v>8988.0</v>
      </c>
      <c r="B8361" s="3" t="s">
        <v>8038</v>
      </c>
      <c r="C8361" s="3" t="str">
        <f>IFERROR(__xludf.DUMMYFUNCTION("GOOGLETRANSLATE(B8361,""id"",""en"")"),"['Application', 'Help', 'Purchase', 'Kouta', '']")</f>
        <v>['Application', 'Help', 'Purchase', 'Kouta', '']</v>
      </c>
      <c r="D8361" s="3">
        <v>5.0</v>
      </c>
    </row>
    <row r="8362" ht="15.75" customHeight="1">
      <c r="A8362" s="1">
        <v>8989.0</v>
      </c>
      <c r="B8362" s="3" t="s">
        <v>8039</v>
      </c>
      <c r="C8362" s="3" t="str">
        <f>IFERROR(__xludf.DUMMYFUNCTION("GOOGLETRANSLATE(B8362,""id"",""en"")"),"['learn']")</f>
        <v>['learn']</v>
      </c>
      <c r="D8362" s="3">
        <v>5.0</v>
      </c>
    </row>
    <row r="8363" ht="15.75" customHeight="1">
      <c r="A8363" s="1">
        <v>8990.0</v>
      </c>
      <c r="B8363" s="3" t="s">
        <v>8040</v>
      </c>
      <c r="C8363" s="3" t="str">
        <f>IFERROR(__xludf.DUMMYFUNCTION("GOOGLETRANSLATE(B8363,""id"",""en"")"),"['Maren', 'ksh', 'knp', 'package', 'bonus',' combo ',' except ',' youtube ',' contents', 'pulse', 'can', 'bonus',' Monetery ',' HR ',' Mending ',' Monetery ',' Delete ',' DRPD ',' Kekeke ',' Kirain ',' Bonus', 'Combo', 'YouTube', 'Backup', 'Monetery' , 'r"&amp;"eal', 'zonk', 'pnah', 'beloved', 'love', 'program', 'ngeselin', 'doank']")</f>
        <v>['Maren', 'ksh', 'knp', 'package', 'bonus',' combo ',' except ',' youtube ',' contents', 'pulse', 'can', 'bonus',' Monetery ',' HR ',' Mending ',' Monetery ',' Delete ',' DRPD ',' Kekeke ',' Kirain ',' Bonus', 'Combo', 'YouTube', 'Backup', 'Monetery' , 'real', 'zonk', 'pnah', 'beloved', 'love', 'program', 'ngeselin', 'doank']</v>
      </c>
      <c r="D8363" s="3">
        <v>2.0</v>
      </c>
    </row>
    <row r="8364" ht="15.75" customHeight="1">
      <c r="A8364" s="1">
        <v>8991.0</v>
      </c>
      <c r="B8364" s="3" t="s">
        <v>8041</v>
      </c>
      <c r="C8364" s="3" t="str">
        <f>IFERROR(__xludf.DUMMYFUNCTION("GOOGLETRANSLATE(B8364,""id"",""en"")"),"['Divide', 'Ntar', 'Reduced', 'Star']")</f>
        <v>['Divide', 'Ntar', 'Reduced', 'Star']</v>
      </c>
      <c r="D8364" s="3">
        <v>5.0</v>
      </c>
    </row>
    <row r="8365" ht="15.75" customHeight="1">
      <c r="A8365" s="1">
        <v>8992.0</v>
      </c>
      <c r="B8365" s="3" t="s">
        <v>1510</v>
      </c>
      <c r="C8365" s="3" t="str">
        <f>IFERROR(__xludf.DUMMYFUNCTION("GOOGLETRANSLATE(B8365,""id"",""en"")"),"['Satisfied', 'Telkomsel']")</f>
        <v>['Satisfied', 'Telkomsel']</v>
      </c>
      <c r="D8365" s="3">
        <v>4.0</v>
      </c>
    </row>
    <row r="8366" ht="15.75" customHeight="1">
      <c r="A8366" s="1">
        <v>8993.0</v>
      </c>
      <c r="B8366" s="3" t="s">
        <v>8042</v>
      </c>
      <c r="C8366" s="3" t="str">
        <f>IFERROR(__xludf.DUMMYFUNCTION("GOOGLETRANSLATE(B8366,""id"",""en"")"),"['Buy', 'Package', 'PKE', 'Confirm', 'KUATA', 'KUATA', 'SUCCES', 'COTT', 'PACKAGE', 'already', 'enter', 'Open', ' Application ',' data ',' right ',' Maketin ']")</f>
        <v>['Buy', 'Package', 'PKE', 'Confirm', 'KUATA', 'KUATA', 'SUCCES', 'COTT', 'PACKAGE', 'already', 'enter', 'Open', ' Application ',' data ',' right ',' Maketin ']</v>
      </c>
      <c r="D8366" s="3">
        <v>3.0</v>
      </c>
    </row>
    <row r="8367" ht="15.75" customHeight="1">
      <c r="A8367" s="1">
        <v>8994.0</v>
      </c>
      <c r="B8367" s="3" t="s">
        <v>8043</v>
      </c>
      <c r="C8367" s="3" t="str">
        <f>IFERROR(__xludf.DUMMYFUNCTION("GOOGLETRANSLATE(B8367,""id"",""en"")"),"['critical']")</f>
        <v>['critical']</v>
      </c>
      <c r="D8367" s="3">
        <v>1.0</v>
      </c>
    </row>
    <row r="8368" ht="15.75" customHeight="1">
      <c r="A8368" s="1">
        <v>8995.0</v>
      </c>
      <c r="B8368" s="3" t="s">
        <v>1435</v>
      </c>
      <c r="C8368" s="3" t="str">
        <f>IFERROR(__xludf.DUMMYFUNCTION("GOOGLETRANSLATE(B8368,""id"",""en"")"),"['help', '']")</f>
        <v>['help', '']</v>
      </c>
      <c r="D8368" s="3">
        <v>5.0</v>
      </c>
    </row>
    <row r="8369" ht="15.75" customHeight="1">
      <c r="A8369" s="1">
        <v>8996.0</v>
      </c>
      <c r="B8369" s="3" t="s">
        <v>8044</v>
      </c>
      <c r="C8369" s="3" t="str">
        <f>IFERROR(__xludf.DUMMYFUNCTION("GOOGLETRANSLATE(B8369,""id"",""en"")"),"['Good', 'RAM', 'Kasian', 'Download', 'Application', 'price', 'groups', 'classified', 'expensive', ""]")</f>
        <v>['Good', 'RAM', 'Kasian', 'Download', 'Application', 'price', 'groups', 'classified', 'expensive', "]</v>
      </c>
      <c r="D8369" s="3">
        <v>4.0</v>
      </c>
    </row>
    <row r="8370" ht="15.75" customHeight="1">
      <c r="A8370" s="1">
        <v>8997.0</v>
      </c>
      <c r="B8370" s="3" t="s">
        <v>8045</v>
      </c>
      <c r="C8370" s="3" t="str">
        <f>IFERROR(__xludf.DUMMYFUNCTION("GOOGLETRANSLATE(B8370,""id"",""en"")"),"['happy', 'tekomsel']")</f>
        <v>['happy', 'tekomsel']</v>
      </c>
      <c r="D8370" s="3">
        <v>5.0</v>
      </c>
    </row>
    <row r="8371" ht="15.75" customHeight="1">
      <c r="A8371" s="1">
        <v>8998.0</v>
      </c>
      <c r="B8371" s="3" t="s">
        <v>8046</v>
      </c>
      <c r="C8371" s="3" t="str">
        <f>IFERROR(__xludf.DUMMYFUNCTION("GOOGLETRANSLATE(B8371,""id"",""en"")"),"['stop', 'subscription', 'card', 'hello', 'min']")</f>
        <v>['stop', 'subscription', 'card', 'hello', 'min']</v>
      </c>
      <c r="D8371" s="3">
        <v>5.0</v>
      </c>
    </row>
    <row r="8372" ht="15.75" customHeight="1">
      <c r="A8372" s="1">
        <v>8999.0</v>
      </c>
      <c r="B8372" s="3" t="s">
        <v>8047</v>
      </c>
      <c r="C8372" s="3" t="str">
        <f>IFERROR(__xludf.DUMMYFUNCTION("GOOGLETRANSLATE(B8372,""id"",""en"")"),"['application', 'thank', 'love']")</f>
        <v>['application', 'thank', 'love']</v>
      </c>
      <c r="D8372" s="3">
        <v>5.0</v>
      </c>
    </row>
    <row r="8373" ht="15.75" customHeight="1">
      <c r="A8373" s="1">
        <v>9000.0</v>
      </c>
      <c r="B8373" s="3" t="s">
        <v>800</v>
      </c>
      <c r="C8373" s="3" t="str">
        <f>IFERROR(__xludf.DUMMYFUNCTION("GOOGLETRANSLATE(B8373,""id"",""en"")"),"['Promo']")</f>
        <v>['Promo']</v>
      </c>
      <c r="D8373" s="3">
        <v>4.0</v>
      </c>
    </row>
    <row r="8374" ht="15.75" customHeight="1">
      <c r="A8374" s="1">
        <v>9001.0</v>
      </c>
      <c r="B8374" s="3" t="s">
        <v>8048</v>
      </c>
      <c r="C8374" s="3" t="str">
        <f>IFERROR(__xludf.DUMMYFUNCTION("GOOGLETRANSLATE(B8374,""id"",""en"")"),"['great', 'package', 'run out', 'as worse', 'wandered', '']")</f>
        <v>['great', 'package', 'run out', 'as worse', 'wandered', '']</v>
      </c>
      <c r="D8374" s="3">
        <v>5.0</v>
      </c>
    </row>
    <row r="8375" ht="15.75" customHeight="1">
      <c r="A8375" s="1">
        <v>9003.0</v>
      </c>
      <c r="B8375" s="3" t="s">
        <v>8049</v>
      </c>
      <c r="C8375" s="3" t="str">
        <f>IFERROR(__xludf.DUMMYFUNCTION("GOOGLETRANSLATE(B8375,""id"",""en"")"),"['package', 'expensive', 'try', 'biking', 'cheap', 'bonus',' cheap ',' that's', 'tasty', 'apk', 'different', 'east', ' West ',' Citizens', 'Indonesia', 'Tutu', 'spoiled', 'Kasi', 'Darling', 'Since', 'Price', 'Tamba', 'Love', 'State', 'Org' , 'full', 'kasi"&amp;"', 'darling', 'love', 'loving you', 'put', 'prayer', 'happiness', 'sustenance', 'rezeki', ""]")</f>
        <v>['package', 'expensive', 'try', 'biking', 'cheap', 'bonus',' cheap ',' that's', 'tasty', 'apk', 'different', 'east', ' West ',' Citizens', 'Indonesia', 'Tutu', 'spoiled', 'Kasi', 'Darling', 'Since', 'Price', 'Tamba', 'Love', 'State', 'Org' , 'full', 'kasi', 'darling', 'love', 'loving you', 'put', 'prayer', 'happiness', 'sustenance', 'rezeki', "]</v>
      </c>
      <c r="D8375" s="3">
        <v>4.0</v>
      </c>
    </row>
    <row r="8376" ht="15.75" customHeight="1">
      <c r="A8376" s="1">
        <v>9004.0</v>
      </c>
      <c r="B8376" s="3" t="s">
        <v>8050</v>
      </c>
      <c r="C8376" s="3" t="str">
        <f>IFERROR(__xludf.DUMMYFUNCTION("GOOGLETRANSLATE(B8376,""id"",""en"")"),"['Point', 'Telkomsel', 'Useful', 'Exchange', 'Promo', 'Restore', 'Exchange', 'Point', 'Balance', 'Link', 'Package', 'Data', ' Exchange ',' pulses', 'useful', 'promo', '']")</f>
        <v>['Point', 'Telkomsel', 'Useful', 'Exchange', 'Promo', 'Restore', 'Exchange', 'Point', 'Balance', 'Link', 'Package', 'Data', ' Exchange ',' pulses', 'useful', 'promo', '']</v>
      </c>
      <c r="D8376" s="3">
        <v>1.0</v>
      </c>
    </row>
    <row r="8377" ht="15.75" customHeight="1">
      <c r="A8377" s="1">
        <v>9005.0</v>
      </c>
      <c r="B8377" s="3" t="s">
        <v>8051</v>
      </c>
      <c r="C8377" s="3" t="str">
        <f>IFERROR(__xludf.DUMMYFUNCTION("GOOGLETRANSLATE(B8377,""id"",""en"")"),"['Help', 'APK', 'Anyway', 'Joss']")</f>
        <v>['Help', 'APK', 'Anyway', 'Joss']</v>
      </c>
      <c r="D8377" s="3">
        <v>5.0</v>
      </c>
    </row>
    <row r="8378" ht="15.75" customHeight="1">
      <c r="A8378" s="1">
        <v>9006.0</v>
      </c>
      <c r="B8378" s="3" t="s">
        <v>8052</v>
      </c>
      <c r="C8378" s="3" t="str">
        <f>IFERROR(__xludf.DUMMYFUNCTION("GOOGLETRANSLATE(B8378,""id"",""en"")"),"['easy', 'search', 'info', 'Telkomsel']")</f>
        <v>['easy', 'search', 'info', 'Telkomsel']</v>
      </c>
      <c r="D8378" s="3">
        <v>5.0</v>
      </c>
    </row>
    <row r="8379" ht="15.75" customHeight="1">
      <c r="A8379" s="1">
        <v>9007.0</v>
      </c>
      <c r="B8379" s="3" t="s">
        <v>8053</v>
      </c>
      <c r="C8379" s="3" t="str">
        <f>IFERROR(__xludf.DUMMYFUNCTION("GOOGLETRANSLATE(B8379,""id"",""en"")"),"['function', 'Veronika', 'what', 'ask', 'quota', 'omg', 'quota', 'special', 'youtube', 'quota', 'buy', 'package', ' internet ',' please ',' click ',' button ',' package ',' internet ',' special ',' see ',' package ',' type ',' package ',' internet ',' ']")</f>
        <v>['function', 'Veronika', 'what', 'ask', 'quota', 'omg', 'quota', 'special', 'youtube', 'quota', 'buy', 'package', ' internet ',' please ',' click ',' button ',' package ',' internet ',' special ',' see ',' package ',' type ',' package ',' internet ',' ']</v>
      </c>
      <c r="D8379" s="3">
        <v>2.0</v>
      </c>
    </row>
    <row r="8380" ht="15.75" customHeight="1">
      <c r="A8380" s="1">
        <v>9009.0</v>
      </c>
      <c r="B8380" s="3" t="s">
        <v>8054</v>
      </c>
      <c r="C8380" s="3" t="str">
        <f>IFERROR(__xludf.DUMMYFUNCTION("GOOGLETRANSLATE(B8380,""id"",""en"")"),"['difficult', 'really', 'pay', 'use', 'link', 'application', 'direct', 'pay', 'difficult', ""]")</f>
        <v>['difficult', 'really', 'pay', 'use', 'link', 'application', 'direct', 'pay', 'difficult', "]</v>
      </c>
      <c r="D8380" s="3">
        <v>3.0</v>
      </c>
    </row>
    <row r="8381" ht="15.75" customHeight="1">
      <c r="A8381" s="1">
        <v>9010.0</v>
      </c>
      <c r="B8381" s="3" t="s">
        <v>8055</v>
      </c>
      <c r="C8381" s="3" t="str">
        <f>IFERROR(__xludf.DUMMYFUNCTION("GOOGLETRANSLATE(B8381,""id"",""en"")"),"['Telkom', 'patent', 'star', 'ksh', 'Telkomsel']")</f>
        <v>['Telkom', 'patent', 'star', 'ksh', 'Telkomsel']</v>
      </c>
      <c r="D8381" s="3">
        <v>5.0</v>
      </c>
    </row>
    <row r="8382" ht="15.75" customHeight="1">
      <c r="A8382" s="1">
        <v>9011.0</v>
      </c>
      <c r="B8382" s="3" t="s">
        <v>8056</v>
      </c>
      <c r="C8382" s="3" t="str">
        <f>IFERROR(__xludf.DUMMYFUNCTION("GOOGLETRANSLATE(B8382,""id"",""en"")"),"['times', 'click', 'voice', 'norification', 'rang', 'turned off', 'notification', 'msh', 'read', 'strange', 'app']")</f>
        <v>['times', 'click', 'voice', 'norification', 'rang', 'turned off', 'notification', 'msh', 'read', 'strange', 'app']</v>
      </c>
      <c r="D8382" s="3">
        <v>2.0</v>
      </c>
    </row>
    <row r="8383" ht="15.75" customHeight="1">
      <c r="A8383" s="1">
        <v>9012.0</v>
      </c>
      <c r="B8383" s="3" t="s">
        <v>8057</v>
      </c>
      <c r="C8383" s="3" t="str">
        <f>IFERROR(__xludf.DUMMYFUNCTION("GOOGLETRANSLATE(B8383,""id"",""en"")"),"['price', 'package', 'expensive', 'quality', 'signal', 'rotten', 'improving', 'BUMN', 'pulp', ""]")</f>
        <v>['price', 'package', 'expensive', 'quality', 'signal', 'rotten', 'improving', 'BUMN', 'pulp', "]</v>
      </c>
      <c r="D8383" s="3">
        <v>1.0</v>
      </c>
    </row>
    <row r="8384" ht="15.75" customHeight="1">
      <c r="A8384" s="1">
        <v>9013.0</v>
      </c>
      <c r="B8384" s="3" t="s">
        <v>8058</v>
      </c>
      <c r="C8384" s="3" t="str">
        <f>IFERROR(__xludf.DUMMYFUNCTION("GOOGLETRANSLATE(B8384,""id"",""en"")"),"['Credit', 'Telkomsel', 'like', 'Abis', 'Cut']")</f>
        <v>['Credit', 'Telkomsel', 'like', 'Abis', 'Cut']</v>
      </c>
      <c r="D8384" s="3">
        <v>1.0</v>
      </c>
    </row>
    <row r="8385" ht="15.75" customHeight="1">
      <c r="A8385" s="1">
        <v>9014.0</v>
      </c>
      <c r="B8385" s="3" t="s">
        <v>8059</v>
      </c>
      <c r="C8385" s="3" t="str">
        <f>IFERROR(__xludf.DUMMYFUNCTION("GOOGLETRANSLATE(B8385,""id"",""en"")"),"['Card', 'Telkomsel', 'Helpful', 'Help', 'User', 'Card', 'Telkomsel', 'Strength', 'Signs',' Good ',' Area ',' Movers', ' village']")</f>
        <v>['Card', 'Telkomsel', 'Helpful', 'Help', 'User', 'Card', 'Telkomsel', 'Strength', 'Signs',' Good ',' Area ',' Movers', ' village']</v>
      </c>
      <c r="D8385" s="3">
        <v>5.0</v>
      </c>
    </row>
    <row r="8386" ht="15.75" customHeight="1">
      <c r="A8386" s="1">
        <v>9015.0</v>
      </c>
      <c r="B8386" s="3" t="s">
        <v>8060</v>
      </c>
      <c r="C8386" s="3" t="str">
        <f>IFERROR(__xludf.DUMMYFUNCTION("GOOGLETRANSLATE(B8386,""id"",""en"")"),"['', 'Telkomsel', 'help', 'in', 'check', 'pulse', 'quata', 'gift', 'interesting', ""]")</f>
        <v>['', 'Telkomsel', 'help', 'in', 'check', 'pulse', 'quata', 'gift', 'interesting', "]</v>
      </c>
      <c r="D8386" s="3">
        <v>5.0</v>
      </c>
    </row>
    <row r="8387" ht="15.75" customHeight="1">
      <c r="A8387" s="1">
        <v>9016.0</v>
      </c>
      <c r="B8387" s="3" t="s">
        <v>8061</v>
      </c>
      <c r="C8387" s="3" t="str">
        <f>IFERROR(__xludf.DUMMYFUNCTION("GOOGLETRANSLATE(B8387,""id"",""en"")"),"['love', 'star', 'children', 'Telkomsel', 'sennang']")</f>
        <v>['love', 'star', 'children', 'Telkomsel', 'sennang']</v>
      </c>
      <c r="D8387" s="3">
        <v>5.0</v>
      </c>
    </row>
    <row r="8388" ht="15.75" customHeight="1">
      <c r="A8388" s="1">
        <v>9017.0</v>
      </c>
      <c r="B8388" s="3" t="s">
        <v>7808</v>
      </c>
      <c r="C8388" s="3" t="str">
        <f>IFERROR(__xludf.DUMMYFUNCTION("GOOGLETRANSLATE(B8388,""id"",""en"")"),"['Network', 'Good']")</f>
        <v>['Network', 'Good']</v>
      </c>
      <c r="D8388" s="3">
        <v>5.0</v>
      </c>
    </row>
    <row r="8389" ht="15.75" customHeight="1">
      <c r="A8389" s="1">
        <v>9018.0</v>
      </c>
      <c r="B8389" s="3" t="s">
        <v>8062</v>
      </c>
      <c r="C8389" s="3" t="str">
        <f>IFERROR(__xludf.DUMMYFUNCTION("GOOGLETRANSLATE(B8389,""id"",""en"")"),"['Cuki', 'artisan', 'Tipu']")</f>
        <v>['Cuki', 'artisan', 'Tipu']</v>
      </c>
      <c r="D8389" s="3">
        <v>1.0</v>
      </c>
    </row>
    <row r="8390" ht="15.75" customHeight="1">
      <c r="A8390" s="1">
        <v>9019.0</v>
      </c>
      <c r="B8390" s="3" t="s">
        <v>8063</v>
      </c>
      <c r="C8390" s="3" t="str">
        <f>IFERROR(__xludf.DUMMYFUNCTION("GOOGLETRANSLATE(B8390,""id"",""en"")"),"['Cool']")</f>
        <v>['Cool']</v>
      </c>
      <c r="D8390" s="3">
        <v>4.0</v>
      </c>
    </row>
    <row r="8391" ht="15.75" customHeight="1">
      <c r="A8391" s="1">
        <v>9020.0</v>
      </c>
      <c r="B8391" s="3" t="s">
        <v>8064</v>
      </c>
      <c r="C8391" s="3" t="str">
        <f>IFERROR(__xludf.DUMMYFUNCTION("GOOGLETRANSLATE(B8391,""id"",""en"")"),"['sip', 'package', 'expensive', 'network', 'rotten', 'city', 'network', 'ngandat', 'severe', 'village', 'think', 'lgi', ' Telkomsel ']")</f>
        <v>['sip', 'package', 'expensive', 'network', 'rotten', 'city', 'network', 'ngandat', 'severe', 'village', 'think', 'lgi', ' Telkomsel ']</v>
      </c>
      <c r="D8391" s="3">
        <v>1.0</v>
      </c>
    </row>
    <row r="8392" ht="15.75" customHeight="1">
      <c r="A8392" s="1">
        <v>9021.0</v>
      </c>
      <c r="B8392" s="3" t="s">
        <v>8065</v>
      </c>
      <c r="C8392" s="3" t="str">
        <f>IFERROR(__xludf.DUMMYFUNCTION("GOOGLETRANSLATE(B8392,""id"",""en"")"),"['', 'Leet']")</f>
        <v>['', 'Leet']</v>
      </c>
      <c r="D8392" s="3">
        <v>1.0</v>
      </c>
    </row>
    <row r="8393" ht="15.75" customHeight="1">
      <c r="A8393" s="1">
        <v>9022.0</v>
      </c>
      <c r="B8393" s="3" t="s">
        <v>8066</v>
      </c>
      <c r="C8393" s="3" t="str">
        <f>IFERROR(__xludf.DUMMYFUNCTION("GOOGLETRANSLATE(B8393,""id"",""en"")"),"['balance', 'monetery', 'as if', 'useful', 'because' package ',' combo ',' contents ',' internet ',' call ',' sms ',' poor ',' ']")</f>
        <v>['balance', 'monetery', 'as if', 'useful', 'because' package ',' combo ',' contents ',' internet ',' call ',' sms ',' poor ',' ']</v>
      </c>
      <c r="D8393" s="3">
        <v>3.0</v>
      </c>
    </row>
    <row r="8394" ht="15.75" customHeight="1">
      <c r="A8394" s="1">
        <v>9023.0</v>
      </c>
      <c r="B8394" s="3" t="s">
        <v>8067</v>
      </c>
      <c r="C8394" s="3" t="str">
        <f>IFERROR(__xludf.DUMMYFUNCTION("GOOGLETRANSLATE(B8394,""id"",""en"")"),"['connection', 'internet', 'slow', 'ping', 'down', 'already', 'assisted', 'apk', 'third', 'nge', 'network', 'masi', ' slow ',' buy ',' package ',' expensive ',' satisfying ',' ']")</f>
        <v>['connection', 'internet', 'slow', 'ping', 'down', 'already', 'assisted', 'apk', 'third', 'nge', 'network', 'masi', ' slow ',' buy ',' package ',' expensive ',' satisfying ',' ']</v>
      </c>
      <c r="D8394" s="3">
        <v>2.0</v>
      </c>
    </row>
    <row r="8395" ht="15.75" customHeight="1">
      <c r="A8395" s="1">
        <v>9024.0</v>
      </c>
      <c r="B8395" s="3" t="s">
        <v>8068</v>
      </c>
      <c r="C8395" s="3" t="str">
        <f>IFERROR(__xludf.DUMMYFUNCTION("GOOGLETRANSLATE(B8395,""id"",""en"")"),"['knp', 'package', 'ynk', 'buy', 'already', 'ngk', 'buy', 'lgi', 'skrg', 'expensive', 'price']")</f>
        <v>['knp', 'package', 'ynk', 'buy', 'already', 'ngk', 'buy', 'lgi', 'skrg', 'expensive', 'price']</v>
      </c>
      <c r="D8395" s="3">
        <v>1.0</v>
      </c>
    </row>
    <row r="8396" ht="15.75" customHeight="1">
      <c r="A8396" s="1">
        <v>9025.0</v>
      </c>
      <c r="B8396" s="3" t="s">
        <v>8069</v>
      </c>
      <c r="C8396" s="3" t="str">
        <f>IFERROR(__xludf.DUMMYFUNCTION("GOOGLETRANSLATE(B8396,""id"",""en"")"),"['The APK', 'ugly', 'stop', 'ngak', 'use', 'severe', 'bagett']")</f>
        <v>['The APK', 'ugly', 'stop', 'ngak', 'use', 'severe', 'bagett']</v>
      </c>
      <c r="D8396" s="3">
        <v>1.0</v>
      </c>
    </row>
    <row r="8397" ht="15.75" customHeight="1">
      <c r="A8397" s="1">
        <v>9026.0</v>
      </c>
      <c r="B8397" s="3" t="s">
        <v>3410</v>
      </c>
      <c r="C8397" s="3" t="str">
        <f>IFERROR(__xludf.DUMMYFUNCTION("GOOGLETRANSLATE(B8397,""id"",""en"")"),"['Bags']")</f>
        <v>['Bags']</v>
      </c>
      <c r="D8397" s="3">
        <v>5.0</v>
      </c>
    </row>
    <row r="8398" ht="15.75" customHeight="1">
      <c r="A8398" s="1">
        <v>9027.0</v>
      </c>
      <c r="B8398" s="3" t="s">
        <v>8070</v>
      </c>
      <c r="C8398" s="3" t="str">
        <f>IFERROR(__xludf.DUMMYFUNCTION("GOOGLETRANSLATE(B8398,""id"",""en"")"),"['Disappointed', 'Network', 'Telkomsel', 'lag']")</f>
        <v>['Disappointed', 'Network', 'Telkomsel', 'lag']</v>
      </c>
      <c r="D8398" s="3">
        <v>1.0</v>
      </c>
    </row>
    <row r="8399" ht="15.75" customHeight="1">
      <c r="A8399" s="1">
        <v>9028.0</v>
      </c>
      <c r="B8399" s="3" t="s">
        <v>8071</v>
      </c>
      <c r="C8399" s="3" t="str">
        <f>IFERROR(__xludf.DUMMYFUNCTION("GOOGLETRANSLATE(B8399,""id"",""en"")"),"['UDH', 'THN', 'Telkomsel', 'at home', 'get', 'times',' at home ',' signal ',' signal ',' get ',' stem ',' quota ',' Wasted ',' Sia ',' Sia ',' Signal ',' ']")</f>
        <v>['UDH', 'THN', 'Telkomsel', 'at home', 'get', 'times',' at home ',' signal ',' signal ',' get ',' stem ',' quota ',' Wasted ',' Sia ',' Sia ',' Signal ',' ']</v>
      </c>
      <c r="D8399" s="3">
        <v>1.0</v>
      </c>
    </row>
    <row r="8400" ht="15.75" customHeight="1">
      <c r="A8400" s="1">
        <v>9029.0</v>
      </c>
      <c r="B8400" s="3" t="s">
        <v>8072</v>
      </c>
      <c r="C8400" s="3" t="str">
        <f>IFERROR(__xludf.DUMMYFUNCTION("GOOGLETRANSLATE(B8400,""id"",""en"")"),"['ssasar', 'help']")</f>
        <v>['ssasar', 'help']</v>
      </c>
      <c r="D8400" s="3">
        <v>5.0</v>
      </c>
    </row>
    <row r="8401" ht="15.75" customHeight="1">
      <c r="A8401" s="1">
        <v>9030.0</v>
      </c>
      <c r="B8401" s="3" t="s">
        <v>8073</v>
      </c>
      <c r="C8401" s="3" t="str">
        <f>IFERROR(__xludf.DUMMYFUNCTION("GOOGLETRANSLATE(B8401,""id"",""en"")"),"['closed', 'bankrupt', 'network', 'defective', 'package', 'expensive', 'kintiil', 'report', 'telegram', 'tweeter', 'etc.', 'download', ' Via ',' Playstore ',' Min ',' Thinking ',' Deh ',' Min ',' complaints', 'millions',' million ',' complaints', 'Tarok',"&amp;" 'face', 'Telkomsel' , 'company', 'giant', 'shame', 'ama', 'shop', 'next door', 'change', 'response', 'min', 'mean', 'salary', 'eat', ' salary ',' that's', '']")</f>
        <v>['closed', 'bankrupt', 'network', 'defective', 'package', 'expensive', 'kintiil', 'report', 'telegram', 'tweeter', 'etc.', 'download', ' Via ',' Playstore ',' Min ',' Thinking ',' Deh ',' Min ',' complaints', 'millions',' million ',' complaints', 'Tarok', 'face', 'Telkomsel' , 'company', 'giant', 'shame', 'ama', 'shop', 'next door', 'change', 'response', 'min', 'mean', 'salary', 'eat', ' salary ',' that's', '']</v>
      </c>
      <c r="D8401" s="3">
        <v>1.0</v>
      </c>
    </row>
    <row r="8402" ht="15.75" customHeight="1">
      <c r="A8402" s="1">
        <v>9031.0</v>
      </c>
      <c r="B8402" s="3" t="s">
        <v>8074</v>
      </c>
      <c r="C8402" s="3" t="str">
        <f>IFERROR(__xludf.DUMMYFUNCTION("GOOGLETRANSLATE(B8402,""id"",""en"")"),"['Help', 'buy', 'package', 'check', 'leftover', 'pakaet']")</f>
        <v>['Help', 'buy', 'package', 'check', 'leftover', 'pakaet']</v>
      </c>
      <c r="D8402" s="3">
        <v>5.0</v>
      </c>
    </row>
    <row r="8403" ht="15.75" customHeight="1">
      <c r="A8403" s="1">
        <v>9032.0</v>
      </c>
      <c r="B8403" s="3" t="s">
        <v>8075</v>
      </c>
      <c r="C8403" s="3" t="str">
        <f>IFERROR(__xludf.DUMMYFUNCTION("GOOGLETRANSLATE(B8403,""id"",""en"")"),"['Tekomsel', 'Best', 'Reach', 'Signal', '']")</f>
        <v>['Tekomsel', 'Best', 'Reach', 'Signal', '']</v>
      </c>
      <c r="D8403" s="3">
        <v>5.0</v>
      </c>
    </row>
    <row r="8404" ht="15.75" customHeight="1">
      <c r="A8404" s="1">
        <v>9033.0</v>
      </c>
      <c r="B8404" s="3" t="s">
        <v>8076</v>
      </c>
      <c r="C8404" s="3" t="str">
        <f>IFERROR(__xludf.DUMMYFUNCTION("GOOGLETRANSLATE(B8404,""id"",""en"")"),"['Saynk', 'Sembat', 'Akett', 'Please', 'Bagusi', 'Telkomsel']")</f>
        <v>['Saynk', 'Sembat', 'Akett', 'Please', 'Bagusi', 'Telkomsel']</v>
      </c>
      <c r="D8404" s="3">
        <v>5.0</v>
      </c>
    </row>
    <row r="8405" ht="15.75" customHeight="1">
      <c r="A8405" s="1">
        <v>9034.0</v>
      </c>
      <c r="B8405" s="3" t="s">
        <v>8077</v>
      </c>
      <c r="C8405" s="3" t="str">
        <f>IFERROR(__xludf.DUMMYFUNCTION("GOOGLETRANSLATE(B8405,""id"",""en"")"),"['many years', 'loyal', 'Telkomsel', 'Network', 'Available', 'Region', 'remote']")</f>
        <v>['many years', 'loyal', 'Telkomsel', 'Network', 'Available', 'Region', 'remote']</v>
      </c>
      <c r="D8405" s="3">
        <v>3.0</v>
      </c>
    </row>
    <row r="8406" ht="15.75" customHeight="1">
      <c r="A8406" s="1">
        <v>9035.0</v>
      </c>
      <c r="B8406" s="3" t="s">
        <v>8078</v>
      </c>
      <c r="C8406" s="3" t="str">
        <f>IFERROR(__xludf.DUMMYFUNCTION("GOOGLETRANSLATE(B8406,""id"",""en"")"),"['Good', 'signal', 'Telkomsel']")</f>
        <v>['Good', 'signal', 'Telkomsel']</v>
      </c>
      <c r="D8406" s="3">
        <v>5.0</v>
      </c>
    </row>
    <row r="8407" ht="15.75" customHeight="1">
      <c r="A8407" s="1">
        <v>9036.0</v>
      </c>
      <c r="B8407" s="3" t="s">
        <v>8079</v>
      </c>
      <c r="C8407" s="3" t="str">
        <f>IFERROR(__xludf.DUMMYFUNCTION("GOOGLETRANSLATE(B8407,""id"",""en"")"),"['Package', 'Learning', 'just', 'Gimik', 'No', 'Dipake', 'No', 'Mending', 'No', 'Package']")</f>
        <v>['Package', 'Learning', 'just', 'Gimik', 'No', 'Dipake', 'No', 'Mending', 'No', 'Package']</v>
      </c>
      <c r="D8407" s="3">
        <v>1.0</v>
      </c>
    </row>
    <row r="8408" ht="15.75" customHeight="1">
      <c r="A8408" s="1">
        <v>9037.0</v>
      </c>
      <c r="B8408" s="3" t="s">
        <v>8080</v>
      </c>
      <c r="C8408" s="3" t="str">
        <f>IFERROR(__xludf.DUMMYFUNCTION("GOOGLETRANSLATE(B8408,""id"",""en"")"),"['surprised', 'operator', 'leading', 'diIndonesia', 'package', 'presented', 'expensive', 'pulse', 'net', 'finished', 'buy', 'package', ' lost ',' gradually ',' upstream ',' emang ',' bug ',' etc. ',' minimal ',' love ',' customer ',' ']")</f>
        <v>['surprised', 'operator', 'leading', 'diIndonesia', 'package', 'presented', 'expensive', 'pulse', 'net', 'finished', 'buy', 'package', ' lost ',' gradually ',' upstream ',' emang ',' bug ',' etc. ',' minimal ',' love ',' customer ',' ']</v>
      </c>
      <c r="D8408" s="3">
        <v>1.0</v>
      </c>
    </row>
    <row r="8409" ht="15.75" customHeight="1">
      <c r="A8409" s="1">
        <v>9038.0</v>
      </c>
      <c r="B8409" s="3" t="s">
        <v>8081</v>
      </c>
      <c r="C8409" s="3" t="str">
        <f>IFERROR(__xludf.DUMMYFUNCTION("GOOGLETRANSLATE(B8409,""id"",""en"")"),"['Telkomsel', 'my heart']")</f>
        <v>['Telkomsel', 'my heart']</v>
      </c>
      <c r="D8409" s="3">
        <v>5.0</v>
      </c>
    </row>
    <row r="8410" ht="15.75" customHeight="1">
      <c r="A8410" s="1">
        <v>9039.0</v>
      </c>
      <c r="B8410" s="3" t="s">
        <v>8082</v>
      </c>
      <c r="C8410" s="3" t="str">
        <f>IFERROR(__xludf.DUMMYFUNCTION("GOOGLETRANSLATE(B8410,""id"",""en"")"),"['Actually', 'disappointed', 'Telkomsel', 'already', 'th', 'wear', 'product', 'Telkomsel', 'card', 'sympathy', 'change', 'card', ' hnya ',' times', 'terakir', 'already', 'use', 'get', 'bonus',' package ',' expensive ',' class', 'medium', 'match', 'circles"&amp;"' , 'down', 'match', 'Please', 'level', 'person', 'groups', 'Satisfied', 'Thank you', ""]")</f>
        <v>['Actually', 'disappointed', 'Telkomsel', 'already', 'th', 'wear', 'product', 'Telkomsel', 'card', 'sympathy', 'change', 'card', ' hnya ',' times', 'terakir', 'already', 'use', 'get', 'bonus',' package ',' expensive ',' class', 'medium', 'match', 'circles' , 'down', 'match', 'Please', 'level', 'person', 'groups', 'Satisfied', 'Thank you', "]</v>
      </c>
      <c r="D8410" s="3">
        <v>1.0</v>
      </c>
    </row>
    <row r="8411" ht="15.75" customHeight="1">
      <c r="A8411" s="1">
        <v>9040.0</v>
      </c>
      <c r="B8411" s="3" t="s">
        <v>8083</v>
      </c>
      <c r="C8411" s="3" t="str">
        <f>IFERROR(__xludf.DUMMYFUNCTION("GOOGLETRANSLATE(B8411,""id"",""en"")"),"['regret', 'use', 'combo', 'Sakti', 'Topi', 'Doang', 'quota', 'abundant', 'network', 'slow', 'kayak', 'snail', ' dying ',' already ',' pay ',' expensive ',' Jauuh ',' Jauh ',' service ',' Next to ',' ']")</f>
        <v>['regret', 'use', 'combo', 'Sakti', 'Topi', 'Doang', 'quota', 'abundant', 'network', 'slow', 'kayak', 'snail', ' dying ',' already ',' pay ',' expensive ',' Jauuh ',' Jauh ',' service ',' Next to ',' ']</v>
      </c>
      <c r="D8411" s="3">
        <v>1.0</v>
      </c>
    </row>
    <row r="8412" ht="15.75" customHeight="1">
      <c r="A8412" s="1">
        <v>9041.0</v>
      </c>
      <c r="B8412" s="3" t="s">
        <v>8084</v>
      </c>
      <c r="C8412" s="3" t="str">
        <f>IFERROR(__xludf.DUMMYFUNCTION("GOOGLETRANSLATE(B8412,""id"",""en"")"),"['already', 'use', 'card', 'Telkomsel', 'price', 'cheap', 'expensive', 'please', 'cheap', 'price']")</f>
        <v>['already', 'use', 'card', 'Telkomsel', 'price', 'cheap', 'expensive', 'please', 'cheap', 'price']</v>
      </c>
      <c r="D8412" s="3">
        <v>1.0</v>
      </c>
    </row>
    <row r="8413" ht="15.75" customHeight="1">
      <c r="A8413" s="1">
        <v>9042.0</v>
      </c>
      <c r="B8413" s="3" t="s">
        <v>8085</v>
      </c>
      <c r="C8413" s="3" t="str">
        <f>IFERROR(__xludf.DUMMYFUNCTION("GOOGLETRANSLATE(B8413,""id"",""en"")"),"['Internet', 'LEG', 'Play', 'Game', 'Online', 'Changed', 'Network', 'Cave', 'Stay', 'City', 'Jakarta', 'Hate', ' bat ',' cave ',' kayak ',' that's', 'exciting', 'exciting', 'mode', 'serious',' network ',' dead ']")</f>
        <v>['Internet', 'LEG', 'Play', 'Game', 'Online', 'Changed', 'Network', 'Cave', 'Stay', 'City', 'Jakarta', 'Hate', ' bat ',' cave ',' kayak ',' that's', 'exciting', 'exciting', 'mode', 'serious',' network ',' dead ']</v>
      </c>
      <c r="D8413" s="3">
        <v>1.0</v>
      </c>
    </row>
    <row r="8414" ht="15.75" customHeight="1">
      <c r="A8414" s="1">
        <v>9043.0</v>
      </c>
      <c r="B8414" s="3" t="s">
        <v>8086</v>
      </c>
      <c r="C8414" s="3" t="str">
        <f>IFERROR(__xludf.DUMMYFUNCTION("GOOGLETRANSLATE(B8414,""id"",""en"")"),"['Update', 'Improvement', 'Significant', 'Pekah']")</f>
        <v>['Update', 'Improvement', 'Significant', 'Pekah']</v>
      </c>
      <c r="D8414" s="3">
        <v>1.0</v>
      </c>
    </row>
    <row r="8415" ht="15.75" customHeight="1">
      <c r="A8415" s="1">
        <v>9044.0</v>
      </c>
      <c r="B8415" s="3" t="s">
        <v>8087</v>
      </c>
      <c r="C8415" s="3" t="str">
        <f>IFERROR(__xludf.DUMMYFUNCTION("GOOGLETRANSLATE(B8415,""id"",""en"")"),"['Beloved', 'Package']")</f>
        <v>['Beloved', 'Package']</v>
      </c>
      <c r="D8415" s="3">
        <v>1.0</v>
      </c>
    </row>
    <row r="8416" ht="15.75" customHeight="1">
      <c r="A8416" s="1">
        <v>9045.0</v>
      </c>
      <c r="B8416" s="3" t="s">
        <v>8088</v>
      </c>
      <c r="C8416" s="3" t="str">
        <f>IFERROR(__xludf.DUMMYFUNCTION("GOOGLETRANSLATE(B8416,""id"",""en"")"),"['', 'try']")</f>
        <v>['', 'try']</v>
      </c>
      <c r="D8416" s="3">
        <v>5.0</v>
      </c>
    </row>
    <row r="8417" ht="15.75" customHeight="1">
      <c r="A8417" s="1">
        <v>9046.0</v>
      </c>
      <c r="B8417" s="3" t="s">
        <v>8089</v>
      </c>
      <c r="C8417" s="3" t="str">
        <f>IFERROR(__xludf.DUMMYFUNCTION("GOOGLETRANSLATE(B8417,""id"",""en"")"),"['quota', 'night', 'active', 'SJA', 'printed', 'there', 'hours',' active ',' benefit ',' buy ',' package ',' Gini ',' play ', ""]")</f>
        <v>['quota', 'night', 'active', 'SJA', 'printed', 'there', 'hours',' active ',' benefit ',' buy ',' package ',' Gini ',' play ', "]</v>
      </c>
      <c r="D8417" s="3">
        <v>1.0</v>
      </c>
    </row>
    <row r="8418" ht="15.75" customHeight="1">
      <c r="A8418" s="1">
        <v>9047.0</v>
      </c>
      <c r="B8418" s="3" t="s">
        <v>8090</v>
      </c>
      <c r="C8418" s="3" t="str">
        <f>IFERROR(__xludf.DUMMYFUNCTION("GOOGLETRANSLATE(B8418,""id"",""en"")"),"['Thun', 'Telkomsel', 'Developing', 'Decreases', 'Signal', 'Weak', 'It', 'Dego', 'Stay', 'Change', 'Experienced']")</f>
        <v>['Thun', 'Telkomsel', 'Developing', 'Decreases', 'Signal', 'Weak', 'It', 'Dego', 'Stay', 'Change', 'Experienced']</v>
      </c>
      <c r="D8418" s="3">
        <v>1.0</v>
      </c>
    </row>
    <row r="8419" ht="15.75" customHeight="1">
      <c r="A8419" s="1">
        <v>9048.0</v>
      </c>
      <c r="B8419" s="3" t="s">
        <v>8091</v>
      </c>
      <c r="C8419" s="3" t="str">
        <f>IFERROR(__xludf.DUMMYFUNCTION("GOOGLETRANSLATE(B8419,""id"",""en"")"),"['signal', 'difficult', 'slow', '']")</f>
        <v>['signal', 'difficult', 'slow', '']</v>
      </c>
      <c r="D8419" s="3">
        <v>1.0</v>
      </c>
    </row>
    <row r="8420" ht="15.75" customHeight="1">
      <c r="A8420" s="1">
        <v>9049.0</v>
      </c>
      <c r="B8420" s="3" t="s">
        <v>8092</v>
      </c>
      <c r="C8420" s="3" t="str">
        <f>IFERROR(__xludf.DUMMYFUNCTION("GOOGLETRANSLATE(B8420,""id"",""en"")"),"['Good', 'fix', 'network', '']")</f>
        <v>['Good', 'fix', 'network', '']</v>
      </c>
      <c r="D8420" s="3">
        <v>5.0</v>
      </c>
    </row>
    <row r="8421" ht="15.75" customHeight="1">
      <c r="A8421" s="1">
        <v>9050.0</v>
      </c>
      <c r="B8421" s="3" t="s">
        <v>8093</v>
      </c>
      <c r="C8421" s="3" t="str">
        <f>IFERROR(__xludf.DUMMYFUNCTION("GOOGLETRANSLATE(B8421,""id"",""en"")"),"['yaaaa', 'forgiveness', 'chek', 'pulse', 'data', 'difficult', 'unclean', ""]")</f>
        <v>['yaaaa', 'forgiveness', 'chek', 'pulse', 'data', 'difficult', 'unclean', "]</v>
      </c>
      <c r="D8421" s="3">
        <v>1.0</v>
      </c>
    </row>
    <row r="8422" ht="15.75" customHeight="1">
      <c r="A8422" s="1">
        <v>9051.0</v>
      </c>
      <c r="B8422" s="3" t="s">
        <v>8094</v>
      </c>
      <c r="C8422" s="3" t="str">
        <f>IFERROR(__xludf.DUMMYFUNCTION("GOOGLETRANSLATE(B8422,""id"",""en"")"),"['buy', 'quota', 'entered', 'purchase', 'succeed', 'strange', 'what', 'min']")</f>
        <v>['buy', 'quota', 'entered', 'purchase', 'succeed', 'strange', 'what', 'min']</v>
      </c>
      <c r="D8422" s="3">
        <v>1.0</v>
      </c>
    </row>
    <row r="8423" ht="15.75" customHeight="1">
      <c r="A8423" s="1">
        <v>9052.0</v>
      </c>
      <c r="B8423" s="3" t="s">
        <v>8095</v>
      </c>
      <c r="C8423" s="3" t="str">
        <f>IFERROR(__xludf.DUMMYFUNCTION("GOOGLETRANSLATE(B8423,""id"",""en"")"),"['NGK', 'Cook', 'Fill', 'Package', 'A Day', 'Price', 'A Day', 'Already', 'Abis',' Ngk ',' Convenience ',' slow ',' Telkom ',' oath ',' Ngk ']")</f>
        <v>['NGK', 'Cook', 'Fill', 'Package', 'A Day', 'Price', 'A Day', 'Already', 'Abis',' Ngk ',' Convenience ',' slow ',' Telkom ',' oath ',' Ngk ']</v>
      </c>
      <c r="D8423" s="3">
        <v>1.0</v>
      </c>
    </row>
    <row r="8424" ht="15.75" customHeight="1">
      <c r="A8424" s="1">
        <v>9053.0</v>
      </c>
      <c r="B8424" s="3" t="s">
        <v>7145</v>
      </c>
      <c r="C8424" s="3" t="str">
        <f>IFERROR(__xludf.DUMMYFUNCTION("GOOGLETRANSLATE(B8424,""id"",""en"")"),"['Good', 'cheap']")</f>
        <v>['Good', 'cheap']</v>
      </c>
      <c r="D8424" s="3">
        <v>5.0</v>
      </c>
    </row>
    <row r="8425" ht="15.75" customHeight="1">
      <c r="A8425" s="1">
        <v>9054.0</v>
      </c>
      <c r="B8425" s="3" t="s">
        <v>8096</v>
      </c>
      <c r="C8425" s="3" t="str">
        <f>IFERROR(__xludf.DUMMYFUNCTION("GOOGLETRANSLATE(B8425,""id"",""en"")"),"['Telkomsel', 'The', 'Best', 'SERBA', 'EASY', 'SERBA', 'SERBA', 'CHEAP', '']")</f>
        <v>['Telkomsel', 'The', 'Best', 'SERBA', 'EASY', 'SERBA', 'SERBA', 'CHEAP', '']</v>
      </c>
      <c r="D8425" s="3">
        <v>5.0</v>
      </c>
    </row>
    <row r="8426" ht="15.75" customHeight="1">
      <c r="A8426" s="1">
        <v>9055.0</v>
      </c>
      <c r="B8426" s="3" t="s">
        <v>8097</v>
      </c>
      <c r="C8426" s="3" t="str">
        <f>IFERROR(__xludf.DUMMYFUNCTION("GOOGLETRANSLATE(B8426,""id"",""en"")"),"['Network', 'animal', 'rich', 'goat']")</f>
        <v>['Network', 'animal', 'rich', 'goat']</v>
      </c>
      <c r="D8426" s="3">
        <v>1.0</v>
      </c>
    </row>
    <row r="8427" ht="15.75" customHeight="1">
      <c r="A8427" s="1">
        <v>9056.0</v>
      </c>
      <c r="B8427" s="3" t="s">
        <v>8098</v>
      </c>
      <c r="C8427" s="3" t="str">
        <f>IFERROR(__xludf.DUMMYFUNCTION("GOOGLETRANSLATE(B8427,""id"",""en"")"),"['card', 'anjg', 'already', 'expensive', 'performance', 'beyond', 'urus', 'features', 'pepek', 'gaguna']")</f>
        <v>['card', 'anjg', 'already', 'expensive', 'performance', 'beyond', 'urus', 'features', 'pepek', 'gaguna']</v>
      </c>
      <c r="D8427" s="3">
        <v>1.0</v>
      </c>
    </row>
    <row r="8428" ht="15.75" customHeight="1">
      <c r="A8428" s="1">
        <v>9057.0</v>
      </c>
      <c r="B8428" s="3" t="s">
        <v>8099</v>
      </c>
      <c r="C8428" s="3" t="str">
        <f>IFERROR(__xludf.DUMMYFUNCTION("GOOGLETRANSLATE(B8428,""id"",""en"")"),"['Steady', 'obstacles', ""]")</f>
        <v>['Steady', 'obstacles', "]</v>
      </c>
      <c r="D8428" s="3">
        <v>5.0</v>
      </c>
    </row>
    <row r="8429" ht="15.75" customHeight="1">
      <c r="A8429" s="1">
        <v>9058.0</v>
      </c>
      <c r="B8429" s="3" t="s">
        <v>8100</v>
      </c>
      <c r="C8429" s="3" t="str">
        <f>IFERROR(__xludf.DUMMYFUNCTION("GOOGLETRANSLATE(B8429,""id"",""en"")"),"['Network', 'TPI', 'Medsos', 'Kaga', 'lifting']")</f>
        <v>['Network', 'TPI', 'Medsos', 'Kaga', 'lifting']</v>
      </c>
      <c r="D8429" s="3">
        <v>2.0</v>
      </c>
    </row>
    <row r="8430" ht="15.75" customHeight="1">
      <c r="A8430" s="1">
        <v>9059.0</v>
      </c>
      <c r="B8430" s="3" t="s">
        <v>5240</v>
      </c>
      <c r="C8430" s="3" t="str">
        <f>IFERROR(__xludf.DUMMYFUNCTION("GOOGLETRANSLATE(B8430,""id"",""en"")"),"['try']")</f>
        <v>['try']</v>
      </c>
      <c r="D8430" s="3">
        <v>4.0</v>
      </c>
    </row>
    <row r="8431" ht="15.75" customHeight="1">
      <c r="A8431" s="1">
        <v>9060.0</v>
      </c>
      <c r="B8431" s="3" t="s">
        <v>8101</v>
      </c>
      <c r="C8431" s="3" t="str">
        <f>IFERROR(__xludf.DUMMYFUNCTION("GOOGLETRANSLATE(B8431,""id"",""en"")"),"['monmaap', 'gave', 'rating', 'story', 'TDI', 'buy', 'pulse', 'buy', 'quota', 'buy', 'quota', 'pulses',' already ',' chick ',' tukan ',' ehhh ',' right ',' open ',' my apk ',' pulse ',' stay ',' rupiah ',' how ',' shocked ',' try ' , 'Download', 'APK', 'p"&amp;"ulse', 'safe', 'safe', 'wih', 'danger', 'application', 'like', 'suck', 'pulses',' person ',' So ',' gave ',' rating ',' events', 'ngelamin', 'friend', 'ngelamin', ""]")</f>
        <v>['monmaap', 'gave', 'rating', 'story', 'TDI', 'buy', 'pulse', 'buy', 'quota', 'buy', 'quota', 'pulses',' already ',' chick ',' tukan ',' ehhh ',' right ',' open ',' my apk ',' pulse ',' stay ',' rupiah ',' how ',' shocked ',' try ' , 'Download', 'APK', 'pulse', 'safe', 'safe', 'wih', 'danger', 'application', 'like', 'suck', 'pulses',' person ',' So ',' gave ',' rating ',' events', 'ngelamin', 'friend', 'ngelamin', "]</v>
      </c>
      <c r="D8431" s="3">
        <v>1.0</v>
      </c>
    </row>
    <row r="8432" ht="15.75" customHeight="1">
      <c r="A8432" s="1">
        <v>9061.0</v>
      </c>
      <c r="B8432" s="3" t="s">
        <v>8102</v>
      </c>
      <c r="C8432" s="3" t="str">
        <f>IFERROR(__xludf.DUMMYFUNCTION("GOOGLETRANSLATE(B8432,""id"",""en"")"),"['YouTube', 'access', 'package', 'unlimited', 'exciting']")</f>
        <v>['YouTube', 'access', 'package', 'unlimited', 'exciting']</v>
      </c>
      <c r="D8432" s="3">
        <v>3.0</v>
      </c>
    </row>
    <row r="8433" ht="15.75" customHeight="1">
      <c r="A8433" s="1">
        <v>9062.0</v>
      </c>
      <c r="B8433" s="3" t="s">
        <v>8103</v>
      </c>
      <c r="C8433" s="3" t="str">
        <f>IFERROR(__xludf.DUMMYFUNCTION("GOOGLETRANSLATE(B8433,""id"",""en"")"),"['Satisfied', 'service', 'Customer', 'Service', 'provided', 'application', 'Whats',' App ',' Complete ',' Customer ',' diiberi ',' restrictions', ' Trying ',' Minutes', 'Solution', 'Follow', 'Solution', 'TSB', 'SUCCESS', 'Disappointed', '']")</f>
        <v>['Satisfied', 'service', 'Customer', 'Service', 'provided', 'application', 'Whats',' App ',' Complete ',' Customer ',' diiberi ',' restrictions', ' Trying ',' Minutes', 'Solution', 'Follow', 'Solution', 'TSB', 'SUCCESS', 'Disappointed', '']</v>
      </c>
      <c r="D8433" s="3">
        <v>2.0</v>
      </c>
    </row>
    <row r="8434" ht="15.75" customHeight="1">
      <c r="A8434" s="1">
        <v>9063.0</v>
      </c>
      <c r="B8434" s="3" t="s">
        <v>8104</v>
      </c>
      <c r="C8434" s="3" t="str">
        <f>IFERROR(__xludf.DUMMYFUNCTION("GOOGLETRANSLATE(B8434,""id"",""en"")"),"['Love', 'gift', 'pulse', 'jt']")</f>
        <v>['Love', 'gift', 'pulse', 'jt']</v>
      </c>
      <c r="D8434" s="3">
        <v>5.0</v>
      </c>
    </row>
    <row r="8435" ht="15.75" customHeight="1">
      <c r="A8435" s="1">
        <v>9064.0</v>
      </c>
      <c r="B8435" s="3" t="s">
        <v>8105</v>
      </c>
      <c r="C8435" s="3" t="str">
        <f>IFERROR(__xludf.DUMMYFUNCTION("GOOGLETRANSLATE(B8435,""id"",""en"")"),"['Pas', 'Price', 'Kantel']")</f>
        <v>['Pas', 'Price', 'Kantel']</v>
      </c>
      <c r="D8435" s="3">
        <v>5.0</v>
      </c>
    </row>
    <row r="8436" ht="15.75" customHeight="1">
      <c r="A8436" s="1">
        <v>9065.0</v>
      </c>
      <c r="B8436" s="3" t="s">
        <v>8106</v>
      </c>
      <c r="C8436" s="3" t="str">
        <f>IFERROR(__xludf.DUMMYFUNCTION("GOOGLETRANSLATE(B8436,""id"",""en"")"),"['monitoring', 'according to', 'expected']")</f>
        <v>['monitoring', 'according to', 'expected']</v>
      </c>
      <c r="D8436" s="3">
        <v>3.0</v>
      </c>
    </row>
    <row r="8437" ht="15.75" customHeight="1">
      <c r="A8437" s="1">
        <v>9066.0</v>
      </c>
      <c r="B8437" s="3" t="s">
        <v>8107</v>
      </c>
      <c r="C8437" s="3" t="str">
        <f>IFERROR(__xludf.DUMMYFUNCTION("GOOGLETRANSLATE(B8437,""id"",""en"")"),"['Ngelus',' Where ',' oath ',' signal ',' slow ',' times', 'package', 'internet', 'taste', 'subscribe', 'at least', 'please', ' The connection ',' Region ',' Tangerang ',' Sewan ',' Fix ',' already ',' saturated ',' Kyk ',' Gini ',' Maap ',' Delicious', '"&amp;"hear', 'reality' , '']")</f>
        <v>['Ngelus',' Where ',' oath ',' signal ',' slow ',' times', 'package', 'internet', 'taste', 'subscribe', 'at least', 'please', ' The connection ',' Region ',' Tangerang ',' Sewan ',' Fix ',' already ',' saturated ',' Kyk ',' Gini ',' Maap ',' Delicious', 'hear', 'reality' , '']</v>
      </c>
      <c r="D8437" s="3">
        <v>1.0</v>
      </c>
    </row>
    <row r="8438" ht="15.75" customHeight="1">
      <c r="A8438" s="1">
        <v>9067.0</v>
      </c>
      <c r="B8438" s="3" t="s">
        <v>8108</v>
      </c>
      <c r="C8438" s="3" t="str">
        <f>IFERROR(__xludf.DUMMYFUNCTION("GOOGLETRANSLATE(B8438,""id"",""en"")"),"['Here', 'Signal', 'Telkomsel', 'NOT', 'Good', 'Jelekkkkkk', 'Rich', 'Dulkuu', 'Please', 'Explanation', 'Customer', 'Dear', ' Lohh ',' so ',' ']")</f>
        <v>['Here', 'Signal', 'Telkomsel', 'NOT', 'Good', 'Jelekkkkkk', 'Rich', 'Dulkuu', 'Please', 'Explanation', 'Customer', 'Dear', ' Lohh ',' so ',' ']</v>
      </c>
      <c r="D8438" s="3">
        <v>1.0</v>
      </c>
    </row>
    <row r="8439" ht="15.75" customHeight="1">
      <c r="A8439" s="1">
        <v>9068.0</v>
      </c>
      <c r="B8439" s="3" t="s">
        <v>8109</v>
      </c>
      <c r="C8439" s="3" t="str">
        <f>IFERROR(__xludf.DUMMYFUNCTION("GOOGLETRANSLATE(B8439,""id"",""en"")"),"['Kek', 'Taik', 'signal', 'disgust', 'me']")</f>
        <v>['Kek', 'Taik', 'signal', 'disgust', 'me']</v>
      </c>
      <c r="D8439" s="3">
        <v>1.0</v>
      </c>
    </row>
    <row r="8440" ht="15.75" customHeight="1">
      <c r="A8440" s="1">
        <v>9069.0</v>
      </c>
      <c r="B8440" s="3" t="s">
        <v>8110</v>
      </c>
      <c r="C8440" s="3" t="str">
        <f>IFERROR(__xludf.DUMMYFUNCTION("GOOGLETRANSLATE(B8440,""id"",""en"")"),"['Love', 'Bintang', 'Dlu', ""]")</f>
        <v>['Love', 'Bintang', 'Dlu', "]</v>
      </c>
      <c r="D8440" s="3">
        <v>2.0</v>
      </c>
    </row>
    <row r="8441" ht="15.75" customHeight="1">
      <c r="A8441" s="1">
        <v>9070.0</v>
      </c>
      <c r="B8441" s="3" t="s">
        <v>8111</v>
      </c>
      <c r="C8441" s="3" t="str">
        <f>IFERROR(__xludf.DUMMYFUNCTION("GOOGLETRANSLATE(B8441,""id"",""en"")"),"['pulses',' like ',' Sumpot ',' quota ',' Yesterday ',' pulse ',' Ludes', 'kuotak', 'please', 'fix', 'system', 'vinegar', ' Search ',' luck ',' ']")</f>
        <v>['pulses',' like ',' Sumpot ',' quota ',' Yesterday ',' pulse ',' Ludes', 'kuotak', 'please', 'fix', 'system', 'vinegar', ' Search ',' luck ',' ']</v>
      </c>
      <c r="D8441" s="3">
        <v>1.0</v>
      </c>
    </row>
    <row r="8442" ht="15.75" customHeight="1">
      <c r="A8442" s="1">
        <v>9071.0</v>
      </c>
      <c r="B8442" s="3" t="s">
        <v>8112</v>
      </c>
      <c r="C8442" s="3" t="str">
        <f>IFERROR(__xludf.DUMMYFUNCTION("GOOGLETRANSLATE(B8442,""id"",""en"")"),"['Add', 'Quota', 'Combo', 'Sakti', 'Cheap']")</f>
        <v>['Add', 'Quota', 'Combo', 'Sakti', 'Cheap']</v>
      </c>
      <c r="D8442" s="3">
        <v>5.0</v>
      </c>
    </row>
    <row r="8443" ht="15.75" customHeight="1">
      <c r="A8443" s="1">
        <v>9072.0</v>
      </c>
      <c r="B8443" s="3" t="s">
        <v>8113</v>
      </c>
      <c r="C8443" s="3" t="str">
        <f>IFERROR(__xludf.DUMMYFUNCTION("GOOGLETRANSLATE(B8443,""id"",""en"")"),"['Bener', 'min', 'signal', 'play', 'game', 'leg', 'already', 'quota', 'expensive', 'signal', 'leg', 'promo', ' Cheap ',' Nasbi ',' ']")</f>
        <v>['Bener', 'min', 'signal', 'play', 'game', 'leg', 'already', 'quota', 'expensive', 'signal', 'leg', 'promo', ' Cheap ',' Nasbi ',' ']</v>
      </c>
      <c r="D8443" s="3">
        <v>2.0</v>
      </c>
    </row>
    <row r="8444" ht="15.75" customHeight="1">
      <c r="A8444" s="1">
        <v>9073.0</v>
      </c>
      <c r="B8444" s="3" t="s">
        <v>8114</v>
      </c>
      <c r="C8444" s="3" t="str">
        <f>IFERROR(__xludf.DUMMYFUNCTION("GOOGLETRANSLATE(B8444,""id"",""en"")"),"['Telkomsel', 'in the future', 'bad', ""]")</f>
        <v>['Telkomsel', 'in the future', 'bad', "]</v>
      </c>
      <c r="D8444" s="3">
        <v>1.0</v>
      </c>
    </row>
    <row r="8445" ht="15.75" customHeight="1">
      <c r="A8445" s="1">
        <v>9074.0</v>
      </c>
      <c r="B8445" s="3" t="s">
        <v>8115</v>
      </c>
      <c r="C8445" s="3" t="str">
        <f>IFERROR(__xludf.DUMMYFUNCTION("GOOGLETRANSLATE(B8445,""id"",""en"")"),"['my apk', 'heart', 'happy', 'TPI', 'boong']")</f>
        <v>['my apk', 'heart', 'happy', 'TPI', 'boong']</v>
      </c>
      <c r="D8445" s="3">
        <v>5.0</v>
      </c>
    </row>
    <row r="8446" ht="15.75" customHeight="1">
      <c r="A8446" s="1">
        <v>9075.0</v>
      </c>
      <c r="B8446" s="3" t="s">
        <v>8116</v>
      </c>
      <c r="C8446" s="3" t="str">
        <f>IFERROR(__xludf.DUMMYFUNCTION("GOOGLETRANSLATE(B8446,""id"",""en"")"),"['expensive', 'price', 'package', 'data']")</f>
        <v>['expensive', 'price', 'package', 'data']</v>
      </c>
      <c r="D8446" s="3">
        <v>3.0</v>
      </c>
    </row>
    <row r="8447" ht="15.75" customHeight="1">
      <c r="A8447" s="1">
        <v>9077.0</v>
      </c>
      <c r="B8447" s="3" t="s">
        <v>8117</v>
      </c>
      <c r="C8447" s="3" t="str">
        <f>IFERROR(__xludf.DUMMYFUNCTION("GOOGLETRANSLATE(B8447,""id"",""en"")"),"['apk', 'process', 'package']")</f>
        <v>['apk', 'process', 'package']</v>
      </c>
      <c r="D8447" s="3">
        <v>1.0</v>
      </c>
    </row>
    <row r="8448" ht="15.75" customHeight="1">
      <c r="A8448" s="1">
        <v>9078.0</v>
      </c>
      <c r="B8448" s="3" t="s">
        <v>8118</v>
      </c>
      <c r="C8448" s="3" t="str">
        <f>IFERROR(__xludf.DUMMYFUNCTION("GOOGLETRANSLATE(B8448,""id"",""en"")"),"['Love', 'promo', 'quota', 'cheap', 'contents',' pulse ',' rb ',' contents', 'quota', 'already', 'customer', ' Stars', 'Fall', 'Poor', 'Do', 'Customer', 'Setia', '']")</f>
        <v>['Love', 'promo', 'quota', 'cheap', 'contents',' pulse ',' rb ',' contents', 'quota', 'already', 'customer', ' Stars', 'Fall', 'Poor', 'Do', 'Customer', 'Setia', '']</v>
      </c>
      <c r="D8448" s="3">
        <v>5.0</v>
      </c>
    </row>
    <row r="8449" ht="15.75" customHeight="1">
      <c r="A8449" s="1">
        <v>9079.0</v>
      </c>
      <c r="B8449" s="3" t="s">
        <v>2325</v>
      </c>
      <c r="C8449" s="3" t="str">
        <f>IFERROR(__xludf.DUMMYFUNCTION("GOOGLETRANSLATE(B8449,""id"",""en"")"),"['The network', 'ugly']")</f>
        <v>['The network', 'ugly']</v>
      </c>
      <c r="D8449" s="3">
        <v>1.0</v>
      </c>
    </row>
    <row r="8450" ht="15.75" customHeight="1">
      <c r="A8450" s="1">
        <v>9081.0</v>
      </c>
      <c r="B8450" s="3" t="s">
        <v>8119</v>
      </c>
      <c r="C8450" s="3" t="str">
        <f>IFERROR(__xludf.DUMMYFUNCTION("GOOGLETRANSLATE(B8450,""id"",""en"")"),"['Bonus', 'Bossku']")</f>
        <v>['Bonus', 'Bossku']</v>
      </c>
      <c r="D8450" s="3">
        <v>5.0</v>
      </c>
    </row>
    <row r="8451" ht="15.75" customHeight="1">
      <c r="A8451" s="1">
        <v>9082.0</v>
      </c>
      <c r="B8451" s="3" t="s">
        <v>8120</v>
      </c>
      <c r="C8451" s="3" t="str">
        <f>IFERROR(__xludf.DUMMYFUNCTION("GOOGLETRANSLATE(B8451,""id"",""en"")"),"['lag', 'truss', 'expensive', 'doang', 'network', 'kaga', 'stable', ""]")</f>
        <v>['lag', 'truss', 'expensive', 'doang', 'network', 'kaga', 'stable', "]</v>
      </c>
      <c r="D8451" s="3">
        <v>1.0</v>
      </c>
    </row>
    <row r="8452" ht="15.75" customHeight="1">
      <c r="A8452" s="1">
        <v>9083.0</v>
      </c>
      <c r="B8452" s="3" t="s">
        <v>8121</v>
      </c>
      <c r="C8452" s="3" t="str">
        <f>IFERROR(__xludf.DUMMYFUNCTION("GOOGLETRANSLATE(B8452,""id"",""en"")"),"['area', 'portsite', 'freeport', 'knp', 'slow', 'streaming', 'SLL', 'buffering', 'distance', 'tower', 'meter', 'location', ' Please ',' check ',' friend ',' no ',' complaining ', ""]")</f>
        <v>['area', 'portsite', 'freeport', 'knp', 'slow', 'streaming', 'SLL', 'buffering', 'distance', 'tower', 'meter', 'location', ' Please ',' check ',' friend ',' no ',' complaining ', "]</v>
      </c>
      <c r="D8452" s="3">
        <v>3.0</v>
      </c>
    </row>
    <row r="8453" ht="15.75" customHeight="1">
      <c r="A8453" s="1">
        <v>9084.0</v>
      </c>
      <c r="B8453" s="3" t="s">
        <v>8122</v>
      </c>
      <c r="C8453" s="3" t="str">
        <f>IFERROR(__xludf.DUMMYFUNCTION("GOOGLETRANSLATE(B8453,""id"",""en"")"),"['Package', 'complete']")</f>
        <v>['Package', 'complete']</v>
      </c>
      <c r="D8453" s="3">
        <v>4.0</v>
      </c>
    </row>
    <row r="8454" ht="15.75" customHeight="1">
      <c r="A8454" s="1">
        <v>9085.0</v>
      </c>
      <c r="B8454" s="3" t="s">
        <v>8123</v>
      </c>
      <c r="C8454" s="3" t="str">
        <f>IFERROR(__xludf.DUMMYFUNCTION("GOOGLETRANSLATE(B8454,""id"",""en"")"),"['Signal', 'kek', 'package', 'quota', 'expensive', 'expensive']")</f>
        <v>['Signal', 'kek', 'package', 'quota', 'expensive', 'expensive']</v>
      </c>
      <c r="D8454" s="3">
        <v>1.0</v>
      </c>
    </row>
    <row r="8455" ht="15.75" customHeight="1">
      <c r="A8455" s="1">
        <v>9086.0</v>
      </c>
      <c r="B8455" s="3" t="s">
        <v>8124</v>
      </c>
      <c r="C8455" s="3" t="str">
        <f>IFERROR(__xludf.DUMMYFUNCTION("GOOGLETRANSLATE(B8455,""id"",""en"")"),"['anjg', 'tekomsel', 'leg', 'signal', 'anjg', 'really', 'tlol', 'expensive', 'doang', 'signal', 'leg', 'kntle', ' Mending ',' anjg ',' tekomsel ',' ']")</f>
        <v>['anjg', 'tekomsel', 'leg', 'signal', 'anjg', 'really', 'tlol', 'expensive', 'doang', 'signal', 'leg', 'kntle', ' Mending ',' anjg ',' tekomsel ',' ']</v>
      </c>
      <c r="D8455" s="3">
        <v>1.0</v>
      </c>
    </row>
    <row r="8456" ht="15.75" customHeight="1">
      <c r="A8456" s="1">
        <v>9087.0</v>
      </c>
      <c r="B8456" s="3" t="s">
        <v>8125</v>
      </c>
      <c r="C8456" s="3" t="str">
        <f>IFERROR(__xludf.DUMMYFUNCTION("GOOGLETRANSLATE(B8456,""id"",""en"")"),"['hope', 'convenience']")</f>
        <v>['hope', 'convenience']</v>
      </c>
      <c r="D8456" s="3">
        <v>5.0</v>
      </c>
    </row>
    <row r="8457" ht="15.75" customHeight="1">
      <c r="A8457" s="1">
        <v>9088.0</v>
      </c>
      <c r="B8457" s="3" t="s">
        <v>8126</v>
      </c>
      <c r="C8457" s="3" t="str">
        <f>IFERROR(__xludf.DUMMYFUNCTION("GOOGLETRANSLATE(B8457,""id"",""en"")"),"['Made', 'mainstay', 'ugly', 'fix', 'donk', 'drizzle', 'little', 'rotten', 'network']")</f>
        <v>['Made', 'mainstay', 'ugly', 'fix', 'donk', 'drizzle', 'little', 'rotten', 'network']</v>
      </c>
      <c r="D8457" s="3">
        <v>1.0</v>
      </c>
    </row>
    <row r="8458" ht="15.75" customHeight="1">
      <c r="A8458" s="1">
        <v>9089.0</v>
      </c>
      <c r="B8458" s="3" t="s">
        <v>8127</v>
      </c>
      <c r="C8458" s="3" t="str">
        <f>IFERROR(__xludf.DUMMYFUNCTION("GOOGLETRANSLATE(B8458,""id"",""en"")"),"['woi', 'network', 'kaukek', 'ngeapain', 'expensive', 'ngtod']")</f>
        <v>['woi', 'network', 'kaukek', 'ngeapain', 'expensive', 'ngtod']</v>
      </c>
      <c r="D8458" s="3">
        <v>1.0</v>
      </c>
    </row>
    <row r="8459" ht="15.75" customHeight="1">
      <c r="A8459" s="1">
        <v>9090.0</v>
      </c>
      <c r="B8459" s="3" t="s">
        <v>8128</v>
      </c>
      <c r="C8459" s="3" t="str">
        <f>IFERROR(__xludf.DUMMYFUNCTION("GOOGLETRANSLATE(B8459,""id"",""en"")"),"['purchase', 'package', 'data', 'expensive', 'signal', 'internet', 'lost']")</f>
        <v>['purchase', 'package', 'data', 'expensive', 'signal', 'internet', 'lost']</v>
      </c>
      <c r="D8459" s="3">
        <v>1.0</v>
      </c>
    </row>
    <row r="8460" ht="15.75" customHeight="1">
      <c r="A8460" s="1">
        <v>9091.0</v>
      </c>
      <c r="B8460" s="3" t="s">
        <v>8129</v>
      </c>
      <c r="C8460" s="3" t="str">
        <f>IFERROR(__xludf.DUMMYFUNCTION("GOOGLETRANSLATE(B8460,""id"",""en"")"),"['user', 'Not bad', ""]")</f>
        <v>['user', 'Not bad', "]</v>
      </c>
      <c r="D8460" s="3">
        <v>4.0</v>
      </c>
    </row>
    <row r="8461" ht="15.75" customHeight="1">
      <c r="A8461" s="1">
        <v>9093.0</v>
      </c>
      <c r="B8461" s="3" t="s">
        <v>8130</v>
      </c>
      <c r="C8461" s="3" t="str">
        <f>IFERROR(__xludf.DUMMYFUNCTION("GOOGLETRANSLATE(B8461,""id"",""en"")"),"['Buseeet', 'Signal', 'Good', 'Good', 'Feelings', 'Forest', '']")</f>
        <v>['Buseeet', 'Signal', 'Good', 'Good', 'Feelings', 'Forest', '']</v>
      </c>
      <c r="D8461" s="3">
        <v>3.0</v>
      </c>
    </row>
    <row r="8462" ht="15.75" customHeight="1">
      <c r="A8462" s="1">
        <v>9094.0</v>
      </c>
      <c r="B8462" s="3" t="s">
        <v>8131</v>
      </c>
      <c r="C8462" s="3" t="str">
        <f>IFERROR(__xludf.DUMMYFUNCTION("GOOGLETRANSLATE(B8462,""id"",""en"")"),"['Telkom', 'KSNI', 'Jalas', 'pulses', 'Abis', ""]")</f>
        <v>['Telkom', 'KSNI', 'Jalas', 'pulses', 'Abis', "]</v>
      </c>
      <c r="D8462" s="3">
        <v>1.0</v>
      </c>
    </row>
    <row r="8463" ht="15.75" customHeight="1">
      <c r="A8463" s="1">
        <v>9095.0</v>
      </c>
      <c r="B8463" s="3" t="s">
        <v>8132</v>
      </c>
      <c r="C8463" s="3" t="str">
        <f>IFERROR(__xludf.DUMMYFUNCTION("GOOGLETRANSLATE(B8463,""id"",""en"")"),"['Often', 'promo']")</f>
        <v>['Often', 'promo']</v>
      </c>
      <c r="D8463" s="3">
        <v>5.0</v>
      </c>
    </row>
    <row r="8464" ht="15.75" customHeight="1">
      <c r="A8464" s="1">
        <v>9096.0</v>
      </c>
      <c r="B8464" s="3" t="s">
        <v>8133</v>
      </c>
      <c r="C8464" s="3" t="str">
        <f>IFERROR(__xludf.DUMMYFUNCTION("GOOGLETRANSLATE(B8464,""id"",""en"")"),"['Uda', 'Telkomsel', 'feel', 'price', 'package', 'heavy', 'pandemic', 'otw', 'move', 'gini', 'then']")</f>
        <v>['Uda', 'Telkomsel', 'feel', 'price', 'package', 'heavy', 'pandemic', 'otw', 'move', 'gini', 'then']</v>
      </c>
      <c r="D8464" s="3">
        <v>1.0</v>
      </c>
    </row>
    <row r="8465" ht="15.75" customHeight="1">
      <c r="A8465" s="1">
        <v>9097.0</v>
      </c>
      <c r="B8465" s="3" t="s">
        <v>8134</v>
      </c>
      <c r="C8465" s="3" t="str">
        <f>IFERROR(__xludf.DUMMYFUNCTION("GOOGLETRANSLATE(B8465,""id"",""en"")"),"['slow', 'really', 'yaa', 'no', 'open', 'sosmed', 'loading', 'forgiveness',' kek ',' goa ',' fans', 'manchester', ' United ',' ']")</f>
        <v>['slow', 'really', 'yaa', 'no', 'open', 'sosmed', 'loading', 'forgiveness',' kek ',' goa ',' fans', 'manchester', ' United ',' ']</v>
      </c>
      <c r="D8465" s="3">
        <v>1.0</v>
      </c>
    </row>
    <row r="8466" ht="15.75" customHeight="1">
      <c r="A8466" s="1">
        <v>9098.0</v>
      </c>
      <c r="B8466" s="3" t="s">
        <v>8135</v>
      </c>
      <c r="C8466" s="3" t="str">
        <f>IFERROR(__xludf.DUMMYFUNCTION("GOOGLETRANSLATE(B8466,""id"",""en"")"),"['Cool', 'Original', 'Application', 'Good']")</f>
        <v>['Cool', 'Original', 'Application', 'Good']</v>
      </c>
      <c r="D8466" s="3">
        <v>5.0</v>
      </c>
    </row>
    <row r="8467" ht="15.75" customHeight="1">
      <c r="A8467" s="1">
        <v>9099.0</v>
      </c>
      <c r="B8467" s="3" t="s">
        <v>8136</v>
      </c>
      <c r="C8467" s="3" t="str">
        <f>IFERROR(__xludf.DUMMYFUNCTION("GOOGLETRANSLATE(B8467,""id"",""en"")"),"['Telkomsel', 'Bagua', 'Likeaa', 'Thank', 'Love', 'Telkomsel']")</f>
        <v>['Telkomsel', 'Bagua', 'Likeaa', 'Thank', 'Love', 'Telkomsel']</v>
      </c>
      <c r="D8467" s="3">
        <v>5.0</v>
      </c>
    </row>
    <row r="8468" ht="15.75" customHeight="1">
      <c r="A8468" s="1">
        <v>9100.0</v>
      </c>
      <c r="B8468" s="3" t="s">
        <v>8137</v>
      </c>
      <c r="C8468" s="3" t="str">
        <f>IFERROR(__xludf.DUMMYFUNCTION("GOOGLETRANSLATE(B8468,""id"",""en"")"),"['Telkomsel', 'network', 'top', 'deh', 'use it', 'complaint', ""]")</f>
        <v>['Telkomsel', 'network', 'top', 'deh', 'use it', 'complaint', "]</v>
      </c>
      <c r="D8468" s="3">
        <v>5.0</v>
      </c>
    </row>
    <row r="8469" ht="15.75" customHeight="1">
      <c r="A8469" s="1">
        <v>9101.0</v>
      </c>
      <c r="B8469" s="3" t="s">
        <v>8138</v>
      </c>
      <c r="C8469" s="3" t="str">
        <f>IFERROR(__xludf.DUMMYFUNCTION("GOOGLETRANSLATE(B8469,""id"",""en"")"),"['crazy', 'update', 'update', '']")</f>
        <v>['crazy', 'update', 'update', '']</v>
      </c>
      <c r="D8469" s="3">
        <v>1.0</v>
      </c>
    </row>
    <row r="8470" ht="15.75" customHeight="1">
      <c r="A8470" s="1">
        <v>9102.0</v>
      </c>
      <c r="B8470" s="3" t="s">
        <v>8139</v>
      </c>
      <c r="C8470" s="3" t="str">
        <f>IFERROR(__xludf.DUMMYFUNCTION("GOOGLETRANSLATE(B8470,""id"",""en"")"),"['Sinyall', 'Telkomsel', 'already', 'rich', 'again', 'ugly', 'really', 'please', 'Restore', 'Sinyall', 'rich', 'again', ' BIRR ',' Disappointed ',' Move ',' Card ',' Card ']")</f>
        <v>['Sinyall', 'Telkomsel', 'already', 'rich', 'again', 'ugly', 'really', 'please', 'Restore', 'Sinyall', 'rich', 'again', ' BIRR ',' Disappointed ',' Move ',' Card ',' Card ']</v>
      </c>
      <c r="D8470" s="3">
        <v>1.0</v>
      </c>
    </row>
    <row r="8471" ht="15.75" customHeight="1">
      <c r="A8471" s="1">
        <v>9103.0</v>
      </c>
      <c r="B8471" s="3" t="s">
        <v>8140</v>
      </c>
      <c r="C8471" s="3" t="str">
        <f>IFERROR(__xludf.DUMMYFUNCTION("GOOGLETRANSLATE(B8471,""id"",""en"")"),"['nomer', 'pakek', 'sympathy', 'region', 'Surabaya', 'signal', 'bad', 'oath', 'please', 'sympathy', 'fix', 'jaringnny', ' Kagak ',' Soak ', ""]")</f>
        <v>['nomer', 'pakek', 'sympathy', 'region', 'Surabaya', 'signal', 'bad', 'oath', 'please', 'sympathy', 'fix', 'jaringnny', ' Kagak ',' Soak ', "]</v>
      </c>
      <c r="D8471" s="3">
        <v>1.0</v>
      </c>
    </row>
    <row r="8472" ht="15.75" customHeight="1">
      <c r="A8472" s="1">
        <v>9104.0</v>
      </c>
      <c r="B8472" s="3" t="s">
        <v>6229</v>
      </c>
      <c r="C8472" s="3" t="str">
        <f>IFERROR(__xludf.DUMMYFUNCTION("GOOGLETRANSLATE(B8472,""id"",""en"")"),"['Steady', 'fast']")</f>
        <v>['Steady', 'fast']</v>
      </c>
      <c r="D8472" s="3">
        <v>5.0</v>
      </c>
    </row>
    <row r="8473" ht="15.75" customHeight="1">
      <c r="A8473" s="1">
        <v>9105.0</v>
      </c>
      <c r="B8473" s="3" t="s">
        <v>1352</v>
      </c>
      <c r="C8473" s="3" t="str">
        <f>IFERROR(__xludf.DUMMYFUNCTION("GOOGLETRANSLATE(B8473,""id"",""en"")"),"['']")</f>
        <v>['']</v>
      </c>
      <c r="D8473" s="3">
        <v>5.0</v>
      </c>
    </row>
    <row r="8474" ht="15.75" customHeight="1">
      <c r="A8474" s="1">
        <v>9106.0</v>
      </c>
      <c r="B8474" s="3" t="s">
        <v>8141</v>
      </c>
      <c r="C8474" s="3" t="str">
        <f>IFERROR(__xludf.DUMMYFUNCTION("GOOGLETRANSLATE(B8474,""id"",""en"")"),"['Maximize', 'Network']")</f>
        <v>['Maximize', 'Network']</v>
      </c>
      <c r="D8474" s="3">
        <v>5.0</v>
      </c>
    </row>
    <row r="8475" ht="15.75" customHeight="1">
      <c r="A8475" s="1">
        <v>9107.0</v>
      </c>
      <c r="B8475" s="3" t="s">
        <v>8142</v>
      </c>
      <c r="C8475" s="3" t="str">
        <f>IFERROR(__xludf.DUMMYFUNCTION("GOOGLETRANSLATE(B8475,""id"",""en"")"),"['signal', 'slow', 'Bali', 'Telkomsel', 'Come', 'Citizens',' Bali ',' Rame ',' Rame ',' Move ',' Provider ',' Proven ',' good']")</f>
        <v>['signal', 'slow', 'Bali', 'Telkomsel', 'Come', 'Citizens',' Bali ',' Rame ',' Rame ',' Move ',' Provider ',' Proven ',' good']</v>
      </c>
      <c r="D8475" s="3">
        <v>1.0</v>
      </c>
    </row>
    <row r="8476" ht="15.75" customHeight="1">
      <c r="A8476" s="1">
        <v>9108.0</v>
      </c>
      <c r="B8476" s="3" t="s">
        <v>8143</v>
      </c>
      <c r="C8476" s="3" t="str">
        <f>IFERROR(__xludf.DUMMYFUNCTION("GOOGLETRANSLATE(B8476,""id"",""en"")"),"['Service', 'Best', 'Features', 'Interesting', 'Mantab', 'Please', 'Increase', 'Wetting', 'Network', 'Internet', 'Region', ""]")</f>
        <v>['Service', 'Best', 'Features', 'Interesting', 'Mantab', 'Please', 'Increase', 'Wetting', 'Network', 'Internet', 'Region', "]</v>
      </c>
      <c r="D8476" s="3">
        <v>5.0</v>
      </c>
    </row>
    <row r="8477" ht="15.75" customHeight="1">
      <c r="A8477" s="1">
        <v>9109.0</v>
      </c>
      <c r="B8477" s="3" t="s">
        <v>8144</v>
      </c>
      <c r="C8477" s="3" t="str">
        <f>IFERROR(__xludf.DUMMYFUNCTION("GOOGLETRANSLATE(B8477,""id"",""en"")"),"['Telkomsel', 'interference', 'continuous', 'data', 'buy', 'expensive', 'expensive', 'quality', 'low']")</f>
        <v>['Telkomsel', 'interference', 'continuous', 'data', 'buy', 'expensive', 'expensive', 'quality', 'low']</v>
      </c>
      <c r="D8477" s="3">
        <v>1.0</v>
      </c>
    </row>
    <row r="8478" ht="15.75" customHeight="1">
      <c r="A8478" s="1">
        <v>9110.0</v>
      </c>
      <c r="B8478" s="3" t="s">
        <v>8145</v>
      </c>
      <c r="C8478" s="3" t="str">
        <f>IFERROR(__xludf.DUMMYFUNCTION("GOOGLETRANSLATE(B8478,""id"",""en"")"),"['Sometimes', 'Sinyalllll', 'Ngilance', '']")</f>
        <v>['Sometimes', 'Sinyalllll', 'Ngilance', '']</v>
      </c>
      <c r="D8478" s="3">
        <v>3.0</v>
      </c>
    </row>
    <row r="8479" ht="15.75" customHeight="1">
      <c r="A8479" s="1">
        <v>9111.0</v>
      </c>
      <c r="B8479" s="3" t="s">
        <v>8146</v>
      </c>
      <c r="C8479" s="3" t="str">
        <f>IFERROR(__xludf.DUMMYFUNCTION("GOOGLETRANSLATE(B8479,""id"",""en"")"),"['signal', 'Telkomsel', 'village', 'kertanegara', 'sub-district', 'kertanegara', 'district', 'purbalingg', 'jawa', 'jeeleeekkk', 'skallliiiii', '']")</f>
        <v>['signal', 'Telkomsel', 'village', 'kertanegara', 'sub-district', 'kertanegara', 'district', 'purbalingg', 'jawa', 'jeeleeekkk', 'skallliiiii', '']</v>
      </c>
      <c r="D8479" s="3">
        <v>1.0</v>
      </c>
    </row>
    <row r="8480" ht="15.75" customHeight="1">
      <c r="A8480" s="1">
        <v>9113.0</v>
      </c>
      <c r="B8480" s="3" t="s">
        <v>8147</v>
      </c>
      <c r="C8480" s="3" t="str">
        <f>IFERROR(__xludf.DUMMYFUNCTION("GOOGLETRANSLATE(B8480,""id"",""en"")"),"['Help', 'combo', 'Sakti', 'easy', 'in the future', 'price', 'cheap']")</f>
        <v>['Help', 'combo', 'Sakti', 'easy', 'in the future', 'price', 'cheap']</v>
      </c>
      <c r="D8480" s="3">
        <v>5.0</v>
      </c>
    </row>
    <row r="8481" ht="15.75" customHeight="1">
      <c r="A8481" s="1">
        <v>9114.0</v>
      </c>
      <c r="B8481" s="3" t="s">
        <v>8148</v>
      </c>
      <c r="C8481" s="3" t="str">
        <f>IFERROR(__xludf.DUMMYFUNCTION("GOOGLETRANSLATE(B8481,""id"",""en"")"),"['Supports', 'Need']")</f>
        <v>['Supports', 'Need']</v>
      </c>
      <c r="D8481" s="3">
        <v>5.0</v>
      </c>
    </row>
    <row r="8482" ht="15.75" customHeight="1">
      <c r="A8482" s="1">
        <v>9115.0</v>
      </c>
      <c r="B8482" s="3" t="s">
        <v>8149</v>
      </c>
      <c r="C8482" s="3" t="str">
        <f>IFERROR(__xludf.DUMMYFUNCTION("GOOGLETRANSLATE(B8482,""id"",""en"")"),"['Satan', 'basic', 'soul', 'Koropsy', 'eyes', 'money', 'voucher', 'game', 'demon', 'baaabiiiii']")</f>
        <v>['Satan', 'basic', 'soul', 'Koropsy', 'eyes', 'money', 'voucher', 'game', 'demon', 'baaabiiiii']</v>
      </c>
      <c r="D8482" s="3">
        <v>1.0</v>
      </c>
    </row>
    <row r="8483" ht="15.75" customHeight="1">
      <c r="A8483" s="1">
        <v>9116.0</v>
      </c>
      <c r="B8483" s="3" t="s">
        <v>8150</v>
      </c>
      <c r="C8483" s="3" t="str">
        <f>IFERROR(__xludf.DUMMYFUNCTION("GOOGLETRANSLATE(B8483,""id"",""en"")"),"['Network', 'Severe', 'Bener', 'Jeleeeek', 'bangs']")</f>
        <v>['Network', 'Severe', 'Bener', 'Jeleeeek', 'bangs']</v>
      </c>
      <c r="D8483" s="3">
        <v>1.0</v>
      </c>
    </row>
    <row r="8484" ht="15.75" customHeight="1">
      <c r="A8484" s="1">
        <v>9117.0</v>
      </c>
      <c r="B8484" s="3" t="s">
        <v>8151</v>
      </c>
      <c r="C8484" s="3" t="str">
        <f>IFERROR(__xludf.DUMMYFUNCTION("GOOGLETRANSLATE(B8484,""id"",""en"")"),"['credit', 'Telkomsel', 'please']")</f>
        <v>['credit', 'Telkomsel', 'please']</v>
      </c>
      <c r="D8484" s="3">
        <v>1.0</v>
      </c>
    </row>
    <row r="8485" ht="15.75" customHeight="1">
      <c r="A8485" s="1">
        <v>9118.0</v>
      </c>
      <c r="B8485" s="3" t="s">
        <v>8152</v>
      </c>
      <c r="C8485" s="3" t="str">
        <f>IFERROR(__xludf.DUMMYFUNCTION("GOOGLETRANSLATE(B8485,""id"",""en"")"),"['Use', 'pulse', 'promo', 'reduced', 'troubling']")</f>
        <v>['Use', 'pulse', 'promo', 'reduced', 'troubling']</v>
      </c>
      <c r="D8485" s="3">
        <v>1.0</v>
      </c>
    </row>
    <row r="8486" ht="15.75" customHeight="1">
      <c r="A8486" s="1">
        <v>9119.0</v>
      </c>
      <c r="B8486" s="3" t="s">
        <v>8153</v>
      </c>
      <c r="C8486" s="3" t="str">
        <f>IFERROR(__xludf.DUMMYFUNCTION("GOOGLETRANSLATE(B8486,""id"",""en"")"),"['Telkomsel', 'card', 'gives',' reward ',' loyalty ',' customer ',' customer ',' price ',' package ',' data ',' increasingly ',' expensive ',' compounded ',' connection ',' stable ',' different ',' signal ',' stable ',' translucent ',' dlm ',' room ',' fu"&amp;"ll ',' wall ',' basemant ',' update ' , 'Application', 'Lola', 'really', 'Application', 'Wrong', 'Door', 'Telkomsel', 'Profit', 'Customer', ""]")</f>
        <v>['Telkomsel', 'card', 'gives',' reward ',' loyalty ',' customer ',' customer ',' price ',' package ',' data ',' increasingly ',' expensive ',' compounded ',' connection ',' stable ',' different ',' signal ',' stable ',' translucent ',' dlm ',' room ',' full ',' wall ',' basemant ',' update ' , 'Application', 'Lola', 'really', 'Application', 'Wrong', 'Door', 'Telkomsel', 'Profit', 'Customer', "]</v>
      </c>
      <c r="D8486" s="3">
        <v>1.0</v>
      </c>
    </row>
    <row r="8487" ht="15.75" customHeight="1">
      <c r="A8487" s="1">
        <v>9121.0</v>
      </c>
      <c r="B8487" s="3" t="s">
        <v>8154</v>
      </c>
      <c r="C8487" s="3" t="str">
        <f>IFERROR(__xludf.DUMMYFUNCTION("GOOGLETRANSLATE(B8487,""id"",""en"")"),"['Syh', 'like']")</f>
        <v>['Syh', 'like']</v>
      </c>
      <c r="D8487" s="3">
        <v>5.0</v>
      </c>
    </row>
    <row r="8488" ht="15.75" customHeight="1">
      <c r="A8488" s="1">
        <v>9122.0</v>
      </c>
      <c r="B8488" s="3" t="s">
        <v>8155</v>
      </c>
      <c r="C8488" s="3" t="str">
        <f>IFERROR(__xludf.DUMMYFUNCTION("GOOGLETRANSLATE(B8488,""id"",""en"")"),"['wowww', 'mantappp', 'network', 'good', 'telkomsel', 'makasi', 'bosquee', 'greetings', 'gee', 'gii']")</f>
        <v>['wowww', 'mantappp', 'network', 'good', 'telkomsel', 'makasi', 'bosquee', 'greetings', 'gee', 'gii']</v>
      </c>
      <c r="D8488" s="3">
        <v>5.0</v>
      </c>
    </row>
    <row r="8489" ht="15.75" customHeight="1">
      <c r="A8489" s="1">
        <v>9124.0</v>
      </c>
      <c r="B8489" s="3" t="s">
        <v>8156</v>
      </c>
      <c r="C8489" s="3" t="str">
        <f>IFERROR(__xludf.DUMMYFUNCTION("GOOGLETRANSLATE(B8489,""id"",""en"")"),"['Nek', 'Udan', 'Ngelag', 'Nek', 'Bengi', 'Ngelag', 'Wind', 'Banter', 'Ngelag', 'Network', ""]")</f>
        <v>['Nek', 'Udan', 'Ngelag', 'Nek', 'Bengi', 'Ngelag', 'Wind', 'Banter', 'Ngelag', 'Network', "]</v>
      </c>
      <c r="D8489" s="3">
        <v>1.0</v>
      </c>
    </row>
    <row r="8490" ht="15.75" customHeight="1">
      <c r="A8490" s="1">
        <v>9125.0</v>
      </c>
      <c r="B8490" s="3" t="s">
        <v>8157</v>
      </c>
      <c r="C8490" s="3" t="str">
        <f>IFERROR(__xludf.DUMMYFUNCTION("GOOGLETRANSLATE(B8490,""id"",""en"")"),"['Disappointed', 'really', 'list', 'application', 'Telkomsel', 'gabisa', 'min', 'told', 'entry', 'try', 'tetep', 'no' Confused ',' Gara ',' in ',' application ',' already ',' card ',' try ',' entry ',' ttp ',' card ',' gabisa ',' what ',' min ' , 'try', '"&amp;"buy', 'package', 'application', 'gabisa', 'entry', 'gara', 'account', 'telkomsel', 'how', 'miinn', 'just', ' Doang ',' Rich ',' Gini ',' ']")</f>
        <v>['Disappointed', 'really', 'list', 'application', 'Telkomsel', 'gabisa', 'min', 'told', 'entry', 'try', 'tetep', 'no' Confused ',' Gara ',' in ',' application ',' already ',' card ',' try ',' entry ',' ttp ',' card ',' gabisa ',' what ',' min ' , 'try', 'buy', 'package', 'application', 'gabisa', 'entry', 'gara', 'account', 'telkomsel', 'how', 'miinn', 'just', ' Doang ',' Rich ',' Gini ',' ']</v>
      </c>
      <c r="D8490" s="3">
        <v>1.0</v>
      </c>
    </row>
    <row r="8491" ht="15.75" customHeight="1">
      <c r="A8491" s="1">
        <v>9126.0</v>
      </c>
      <c r="B8491" s="3" t="s">
        <v>8158</v>
      </c>
      <c r="C8491" s="3" t="str">
        <f>IFERROR(__xludf.DUMMYFUNCTION("GOOGLETRANSLATE(B8491,""id"",""en"")"),"['The application', 'good', 'health']")</f>
        <v>['The application', 'good', 'health']</v>
      </c>
      <c r="D8491" s="3">
        <v>5.0</v>
      </c>
    </row>
    <row r="8492" ht="15.75" customHeight="1">
      <c r="A8492" s="1">
        <v>9127.0</v>
      </c>
      <c r="B8492" s="3" t="s">
        <v>8159</v>
      </c>
      <c r="C8492" s="3" t="str">
        <f>IFERROR(__xludf.DUMMYFUNCTION("GOOGLETRANSLATE(B8492,""id"",""en"")"),"['Please', 'Package', 'Swadaya', 'subscribe', 'Package', 'Swadaya', 'Gojek', 'Thank', 'Love']")</f>
        <v>['Please', 'Package', 'Swadaya', 'subscribe', 'Package', 'Swadaya', 'Gojek', 'Thank', 'Love']</v>
      </c>
      <c r="D8492" s="3">
        <v>5.0</v>
      </c>
    </row>
    <row r="8493" ht="15.75" customHeight="1">
      <c r="A8493" s="1">
        <v>9128.0</v>
      </c>
      <c r="B8493" s="3" t="s">
        <v>8160</v>
      </c>
      <c r="C8493" s="3" t="str">
        <f>IFERROR(__xludf.DUMMYFUNCTION("GOOGLETRANSLATE(B8493,""id"",""en"")"),"['Tuker', 'Points',' Prizes', 'Engineering', 'Point', 'Customers',' Reduced ',' Getting ',' Signal ',' Down ',' Pakek ',' Except ',' Stayed ',' Dipepay ',' Naturally ', ""]")</f>
        <v>['Tuker', 'Points',' Prizes', 'Engineering', 'Point', 'Customers',' Reduced ',' Getting ',' Signal ',' Down ',' Pakek ',' Except ',' Stayed ',' Dipepay ',' Naturally ', "]</v>
      </c>
      <c r="D8493" s="3">
        <v>2.0</v>
      </c>
    </row>
    <row r="8494" ht="15.75" customHeight="1">
      <c r="A8494" s="1">
        <v>9129.0</v>
      </c>
      <c r="B8494" s="3" t="s">
        <v>8161</v>
      </c>
      <c r="C8494" s="3" t="str">
        <f>IFERROR(__xludf.DUMMYFUNCTION("GOOGLETRANSLATE(B8494,""id"",""en"")"),"['Telkomsel', 'anjinkkk', 'signal', 'slow', 'asw', 'regret', 'buy', 'Telkomsel']")</f>
        <v>['Telkomsel', 'anjinkkk', 'signal', 'slow', 'asw', 'regret', 'buy', 'Telkomsel']</v>
      </c>
      <c r="D8494" s="3">
        <v>1.0</v>
      </c>
    </row>
    <row r="8495" ht="15.75" customHeight="1">
      <c r="A8495" s="1">
        <v>9130.0</v>
      </c>
      <c r="B8495" s="3" t="s">
        <v>8162</v>
      </c>
      <c r="C8495" s="3" t="str">
        <f>IFERROR(__xludf.DUMMYFUNCTION("GOOGLETRANSLATE(B8495,""id"",""en"")"),"['Please', 'Network', 'Strengthen', 'Lost', 'Lai']")</f>
        <v>['Please', 'Network', 'Strengthen', 'Lost', 'Lai']</v>
      </c>
      <c r="D8495" s="3">
        <v>3.0</v>
      </c>
    </row>
    <row r="8496" ht="15.75" customHeight="1">
      <c r="A8496" s="1">
        <v>9131.0</v>
      </c>
      <c r="B8496" s="3" t="s">
        <v>1352</v>
      </c>
      <c r="C8496" s="3" t="str">
        <f>IFERROR(__xludf.DUMMYFUNCTION("GOOGLETRANSLATE(B8496,""id"",""en"")"),"['']")</f>
        <v>['']</v>
      </c>
      <c r="D8496" s="3">
        <v>5.0</v>
      </c>
    </row>
    <row r="8497" ht="15.75" customHeight="1">
      <c r="A8497" s="1">
        <v>9133.0</v>
      </c>
      <c r="B8497" s="3" t="s">
        <v>8163</v>
      </c>
      <c r="C8497" s="3" t="str">
        <f>IFERROR(__xludf.DUMMYFUNCTION("GOOGLETRANSLATE(B8497,""id"",""en"")"),"['Telkomsel', 'counting', 'clock', 'cook', 'list', 'package', 'daily', 'list', 'after', 'magrib', 'endless',' clock ',' malem ',' name ',' list ',' clock ',' clock ',' run out ',' clock ',' count ',' fooling ',' right ']")</f>
        <v>['Telkomsel', 'counting', 'clock', 'cook', 'list', 'package', 'daily', 'list', 'after', 'magrib', 'endless',' clock ',' malem ',' name ',' list ',' clock ',' clock ',' run out ',' clock ',' count ',' fooling ',' right ']</v>
      </c>
      <c r="D8497" s="3">
        <v>1.0</v>
      </c>
    </row>
    <row r="8498" ht="15.75" customHeight="1">
      <c r="A8498" s="1">
        <v>9134.0</v>
      </c>
      <c r="B8498" s="3" t="s">
        <v>8164</v>
      </c>
      <c r="C8498" s="3" t="str">
        <f>IFERROR(__xludf.DUMMYFUNCTION("GOOGLETRANSLATE(B8498,""id"",""en"")"),"['', 'Package', 'YouTube', 'no', 'unlimited', 'how', 'intention', 'unlimited', 'no', 'leftover', 'pulse', 'directly', 'stuffed ',' teach ',' really ',' Dikata ',' buy ',' pulse ',' leaves', 'lap', 'unlimited', 'unlimited', 'youtube', 'noli', 'unli', 'The "&amp;"reason', 'duh', 'sorry', 'pulse', 'chopped', 'customer', 'angry', 'customer', 'moved', 'card', ""]")</f>
        <v>['', 'Package', 'YouTube', 'no', 'unlimited', 'how', 'intention', 'unlimited', 'no', 'leftover', 'pulse', 'directly', 'stuffed ',' teach ',' really ',' Dikata ',' buy ',' pulse ',' leaves', 'lap', 'unlimited', 'unlimited', 'youtube', 'noli', 'unli', 'The reason', 'duh', 'sorry', 'pulse', 'chopped', 'customer', 'angry', 'customer', 'moved', 'card', "]</v>
      </c>
      <c r="D8498" s="3">
        <v>1.0</v>
      </c>
    </row>
    <row r="8499" ht="15.75" customHeight="1">
      <c r="A8499" s="1">
        <v>9135.0</v>
      </c>
      <c r="B8499" s="3" t="s">
        <v>8165</v>
      </c>
      <c r="C8499" s="3" t="str">
        <f>IFERROR(__xludf.DUMMYFUNCTION("GOOGLETRANSLATE(B8499,""id"",""en"")"),"['Pliss', 'Telkomsel', 'out', 'Redem', 'Diamond', 'Free', 'Fire', ""]")</f>
        <v>['Pliss', 'Telkomsel', 'out', 'Redem', 'Diamond', 'Free', 'Fire', "]</v>
      </c>
      <c r="D8499" s="3">
        <v>4.0</v>
      </c>
    </row>
    <row r="8500" ht="15.75" customHeight="1">
      <c r="A8500" s="1">
        <v>9136.0</v>
      </c>
      <c r="B8500" s="3" t="s">
        <v>8166</v>
      </c>
      <c r="C8500" s="3" t="str">
        <f>IFERROR(__xludf.DUMMYFUNCTION("GOOGLETRANSLATE(B8500,""id"",""en"")"),"['Lost', 'signal']")</f>
        <v>['Lost', 'signal']</v>
      </c>
      <c r="D8500" s="3">
        <v>2.0</v>
      </c>
    </row>
    <row r="8501" ht="15.75" customHeight="1">
      <c r="A8501" s="1">
        <v>9137.0</v>
      </c>
      <c r="B8501" s="3" t="s">
        <v>8167</v>
      </c>
      <c r="C8501" s="3" t="str">
        <f>IFERROR(__xludf.DUMMYFUNCTION("GOOGLETRANSLATE(B8501,""id"",""en"")"),"['Steady', 'love', 'promo']")</f>
        <v>['Steady', 'love', 'promo']</v>
      </c>
      <c r="D8501" s="3">
        <v>4.0</v>
      </c>
    </row>
    <row r="8502" ht="15.75" customHeight="1">
      <c r="A8502" s="1">
        <v>9138.0</v>
      </c>
      <c r="B8502" s="3" t="s">
        <v>8168</v>
      </c>
      <c r="C8502" s="3" t="str">
        <f>IFERROR(__xludf.DUMMYFUNCTION("GOOGLETRANSLATE(B8502,""id"",""en"")"),"['card', 'expensive', '']")</f>
        <v>['card', 'expensive', '']</v>
      </c>
      <c r="D8502" s="3">
        <v>3.0</v>
      </c>
    </row>
    <row r="8503" ht="15.75" customHeight="1">
      <c r="A8503" s="1">
        <v>9139.0</v>
      </c>
      <c r="B8503" s="3" t="s">
        <v>8169</v>
      </c>
      <c r="C8503" s="3" t="str">
        <f>IFERROR(__xludf.DUMMYFUNCTION("GOOGLETRANSLATE(B8503,""id"",""en"")"),"['a day', 'package', 'process',' active ',' package ',' active ',' as a result ',' pulse ',' kepake ',' tariff ',' non ',' package ',' Contact ',' Customer ',' Service ',' Problem ',' Solving ',' Please ',' Repaired ',' System ',' Information ', ""]")</f>
        <v>['a day', 'package', 'process',' active ',' package ',' active ',' as a result ',' pulse ',' kepake ',' tariff ',' non ',' package ',' Contact ',' Customer ',' Service ',' Problem ',' Solving ',' Please ',' Repaired ',' System ',' Information ', "]</v>
      </c>
      <c r="D8503" s="3">
        <v>2.0</v>
      </c>
    </row>
    <row r="8504" ht="15.75" customHeight="1">
      <c r="A8504" s="1">
        <v>9140.0</v>
      </c>
      <c r="B8504" s="3" t="s">
        <v>8170</v>
      </c>
      <c r="C8504" s="3" t="str">
        <f>IFERROR(__xludf.DUMMYFUNCTION("GOOGLETRANSLATE(B8504,""id"",""en"")"),"['', 'Telkomsel', 'best', 'darling', 'price', 'package', 'expensive', 'cheap']")</f>
        <v>['', 'Telkomsel', 'best', 'darling', 'price', 'package', 'expensive', 'cheap']</v>
      </c>
      <c r="D8504" s="3">
        <v>4.0</v>
      </c>
    </row>
    <row r="8505" ht="15.75" customHeight="1">
      <c r="A8505" s="1">
        <v>9141.0</v>
      </c>
      <c r="B8505" s="3" t="s">
        <v>8171</v>
      </c>
      <c r="C8505" s="3" t="str">
        <f>IFERROR(__xludf.DUMMYFUNCTION("GOOGLETRANSLATE(B8505,""id"",""en"")"),"['expensive', 'affordable', 'approaching', 'provider', 'class',' affordable ',' community ',' middle ',' down ',' community ',' poor ',' thank you ',' Telkomsel ']")</f>
        <v>['expensive', 'affordable', 'approaching', 'provider', 'class',' affordable ',' community ',' middle ',' down ',' community ',' poor ',' thank you ',' Telkomsel ']</v>
      </c>
      <c r="D8505" s="3">
        <v>1.0</v>
      </c>
    </row>
    <row r="8506" ht="15.75" customHeight="1">
      <c r="A8506" s="1">
        <v>9142.0</v>
      </c>
      <c r="B8506" s="3" t="s">
        <v>8172</v>
      </c>
      <c r="C8506" s="3" t="str">
        <f>IFERROR(__xludf.DUMMYFUNCTION("GOOGLETRANSLATE(B8506,""id"",""en"")"),"['Provider', 'Telkomsel', 'here', 'signal', 'slow', 'game', 'stable', 'down', 'ping', 'please', 'fold', 'city']")</f>
        <v>['Provider', 'Telkomsel', 'here', 'signal', 'slow', 'game', 'stable', 'down', 'ping', 'please', 'fold', 'city']</v>
      </c>
      <c r="D8506" s="3">
        <v>4.0</v>
      </c>
    </row>
    <row r="8507" ht="15.75" customHeight="1">
      <c r="A8507" s="1">
        <v>9143.0</v>
      </c>
      <c r="B8507" s="3" t="s">
        <v>8173</v>
      </c>
      <c r="C8507" s="3" t="str">
        <f>IFERROR(__xludf.DUMMYFUNCTION("GOOGLETRANSLATE(B8507,""id"",""en"")"),"['Steady', 'fast', 'process', 'vain', 'loyal', 'Telkomsel', ""]")</f>
        <v>['Steady', 'fast', 'process', 'vain', 'loyal', 'Telkomsel', "]</v>
      </c>
      <c r="D8507" s="3">
        <v>5.0</v>
      </c>
    </row>
    <row r="8508" ht="15.75" customHeight="1">
      <c r="A8508" s="1">
        <v>9144.0</v>
      </c>
      <c r="B8508" s="3" t="s">
        <v>8174</v>
      </c>
      <c r="C8508" s="3" t="str">
        <f>IFERROR(__xludf.DUMMYFUNCTION("GOOGLETRANSLATE(B8508,""id"",""en"")"),"['knapa', 'Telkomsel', 'blind', 'difficult', 'bite', 'shark', 'cable', 'network', 'difficult', 'communication', 'family', 'home']")</f>
        <v>['knapa', 'Telkomsel', 'blind', 'difficult', 'bite', 'shark', 'cable', 'network', 'difficult', 'communication', 'family', 'home']</v>
      </c>
      <c r="D8508" s="3">
        <v>2.0</v>
      </c>
    </row>
    <row r="8509" ht="15.75" customHeight="1">
      <c r="A8509" s="1">
        <v>9145.0</v>
      </c>
      <c r="B8509" s="3" t="s">
        <v>8175</v>
      </c>
      <c r="C8509" s="3" t="str">
        <f>IFERROR(__xludf.DUMMYFUNCTION("GOOGLETRANSLATE(B8509,""id"",""en"")"),"['Sorry', 'Sis', 'Buy', 'Credit', 'Try', 'Try', 'Ngak', 'Please', 'Reply', 'Subscription']")</f>
        <v>['Sorry', 'Sis', 'Buy', 'Credit', 'Try', 'Try', 'Ngak', 'Please', 'Reply', 'Subscription']</v>
      </c>
      <c r="D8509" s="3">
        <v>1.0</v>
      </c>
    </row>
    <row r="8510" ht="15.75" customHeight="1">
      <c r="A8510" s="1">
        <v>9146.0</v>
      </c>
      <c r="B8510" s="3" t="s">
        <v>8176</v>
      </c>
      <c r="C8510" s="3" t="str">
        <f>IFERROR(__xludf.DUMMYFUNCTION("GOOGLETRANSLATE(B8510,""id"",""en"")"),"['alkhamdulillah', 'application', 'difficult', 'easy', ""]")</f>
        <v>['alkhamdulillah', 'application', 'difficult', 'easy', "]</v>
      </c>
      <c r="D8510" s="3">
        <v>5.0</v>
      </c>
    </row>
    <row r="8511" ht="15.75" customHeight="1">
      <c r="A8511" s="1">
        <v>9147.0</v>
      </c>
      <c r="B8511" s="3" t="s">
        <v>8177</v>
      </c>
      <c r="C8511" s="3" t="str">
        <f>IFERROR(__xludf.DUMMYFUNCTION("GOOGLETRANSLATE(B8511,""id"",""en"")"),"['Telkomsel', 'The network', 'Anti', 'LUP', 'LEP']")</f>
        <v>['Telkomsel', 'The network', 'Anti', 'LUP', 'LEP']</v>
      </c>
      <c r="D8511" s="3">
        <v>5.0</v>
      </c>
    </row>
    <row r="8512" ht="15.75" customHeight="1">
      <c r="A8512" s="1">
        <v>9148.0</v>
      </c>
      <c r="B8512" s="3" t="s">
        <v>8178</v>
      </c>
      <c r="C8512" s="3" t="str">
        <f>IFERROR(__xludf.DUMMYFUNCTION("GOOGLETRANSLATE(B8512,""id"",""en"")"),"['Service', 'App', 'oldaaa', 'bangetttt', 'clock', 'already', 'waiting', 'until', 'now', 'belom', 'bales',' what ',' Telkomsel ',' repay ',' ugly ',' ']")</f>
        <v>['Service', 'App', 'oldaaa', 'bangetttt', 'clock', 'already', 'waiting', 'until', 'now', 'belom', 'bales',' what ',' Telkomsel ',' repay ',' ugly ',' ']</v>
      </c>
      <c r="D8512" s="3">
        <v>1.0</v>
      </c>
    </row>
    <row r="8513" ht="15.75" customHeight="1">
      <c r="A8513" s="1">
        <v>9150.0</v>
      </c>
      <c r="B8513" s="3" t="s">
        <v>8179</v>
      </c>
      <c r="C8513" s="3" t="str">
        <f>IFERROR(__xludf.DUMMYFUNCTION("GOOGLETRANSLATE(B8513,""id"",""en"")"),"['TLG', 'repair', 'connection', 'internet', 'shy', 'high school', 'Pedana', 'laen', 'expensive', 'mslh', 'package', 'TPI', ' signal ',' boss']")</f>
        <v>['TLG', 'repair', 'connection', 'internet', 'shy', 'high school', 'Pedana', 'laen', 'expensive', 'mslh', 'package', 'TPI', ' signal ',' boss']</v>
      </c>
      <c r="D8513" s="3">
        <v>1.0</v>
      </c>
    </row>
    <row r="8514" ht="15.75" customHeight="1">
      <c r="A8514" s="1">
        <v>9151.0</v>
      </c>
      <c r="B8514" s="3" t="s">
        <v>8180</v>
      </c>
      <c r="C8514" s="3" t="str">
        <f>IFERROR(__xludf.DUMMYFUNCTION("GOOGLETRANSLATE(B8514,""id"",""en"")"),"['emng', 'card', 'Telkomsel', 'good', 'network', 'expensive', 'guarantee', 'satisfaction', 'user', 'Telkomsel', 'good', 'luck', ' ']")</f>
        <v>['emng', 'card', 'Telkomsel', 'good', 'network', 'expensive', 'guarantee', 'satisfaction', 'user', 'Telkomsel', 'good', 'luck', ' ']</v>
      </c>
      <c r="D8514" s="3">
        <v>5.0</v>
      </c>
    </row>
    <row r="8515" ht="15.75" customHeight="1">
      <c r="A8515" s="1">
        <v>9152.0</v>
      </c>
      <c r="B8515" s="3" t="s">
        <v>8181</v>
      </c>
      <c r="C8515" s="3" t="str">
        <f>IFERROR(__xludf.DUMMYFUNCTION("GOOGLETRANSLATE(B8515,""id"",""en"")"),"['Severe', 'Error', 'Gara', 'APL', 'Please', 'Fix', 'Min', ""]")</f>
        <v>['Severe', 'Error', 'Gara', 'APL', 'Please', 'Fix', 'Min', "]</v>
      </c>
      <c r="D8515" s="3">
        <v>1.0</v>
      </c>
    </row>
    <row r="8516" ht="15.75" customHeight="1">
      <c r="A8516" s="1">
        <v>9153.0</v>
      </c>
      <c r="B8516" s="3" t="s">
        <v>8182</v>
      </c>
      <c r="C8516" s="3" t="str">
        <f>IFERROR(__xludf.DUMMYFUNCTION("GOOGLETRANSLATE(B8516,""id"",""en"")"),"['', 'buy', 'package', 'internet', 'enter', 'method', 'payment', 'link', 'ovo', 'entry', 'package', 'internet', 'sampek ',' proof ',' suskses', 'transaction', 'link', 'ovo', 'please', 'help', 'thank you', ""]")</f>
        <v>['', 'buy', 'package', 'internet', 'enter', 'method', 'payment', 'link', 'ovo', 'entry', 'package', 'internet', 'sampek ',' proof ',' suskses', 'transaction', 'link', 'ovo', 'please', 'help', 'thank you', "]</v>
      </c>
      <c r="D8516" s="3">
        <v>1.0</v>
      </c>
    </row>
    <row r="8517" ht="15.75" customHeight="1">
      <c r="A8517" s="1">
        <v>9154.0</v>
      </c>
      <c r="B8517" s="3" t="s">
        <v>8183</v>
      </c>
      <c r="C8517" s="3" t="str">
        <f>IFERROR(__xludf.DUMMYFUNCTION("GOOGLETRANSLATE(B8517,""id"",""en"")"),"['Msih', 'Nyoba', 'Ntar', 'Good', 'LGI', 'Bintang', '']")</f>
        <v>['Msih', 'Nyoba', 'Ntar', 'Good', 'LGI', 'Bintang', '']</v>
      </c>
      <c r="D8517" s="3">
        <v>2.0</v>
      </c>
    </row>
    <row r="8518" ht="15.75" customHeight="1">
      <c r="A8518" s="1">
        <v>9155.0</v>
      </c>
      <c r="B8518" s="3" t="s">
        <v>8184</v>
      </c>
      <c r="C8518" s="3" t="str">
        <f>IFERROR(__xludf.DUMMYFUNCTION("GOOGLETRANSLATE(B8518,""id"",""en"")"),"['signal', 'tightened']")</f>
        <v>['signal', 'tightened']</v>
      </c>
      <c r="D8518" s="3">
        <v>5.0</v>
      </c>
    </row>
    <row r="8519" ht="15.75" customHeight="1">
      <c r="A8519" s="1">
        <v>9156.0</v>
      </c>
      <c r="B8519" s="3" t="s">
        <v>8185</v>
      </c>
      <c r="C8519" s="3" t="str">
        <f>IFERROR(__xludf.DUMMYFUNCTION("GOOGLETRANSLATE(B8519,""id"",""en"")"),"['star', 'klu', 'good', '']")</f>
        <v>['star', 'klu', 'good', '']</v>
      </c>
      <c r="D8519" s="3">
        <v>4.0</v>
      </c>
    </row>
    <row r="8520" ht="15.75" customHeight="1">
      <c r="A8520" s="1">
        <v>9157.0</v>
      </c>
      <c r="B8520" s="3" t="s">
        <v>8186</v>
      </c>
      <c r="C8520" s="3" t="str">
        <f>IFERROR(__xludf.DUMMYFUNCTION("GOOGLETRANSLATE(B8520,""id"",""en"")"),"['in my opinion', 'application', 'good', 'please', 'separated', 'data', 'internet', 'pulse', 'data', 'internet', 'user', 'run out', ' Credit ',' Take ',' Kasian ',' Already ',' Content ',' Credit ',' Instant ',' After ',' Thanks', 'Terimacash']")</f>
        <v>['in my opinion', 'application', 'good', 'please', 'separated', 'data', 'internet', 'pulse', 'data', 'internet', 'user', 'run out', ' Credit ',' Take ',' Kasian ',' Already ',' Content ',' Credit ',' Instant ',' After ',' Thanks', 'Terimacash']</v>
      </c>
      <c r="D8520" s="3">
        <v>3.0</v>
      </c>
    </row>
    <row r="8521" ht="15.75" customHeight="1">
      <c r="A8521" s="1">
        <v>9158.0</v>
      </c>
      <c r="B8521" s="3" t="s">
        <v>8187</v>
      </c>
      <c r="C8521" s="3" t="str">
        <f>IFERROR(__xludf.DUMMYFUNCTION("GOOGLETRANSLATE(B8521,""id"",""en"")"),"['network', 'internet', 'Telkomsel', 'slow', 'price', 'quota', 'expensive', 'used', 'at the same time', 'good', 'open', 'village', ' Hard ',' signal ',' slow ',' requested ',' Telkomsel ',' fix it ',' ']")</f>
        <v>['network', 'internet', 'Telkomsel', 'slow', 'price', 'quota', 'expensive', 'used', 'at the same time', 'good', 'open', 'village', ' Hard ',' signal ',' slow ',' requested ',' Telkomsel ',' fix it ',' ']</v>
      </c>
      <c r="D8521" s="3">
        <v>1.0</v>
      </c>
    </row>
    <row r="8522" ht="15.75" customHeight="1">
      <c r="A8522" s="1">
        <v>9159.0</v>
      </c>
      <c r="B8522" s="3" t="s">
        <v>2510</v>
      </c>
      <c r="C8522" s="3" t="str">
        <f>IFERROR(__xludf.DUMMYFUNCTION("GOOGLETRANSLATE(B8522,""id"",""en"")"),"['Make it easier']")</f>
        <v>['Make it easier']</v>
      </c>
      <c r="D8522" s="3">
        <v>5.0</v>
      </c>
    </row>
    <row r="8523" ht="15.75" customHeight="1">
      <c r="A8523" s="1">
        <v>9160.0</v>
      </c>
      <c r="B8523" s="3" t="s">
        <v>8188</v>
      </c>
      <c r="C8523" s="3" t="str">
        <f>IFERROR(__xludf.DUMMYFUNCTION("GOOGLETRANSLATE(B8523,""id"",""en"")"),"['Good', 'week', 'signal', 'strong']")</f>
        <v>['Good', 'week', 'signal', 'strong']</v>
      </c>
      <c r="D8523" s="3">
        <v>5.0</v>
      </c>
    </row>
    <row r="8524" ht="15.75" customHeight="1">
      <c r="A8524" s="1">
        <v>9161.0</v>
      </c>
      <c r="B8524" s="3" t="s">
        <v>8189</v>
      </c>
      <c r="C8524" s="3" t="str">
        <f>IFERROR(__xludf.DUMMYFUNCTION("GOOGLETRANSLATE(B8524,""id"",""en"")"),"['Verification', 'enter', 'Jagngan', 'Dnonlod', 'Methodem including', 'Disorders',' Rai ',' Narrow ',' Kayak ',' Orng ',' Crazy ',' intention ',' APK ',' ']")</f>
        <v>['Verification', 'enter', 'Jagngan', 'Dnonlod', 'Methodem including', 'Disorders',' Rai ',' Narrow ',' Kayak ',' Orng ',' Crazy ',' intention ',' APK ',' ']</v>
      </c>
      <c r="D8524" s="3">
        <v>1.0</v>
      </c>
    </row>
    <row r="8525" ht="15.75" customHeight="1">
      <c r="A8525" s="1">
        <v>9162.0</v>
      </c>
      <c r="B8525" s="3" t="s">
        <v>7444</v>
      </c>
      <c r="C8525" s="3" t="str">
        <f>IFERROR(__xludf.DUMMYFUNCTION("GOOGLETRANSLATE(B8525,""id"",""en"")"),"['try']")</f>
        <v>['try']</v>
      </c>
      <c r="D8525" s="3">
        <v>1.0</v>
      </c>
    </row>
    <row r="8526" ht="15.75" customHeight="1">
      <c r="A8526" s="1">
        <v>9163.0</v>
      </c>
      <c r="B8526" s="3" t="s">
        <v>8190</v>
      </c>
      <c r="C8526" s="3" t="str">
        <f>IFERROR(__xludf.DUMMYFUNCTION("GOOGLETRANSLATE(B8526,""id"",""en"")"),"['MyTelkomsel', 'Understanding', 'Needed', 'Improving', 'Performance', 'Wait', 'MyTelkomsel', 'Appear', 'Practical', 'Update', 'Page', 'Main', ' Simple ',' easy ',' ']")</f>
        <v>['MyTelkomsel', 'Understanding', 'Needed', 'Improving', 'Performance', 'Wait', 'MyTelkomsel', 'Appear', 'Practical', 'Update', 'Page', 'Main', ' Simple ',' easy ',' ']</v>
      </c>
      <c r="D8526" s="3">
        <v>5.0</v>
      </c>
    </row>
    <row r="8527" ht="15.75" customHeight="1">
      <c r="A8527" s="1">
        <v>9164.0</v>
      </c>
      <c r="B8527" s="3" t="s">
        <v>8191</v>
      </c>
      <c r="C8527" s="3" t="str">
        <f>IFERROR(__xludf.DUMMYFUNCTION("GOOGLETRANSLATE(B8527,""id"",""en"")"),"['right', 'buy', 'package', 'constrained', 'connection', 'internet', 'good', 'good', 'internet']")</f>
        <v>['right', 'buy', 'package', 'constrained', 'connection', 'internet', 'good', 'good', 'internet']</v>
      </c>
      <c r="D8527" s="3">
        <v>1.0</v>
      </c>
    </row>
    <row r="8528" ht="15.75" customHeight="1">
      <c r="A8528" s="1">
        <v>9165.0</v>
      </c>
      <c r="B8528" s="3" t="s">
        <v>8192</v>
      </c>
      <c r="C8528" s="3" t="str">
        <f>IFERROR(__xludf.DUMMYFUNCTION("GOOGLETRANSLATE(B8528,""id"",""en"")"),"['GMANA', 'signal', 'ilang', 'Mulu', 'buy', 'package', 'UDH', 'KEK', 'Gini', 'ilang', 'JLS', 'really', ' Telkomsel ']")</f>
        <v>['GMANA', 'signal', 'ilang', 'Mulu', 'buy', 'package', 'UDH', 'KEK', 'Gini', 'ilang', 'JLS', 'really', ' Telkomsel ']</v>
      </c>
      <c r="D8528" s="3">
        <v>1.0</v>
      </c>
    </row>
    <row r="8529" ht="15.75" customHeight="1">
      <c r="A8529" s="1">
        <v>9166.0</v>
      </c>
      <c r="B8529" s="3" t="s">
        <v>8193</v>
      </c>
      <c r="C8529" s="3" t="str">
        <f>IFERROR(__xludf.DUMMYFUNCTION("GOOGLETRANSLATE(B8529,""id"",""en"")"),"['Telkomsel', 'Package', 'Game', 'Max', 'Package', 'Unlimeted', 'YouTube', 'Come on', 'subscribe', 'Telkomsek', 'subscribe', 'smpai', ' skarang ']")</f>
        <v>['Telkomsel', 'Package', 'Game', 'Max', 'Package', 'Unlimeted', 'YouTube', 'Come on', 'subscribe', 'Telkomsek', 'subscribe', 'smpai', ' skarang ']</v>
      </c>
      <c r="D8529" s="3">
        <v>1.0</v>
      </c>
    </row>
    <row r="8530" ht="15.75" customHeight="1">
      <c r="A8530" s="1">
        <v>9167.0</v>
      </c>
      <c r="B8530" s="3" t="s">
        <v>8194</v>
      </c>
      <c r="C8530" s="3" t="str">
        <f>IFERROR(__xludf.DUMMYFUNCTION("GOOGLETRANSLATE(B8530,""id"",""en"")"),"['The application', 'slow', 'really', 'cuy', 'loading', 'already', 'kayak', 'ngeeload', 'game']")</f>
        <v>['The application', 'slow', 'really', 'cuy', 'loading', 'already', 'kayak', 'ngeeload', 'game']</v>
      </c>
      <c r="D8530" s="3">
        <v>1.0</v>
      </c>
    </row>
    <row r="8531" ht="15.75" customHeight="1">
      <c r="A8531" s="1">
        <v>9168.0</v>
      </c>
      <c r="B8531" s="3" t="s">
        <v>8195</v>
      </c>
      <c r="C8531" s="3" t="str">
        <f>IFERROR(__xludf.DUMMYFUNCTION("GOOGLETRANSLATE(B8531,""id"",""en"")"),"['steady', 'pkok', 'hope', 'in the future', 'improved', 'additional', 'features', 'success', '']")</f>
        <v>['steady', 'pkok', 'hope', 'in the future', 'improved', 'additional', 'features', 'success', '']</v>
      </c>
      <c r="D8531" s="3">
        <v>5.0</v>
      </c>
    </row>
    <row r="8532" ht="15.75" customHeight="1">
      <c r="A8532" s="1">
        <v>9169.0</v>
      </c>
      <c r="B8532" s="3" t="s">
        <v>8196</v>
      </c>
      <c r="C8532" s="3" t="str">
        <f>IFERROR(__xludf.DUMMYFUNCTION("GOOGLETRANSLATE(B8532,""id"",""en"")"),"['application', 'error', 'writing', 'MyTelkomsel', 'responding', 'please', 'repaired', 'thank', 'love']")</f>
        <v>['application', 'error', 'writing', 'MyTelkomsel', 'responding', 'please', 'repaired', 'thank', 'love']</v>
      </c>
      <c r="D8532" s="3">
        <v>3.0</v>
      </c>
    </row>
    <row r="8533" ht="15.75" customHeight="1">
      <c r="A8533" s="1">
        <v>9170.0</v>
      </c>
      <c r="B8533" s="3" t="s">
        <v>8197</v>
      </c>
      <c r="C8533" s="3" t="str">
        <f>IFERROR(__xludf.DUMMYFUNCTION("GOOGLETRANSLATE(B8533,""id"",""en"")"),"['Bener', 'named', 'Provider', 'Plat', 'Red', 'Bener', 'Sihh', 'Tower', 'Napa', 'Signal', 'ugly', 'Yahh', ' near ',' tower ',' signal ',' why ',' mimin ',' love ',' explanation ',' ']")</f>
        <v>['Bener', 'named', 'Provider', 'Plat', 'Red', 'Bener', 'Sihh', 'Tower', 'Napa', 'Signal', 'ugly', 'Yahh', ' near ',' tower ',' signal ',' why ',' mimin ',' love ',' explanation ',' ']</v>
      </c>
      <c r="D8533" s="3">
        <v>1.0</v>
      </c>
    </row>
    <row r="8534" ht="15.75" customHeight="1">
      <c r="A8534" s="1">
        <v>9171.0</v>
      </c>
      <c r="B8534" s="3" t="s">
        <v>8198</v>
      </c>
      <c r="C8534" s="3" t="str">
        <f>IFERROR(__xludf.DUMMYFUNCTION("GOOGLETRANSLATE(B8534,""id"",""en"")"),"['Feature', 'okay', 'complete']")</f>
        <v>['Feature', 'okay', 'complete']</v>
      </c>
      <c r="D8534" s="3">
        <v>5.0</v>
      </c>
    </row>
    <row r="8535" ht="15.75" customHeight="1">
      <c r="A8535" s="1">
        <v>9172.0</v>
      </c>
      <c r="B8535" s="3" t="s">
        <v>8199</v>
      </c>
      <c r="C8535" s="3" t="str">
        <f>IFERROR(__xludf.DUMMYFUNCTION("GOOGLETRANSLATE(B8535,""id"",""en"")"),"['Price', 'package', 'expensive', 'quota', 'usage', 'quota', 'price', 'at home', 'already', 'indihome', ""]")</f>
        <v>['Price', 'package', 'expensive', 'quota', 'usage', 'quota', 'price', 'at home', 'already', 'indihome', "]</v>
      </c>
      <c r="D8535" s="3">
        <v>1.0</v>
      </c>
    </row>
    <row r="8536" ht="15.75" customHeight="1">
      <c r="A8536" s="1">
        <v>9173.0</v>
      </c>
      <c r="B8536" s="3" t="s">
        <v>8200</v>
      </c>
      <c r="C8536" s="3" t="str">
        <f>IFERROR(__xludf.DUMMYFUNCTION("GOOGLETRANSLATE(B8536,""id"",""en"")"),"['Network', 'Telkomsel', 'Region', 'Subdistrict', 'Makmur', 'County', 'Bireun', 'Service', 'just', ""]")</f>
        <v>['Network', 'Telkomsel', 'Region', 'Subdistrict', 'Makmur', 'County', 'Bireun', 'Service', 'just', "]</v>
      </c>
      <c r="D8536" s="3">
        <v>5.0</v>
      </c>
    </row>
    <row r="8537" ht="15.75" customHeight="1">
      <c r="A8537" s="1">
        <v>9174.0</v>
      </c>
      <c r="B8537" s="3" t="s">
        <v>8201</v>
      </c>
      <c r="C8537" s="3" t="str">
        <f>IFERROR(__xludf.DUMMYFUNCTION("GOOGLETRANSLATE(B8537,""id"",""en"")"),"['lack of', 'price', 'package']")</f>
        <v>['lack of', 'price', 'package']</v>
      </c>
      <c r="D8537" s="3">
        <v>3.0</v>
      </c>
    </row>
    <row r="8538" ht="15.75" customHeight="1">
      <c r="A8538" s="1">
        <v>9175.0</v>
      </c>
      <c r="B8538" s="3" t="s">
        <v>8202</v>
      </c>
      <c r="C8538" s="3" t="str">
        <f>IFERROR(__xludf.DUMMYFUNCTION("GOOGLETRANSLATE(B8538,""id"",""en"")"),"['try', 'hope', 'good', '']")</f>
        <v>['try', 'hope', 'good', '']</v>
      </c>
      <c r="D8538" s="3">
        <v>3.0</v>
      </c>
    </row>
    <row r="8539" ht="15.75" customHeight="1">
      <c r="A8539" s="1">
        <v>9176.0</v>
      </c>
      <c r="B8539" s="3" t="s">
        <v>8203</v>
      </c>
      <c r="C8539" s="3" t="str">
        <f>IFERROR(__xludf.DUMMYFUNCTION("GOOGLETRANSLATE(B8539,""id"",""en"")"),"['Sorry', 'ratings',' package ',' internet ',' buy ',' call ',' wear ',' pulses', 'truncated', 'minutes',' run out ',' Wear ',' Package ',' Unlimited ',' ']")</f>
        <v>['Sorry', 'ratings',' package ',' internet ',' buy ',' call ',' wear ',' pulses', 'truncated', 'minutes',' run out ',' Wear ',' Package ',' Unlimited ',' ']</v>
      </c>
      <c r="D8539" s="3">
        <v>1.0</v>
      </c>
    </row>
    <row r="8540" ht="15.75" customHeight="1">
      <c r="A8540" s="1">
        <v>9177.0</v>
      </c>
      <c r="B8540" s="3" t="s">
        <v>8204</v>
      </c>
      <c r="C8540" s="3" t="str">
        <f>IFERROR(__xludf.DUMMYFUNCTION("GOOGLETRANSLATE(B8540,""id"",""en"")"),"['network', 'broad', 'speed', 'stable']")</f>
        <v>['network', 'broad', 'speed', 'stable']</v>
      </c>
      <c r="D8540" s="3">
        <v>5.0</v>
      </c>
    </row>
    <row r="8541" ht="15.75" customHeight="1">
      <c r="A8541" s="1">
        <v>9180.0</v>
      </c>
      <c r="B8541" s="3" t="s">
        <v>8205</v>
      </c>
      <c r="C8541" s="3" t="str">
        <f>IFERROR(__xludf.DUMMYFUNCTION("GOOGLETRANSLATE(B8541,""id"",""en"")"),"['second', 'run out', 'grace', 'slow', 'dongs']")</f>
        <v>['second', 'run out', 'grace', 'slow', 'dongs']</v>
      </c>
      <c r="D8541" s="3">
        <v>5.0</v>
      </c>
    </row>
    <row r="8542" ht="15.75" customHeight="1">
      <c r="A8542" s="1">
        <v>9181.0</v>
      </c>
      <c r="B8542" s="3" t="s">
        <v>8206</v>
      </c>
      <c r="C8542" s="3" t="str">
        <f>IFERROR(__xludf.DUMMYFUNCTION("GOOGLETRANSLATE(B8542,""id"",""en"")"),"['Buy', 'Package', 'Internet', 'Help', 'Veronica', 'Response']")</f>
        <v>['Buy', 'Package', 'Internet', 'Help', 'Veronica', 'Response']</v>
      </c>
      <c r="D8542" s="3">
        <v>1.0</v>
      </c>
    </row>
    <row r="8543" ht="15.75" customHeight="1">
      <c r="A8543" s="1">
        <v>9183.0</v>
      </c>
      <c r="B8543" s="3" t="s">
        <v>8207</v>
      </c>
      <c r="C8543" s="3" t="str">
        <f>IFERROR(__xludf.DUMMYFUNCTION("GOOGLETRANSLATE(B8543,""id"",""en"")"),"['Telkomsel', 'respect', 'please', 'buy', 'package', 'data', 'expensive', 'expensive', 'until', 'condition', 'troubled', 'please', ' Please ',' Really ',' Signal ',' Lined ',' Current ',' NgeChat ',' Friend ',' Send ',' Sampe ',' Clock ',' Price ',' Accor"&amp;"ding to ',' Quality ' , 'items', 'bought', '']")</f>
        <v>['Telkomsel', 'respect', 'please', 'buy', 'package', 'data', 'expensive', 'expensive', 'until', 'condition', 'troubled', 'please', ' Please ',' Really ',' Signal ',' Lined ',' Current ',' NgeChat ',' Friend ',' Send ',' Sampe ',' Clock ',' Price ',' According to ',' Quality ' , 'items', 'bought', '']</v>
      </c>
      <c r="D8543" s="3">
        <v>1.0</v>
      </c>
    </row>
    <row r="8544" ht="15.75" customHeight="1">
      <c r="A8544" s="1">
        <v>9184.0</v>
      </c>
      <c r="B8544" s="3" t="s">
        <v>8208</v>
      </c>
      <c r="C8544" s="3" t="str">
        <f>IFERROR(__xludf.DUMMYFUNCTION("GOOGLETRANSLATE(B8544,""id"",""en"")"),"['Increases',' Quality ',' Sousal ',' Telkomsel ',' Sing ',' Slow ',' Sampe ',' Sinyal ',' Malem ',' Clock ',' Gymna ',' Comfortable ',' PKE ',' Telkomsel ',' Disappointed ',' Udh ',' Change ',' Card ',' Sya ',' Patahin ',' Card ',' Disappointed ',' Expen"&amp;"sive ',' Paketan ',' Quality ' , 'signal', 'rich', 'BBI']")</f>
        <v>['Increases',' Quality ',' Sousal ',' Telkomsel ',' Sing ',' Slow ',' Sampe ',' Sinyal ',' Malem ',' Clock ',' Gymna ',' Comfortable ',' PKE ',' Telkomsel ',' Disappointed ',' Udh ',' Change ',' Card ',' Sya ',' Patahin ',' Card ',' Disappointed ',' Expensive ',' Paketan ',' Quality ' , 'signal', 'rich', 'BBI']</v>
      </c>
      <c r="D8544" s="3">
        <v>1.0</v>
      </c>
    </row>
    <row r="8545" ht="15.75" customHeight="1">
      <c r="A8545" s="1">
        <v>9185.0</v>
      </c>
      <c r="B8545" s="3" t="s">
        <v>8209</v>
      </c>
      <c r="C8545" s="3" t="str">
        <f>IFERROR(__xludf.DUMMYFUNCTION("GOOGLETRANSLATE(B8545,""id"",""en"")"),"['Application', 'Error', 'Log', '']")</f>
        <v>['Application', 'Error', 'Log', '']</v>
      </c>
      <c r="D8545" s="3">
        <v>5.0</v>
      </c>
    </row>
    <row r="8546" ht="15.75" customHeight="1">
      <c r="A8546" s="1">
        <v>9186.0</v>
      </c>
      <c r="B8546" s="3" t="s">
        <v>8210</v>
      </c>
      <c r="C8546" s="3" t="str">
        <f>IFERROR(__xludf.DUMMYFUNCTION("GOOGLETRANSLATE(B8546,""id"",""en"")"),"['Satisfied', 'cheap', 'Bangat', 'buy', 'Satisfied', 'really', 'trmksh', 'my insurance']")</f>
        <v>['Satisfied', 'cheap', 'Bangat', 'buy', 'Satisfied', 'really', 'trmksh', 'my insurance']</v>
      </c>
      <c r="D8546" s="3">
        <v>5.0</v>
      </c>
    </row>
    <row r="8547" ht="15.75" customHeight="1">
      <c r="A8547" s="1">
        <v>9187.0</v>
      </c>
      <c r="B8547" s="3" t="s">
        <v>8211</v>
      </c>
      <c r="C8547" s="3" t="str">
        <f>IFERROR(__xludf.DUMMYFUNCTION("GOOGLETRANSLATE(B8547,""id"",""en"")"),"['expensive', 'accumulated', 'package', 'internet', '']")</f>
        <v>['expensive', 'accumulated', 'package', 'internet', '']</v>
      </c>
      <c r="D8547" s="3">
        <v>1.0</v>
      </c>
    </row>
    <row r="8548" ht="15.75" customHeight="1">
      <c r="A8548" s="1">
        <v>9188.0</v>
      </c>
      <c r="B8548" s="3" t="s">
        <v>8212</v>
      </c>
      <c r="C8548" s="3" t="str">
        <f>IFERROR(__xludf.DUMMYFUNCTION("GOOGLETRANSLATE(B8548,""id"",""en"")"),"['Help', 'Feature', 'Cool', '']")</f>
        <v>['Help', 'Feature', 'Cool', '']</v>
      </c>
      <c r="D8548" s="3">
        <v>5.0</v>
      </c>
    </row>
    <row r="8549" ht="15.75" customHeight="1">
      <c r="A8549" s="1">
        <v>9189.0</v>
      </c>
      <c r="B8549" s="3" t="s">
        <v>8213</v>
      </c>
      <c r="C8549" s="3" t="str">
        <f>IFERROR(__xludf.DUMMYFUNCTION("GOOGLETRANSLATE(B8549,""id"",""en"")"),"['Haii', 'buddy', 'org', 'hope', 'his application', 'help', 'in the future', 'tertimahkasihah']")</f>
        <v>['Haii', 'buddy', 'org', 'hope', 'his application', 'help', 'in the future', 'tertimahkasihah']</v>
      </c>
      <c r="D8549" s="3">
        <v>5.0</v>
      </c>
    </row>
    <row r="8550" ht="15.75" customHeight="1">
      <c r="A8550" s="1">
        <v>9190.0</v>
      </c>
      <c r="B8550" s="3" t="s">
        <v>8214</v>
      </c>
      <c r="C8550" s="3" t="str">
        <f>IFERROR(__xludf.DUMMYFUNCTION("GOOGLETRANSLATE(B8550,""id"",""en"")"),"['Application', 'Bagsss']")</f>
        <v>['Application', 'Bagsss']</v>
      </c>
      <c r="D8550" s="3">
        <v>5.0</v>
      </c>
    </row>
    <row r="8551" ht="15.75" customHeight="1">
      <c r="A8551" s="1">
        <v>9191.0</v>
      </c>
      <c r="B8551" s="3" t="s">
        <v>8215</v>
      </c>
      <c r="C8551" s="3" t="str">
        <f>IFERROR(__xludf.DUMMYFUNCTION("GOOGLETRANSLATE(B8551,""id"",""en"")"),"['SANNAY', 'Satisfied', 'Easy']")</f>
        <v>['SANNAY', 'Satisfied', 'Easy']</v>
      </c>
      <c r="D8551" s="3">
        <v>4.0</v>
      </c>
    </row>
    <row r="8552" ht="15.75" customHeight="1">
      <c r="A8552" s="1">
        <v>9192.0</v>
      </c>
      <c r="B8552" s="3" t="s">
        <v>8216</v>
      </c>
      <c r="C8552" s="3" t="str">
        <f>IFERROR(__xludf.DUMMYFUNCTION("GOOGLETRANSLATE(B8552,""id"",""en"")"),"['staple', 'siiippp']")</f>
        <v>['staple', 'siiippp']</v>
      </c>
      <c r="D8552" s="3">
        <v>5.0</v>
      </c>
    </row>
    <row r="8553" ht="15.75" customHeight="1">
      <c r="A8553" s="1">
        <v>9194.0</v>
      </c>
      <c r="B8553" s="3" t="s">
        <v>8217</v>
      </c>
      <c r="C8553" s="3" t="str">
        <f>IFERROR(__xludf.DUMMYFUNCTION("GOOGLETRANSLATE(B8553,""id"",""en"")"),"['Good', 'bnyak', 'promo', 'tdak', 'buy']")</f>
        <v>['Good', 'bnyak', 'promo', 'tdak', 'buy']</v>
      </c>
      <c r="D8553" s="3">
        <v>5.0</v>
      </c>
    </row>
    <row r="8554" ht="15.75" customHeight="1">
      <c r="A8554" s="1">
        <v>9195.0</v>
      </c>
      <c r="B8554" s="3" t="s">
        <v>8218</v>
      </c>
      <c r="C8554" s="3" t="str">
        <f>IFERROR(__xludf.DUMMYFUNCTION("GOOGLETRANSLATE(B8554,""id"",""en"")"),"['Telkomsel', 'heart', 'Telkomsel']")</f>
        <v>['Telkomsel', 'heart', 'Telkomsel']</v>
      </c>
      <c r="D8554" s="3">
        <v>5.0</v>
      </c>
    </row>
    <row r="8555" ht="15.75" customHeight="1">
      <c r="A8555" s="1">
        <v>9196.0</v>
      </c>
      <c r="B8555" s="3" t="s">
        <v>8219</v>
      </c>
      <c r="C8555" s="3" t="str">
        <f>IFERROR(__xludf.DUMMYFUNCTION("GOOGLETRANSLATE(B8555,""id"",""en"")"),"['', 'love', 'star', 'dlu', 'promo', 'customers', 'Telkomsel', 'thank you']")</f>
        <v>['', 'love', 'star', 'dlu', 'promo', 'customers', 'Telkomsel', 'thank you']</v>
      </c>
      <c r="D8555" s="3">
        <v>4.0</v>
      </c>
    </row>
    <row r="8556" ht="15.75" customHeight="1">
      <c r="A8556" s="1">
        <v>9197.0</v>
      </c>
      <c r="B8556" s="3" t="s">
        <v>8220</v>
      </c>
      <c r="C8556" s="3" t="str">
        <f>IFERROR(__xludf.DUMMYFUNCTION("GOOGLETRANSLATE(B8556,""id"",""en"")"),"['Telkomsel', 'Severe', 'Signal', 'Severe', 'Severe', 'Severe', 'A month', 'What's', '']")</f>
        <v>['Telkomsel', 'Severe', 'Signal', 'Severe', 'Severe', 'Severe', 'A month', 'What's', '']</v>
      </c>
      <c r="D8556" s="3">
        <v>1.0</v>
      </c>
    </row>
    <row r="8557" ht="15.75" customHeight="1">
      <c r="A8557" s="1">
        <v>9198.0</v>
      </c>
      <c r="B8557" s="3" t="s">
        <v>8221</v>
      </c>
      <c r="C8557" s="3" t="str">
        <f>IFERROR(__xludf.DUMMYFUNCTION("GOOGLETRANSLATE(B8557,""id"",""en"")"),"['expensive', 'doang', 'tetep', 'leg', 'tae']")</f>
        <v>['expensive', 'doang', 'tetep', 'leg', 'tae']</v>
      </c>
      <c r="D8557" s="3">
        <v>1.0</v>
      </c>
    </row>
    <row r="8558" ht="15.75" customHeight="1">
      <c r="A8558" s="1">
        <v>9199.0</v>
      </c>
      <c r="B8558" s="3" t="s">
        <v>8222</v>
      </c>
      <c r="C8558" s="3" t="str">
        <f>IFERROR(__xludf.DUMMYFUNCTION("GOOGLETRANSLATE(B8558,""id"",""en"")"),"['Safety', 'Application', 'Continue']")</f>
        <v>['Safety', 'Application', 'Continue']</v>
      </c>
      <c r="D8558" s="3">
        <v>5.0</v>
      </c>
    </row>
    <row r="8559" ht="15.75" customHeight="1">
      <c r="A8559" s="1">
        <v>9200.0</v>
      </c>
      <c r="B8559" s="3" t="s">
        <v>8223</v>
      </c>
      <c r="C8559" s="3" t="str">
        <f>IFERROR(__xludf.DUMMYFUNCTION("GOOGLETRANSLATE(B8559,""id"",""en"")"),"['fun', 'easy', 'choose', 'package', 'choice', 'mytelkomsel']")</f>
        <v>['fun', 'easy', 'choose', 'package', 'choice', 'mytelkomsel']</v>
      </c>
      <c r="D8559" s="3">
        <v>5.0</v>
      </c>
    </row>
    <row r="8560" ht="15.75" customHeight="1">
      <c r="A8560" s="1">
        <v>9201.0</v>
      </c>
      <c r="B8560" s="3" t="s">
        <v>8224</v>
      </c>
      <c r="C8560" s="3" t="str">
        <f>IFERROR(__xludf.DUMMYFUNCTION("GOOGLETRANSLATE(B8560,""id"",""en"")"),"['Disappointed', 'Error']")</f>
        <v>['Disappointed', 'Error']</v>
      </c>
      <c r="D8560" s="3">
        <v>1.0</v>
      </c>
    </row>
    <row r="8561" ht="15.75" customHeight="1">
      <c r="A8561" s="1">
        <v>9203.0</v>
      </c>
      <c r="B8561" s="3" t="s">
        <v>8225</v>
      </c>
      <c r="C8561" s="3" t="str">
        <f>IFERROR(__xludf.DUMMYFUNCTION("GOOGLETRANSLATE(B8561,""id"",""en"")"),"['Please', 'Center', 'Telkomsel', 'Sidak', 'Region', 'City', 'Garut', 'Network', 'Telkomsel', 'Garut', 'Threat', 'Ksh', ' power failure', '']")</f>
        <v>['Please', 'Center', 'Telkomsel', 'Sidak', 'Region', 'City', 'Garut', 'Network', 'Telkomsel', 'Garut', 'Threat', 'Ksh', ' power failure', '']</v>
      </c>
      <c r="D8561" s="3">
        <v>1.0</v>
      </c>
    </row>
    <row r="8562" ht="15.75" customHeight="1">
      <c r="A8562" s="1">
        <v>9204.0</v>
      </c>
      <c r="B8562" s="3" t="s">
        <v>8226</v>
      </c>
      <c r="C8562" s="3" t="str">
        <f>IFERROR(__xludf.DUMMYFUNCTION("GOOGLETRANSLATE(B8562,""id"",""en"")"),"['thank', 'love', 'Telkomsel', 'package', 'price', 'cheap', 'festive']")</f>
        <v>['thank', 'love', 'Telkomsel', 'package', 'price', 'cheap', 'festive']</v>
      </c>
      <c r="D8562" s="3">
        <v>5.0</v>
      </c>
    </row>
    <row r="8563" ht="15.75" customHeight="1">
      <c r="A8563" s="1">
        <v>9205.0</v>
      </c>
      <c r="B8563" s="3" t="s">
        <v>8227</v>
      </c>
      <c r="C8563" s="3" t="str">
        <f>IFERROR(__xludf.DUMMYFUNCTION("GOOGLETRANSLATE(B8563,""id"",""en"")"),"['users', 'loyal', 'Telkomsel', 'Satisfied', 'Service', 'Super', 'Fast', 'Increases', 'Network', 'Movers', 'Rural', ""]")</f>
        <v>['users', 'loyal', 'Telkomsel', 'Satisfied', 'Service', 'Super', 'Fast', 'Increases', 'Network', 'Movers', 'Rural', "]</v>
      </c>
      <c r="D8563" s="3">
        <v>5.0</v>
      </c>
    </row>
    <row r="8564" ht="15.75" customHeight="1">
      <c r="A8564" s="1">
        <v>9206.0</v>
      </c>
      <c r="B8564" s="3" t="s">
        <v>8228</v>
      </c>
      <c r="C8564" s="3" t="str">
        <f>IFERROR(__xludf.DUMMYFUNCTION("GOOGLETRANSLATE(B8564,""id"",""en"")"),"['Ahsan', 'ice', 'buy', 'package']")</f>
        <v>['Ahsan', 'ice', 'buy', 'package']</v>
      </c>
      <c r="D8564" s="3">
        <v>2.0</v>
      </c>
    </row>
    <row r="8565" ht="15.75" customHeight="1">
      <c r="A8565" s="1">
        <v>9207.0</v>
      </c>
      <c r="B8565" s="3" t="s">
        <v>8229</v>
      </c>
      <c r="C8565" s="3" t="str">
        <f>IFERROR(__xludf.DUMMYFUNCTION("GOOGLETRANSLATE(B8565,""id"",""en"")"),"['difficult', 'buy', 'package']")</f>
        <v>['difficult', 'buy', 'package']</v>
      </c>
      <c r="D8565" s="3">
        <v>3.0</v>
      </c>
    </row>
    <row r="8566" ht="15.75" customHeight="1">
      <c r="A8566" s="1">
        <v>9208.0</v>
      </c>
      <c r="B8566" s="3" t="s">
        <v>8230</v>
      </c>
      <c r="C8566" s="3" t="str">
        <f>IFERROR(__xludf.DUMMYFUNCTION("GOOGLETRANSLATE(B8566,""id"",""en"")"),"['signal', 'ugly', 'quota', 'main', 'forced', 'buy', 'package', 'emergency', 'strange', 'Telkomsel', '']")</f>
        <v>['signal', 'ugly', 'quota', 'main', 'forced', 'buy', 'package', 'emergency', 'strange', 'Telkomsel', '']</v>
      </c>
      <c r="D8566" s="3">
        <v>1.0</v>
      </c>
    </row>
    <row r="8567" ht="15.75" customHeight="1">
      <c r="A8567" s="1">
        <v>9209.0</v>
      </c>
      <c r="B8567" s="3" t="s">
        <v>8231</v>
      </c>
      <c r="C8567" s="3" t="str">
        <f>IFERROR(__xludf.DUMMYFUNCTION("GOOGLETRANSLATE(B8567,""id"",""en"")"),"['repeat', 'reset']")</f>
        <v>['repeat', 'reset']</v>
      </c>
      <c r="D8567" s="3">
        <v>5.0</v>
      </c>
    </row>
    <row r="8568" ht="15.75" customHeight="1">
      <c r="A8568" s="1">
        <v>9210.0</v>
      </c>
      <c r="B8568" s="3" t="s">
        <v>8232</v>
      </c>
      <c r="C8568" s="3" t="str">
        <f>IFERROR(__xludf.DUMMYFUNCTION("GOOGLETRANSLATE(B8568,""id"",""en"")"),"['Network', 'stable', 'increase', 'network', 'customer', 'moved', 'network', 'success', 'slalu', 'telkomsel']")</f>
        <v>['Network', 'stable', 'increase', 'network', 'customer', 'moved', 'network', 'success', 'slalu', 'telkomsel']</v>
      </c>
      <c r="D8568" s="3">
        <v>4.0</v>
      </c>
    </row>
    <row r="8569" ht="15.75" customHeight="1">
      <c r="A8569" s="1">
        <v>9212.0</v>
      </c>
      <c r="B8569" s="3" t="s">
        <v>1658</v>
      </c>
      <c r="C8569" s="3" t="str">
        <f>IFERROR(__xludf.DUMMYFUNCTION("GOOGLETRANSLATE(B8569,""id"",""en"")"),"['Good', 'interesting']")</f>
        <v>['Good', 'interesting']</v>
      </c>
      <c r="D8569" s="3">
        <v>5.0</v>
      </c>
    </row>
    <row r="8570" ht="15.75" customHeight="1">
      <c r="A8570" s="1">
        <v>9213.0</v>
      </c>
      <c r="B8570" s="3" t="s">
        <v>8233</v>
      </c>
      <c r="C8570" s="3" t="str">
        <f>IFERROR(__xludf.DUMMYFUNCTION("GOOGLETRANSLATE(B8570,""id"",""en"")"),"['Please', 'application', 'Kasi', 'promo', 'so', 'card', 'Telkomsel', 'buy', 'kouta', 'package', 'internet', 'kasi', ' Promo ',' expensive ']")</f>
        <v>['Please', 'application', 'Kasi', 'promo', 'so', 'card', 'Telkomsel', 'buy', 'kouta', 'package', 'internet', 'kasi', ' Promo ',' expensive ']</v>
      </c>
      <c r="D8570" s="3">
        <v>1.0</v>
      </c>
    </row>
    <row r="8571" ht="15.75" customHeight="1">
      <c r="A8571" s="1">
        <v>9214.0</v>
      </c>
      <c r="B8571" s="3" t="s">
        <v>8234</v>
      </c>
      <c r="C8571" s="3" t="str">
        <f>IFERROR(__xludf.DUMMYFUNCTION("GOOGLETRANSLATE(B8571,""id"",""en"")"),"['Bodo', 'expensive', 'network', 'berpetulin', 'expensive', 'doang', 'network', 'pulp', 'canda', 'pulp']")</f>
        <v>['Bodo', 'expensive', 'network', 'berpetulin', 'expensive', 'doang', 'network', 'pulp', 'canda', 'pulp']</v>
      </c>
      <c r="D8571" s="3">
        <v>1.0</v>
      </c>
    </row>
    <row r="8572" ht="15.75" customHeight="1">
      <c r="A8572" s="1">
        <v>9215.0</v>
      </c>
      <c r="B8572" s="3" t="s">
        <v>8235</v>
      </c>
      <c r="C8572" s="3" t="str">
        <f>IFERROR(__xludf.DUMMYFUNCTION("GOOGLETRANSLATE(B8572,""id"",""en"")"),"['interesting', 'steady']")</f>
        <v>['interesting', 'steady']</v>
      </c>
      <c r="D8572" s="3">
        <v>5.0</v>
      </c>
    </row>
    <row r="8573" ht="15.75" customHeight="1">
      <c r="A8573" s="1">
        <v>9216.0</v>
      </c>
      <c r="B8573" s="3" t="s">
        <v>8236</v>
      </c>
      <c r="C8573" s="3" t="str">
        <f>IFERROR(__xludf.DUMMYFUNCTION("GOOGLETRANSLATE(B8573,""id"",""en"")"),"['hope', 'Telkomsel']")</f>
        <v>['hope', 'Telkomsel']</v>
      </c>
      <c r="D8573" s="3">
        <v>4.0</v>
      </c>
    </row>
    <row r="8574" ht="15.75" customHeight="1">
      <c r="A8574" s="1">
        <v>9217.0</v>
      </c>
      <c r="B8574" s="3" t="s">
        <v>8237</v>
      </c>
      <c r="C8574" s="3" t="str">
        <f>IFERROR(__xludf.DUMMYFUNCTION("GOOGLETRANSLATE(B8574,""id"",""en"")"),"['Signal', 'Telkomsel', 'Weak']")</f>
        <v>['Signal', 'Telkomsel', 'Weak']</v>
      </c>
      <c r="D8574" s="3">
        <v>1.0</v>
      </c>
    </row>
    <row r="8575" ht="15.75" customHeight="1">
      <c r="A8575" s="1">
        <v>9218.0</v>
      </c>
      <c r="B8575" s="3" t="s">
        <v>8238</v>
      </c>
      <c r="C8575" s="3" t="str">
        <f>IFERROR(__xludf.DUMMYFUNCTION("GOOGLETRANSLATE(B8575,""id"",""en"")"),"['signal', 'ugly', 'really', 'please', 'fix', 'donk']")</f>
        <v>['signal', 'ugly', 'really', 'please', 'fix', 'donk']</v>
      </c>
      <c r="D8575" s="3">
        <v>1.0</v>
      </c>
    </row>
    <row r="8576" ht="15.75" customHeight="1">
      <c r="A8576" s="1">
        <v>9219.0</v>
      </c>
      <c r="B8576" s="3" t="s">
        <v>8239</v>
      </c>
      <c r="C8576" s="3" t="str">
        <f>IFERROR(__xludf.DUMMYFUNCTION("GOOGLETRANSLATE(B8576,""id"",""en"")"),"['Please', 'Sorry', 'Love', 'Bintang', 'Dlu', 'Sudh', 'Sunday', 'Login', 'Padhal', 'Sudh', 'Entering', 'Number', ' Magic ',' Link ',' Function ',' Please ',' Fix ',' Developer ']")</f>
        <v>['Please', 'Sorry', 'Love', 'Bintang', 'Dlu', 'Sudh', 'Sunday', 'Login', 'Padhal', 'Sudh', 'Entering', 'Number', ' Magic ',' Link ',' Function ',' Please ',' Fix ',' Developer ']</v>
      </c>
      <c r="D8576" s="3">
        <v>2.0</v>
      </c>
    </row>
    <row r="8577" ht="15.75" customHeight="1">
      <c r="A8577" s="1">
        <v>9220.0</v>
      </c>
      <c r="B8577" s="3" t="s">
        <v>8240</v>
      </c>
      <c r="C8577" s="3" t="str">
        <f>IFERROR(__xludf.DUMMYFUNCTION("GOOGLETRANSLATE(B8577,""id"",""en"")"),"['Jarinagan', 'Kenceng', 'rich', 'card', 'Next']]")</f>
        <v>['Jarinagan', 'Kenceng', 'rich', 'card', 'Next']]</v>
      </c>
      <c r="D8577" s="3">
        <v>5.0</v>
      </c>
    </row>
    <row r="8578" ht="15.75" customHeight="1">
      <c r="A8578" s="1">
        <v>9221.0</v>
      </c>
      <c r="B8578" s="3" t="s">
        <v>8241</v>
      </c>
      <c r="C8578" s="3" t="str">
        <f>IFERROR(__xludf.DUMMYFUNCTION("GOOGLETRANSLATE(B8578,""id"",""en"")"),"['Good', 'steady', 'the application']")</f>
        <v>['Good', 'steady', 'the application']</v>
      </c>
      <c r="D8578" s="3">
        <v>5.0</v>
      </c>
    </row>
    <row r="8579" ht="15.75" customHeight="1">
      <c r="A8579" s="1">
        <v>9222.0</v>
      </c>
      <c r="B8579" s="3" t="s">
        <v>8242</v>
      </c>
      <c r="C8579" s="3" t="str">
        <f>IFERROR(__xludf.DUMMYFUNCTION("GOOGLETRANSLATE(B8579,""id"",""en"")"),"['Llayanan', 'good']")</f>
        <v>['Llayanan', 'good']</v>
      </c>
      <c r="D8579" s="3">
        <v>5.0</v>
      </c>
    </row>
    <row r="8580" ht="15.75" customHeight="1">
      <c r="A8580" s="1">
        <v>9223.0</v>
      </c>
      <c r="B8580" s="3" t="s">
        <v>8243</v>
      </c>
      <c r="C8580" s="3" t="str">
        <f>IFERROR(__xludf.DUMMYFUNCTION("GOOGLETRANSLATE(B8580,""id"",""en"")"),"['Good', 'fun']")</f>
        <v>['Good', 'fun']</v>
      </c>
      <c r="D8580" s="3">
        <v>5.0</v>
      </c>
    </row>
    <row r="8581" ht="15.75" customHeight="1">
      <c r="A8581" s="1">
        <v>9224.0</v>
      </c>
      <c r="B8581" s="3" t="s">
        <v>8244</v>
      </c>
      <c r="C8581" s="3" t="str">
        <f>IFERROR(__xludf.DUMMYFUNCTION("GOOGLETRANSLATE(B8581,""id"",""en"")"),"['', 'Please', 'Sorry', 'LGI', 'Register', 'Internet', 'Weekly', 'Telkomsel', 'Disorders',' Mulu ',' Have ',' Wait ',' Ampe ',' ttep ',' please ',' fix ']")</f>
        <v>['', 'Please', 'Sorry', 'LGI', 'Register', 'Internet', 'Weekly', 'Telkomsel', 'Disorders',' Mulu ',' Have ',' Wait ',' Ampe ',' ttep ',' please ',' fix ']</v>
      </c>
      <c r="D8581" s="3">
        <v>3.0</v>
      </c>
    </row>
    <row r="8582" ht="15.75" customHeight="1">
      <c r="A8582" s="1">
        <v>9225.0</v>
      </c>
      <c r="B8582" s="3" t="s">
        <v>8245</v>
      </c>
      <c r="C8582" s="3" t="str">
        <f>IFERROR(__xludf.DUMMYFUNCTION("GOOGLETRANSLATE(B8582,""id"",""en"")"),"['Hopefully', 'advanced', 'gift', 'customer', 'loyal', 'Telkomsel']")</f>
        <v>['Hopefully', 'advanced', 'gift', 'customer', 'loyal', 'Telkomsel']</v>
      </c>
      <c r="D8582" s="3">
        <v>5.0</v>
      </c>
    </row>
    <row r="8583" ht="15.75" customHeight="1">
      <c r="A8583" s="1">
        <v>9226.0</v>
      </c>
      <c r="B8583" s="3" t="s">
        <v>8246</v>
      </c>
      <c r="C8583" s="3" t="str">
        <f>IFERROR(__xludf.DUMMYFUNCTION("GOOGLETRANSLATE(B8583,""id"",""en"")"),"['Telkomsel', 'cheap', 'signal', 'area', 'Indonesia', 'use', 'Telkomsel', 'network', 'Telkomsel', 'beautiful', 'weather', ""]")</f>
        <v>['Telkomsel', 'cheap', 'signal', 'area', 'Indonesia', 'use', 'Telkomsel', 'network', 'Telkomsel', 'beautiful', 'weather', "]</v>
      </c>
      <c r="D8583" s="3">
        <v>5.0</v>
      </c>
    </row>
    <row r="8584" ht="15.75" customHeight="1">
      <c r="A8584" s="1">
        <v>9228.0</v>
      </c>
      <c r="B8584" s="3" t="s">
        <v>376</v>
      </c>
      <c r="C8584" s="3" t="str">
        <f>IFERROR(__xludf.DUMMYFUNCTION("GOOGLETRANSLATE(B8584,""id"",""en"")"),"['Telkomsel', '']")</f>
        <v>['Telkomsel', '']</v>
      </c>
      <c r="D8584" s="3">
        <v>4.0</v>
      </c>
    </row>
    <row r="8585" ht="15.75" customHeight="1">
      <c r="A8585" s="1">
        <v>9229.0</v>
      </c>
      <c r="B8585" s="3" t="s">
        <v>8247</v>
      </c>
      <c r="C8585" s="3" t="str">
        <f>IFERROR(__xludf.DUMMYFUNCTION("GOOGLETRANSLATE(B8585,""id"",""en"")"),"['application', 'good', 'good', 'opened', 'application', 'know', 'direct', 'automatic', '']")</f>
        <v>['application', 'good', 'good', 'opened', 'application', 'know', 'direct', 'automatic', '']</v>
      </c>
      <c r="D8585" s="3">
        <v>1.0</v>
      </c>
    </row>
    <row r="8586" ht="15.75" customHeight="1">
      <c r="A8586" s="1">
        <v>9230.0</v>
      </c>
      <c r="B8586" s="3" t="s">
        <v>8248</v>
      </c>
      <c r="C8586" s="3" t="str">
        <f>IFERROR(__xludf.DUMMYFUNCTION("GOOGLETRANSLATE(B8586,""id"",""en"")"),"['Service', 'good', 'promo']")</f>
        <v>['Service', 'good', 'promo']</v>
      </c>
      <c r="D8586" s="3">
        <v>5.0</v>
      </c>
    </row>
    <row r="8587" ht="15.75" customHeight="1">
      <c r="A8587" s="1">
        <v>9231.0</v>
      </c>
      <c r="B8587" s="3" t="s">
        <v>8249</v>
      </c>
      <c r="C8587" s="3" t="str">
        <f>IFERROR(__xludf.DUMMYFUNCTION("GOOGLETRANSLATE(B8587,""id"",""en"")"),"['Thank you', 'application', 'Telkomsel', 'help']")</f>
        <v>['Thank you', 'application', 'Telkomsel', 'help']</v>
      </c>
      <c r="D8587" s="3">
        <v>5.0</v>
      </c>
    </row>
    <row r="8588" ht="15.75" customHeight="1">
      <c r="A8588" s="1">
        <v>9232.0</v>
      </c>
      <c r="B8588" s="3" t="s">
        <v>8250</v>
      </c>
      <c r="C8588" s="3" t="str">
        <f>IFERROR(__xludf.DUMMYFUNCTION("GOOGLETRANSLATE(B8588,""id"",""en"")"),"['Credit', 'truncated', 'contents',' permission ',' package ',' emergency ',' anything ',' contents', 'pulse', 'directly', 'truncated', 'said', ' Fraud ',' Please ',' Fix ',' Consider ',' Disright ',' Customer ',' Trims', '']")</f>
        <v>['Credit', 'truncated', 'contents',' permission ',' package ',' emergency ',' anything ',' contents', 'pulse', 'directly', 'truncated', 'said', ' Fraud ',' Please ',' Fix ',' Consider ',' Disright ',' Customer ',' Trims', '']</v>
      </c>
      <c r="D8588" s="3">
        <v>1.0</v>
      </c>
    </row>
    <row r="8589" ht="15.75" customHeight="1">
      <c r="A8589" s="1">
        <v>9234.0</v>
      </c>
      <c r="B8589" s="3" t="s">
        <v>8251</v>
      </c>
      <c r="C8589" s="3" t="str">
        <f>IFERROR(__xludf.DUMMYFUNCTION("GOOGLETRANSLATE(B8589,""id"",""en"")"),"['Service', 'trust', 'satisfaction', 'network', 'stable', '']")</f>
        <v>['Service', 'trust', 'satisfaction', 'network', 'stable', '']</v>
      </c>
      <c r="D8589" s="3">
        <v>5.0</v>
      </c>
    </row>
    <row r="8590" ht="15.75" customHeight="1">
      <c r="A8590" s="1">
        <v>9235.0</v>
      </c>
      <c r="B8590" s="3" t="s">
        <v>8252</v>
      </c>
      <c r="C8590" s="3" t="str">
        <f>IFERROR(__xludf.DUMMYFUNCTION("GOOGLETRANSLATE(B8590,""id"",""en"")"),"['Addin', 'Features', 'Check', 'Age', 'Card', '']")</f>
        <v>['Addin', 'Features', 'Check', 'Age', 'Card', '']</v>
      </c>
      <c r="D8590" s="3">
        <v>3.0</v>
      </c>
    </row>
    <row r="8591" ht="15.75" customHeight="1">
      <c r="A8591" s="1">
        <v>9236.0</v>
      </c>
      <c r="B8591" s="3" t="s">
        <v>8253</v>
      </c>
      <c r="C8591" s="3" t="str">
        <f>IFERROR(__xludf.DUMMYFUNCTION("GOOGLETRANSLATE(B8591,""id"",""en"")"),"['fluent']")</f>
        <v>['fluent']</v>
      </c>
      <c r="D8591" s="3">
        <v>5.0</v>
      </c>
    </row>
    <row r="8592" ht="15.75" customHeight="1">
      <c r="A8592" s="1">
        <v>9237.0</v>
      </c>
      <c r="B8592" s="3" t="s">
        <v>8254</v>
      </c>
      <c r="C8592" s="3" t="str">
        <f>IFERROR(__xludf.DUMMYFUNCTION("GOOGLETRANSLATE(B8592,""id"",""en"")"),"['Applate', 'help']")</f>
        <v>['Applate', 'help']</v>
      </c>
      <c r="D8592" s="3">
        <v>4.0</v>
      </c>
    </row>
    <row r="8593" ht="15.75" customHeight="1">
      <c r="A8593" s="1">
        <v>9238.0</v>
      </c>
      <c r="B8593" s="3" t="s">
        <v>8255</v>
      </c>
      <c r="C8593" s="3" t="str">
        <f>IFERROR(__xludf.DUMMYFUNCTION("GOOGLETRANSLATE(B8593,""id"",""en"")"),"['Please', 'Teach', 'Comment', 'Service', 'Internet', 'Pakek', 'Bot', 'Bales',' Complaints', 'Org', 'Products',' Mending ',' LIVE ',' Chat ',' Kayak ',' Smarfren ',' Tele ',' Gmail ',' Direct ',' Response ',' Efficient ',' Consumer ',' Suggestion ',' Dri "&amp;"',' Bnyak ' , 'Ninggalin', 'provider', 'bnyak', 'network', 'slow', '']")</f>
        <v>['Please', 'Teach', 'Comment', 'Service', 'Internet', 'Pakek', 'Bot', 'Bales',' Complaints', 'Org', 'Products',' Mending ',' LIVE ',' Chat ',' Kayak ',' Smarfren ',' Tele ',' Gmail ',' Direct ',' Response ',' Efficient ',' Consumer ',' Suggestion ',' Dri ',' Bnyak ' , 'Ninggalin', 'provider', 'bnyak', 'network', 'slow', '']</v>
      </c>
      <c r="D8593" s="3">
        <v>1.0</v>
      </c>
    </row>
    <row r="8594" ht="15.75" customHeight="1">
      <c r="A8594" s="1">
        <v>9239.0</v>
      </c>
      <c r="B8594" s="3" t="s">
        <v>8256</v>
      </c>
      <c r="C8594" s="3" t="str">
        <f>IFERROR(__xludf.DUMMYFUNCTION("GOOGLETRANSLATE(B8594,""id"",""en"")"),"['times', 'use', 'application']")</f>
        <v>['times', 'use', 'application']</v>
      </c>
      <c r="D8594" s="3">
        <v>1.0</v>
      </c>
    </row>
    <row r="8595" ht="15.75" customHeight="1">
      <c r="A8595" s="1">
        <v>9240.0</v>
      </c>
      <c r="B8595" s="3" t="s">
        <v>8257</v>
      </c>
      <c r="C8595" s="3" t="str">
        <f>IFERROR(__xludf.DUMMYFUNCTION("GOOGLETRANSLATE(B8595,""id"",""en"")"),"['Thank you', 'The application', 'Useful']")</f>
        <v>['Thank you', 'The application', 'Useful']</v>
      </c>
      <c r="D8595" s="3">
        <v>5.0</v>
      </c>
    </row>
    <row r="8596" ht="15.75" customHeight="1">
      <c r="A8596" s="1">
        <v>9241.0</v>
      </c>
      <c r="B8596" s="3" t="s">
        <v>8258</v>
      </c>
      <c r="C8596" s="3" t="str">
        <f>IFERROR(__xludf.DUMMYFUNCTION("GOOGLETRANSLATE(B8596,""id"",""en"")"),"['Signal', 'Severe', 'Good', 'Bngt', 'Pingin', 'Provider', 'Bener', 'Unlimited', ""]")</f>
        <v>['Signal', 'Severe', 'Good', 'Bngt', 'Pingin', 'Provider', 'Bener', 'Unlimited', "]</v>
      </c>
      <c r="D8596" s="3">
        <v>3.0</v>
      </c>
    </row>
    <row r="8597" ht="15.75" customHeight="1">
      <c r="A8597" s="1">
        <v>9243.0</v>
      </c>
      <c r="B8597" s="3" t="s">
        <v>8259</v>
      </c>
      <c r="C8597" s="3" t="str">
        <f>IFERROR(__xludf.DUMMYFUNCTION("GOOGLETRANSLATE(B8597,""id"",""en"")"),"['signal', 'msh', 'lost']")</f>
        <v>['signal', 'msh', 'lost']</v>
      </c>
      <c r="D8597" s="3">
        <v>4.0</v>
      </c>
    </row>
    <row r="8598" ht="15.75" customHeight="1">
      <c r="A8598" s="1">
        <v>9244.0</v>
      </c>
      <c r="B8598" s="3" t="s">
        <v>8260</v>
      </c>
      <c r="C8598" s="3" t="str">
        <f>IFERROR(__xludf.DUMMYFUNCTION("GOOGLETRANSLATE(B8598,""id"",""en"")"),"['Use']")</f>
        <v>['Use']</v>
      </c>
      <c r="D8598" s="3">
        <v>4.0</v>
      </c>
    </row>
    <row r="8599" ht="15.75" customHeight="1">
      <c r="A8599" s="1">
        <v>9245.0</v>
      </c>
      <c r="B8599" s="3" t="s">
        <v>8261</v>
      </c>
      <c r="C8599" s="3" t="str">
        <f>IFERROR(__xludf.DUMMYFUNCTION("GOOGLETRANSLATE(B8599,""id"",""en"")"),"['', 'want', 'bonus', 'City', '']")</f>
        <v>['', 'want', 'bonus', 'City', '']</v>
      </c>
      <c r="D8599" s="3">
        <v>3.0</v>
      </c>
    </row>
    <row r="8600" ht="15.75" customHeight="1">
      <c r="A8600" s="1">
        <v>9246.0</v>
      </c>
      <c r="B8600" s="3" t="s">
        <v>8262</v>
      </c>
      <c r="C8600" s="3" t="str">
        <f>IFERROR(__xludf.DUMMYFUNCTION("GOOGLETRANSLATE(B8600,""id"",""en"")"),"['Rating', 'Bintang', 'Mabok']")</f>
        <v>['Rating', 'Bintang', 'Mabok']</v>
      </c>
      <c r="D8600" s="3">
        <v>1.0</v>
      </c>
    </row>
    <row r="8601" ht="15.75" customHeight="1">
      <c r="A8601" s="1">
        <v>9247.0</v>
      </c>
      <c r="B8601" s="3" t="s">
        <v>8263</v>
      </c>
      <c r="C8601" s="3" t="str">
        <f>IFERROR(__xludf.DUMMYFUNCTION("GOOGLETRANSLATE(B8601,""id"",""en"")"),"['', 'dech', 'mantaf']")</f>
        <v>['', 'dech', 'mantaf']</v>
      </c>
      <c r="D8601" s="3">
        <v>5.0</v>
      </c>
    </row>
    <row r="8602" ht="15.75" customHeight="1">
      <c r="A8602" s="1">
        <v>9248.0</v>
      </c>
      <c r="B8602" s="3" t="s">
        <v>8264</v>
      </c>
      <c r="C8602" s="3" t="str">
        <f>IFERROR(__xludf.DUMMYFUNCTION("GOOGLETRANSLATE(B8602,""id"",""en"")"),"['Signal', 'Fastest', 'Indonesia', 'TPI', 'Jumping', 'Troossss',' Signal ',' Current ',' Ush ',' Nerusin ',' Signal ',' Very ',' Jumping ']")</f>
        <v>['Signal', 'Fastest', 'Indonesia', 'TPI', 'Jumping', 'Troossss',' Signal ',' Current ',' Ush ',' Nerusin ',' Signal ',' Very ',' Jumping ']</v>
      </c>
      <c r="D8602" s="3">
        <v>1.0</v>
      </c>
    </row>
    <row r="8603" ht="15.75" customHeight="1">
      <c r="A8603" s="1">
        <v>9250.0</v>
      </c>
      <c r="B8603" s="3" t="s">
        <v>8265</v>
      </c>
      <c r="C8603" s="3" t="str">
        <f>IFERROR(__xludf.DUMMYFUNCTION("GOOGLETRANSLATE(B8603,""id"",""en"")"),"['Delete', 'Feature', 'Add', 'Number', 'Menu', 'Corner', 'Function', 'Change', 'Number', 'Log', 'Simpen', ' ']")</f>
        <v>['Delete', 'Feature', 'Add', 'Number', 'Menu', 'Corner', 'Function', 'Change', 'Number', 'Log', 'Simpen', ' ']</v>
      </c>
      <c r="D8603" s="3">
        <v>1.0</v>
      </c>
    </row>
    <row r="8604" ht="15.75" customHeight="1">
      <c r="A8604" s="1">
        <v>9251.0</v>
      </c>
      <c r="B8604" s="3" t="s">
        <v>8266</v>
      </c>
      <c r="C8604" s="3" t="str">
        <f>IFERROR(__xludf.DUMMYFUNCTION("GOOGLETRANSLATE(B8604,""id"",""en"")"),"['Need', 'fast', ""]")</f>
        <v>['Need', 'fast', "]</v>
      </c>
      <c r="D8604" s="3">
        <v>5.0</v>
      </c>
    </row>
    <row r="8605" ht="15.75" customHeight="1">
      <c r="A8605" s="1">
        <v>9252.0</v>
      </c>
      <c r="B8605" s="3" t="s">
        <v>8267</v>
      </c>
      <c r="C8605" s="3" t="str">
        <f>IFERROR(__xludf.DUMMYFUNCTION("GOOGLETRANSLATE(B8605,""id"",""en"")"),"['buy', 'credit', 'Telokmsel', 'Bank', 'pulse', 'visits', 'appears', 'application', 'misleading']")</f>
        <v>['buy', 'credit', 'Telokmsel', 'Bank', 'pulse', 'visits', 'appears', 'application', 'misleading']</v>
      </c>
      <c r="D8605" s="3">
        <v>1.0</v>
      </c>
    </row>
    <row r="8606" ht="15.75" customHeight="1">
      <c r="A8606" s="1">
        <v>9254.0</v>
      </c>
      <c r="B8606" s="3" t="s">
        <v>4334</v>
      </c>
      <c r="C8606" s="3" t="str">
        <f>IFERROR(__xludf.DUMMYFUNCTION("GOOGLETRANSLATE(B8606,""id"",""en"")"),"['bad signal']")</f>
        <v>['bad signal']</v>
      </c>
      <c r="D8606" s="3">
        <v>1.0</v>
      </c>
    </row>
    <row r="8607" ht="15.75" customHeight="1">
      <c r="A8607" s="1">
        <v>9255.0</v>
      </c>
      <c r="B8607" s="3" t="s">
        <v>8268</v>
      </c>
      <c r="C8607" s="3" t="str">
        <f>IFERROR(__xludf.DUMMYFUNCTION("GOOGLETRANSLATE(B8607,""id"",""en"")"),"['wifi', 'pulse', 'taken', 'how', 'bossss', '']")</f>
        <v>['wifi', 'pulse', 'taken', 'how', 'bossss', '']</v>
      </c>
      <c r="D8607" s="3">
        <v>1.0</v>
      </c>
    </row>
    <row r="8608" ht="15.75" customHeight="1">
      <c r="A8608" s="1">
        <v>9256.0</v>
      </c>
      <c r="B8608" s="3" t="s">
        <v>8269</v>
      </c>
      <c r="C8608" s="3" t="str">
        <f>IFERROR(__xludf.DUMMYFUNCTION("GOOGLETRANSLATE(B8608,""id"",""en"")"),"['content', 'alilando', 'jerk', 'alilando', 'jerk', 'pulse', 'cave', 'cut', 'persms',' sms', 'siallando', 'cave', ' Need ',' Ngak ',' Unreg ',' Enter ',' Cut ',' Cave ',' Tomorrow ',' Stop ',' Telkomsel ',' People ',' Working ']")</f>
        <v>['content', 'alilando', 'jerk', 'alilando', 'jerk', 'pulse', 'cave', 'cut', 'persms',' sms', 'siallando', 'cave', ' Need ',' Ngak ',' Unreg ',' Enter ',' Cut ',' Cave ',' Tomorrow ',' Stop ',' Telkomsel ',' People ',' Working ']</v>
      </c>
      <c r="D8608" s="3">
        <v>1.0</v>
      </c>
    </row>
    <row r="8609" ht="15.75" customHeight="1">
      <c r="A8609" s="1">
        <v>9257.0</v>
      </c>
      <c r="B8609" s="3" t="s">
        <v>8270</v>
      </c>
      <c r="C8609" s="3" t="str">
        <f>IFERROR(__xludf.DUMMYFUNCTION("GOOGLETRANSLATE(B8609,""id"",""en"")"),"['Try', 'Hopefully', 'Bgus', 'Signal', 'Lemot']")</f>
        <v>['Try', 'Hopefully', 'Bgus', 'Signal', 'Lemot']</v>
      </c>
      <c r="D8609" s="3">
        <v>3.0</v>
      </c>
    </row>
    <row r="8610" ht="15.75" customHeight="1">
      <c r="A8610" s="1">
        <v>9258.0</v>
      </c>
      <c r="B8610" s="3" t="s">
        <v>8271</v>
      </c>
      <c r="C8610" s="3" t="str">
        <f>IFERROR(__xludf.DUMMYFUNCTION("GOOGLETRANSLATE(B8610,""id"",""en"")"),"['Price', 'Expensive', 'Network', 'Destroyed', 'Mintak', 'Forgiveness',' Please ',' Telkomsel ',' Fix ',' Connection ',' Disappointing ',' The network ',' ']")</f>
        <v>['Price', 'Expensive', 'Network', 'Destroyed', 'Mintak', 'Forgiveness',' Please ',' Telkomsel ',' Fix ',' Connection ',' Disappointing ',' The network ',' ']</v>
      </c>
      <c r="D8610" s="3">
        <v>1.0</v>
      </c>
    </row>
    <row r="8611" ht="15.75" customHeight="1">
      <c r="A8611" s="1">
        <v>9259.0</v>
      </c>
      <c r="B8611" s="3" t="s">
        <v>8272</v>
      </c>
      <c r="C8611" s="3" t="str">
        <f>IFERROR(__xludf.DUMMYFUNCTION("GOOGLETRANSLATE(B8611,""id"",""en"")"),"['Cheap', 'really', 'promo', 'kayak', 'gini', 'wkwkwkw']")</f>
        <v>['Cheap', 'really', 'promo', 'kayak', 'gini', 'wkwkwkw']</v>
      </c>
      <c r="D8611" s="3">
        <v>5.0</v>
      </c>
    </row>
    <row r="8612" ht="15.75" customHeight="1">
      <c r="A8612" s="1">
        <v>9260.0</v>
      </c>
      <c r="B8612" s="3" t="s">
        <v>8273</v>
      </c>
      <c r="C8612" s="3" t="str">
        <f>IFERROR(__xludf.DUMMYFUNCTION("GOOGLETRANSLATE(B8612,""id"",""en"")"),"['Telkomsel', 'expensive', 'quota', 'card', 'already', 'loyal', 'dapet', 'Attention', 'promo', 'special', 'gtu', 'gift', ' GTU ',' appreciation ',' loyal ',' Telkomsel ',' sympathy ']")</f>
        <v>['Telkomsel', 'expensive', 'quota', 'card', 'already', 'loyal', 'dapet', 'Attention', 'promo', 'special', 'gtu', 'gift', ' GTU ',' appreciation ',' loyal ',' Telkomsel ',' sympathy ']</v>
      </c>
      <c r="D8612" s="3">
        <v>3.0</v>
      </c>
    </row>
    <row r="8613" ht="15.75" customHeight="1">
      <c r="A8613" s="1">
        <v>9261.0</v>
      </c>
      <c r="B8613" s="3" t="s">
        <v>217</v>
      </c>
      <c r="C8613" s="3" t="str">
        <f>IFERROR(__xludf.DUMMYFUNCTION("GOOGLETRANSLATE(B8613,""id"",""en"")"),"['satisfying', '']")</f>
        <v>['satisfying', '']</v>
      </c>
      <c r="D8613" s="3">
        <v>1.0</v>
      </c>
    </row>
    <row r="8614" ht="15.75" customHeight="1">
      <c r="A8614" s="1">
        <v>9262.0</v>
      </c>
      <c r="B8614" s="3" t="s">
        <v>8274</v>
      </c>
      <c r="C8614" s="3" t="str">
        <f>IFERROR(__xludf.DUMMYFUNCTION("GOOGLETRANSLATE(B8614,""id"",""en"")"),"['Cool', 'Satisfying', 'Sempet', 'Stop', 'Price', 'Paketan', 'Cheap', 'Yellow', 'Alhamdulillah', 'Gigastar', 'Paketan', 'Cheap', ' Happy ',' ']")</f>
        <v>['Cool', 'Satisfying', 'Sempet', 'Stop', 'Price', 'Paketan', 'Cheap', 'Yellow', 'Alhamdulillah', 'Gigastar', 'Paketan', 'Cheap', ' Happy ',' ']</v>
      </c>
      <c r="D8614" s="3">
        <v>5.0</v>
      </c>
    </row>
    <row r="8615" ht="15.75" customHeight="1">
      <c r="A8615" s="1">
        <v>9263.0</v>
      </c>
      <c r="B8615" s="3" t="s">
        <v>8275</v>
      </c>
      <c r="C8615" s="3" t="str">
        <f>IFERROR(__xludf.DUMMYFUNCTION("GOOGLETRANSLATE(B8615,""id"",""en"")"),"['Operator', 'Bad', 'Disight', 'Consumers',' Grounding ',' Pulza ',' Data ',' Out ',' SDG ',' Notification ',' appears', 'Pulza', ' run out ',' Mending ',' move ',' operator ',' sporty ',' transparent ']")</f>
        <v>['Operator', 'Bad', 'Disight', 'Consumers',' Grounding ',' Pulza ',' Data ',' Out ',' SDG ',' Notification ',' appears', 'Pulza', ' run out ',' Mending ',' move ',' operator ',' sporty ',' transparent ']</v>
      </c>
      <c r="D8615" s="3">
        <v>1.0</v>
      </c>
    </row>
    <row r="8616" ht="15.75" customHeight="1">
      <c r="A8616" s="1">
        <v>9264.0</v>
      </c>
      <c r="B8616" s="3" t="s">
        <v>8276</v>
      </c>
      <c r="C8616" s="3" t="str">
        <f>IFERROR(__xludf.DUMMYFUNCTION("GOOGLETRANSLATE(B8616,""id"",""en"")"),"['Info']")</f>
        <v>['Info']</v>
      </c>
      <c r="D8616" s="3">
        <v>4.0</v>
      </c>
    </row>
    <row r="8617" ht="15.75" customHeight="1">
      <c r="A8617" s="1">
        <v>9265.0</v>
      </c>
      <c r="B8617" s="3" t="s">
        <v>8277</v>
      </c>
      <c r="C8617" s="3" t="str">
        <f>IFERROR(__xludf.DUMMYFUNCTION("GOOGLETRANSLATE(B8617,""id"",""en"")"),"['Hopefully', 'Application', 'Useful', 'Endowed', 'User', 'Telkomsel']")</f>
        <v>['Hopefully', 'Application', 'Useful', 'Endowed', 'User', 'Telkomsel']</v>
      </c>
      <c r="D8617" s="3">
        <v>5.0</v>
      </c>
    </row>
    <row r="8618" ht="15.75" customHeight="1">
      <c r="A8618" s="1">
        <v>9266.0</v>
      </c>
      <c r="B8618" s="3" t="s">
        <v>7808</v>
      </c>
      <c r="C8618" s="3" t="str">
        <f>IFERROR(__xludf.DUMMYFUNCTION("GOOGLETRANSLATE(B8618,""id"",""en"")"),"['Network', 'Good']")</f>
        <v>['Network', 'Good']</v>
      </c>
      <c r="D8618" s="3">
        <v>5.0</v>
      </c>
    </row>
    <row r="8619" ht="15.75" customHeight="1">
      <c r="A8619" s="1">
        <v>9267.0</v>
      </c>
      <c r="B8619" s="3" t="s">
        <v>8278</v>
      </c>
      <c r="C8619" s="3" t="str">
        <f>IFERROR(__xludf.DUMMYFUNCTION("GOOGLETRANSLATE(B8619,""id"",""en"")"),"['Telkomsel', 'signal', 'poor', 'area', 'kalideres',' hard ',' really ',' already ',' mah ',' expensive ',' slow ',' prefer ',' Indosat ']")</f>
        <v>['Telkomsel', 'signal', 'poor', 'area', 'kalideres',' hard ',' really ',' already ',' mah ',' expensive ',' slow ',' prefer ',' Indosat ']</v>
      </c>
      <c r="D8619" s="3">
        <v>1.0</v>
      </c>
    </row>
    <row r="8620" ht="15.75" customHeight="1">
      <c r="A8620" s="1">
        <v>9268.0</v>
      </c>
      <c r="B8620" s="3" t="s">
        <v>8279</v>
      </c>
      <c r="C8620" s="3" t="str">
        <f>IFERROR(__xludf.DUMMYFUNCTION("GOOGLETRANSLATE(B8620,""id"",""en"")"),"['Service', '']")</f>
        <v>['Service', '']</v>
      </c>
      <c r="D8620" s="3">
        <v>5.0</v>
      </c>
    </row>
    <row r="8621" ht="15.75" customHeight="1">
      <c r="A8621" s="1">
        <v>9269.0</v>
      </c>
      <c r="B8621" s="3" t="s">
        <v>8280</v>
      </c>
      <c r="C8621" s="3" t="str">
        <f>IFERROR(__xludf.DUMMYFUNCTION("GOOGLETRANSLATE(B8621,""id"",""en"")"),"['signal', 'stable', 'high school']")</f>
        <v>['signal', 'stable', 'high school']</v>
      </c>
      <c r="D8621" s="3">
        <v>1.0</v>
      </c>
    </row>
    <row r="8622" ht="15.75" customHeight="1">
      <c r="A8622" s="1">
        <v>9270.0</v>
      </c>
      <c r="B8622" s="3" t="s">
        <v>8281</v>
      </c>
      <c r="C8622" s="3" t="str">
        <f>IFERROR(__xludf.DUMMYFUNCTION("GOOGLETRANSLATE(B8622,""id"",""en"")"),"['Help', 'choose', 'package', 'internet', 'cheap']")</f>
        <v>['Help', 'choose', 'package', 'internet', 'cheap']</v>
      </c>
      <c r="D8622" s="3">
        <v>5.0</v>
      </c>
    </row>
    <row r="8623" ht="15.75" customHeight="1">
      <c r="A8623" s="1">
        <v>9271.0</v>
      </c>
      <c r="B8623" s="3" t="s">
        <v>8282</v>
      </c>
      <c r="C8623" s="3" t="str">
        <f>IFERROR(__xludf.DUMMYFUNCTION("GOOGLETRANSLATE(B8623,""id"",""en"")"),"['Convenience', 'Information']")</f>
        <v>['Convenience', 'Information']</v>
      </c>
      <c r="D8623" s="3">
        <v>5.0</v>
      </c>
    </row>
    <row r="8624" ht="15.75" customHeight="1">
      <c r="A8624" s="1">
        <v>9272.0</v>
      </c>
      <c r="B8624" s="3" t="s">
        <v>8283</v>
      </c>
      <c r="C8624" s="3" t="str">
        <f>IFERROR(__xludf.DUMMYFUNCTION("GOOGLETRANSLATE(B8624,""id"",""en"")"),"['use it', 'experienced', 'fasting', 'app', 'tamab', 'star']")</f>
        <v>['use it', 'experienced', 'fasting', 'app', 'tamab', 'star']</v>
      </c>
      <c r="D8624" s="3">
        <v>3.0</v>
      </c>
    </row>
    <row r="8625" ht="15.75" customHeight="1">
      <c r="A8625" s="1">
        <v>9273.0</v>
      </c>
      <c r="B8625" s="3" t="s">
        <v>8284</v>
      </c>
      <c r="C8625" s="3" t="str">
        <f>IFERROR(__xludf.DUMMYFUNCTION("GOOGLETRANSLATE(B8625,""id"",""en"")"),"['Mantab', 'fast', 'short']")</f>
        <v>['Mantab', 'fast', 'short']</v>
      </c>
      <c r="D8625" s="3">
        <v>3.0</v>
      </c>
    </row>
    <row r="8626" ht="15.75" customHeight="1">
      <c r="A8626" s="1">
        <v>9274.0</v>
      </c>
      <c r="B8626" s="3" t="s">
        <v>8285</v>
      </c>
      <c r="C8626" s="3" t="str">
        <f>IFERROR(__xludf.DUMMYFUNCTION("GOOGLETRANSLATE(B8626,""id"",""en"")"),"['virtue', 'bgus', 'dann', 'satisfynn']")</f>
        <v>['virtue', 'bgus', 'dann', 'satisfynn']</v>
      </c>
      <c r="D8626" s="3">
        <v>5.0</v>
      </c>
    </row>
    <row r="8627" ht="15.75" customHeight="1">
      <c r="A8627" s="1">
        <v>9275.0</v>
      </c>
      <c r="B8627" s="3" t="s">
        <v>8286</v>
      </c>
      <c r="C8627" s="3" t="str">
        <f>IFERROR(__xludf.DUMMYFUNCTION("GOOGLETRANSLATE(B8627,""id"",""en"")"),"['entry', 'Ribet', 'Link', 'OTP']")</f>
        <v>['entry', 'Ribet', 'Link', 'OTP']</v>
      </c>
      <c r="D8627" s="3">
        <v>2.0</v>
      </c>
    </row>
    <row r="8628" ht="15.75" customHeight="1">
      <c r="A8628" s="1">
        <v>9276.0</v>
      </c>
      <c r="B8628" s="3" t="s">
        <v>8287</v>
      </c>
      <c r="C8628" s="3" t="str">
        <f>IFERROR(__xludf.DUMMYFUNCTION("GOOGLETRANSLATE(B8628,""id"",""en"")"),"['signal', 'stable', 'dead', 'lights', 'signal', 'ilang']")</f>
        <v>['signal', 'stable', 'dead', 'lights', 'signal', 'ilang']</v>
      </c>
      <c r="D8628" s="3">
        <v>1.0</v>
      </c>
    </row>
    <row r="8629" ht="15.75" customHeight="1">
      <c r="A8629" s="1">
        <v>9277.0</v>
      </c>
      <c r="B8629" s="3" t="s">
        <v>8288</v>
      </c>
      <c r="C8629" s="3" t="str">
        <f>IFERROR(__xludf.DUMMYFUNCTION("GOOGLETRANSLATE(B8629,""id"",""en"")"),"['bad', 'no', 'application', 'Telkomsel', 'pdhal', 'it's needed', 'want', 'check', 'balance', 'quota', 'buy', 'package', ' complicated ',' use ',' Lite ',' already ',' no ',' support ',' use ',' heavy ',' really ',' market ',' heavy ', ""]")</f>
        <v>['bad', 'no', 'application', 'Telkomsel', 'pdhal', 'it's needed', 'want', 'check', 'balance', 'quota', 'buy', 'package', ' complicated ',' use ',' Lite ',' already ',' no ',' support ',' use ',' heavy ',' really ',' market ',' heavy ', "]</v>
      </c>
      <c r="D8629" s="3">
        <v>1.0</v>
      </c>
    </row>
    <row r="8630" ht="15.75" customHeight="1">
      <c r="A8630" s="1">
        <v>9278.0</v>
      </c>
      <c r="B8630" s="3" t="s">
        <v>8289</v>
      </c>
      <c r="C8630" s="3" t="str">
        <f>IFERROR(__xludf.DUMMYFUNCTION("GOOGLETRANSLATE(B8630,""id"",""en"")"),"['Telkomsel', 'Leading']")</f>
        <v>['Telkomsel', 'Leading']</v>
      </c>
      <c r="D8630" s="3">
        <v>5.0</v>
      </c>
    </row>
    <row r="8631" ht="15.75" customHeight="1">
      <c r="A8631" s="1">
        <v>9279.0</v>
      </c>
      <c r="B8631" s="3" t="s">
        <v>2620</v>
      </c>
      <c r="C8631" s="3" t="str">
        <f>IFERROR(__xludf.DUMMYFUNCTION("GOOGLETRANSLATE(B8631,""id"",""en"")"),"Of course")</f>
        <v>Of course</v>
      </c>
      <c r="D8631" s="3">
        <v>5.0</v>
      </c>
    </row>
    <row r="8632" ht="15.75" customHeight="1">
      <c r="A8632" s="1">
        <v>9281.0</v>
      </c>
      <c r="B8632" s="3" t="s">
        <v>8290</v>
      </c>
      <c r="C8632" s="3" t="str">
        <f>IFERROR(__xludf.DUMMYFUNCTION("GOOGLETRANSLATE(B8632,""id"",""en"")"),"['Response', 'Refund', 'slow', 'termination', 'chat', 'fast']")</f>
        <v>['Response', 'Refund', 'slow', 'termination', 'chat', 'fast']</v>
      </c>
      <c r="D8632" s="3">
        <v>1.0</v>
      </c>
    </row>
    <row r="8633" ht="15.75" customHeight="1">
      <c r="A8633" s="1">
        <v>9282.0</v>
      </c>
      <c r="B8633" s="3" t="s">
        <v>8291</v>
      </c>
      <c r="C8633" s="3" t="str">
        <f>IFERROR(__xludf.DUMMYFUNCTION("GOOGLETRANSLATE(B8633,""id"",""en"")"),"['already', 'clock', 'open', 'data', 'package', 'night', 'pulse', 'slalu', 'eat', 'package', 'active', 'pulses',' Sedot ',' Disappointing ',' Try ',' Malaysia ',' Turn on ',' Data ',' Data ',' Eat ',' Credit ',' Take ',' Data ',' Out ']")</f>
        <v>['already', 'clock', 'open', 'data', 'package', 'night', 'pulse', 'slalu', 'eat', 'package', 'active', 'pulses',' Sedot ',' Disappointing ',' Try ',' Malaysia ',' Turn on ',' Data ',' Data ',' Eat ',' Credit ',' Take ',' Data ',' Out ']</v>
      </c>
      <c r="D8633" s="3">
        <v>5.0</v>
      </c>
    </row>
    <row r="8634" ht="15.75" customHeight="1">
      <c r="A8634" s="1">
        <v>9283.0</v>
      </c>
      <c r="B8634" s="3" t="s">
        <v>8292</v>
      </c>
      <c r="C8634" s="3" t="str">
        <f>IFERROR(__xludf.DUMMYFUNCTION("GOOGLETRANSLATE(B8634,""id"",""en"")"),"['signal', 'pulp', 'quota', 'expensive', 'signal', 'pulp']")</f>
        <v>['signal', 'pulp', 'quota', 'expensive', 'signal', 'pulp']</v>
      </c>
      <c r="D8634" s="3">
        <v>1.0</v>
      </c>
    </row>
    <row r="8635" ht="15.75" customHeight="1">
      <c r="A8635" s="1">
        <v>9284.0</v>
      </c>
      <c r="B8635" s="3" t="s">
        <v>8293</v>
      </c>
      <c r="C8635" s="3" t="str">
        <f>IFERROR(__xludf.DUMMYFUNCTION("GOOGLETRANSLATE(B8635,""id"",""en"")"),"['love', 'star', 'hopefully', 'Telkomsel', 'operator', 'best', 'cheapest', 'Indonesia', 'hope', 'promo', 'quota', 'regular', ' reproduced ']")</f>
        <v>['love', 'star', 'hopefully', 'Telkomsel', 'operator', 'best', 'cheapest', 'Indonesia', 'hope', 'promo', 'quota', 'regular', ' reproduced ']</v>
      </c>
      <c r="D8635" s="3">
        <v>3.0</v>
      </c>
    </row>
    <row r="8636" ht="15.75" customHeight="1">
      <c r="A8636" s="1">
        <v>9285.0</v>
      </c>
      <c r="B8636" s="3" t="s">
        <v>8294</v>
      </c>
      <c r="C8636" s="3" t="str">
        <f>IFERROR(__xludf.DUMMYFUNCTION("GOOGLETRANSLATE(B8636,""id"",""en"")"),"['No', 'opened', ""]")</f>
        <v>['No', 'opened', "]</v>
      </c>
      <c r="D8636" s="3">
        <v>1.0</v>
      </c>
    </row>
    <row r="8637" ht="15.75" customHeight="1">
      <c r="A8637" s="1">
        <v>9286.0</v>
      </c>
      <c r="B8637" s="3" t="s">
        <v>8295</v>
      </c>
      <c r="C8637" s="3" t="str">
        <f>IFERROR(__xludf.DUMMYFUNCTION("GOOGLETRANSLATE(B8637,""id"",""en"")"),"['Satisfied', 'Perdana', 'Telkomsel']")</f>
        <v>['Satisfied', 'Perdana', 'Telkomsel']</v>
      </c>
      <c r="D8637" s="3">
        <v>5.0</v>
      </c>
    </row>
    <row r="8638" ht="15.75" customHeight="1">
      <c r="A8638" s="1">
        <v>9287.0</v>
      </c>
      <c r="B8638" s="3" t="s">
        <v>8296</v>
      </c>
      <c r="C8638" s="3" t="str">
        <f>IFERROR(__xludf.DUMMYFUNCTION("GOOGLETRANSLATE(B8638,""id"",""en"")"),"['Nice', 'signal', '']")</f>
        <v>['Nice', 'signal', '']</v>
      </c>
      <c r="D8638" s="3">
        <v>1.0</v>
      </c>
    </row>
    <row r="8639" ht="15.75" customHeight="1">
      <c r="A8639" s="1">
        <v>9288.0</v>
      </c>
      <c r="B8639" s="3" t="s">
        <v>8297</v>
      </c>
      <c r="C8639" s="3" t="str">
        <f>IFERROR(__xludf.DUMMYFUNCTION("GOOGLETRANSLATE(B8639,""id"",""en"")"),"['Easy', 'DPAT', 'Honda', 'Mobilio', 'Aamiin', 'Aamiin', 'Robbal', 'Alamin', ""]")</f>
        <v>['Easy', 'DPAT', 'Honda', 'Mobilio', 'Aamiin', 'Aamiin', 'Robbal', 'Alamin', "]</v>
      </c>
      <c r="D8639" s="3">
        <v>5.0</v>
      </c>
    </row>
    <row r="8640" ht="15.75" customHeight="1">
      <c r="A8640" s="1">
        <v>9289.0</v>
      </c>
      <c r="B8640" s="3" t="s">
        <v>8298</v>
      </c>
      <c r="C8640" s="3" t="str">
        <f>IFERROR(__xludf.DUMMYFUNCTION("GOOGLETRANSLATE(B8640,""id"",""en"")"),"['Good', 'really', 'buy', 'package']")</f>
        <v>['Good', 'really', 'buy', 'package']</v>
      </c>
      <c r="D8640" s="3">
        <v>5.0</v>
      </c>
    </row>
    <row r="8641" ht="15.75" customHeight="1">
      <c r="A8641" s="1">
        <v>9290.0</v>
      </c>
      <c r="B8641" s="3" t="s">
        <v>8299</v>
      </c>
      <c r="C8641" s="3" t="str">
        <f>IFERROR(__xludf.DUMMYFUNCTION("GOOGLETRANSLATE(B8641,""id"",""en"")"),"['pork', 'pulse', 'cave', 'chopped', 'gegara', 'internet', 'game', 'quota', 'game']")</f>
        <v>['pork', 'pulse', 'cave', 'chopped', 'gegara', 'internet', 'game', 'quota', 'game']</v>
      </c>
      <c r="D8641" s="3">
        <v>1.0</v>
      </c>
    </row>
    <row r="8642" ht="15.75" customHeight="1">
      <c r="A8642" s="1">
        <v>9291.0</v>
      </c>
      <c r="B8642" s="3" t="s">
        <v>8300</v>
      </c>
      <c r="C8642" s="3" t="str">
        <f>IFERROR(__xludf.DUMMYFUNCTION("GOOGLETRANSLATE(B8642,""id"",""en"")"),"['Telkomsel', 'already', 'Not bad']")</f>
        <v>['Telkomsel', 'already', 'Not bad']</v>
      </c>
      <c r="D8642" s="3">
        <v>4.0</v>
      </c>
    </row>
    <row r="8643" ht="15.75" customHeight="1">
      <c r="A8643" s="1">
        <v>9293.0</v>
      </c>
      <c r="B8643" s="3" t="s">
        <v>8301</v>
      </c>
      <c r="C8643" s="3" t="str">
        <f>IFERROR(__xludf.DUMMYFUNCTION("GOOGLETRANSLATE(B8643,""id"",""en"")"),"['quota', 'expensive', 'signal', 'ugly', 'suits', 'quality', 'price', 'hour', 'signal', 'karuan', ""]")</f>
        <v>['quota', 'expensive', 'signal', 'ugly', 'suits', 'quality', 'price', 'hour', 'signal', 'karuan', "]</v>
      </c>
      <c r="D8643" s="3">
        <v>2.0</v>
      </c>
    </row>
    <row r="8644" ht="15.75" customHeight="1">
      <c r="A8644" s="1">
        <v>9294.0</v>
      </c>
      <c r="B8644" s="3" t="s">
        <v>8302</v>
      </c>
      <c r="C8644" s="3" t="str">
        <f>IFERROR(__xludf.DUMMYFUNCTION("GOOGLETRANSLATE(B8644,""id"",""en"")"),"['Sekarng', 'difficult', 'open']")</f>
        <v>['Sekarng', 'difficult', 'open']</v>
      </c>
      <c r="D8644" s="3">
        <v>5.0</v>
      </c>
    </row>
    <row r="8645" ht="15.75" customHeight="1">
      <c r="A8645" s="1">
        <v>9295.0</v>
      </c>
      <c r="B8645" s="3" t="s">
        <v>8303</v>
      </c>
      <c r="C8645" s="3" t="str">
        <f>IFERROR(__xludf.DUMMYFUNCTION("GOOGLETRANSLATE(B8645,""id"",""en"")"),"['', 'Different', 'number', 'Different', 'price', 'husband', 'lbh', 'cheap', 'price', 'package', 'buy', 'Telkomsel']")</f>
        <v>['', 'Different', 'number', 'Different', 'price', 'husband', 'lbh', 'cheap', 'price', 'package', 'buy', 'Telkomsel']</v>
      </c>
      <c r="D8645" s="3">
        <v>4.0</v>
      </c>
    </row>
    <row r="8646" ht="15.75" customHeight="1">
      <c r="A8646" s="1">
        <v>9296.0</v>
      </c>
      <c r="B8646" s="3" t="s">
        <v>8304</v>
      </c>
      <c r="C8646" s="3" t="str">
        <f>IFERROR(__xludf.DUMMYFUNCTION("GOOGLETRANSLATE(B8646,""id"",""en"")"),"['Love', 'promo', 'bely', '']")</f>
        <v>['Love', 'promo', 'bely', '']</v>
      </c>
      <c r="D8646" s="3">
        <v>5.0</v>
      </c>
    </row>
    <row r="8647" ht="15.75" customHeight="1">
      <c r="A8647" s="1">
        <v>9297.0</v>
      </c>
      <c r="B8647" s="3" t="s">
        <v>8305</v>
      </c>
      <c r="C8647" s="3" t="str">
        <f>IFERROR(__xludf.DUMMYFUNCTION("GOOGLETRANSLATE(B8647,""id"",""en"")"),"['Please', 'Telkomsel', 'Features',' Check ',' Age ',' Card ',' Use ',' Pas', 'Try', 'Diel', 'Gabisa', 'People', ' eat rice']")</f>
        <v>['Please', 'Telkomsel', 'Features',' Check ',' Age ',' Card ',' Use ',' Pas', 'Try', 'Diel', 'Gabisa', 'People', ' eat rice']</v>
      </c>
      <c r="D8647" s="3">
        <v>5.0</v>
      </c>
    </row>
    <row r="8648" ht="15.75" customHeight="1">
      <c r="A8648" s="1">
        <v>9298.0</v>
      </c>
      <c r="B8648" s="3" t="s">
        <v>8306</v>
      </c>
      <c r="C8648" s="3" t="str">
        <f>IFERROR(__xludf.DUMMYFUNCTION("GOOGLETRANSLATE(B8648,""id"",""en"")"),"['hope', 'MyTelkomsel', 'advanced', 'success', 'network', 'limit', 'wherever']")</f>
        <v>['hope', 'MyTelkomsel', 'advanced', 'success', 'network', 'limit', 'wherever']</v>
      </c>
      <c r="D8648" s="3">
        <v>5.0</v>
      </c>
    </row>
    <row r="8649" ht="15.75" customHeight="1">
      <c r="A8649" s="1">
        <v>9299.0</v>
      </c>
      <c r="B8649" s="3" t="s">
        <v>8307</v>
      </c>
      <c r="C8649" s="3" t="str">
        <f>IFERROR(__xludf.DUMMYFUNCTION("GOOGLETRANSLATE(B8649,""id"",""en"")"),"['NGK', 'Redeem', 'Points', 'Lazy', 'really']")</f>
        <v>['NGK', 'Redeem', 'Points', 'Lazy', 'really']</v>
      </c>
      <c r="D8649" s="3">
        <v>1.0</v>
      </c>
    </row>
    <row r="8650" ht="15.75" customHeight="1">
      <c r="A8650" s="1">
        <v>9300.0</v>
      </c>
      <c r="B8650" s="3" t="s">
        <v>8308</v>
      </c>
      <c r="C8650" s="3" t="str">
        <f>IFERROR(__xludf.DUMMYFUNCTION("GOOGLETRANSLATE(B8650,""id"",""en"")"),"['The application', 'Oppo', 'reno', 'problematic', 'open', 'please', 'fix', '']")</f>
        <v>['The application', 'Oppo', 'reno', 'problematic', 'open', 'please', 'fix', '']</v>
      </c>
      <c r="D8650" s="3">
        <v>1.0</v>
      </c>
    </row>
    <row r="8651" ht="15.75" customHeight="1">
      <c r="A8651" s="1">
        <v>9301.0</v>
      </c>
      <c r="B8651" s="3" t="s">
        <v>8309</v>
      </c>
      <c r="C8651" s="3" t="str">
        <f>IFERROR(__xludf.DUMMYFUNCTION("GOOGLETRANSLATE(B8651,""id"",""en"")"),"['Please', 'Application', 'Leet', 'Emotion']")</f>
        <v>['Please', 'Application', 'Leet', 'Emotion']</v>
      </c>
      <c r="D8651" s="3">
        <v>1.0</v>
      </c>
    </row>
    <row r="8652" ht="15.75" customHeight="1">
      <c r="A8652" s="1">
        <v>9302.0</v>
      </c>
      <c r="B8652" s="3" t="s">
        <v>8310</v>
      </c>
      <c r="C8652" s="3" t="str">
        <f>IFERROR(__xludf.DUMMYFUNCTION("GOOGLETRANSLATE(B8652,""id"",""en"")"),"['', 'Telkomsel', 'service', 'best', 'features',' promo ',' interesting ',' customer ',' loyal ',' bravo ',' Telkomsel ',' Mari ',' build ',' nation ',' service ',' world ',' digital ',' greetings']")</f>
        <v>['', 'Telkomsel', 'service', 'best', 'features',' promo ',' interesting ',' customer ',' loyal ',' bravo ',' Telkomsel ',' Mari ',' build ',' nation ',' service ',' world ',' digital ',' greetings']</v>
      </c>
      <c r="D8652" s="3">
        <v>5.0</v>
      </c>
    </row>
    <row r="8653" ht="15.75" customHeight="1">
      <c r="A8653" s="1">
        <v>9303.0</v>
      </c>
      <c r="B8653" s="3" t="s">
        <v>4306</v>
      </c>
      <c r="C8653" s="3" t="str">
        <f>IFERROR(__xludf.DUMMYFUNCTION("GOOGLETRANSLATE(B8653,""id"",""en"")"),"['buy', 'internet']")</f>
        <v>['buy', 'internet']</v>
      </c>
      <c r="D8653" s="3">
        <v>5.0</v>
      </c>
    </row>
    <row r="8654" ht="15.75" customHeight="1">
      <c r="A8654" s="1">
        <v>9304.0</v>
      </c>
      <c r="B8654" s="3" t="s">
        <v>8311</v>
      </c>
      <c r="C8654" s="3" t="str">
        <f>IFERROR(__xludf.DUMMYFUNCTION("GOOGLETRANSLATE(B8654,""id"",""en"")"),"['Telkomsel', 'please', 'fix', 'data', 'package', 'buy', 'data', 'package', 'fail', 'pulse', 'buy', 'thousand', ' Want ',' buy ',' quota ',' price ',' rb ',' written ',' sorry ',' pulse ',' check ',' pulse ',' please ',' fix ',' ']")</f>
        <v>['Telkomsel', 'please', 'fix', 'data', 'package', 'buy', 'data', 'package', 'fail', 'pulse', 'buy', 'thousand', ' Want ',' buy ',' quota ',' price ',' rb ',' written ',' sorry ',' pulse ',' check ',' pulse ',' please ',' fix ',' ']</v>
      </c>
      <c r="D8654" s="3">
        <v>4.0</v>
      </c>
    </row>
    <row r="8655" ht="15.75" customHeight="1">
      <c r="A8655" s="1">
        <v>9305.0</v>
      </c>
      <c r="B8655" s="3" t="s">
        <v>800</v>
      </c>
      <c r="C8655" s="3" t="str">
        <f>IFERROR(__xludf.DUMMYFUNCTION("GOOGLETRANSLATE(B8655,""id"",""en"")"),"['Promo']")</f>
        <v>['Promo']</v>
      </c>
      <c r="D8655" s="3">
        <v>4.0</v>
      </c>
    </row>
    <row r="8656" ht="15.75" customHeight="1">
      <c r="A8656" s="1">
        <v>9306.0</v>
      </c>
      <c r="B8656" s="3" t="s">
        <v>8312</v>
      </c>
      <c r="C8656" s="3" t="str">
        <f>IFERROR(__xludf.DUMMYFUNCTION("GOOGLETRANSLATE(B8656,""id"",""en"")"),"['Telkomsel', 'service', 'like', 'change', 'delete', 'application', 'service', 'times',' subscribe ',' buy ',' package ',' application ',' Purchases', 'direct', 'available', 'loss',' customers', 'blur', 'network', 'mah', 'so', '']")</f>
        <v>['Telkomsel', 'service', 'like', 'change', 'delete', 'application', 'service', 'times',' subscribe ',' buy ',' package ',' application ',' Purchases', 'direct', 'available', 'loss',' customers', 'blur', 'network', 'mah', 'so', '']</v>
      </c>
      <c r="D8656" s="3">
        <v>1.0</v>
      </c>
    </row>
    <row r="8657" ht="15.75" customHeight="1">
      <c r="A8657" s="1">
        <v>9307.0</v>
      </c>
      <c r="B8657" s="3" t="s">
        <v>2090</v>
      </c>
      <c r="C8657" s="3" t="str">
        <f>IFERROR(__xludf.DUMMYFUNCTION("GOOGLETRANSLATE(B8657,""id"",""en"")"),"['Telkomsel', 'best']")</f>
        <v>['Telkomsel', 'best']</v>
      </c>
      <c r="D8657" s="3">
        <v>5.0</v>
      </c>
    </row>
    <row r="8658" ht="15.75" customHeight="1">
      <c r="A8658" s="1">
        <v>9308.0</v>
      </c>
      <c r="B8658" s="3" t="s">
        <v>8313</v>
      </c>
      <c r="C8658" s="3" t="str">
        <f>IFERROR(__xludf.DUMMYFUNCTION("GOOGLETRANSLATE(B8658,""id"",""en"")"),"['APK', 'GBLK', 'buy', 'quota', 'credit', 'truncated', 'BLM', 'process',' quota ',' enter ',' pulse ',' truncated ',' turning back ',' pulse ',' lgi ',' need ',' heh ',' test ',' school ',' cut ',' ']")</f>
        <v>['APK', 'GBLK', 'buy', 'quota', 'credit', 'truncated', 'BLM', 'process',' quota ',' enter ',' pulse ',' truncated ',' turning back ',' pulse ',' lgi ',' need ',' heh ',' test ',' school ',' cut ',' ']</v>
      </c>
      <c r="D8658" s="3">
        <v>1.0</v>
      </c>
    </row>
    <row r="8659" ht="15.75" customHeight="1">
      <c r="A8659" s="1">
        <v>9309.0</v>
      </c>
      <c r="B8659" s="3" t="s">
        <v>8314</v>
      </c>
      <c r="C8659" s="3" t="str">
        <f>IFERROR(__xludf.DUMMYFUNCTION("GOOGLETRANSLATE(B8659,""id"",""en"")"),"['Display', 'Speed', '']")</f>
        <v>['Display', 'Speed', '']</v>
      </c>
      <c r="D8659" s="3">
        <v>5.0</v>
      </c>
    </row>
    <row r="8660" ht="15.75" customHeight="1">
      <c r="A8660" s="1">
        <v>9310.0</v>
      </c>
      <c r="B8660" s="3" t="s">
        <v>8315</v>
      </c>
      <c r="C8660" s="3" t="str">
        <f>IFERROR(__xludf.DUMMYFUNCTION("GOOGLETRANSLATE(B8660,""id"",""en"")"),"['bad', 'signal', 'Telkomsel', 'quota', 'expensive', '']")</f>
        <v>['bad', 'signal', 'Telkomsel', 'quota', 'expensive', '']</v>
      </c>
      <c r="D8660" s="3">
        <v>1.0</v>
      </c>
    </row>
    <row r="8661" ht="15.75" customHeight="1">
      <c r="A8661" s="1">
        <v>9311.0</v>
      </c>
      <c r="B8661" s="3" t="s">
        <v>8316</v>
      </c>
      <c r="C8661" s="3" t="str">
        <f>IFERROR(__xludf.DUMMYFUNCTION("GOOGLETRANSLATE(B8661,""id"",""en"")"),"['Keep', 'trust', 'fertilizer', 'Bravo', 'Telkomsel']")</f>
        <v>['Keep', 'trust', 'fertilizer', 'Bravo', 'Telkomsel']</v>
      </c>
      <c r="D8661" s="3">
        <v>5.0</v>
      </c>
    </row>
    <row r="8662" ht="15.75" customHeight="1">
      <c r="A8662" s="1">
        <v>9312.0</v>
      </c>
      <c r="B8662" s="3" t="s">
        <v>8317</v>
      </c>
      <c r="C8662" s="3" t="str">
        <f>IFERROR(__xludf.DUMMYFUNCTION("GOOGLETRANSLATE(B8662,""id"",""en"")"),"['rating', 'manipulation', 'quality', 'service', 'bad', '']")</f>
        <v>['rating', 'manipulation', 'quality', 'service', 'bad', '']</v>
      </c>
      <c r="D8662" s="3">
        <v>1.0</v>
      </c>
    </row>
    <row r="8663" ht="15.75" customHeight="1">
      <c r="A8663" s="1">
        <v>9313.0</v>
      </c>
      <c r="B8663" s="3" t="s">
        <v>8318</v>
      </c>
      <c r="C8663" s="3" t="str">
        <f>IFERROR(__xludf.DUMMYFUNCTION("GOOGLETRANSLATE(B8663,""id"",""en"")"),"['Exchange', 'Points', 'How', '']")</f>
        <v>['Exchange', 'Points', 'How', '']</v>
      </c>
      <c r="D8663" s="3">
        <v>5.0</v>
      </c>
    </row>
    <row r="8664" ht="15.75" customHeight="1">
      <c r="A8664" s="1">
        <v>9314.0</v>
      </c>
      <c r="B8664" s="3" t="s">
        <v>8319</v>
      </c>
      <c r="C8664" s="3" t="str">
        <f>IFERROR(__xludf.DUMMYFUNCTION("GOOGLETRANSLATE(B8664,""id"",""en"")"),"['oath', 'happy', 'really', 'MyTelkomsel', 'Jos', 'Putie', '']")</f>
        <v>['oath', 'happy', 'really', 'MyTelkomsel', 'Jos', 'Putie', '']</v>
      </c>
      <c r="D8664" s="3">
        <v>5.0</v>
      </c>
    </row>
    <row r="8665" ht="15.75" customHeight="1">
      <c r="A8665" s="1">
        <v>9315.0</v>
      </c>
      <c r="B8665" s="3" t="s">
        <v>8320</v>
      </c>
      <c r="C8665" s="3" t="str">
        <f>IFERROR(__xludf.DUMMYFUNCTION("GOOGLETRANSLATE(B8665,""id"",""en"")"),"['already', 'play', 'Geme', ""]")</f>
        <v>['already', 'play', 'Geme', "]</v>
      </c>
      <c r="D8665" s="3">
        <v>1.0</v>
      </c>
    </row>
    <row r="8666" ht="15.75" customHeight="1">
      <c r="A8666" s="1">
        <v>9316.0</v>
      </c>
      <c r="B8666" s="3" t="s">
        <v>8321</v>
      </c>
      <c r="C8666" s="3" t="str">
        <f>IFERROR(__xludf.DUMMYFUNCTION("GOOGLETRANSLATE(B8666,""id"",""en"")"),"['Geregeetan', 'KOMBO', 'SAKTI', 'Price', 'Excellent', 'Price', 'People', 'Rich', 'What', 'Price', 'Popony', 'Haaaah', ' price ',' donk ',' collapsed ',' thousand ',' thousand ',' ngembat ',' thousand ',' gajih ',' official ',' mah ',' bro ',' forgiveness"&amp;"', 'cave' , 'Huuuuh', 'holiday', 'buy', 'package', 'situ', 'nervous', 'sya', 'keep', 'wait', 'package', 'down', '']")</f>
        <v>['Geregeetan', 'KOMBO', 'SAKTI', 'Price', 'Excellent', 'Price', 'People', 'Rich', 'What', 'Price', 'Popony', 'Haaaah', ' price ',' donk ',' collapsed ',' thousand ',' thousand ',' ngembat ',' thousand ',' gajih ',' official ',' mah ',' bro ',' forgiveness', 'cave' , 'Huuuuh', 'holiday', 'buy', 'package', 'situ', 'nervous', 'sya', 'keep', 'wait', 'package', 'down', '']</v>
      </c>
      <c r="D8666" s="3">
        <v>1.0</v>
      </c>
    </row>
    <row r="8667" ht="15.75" customHeight="1">
      <c r="A8667" s="1">
        <v>9317.0</v>
      </c>
      <c r="B8667" s="3" t="s">
        <v>8322</v>
      </c>
      <c r="C8667" s="3" t="str">
        <f>IFERROR(__xludf.DUMMYFUNCTION("GOOGLETRANSLATE(B8667,""id"",""en"")"),"['signal', 'Leet', 'City', 'Bekasi']")</f>
        <v>['signal', 'Leet', 'City', 'Bekasi']</v>
      </c>
      <c r="D8667" s="3">
        <v>1.0</v>
      </c>
    </row>
    <row r="8668" ht="15.75" customHeight="1">
      <c r="A8668" s="1">
        <v>9318.0</v>
      </c>
      <c r="B8668" s="3" t="s">
        <v>8323</v>
      </c>
      <c r="C8668" s="3" t="str">
        <f>IFERROR(__xludf.DUMMYFUNCTION("GOOGLETRANSLATE(B8668,""id"",""en"")"),"['crazy', 'cave', 'buy', 'pulse', 'ampe', 'gara', 'cave', 'exchange', 'cut', 'trs',' pulses', 'gada', ' Quota ',' Deruker ',' Jncok ', ""]")</f>
        <v>['crazy', 'cave', 'buy', 'pulse', 'ampe', 'gara', 'cave', 'exchange', 'cut', 'trs',' pulses', 'gada', ' Quota ',' Deruker ',' Jncok ', "]</v>
      </c>
      <c r="D8668" s="3">
        <v>1.0</v>
      </c>
    </row>
    <row r="8669" ht="15.75" customHeight="1">
      <c r="A8669" s="1">
        <v>9319.0</v>
      </c>
      <c r="B8669" s="3" t="s">
        <v>8324</v>
      </c>
      <c r="C8669" s="3" t="str">
        <f>IFERROR(__xludf.DUMMYFUNCTION("GOOGLETRANSLATE(B8669,""id"",""en"")"),"['game', 'good', 'chart', 'decent', 'good', 'RTX', 'special', 'like', 'game', 'fps',' mandatory ',' donglot ',' games', 'guaranteed', 'addicted', 'control', 'Lumalayan', 'prime', 'kagak', 'lag', 'ayooo', 'huntuuan', 'donglot', 'run out', 'event' , 'Free',"&amp;" 'Scar', 'Ak', 'husty', '']")</f>
        <v>['game', 'good', 'chart', 'decent', 'good', 'RTX', 'special', 'like', 'game', 'fps',' mandatory ',' donglot ',' games', 'guaranteed', 'addicted', 'control', 'Lumalayan', 'prime', 'kagak', 'lag', 'ayooo', 'huntuuan', 'donglot', 'run out', 'event' , 'Free', 'Scar', 'Ak', 'husty', '']</v>
      </c>
      <c r="D8669" s="3">
        <v>5.0</v>
      </c>
    </row>
    <row r="8670" ht="15.75" customHeight="1">
      <c r="A8670" s="1">
        <v>9320.0</v>
      </c>
      <c r="B8670" s="3" t="s">
        <v>8325</v>
      </c>
      <c r="C8670" s="3" t="str">
        <f>IFERROR(__xludf.DUMMYFUNCTION("GOOGLETRANSLATE(B8670,""id"",""en"")"),"['Enjoy', 'Service', 'Telkomsel']")</f>
        <v>['Enjoy', 'Service', 'Telkomsel']</v>
      </c>
      <c r="D8670" s="3">
        <v>1.0</v>
      </c>
    </row>
    <row r="8671" ht="15.75" customHeight="1">
      <c r="A8671" s="1">
        <v>9321.0</v>
      </c>
      <c r="B8671" s="3" t="s">
        <v>8326</v>
      </c>
      <c r="C8671" s="3" t="str">
        <f>IFERROR(__xludf.DUMMYFUNCTION("GOOGLETRANSLATE(B8671,""id"",""en"")"),"['Want', 'Nuker', 'Points',' Package ',' Internet ',' Telkomsel ',' Failed ',' Alesan ',' System ',' Busy ',' System ',' Busy ',' Mulu ',' already ',' already ',' tried ',' nuker ',' Points', 'Paketan', 'Ampe', 'Kaga']")</f>
        <v>['Want', 'Nuker', 'Points',' Package ',' Internet ',' Telkomsel ',' Failed ',' Alesan ',' System ',' Busy ',' System ',' Busy ',' Mulu ',' already ',' already ',' tried ',' nuker ',' Points', 'Paketan', 'Ampe', 'Kaga']</v>
      </c>
      <c r="D8671" s="3">
        <v>1.0</v>
      </c>
    </row>
    <row r="8672" ht="15.75" customHeight="1">
      <c r="A8672" s="1">
        <v>9322.0</v>
      </c>
      <c r="B8672" s="3" t="s">
        <v>8327</v>
      </c>
      <c r="C8672" s="3" t="str">
        <f>IFERROR(__xludf.DUMMYFUNCTION("GOOGLETRANSLATE(B8672,""id"",""en"")"),"['Please', 'Network', 'Area', 'Papua', 'Waropen', 'Slow', 'TPI', 'Kayak', 'Sudh', 'Buy', 'PKK', 'TPI', ' The network ',' Bukak ',' Google ']")</f>
        <v>['Please', 'Network', 'Area', 'Papua', 'Waropen', 'Slow', 'TPI', 'Kayak', 'Sudh', 'Buy', 'PKK', 'TPI', ' The network ',' Bukak ',' Google ']</v>
      </c>
      <c r="D8672" s="3">
        <v>2.0</v>
      </c>
    </row>
    <row r="8673" ht="15.75" customHeight="1">
      <c r="A8673" s="1">
        <v>9323.0</v>
      </c>
      <c r="B8673" s="3" t="s">
        <v>8328</v>
      </c>
      <c r="C8673" s="3" t="str">
        <f>IFERROR(__xludf.DUMMYFUNCTION("GOOGLETRANSLATE(B8673,""id"",""en"")"),"['Telkomsel', 'signal', 'ugly', 'price']")</f>
        <v>['Telkomsel', 'signal', 'ugly', 'price']</v>
      </c>
      <c r="D8673" s="3">
        <v>1.0</v>
      </c>
    </row>
    <row r="8674" ht="15.75" customHeight="1">
      <c r="A8674" s="1">
        <v>9324.0</v>
      </c>
      <c r="B8674" s="3" t="s">
        <v>8329</v>
      </c>
      <c r="C8674" s="3" t="str">
        <f>IFERROR(__xludf.DUMMYFUNCTION("GOOGLETRANSLATE(B8674,""id"",""en"")"),"['package', 'doang', 'expensive', 'network', 'rich']")</f>
        <v>['package', 'doang', 'expensive', 'network', 'rich']</v>
      </c>
      <c r="D8674" s="3">
        <v>1.0</v>
      </c>
    </row>
    <row r="8675" ht="15.75" customHeight="1">
      <c r="A8675" s="1">
        <v>9325.0</v>
      </c>
      <c r="B8675" s="3" t="s">
        <v>8330</v>
      </c>
      <c r="C8675" s="3" t="str">
        <f>IFERROR(__xludf.DUMMYFUNCTION("GOOGLETRANSLATE(B8675,""id"",""en"")"),"['Sorry', 'Telkomsel', 'Move', 'Provider', 'Please', 'Fix', 'Signal', 'Game', 'Lag', 'Severe', 'Thanks',' Already ',' accompany ',' yrs']")</f>
        <v>['Sorry', 'Telkomsel', 'Move', 'Provider', 'Please', 'Fix', 'Signal', 'Game', 'Lag', 'Severe', 'Thanks',' Already ',' accompany ',' yrs']</v>
      </c>
      <c r="D8675" s="3">
        <v>1.0</v>
      </c>
    </row>
    <row r="8676" ht="15.75" customHeight="1">
      <c r="A8676" s="1">
        <v>9326.0</v>
      </c>
      <c r="B8676" s="3" t="s">
        <v>8331</v>
      </c>
      <c r="C8676" s="3" t="str">
        <f>IFERROR(__xludf.DUMMYFUNCTION("GOOGLETRANSLATE(B8676,""id"",""en"")"),"['mantaappp', 'TPI', 'pulse', 'data', 'expensive', 'jdi', 'star', 'aj']")</f>
        <v>['mantaappp', 'TPI', 'pulse', 'data', 'expensive', 'jdi', 'star', 'aj']</v>
      </c>
      <c r="D8676" s="3">
        <v>4.0</v>
      </c>
    </row>
    <row r="8677" ht="15.75" customHeight="1">
      <c r="A8677" s="1">
        <v>9327.0</v>
      </c>
      <c r="B8677" s="3" t="s">
        <v>8332</v>
      </c>
      <c r="C8677" s="3" t="str">
        <f>IFERROR(__xludf.DUMMYFUNCTION("GOOGLETRANSLATE(B8677,""id"",""en"")"),"['fast', 'registration']")</f>
        <v>['fast', 'registration']</v>
      </c>
      <c r="D8677" s="3">
        <v>5.0</v>
      </c>
    </row>
    <row r="8678" ht="15.75" customHeight="1">
      <c r="A8678" s="1">
        <v>9328.0</v>
      </c>
      <c r="B8678" s="3" t="s">
        <v>8333</v>
      </c>
      <c r="C8678" s="3" t="str">
        <f>IFERROR(__xludf.DUMMYFUNCTION("GOOGLETRANSLATE(B8678,""id"",""en"")"),"['Provider', 'best', 'his service']")</f>
        <v>['Provider', 'best', 'his service']</v>
      </c>
      <c r="D8678" s="3">
        <v>5.0</v>
      </c>
    </row>
    <row r="8679" ht="15.75" customHeight="1">
      <c r="A8679" s="1">
        <v>9329.0</v>
      </c>
      <c r="B8679" s="3" t="s">
        <v>8334</v>
      </c>
      <c r="C8679" s="3" t="str">
        <f>IFERROR(__xludf.DUMMYFUNCTION("GOOGLETRANSLATE(B8679,""id"",""en"")"),"['Facilitates', 'Purchase', 'Package', 'Call', 'Data', '']")</f>
        <v>['Facilitates', 'Purchase', 'Package', 'Call', 'Data', '']</v>
      </c>
      <c r="D8679" s="3">
        <v>5.0</v>
      </c>
    </row>
    <row r="8680" ht="15.75" customHeight="1">
      <c r="A8680" s="1">
        <v>9330.0</v>
      </c>
      <c r="B8680" s="3" t="s">
        <v>8335</v>
      </c>
      <c r="C8680" s="3" t="str">
        <f>IFERROR(__xludf.DUMMYFUNCTION("GOOGLETRANSLATE(B8680,""id"",""en"")"),"['confused', 'button', 'search']")</f>
        <v>['confused', 'button', 'search']</v>
      </c>
      <c r="D8680" s="3">
        <v>4.0</v>
      </c>
    </row>
    <row r="8681" ht="15.75" customHeight="1">
      <c r="A8681" s="1">
        <v>9332.0</v>
      </c>
      <c r="B8681" s="3" t="s">
        <v>8336</v>
      </c>
      <c r="C8681" s="3" t="str">
        <f>IFERROR(__xludf.DUMMYFUNCTION("GOOGLETRANSLATE(B8681,""id"",""en"")"),"['MHN', 'Sorry', 'Corruption', 'Aktiv', 'Loans', 'Buy', 'Package', 'Uda', 'Aktiv', 'Where', ""]")</f>
        <v>['MHN', 'Sorry', 'Corruption', 'Aktiv', 'Loans', 'Buy', 'Package', 'Uda', 'Aktiv', 'Where', "]</v>
      </c>
      <c r="D8681" s="3">
        <v>1.0</v>
      </c>
    </row>
    <row r="8682" ht="15.75" customHeight="1">
      <c r="A8682" s="1">
        <v>9333.0</v>
      </c>
      <c r="B8682" s="3" t="s">
        <v>8337</v>
      </c>
      <c r="C8682" s="3" t="str">
        <f>IFERROR(__xludf.DUMMYFUNCTION("GOOGLETRANSLATE(B8682,""id"",""en"")"),"['buy', 'package', 'data', 'data', 'enter', 'payment', 'already', 'succeed', 'transaction', 'UDH', 'SUCCESS', 'NNTI', ' Add it ',' star ',' ']")</f>
        <v>['buy', 'package', 'data', 'data', 'enter', 'payment', 'already', 'succeed', 'transaction', 'UDH', 'SUCCESS', 'NNTI', ' Add it ',' star ',' ']</v>
      </c>
      <c r="D8682" s="3">
        <v>1.0</v>
      </c>
    </row>
    <row r="8683" ht="15.75" customHeight="1">
      <c r="A8683" s="1">
        <v>9334.0</v>
      </c>
      <c r="B8683" s="3" t="s">
        <v>8338</v>
      </c>
      <c r="C8683" s="3" t="str">
        <f>IFERROR(__xludf.DUMMYFUNCTION("GOOGLETRANSLATE(B8683,""id"",""en"")"),"['Customer', 'Telkomsel', 'Telkomsel', 'Provider', 'number', 'The', 'Best', 'Indonesia', 'reach', 'reach', 'remote', 'area' Stayed ',' Story ',' Sad ',' Telkomsel ',' Provider ',' Worst ',' Most expensive ',' number ',' Indonesia ',' Telkomsel ',' Custome"&amp;"r ',' Disappointed ',' Plus' , 'Thieves',' Credit ',' Restui ',' Telkomsel ',' Telkomsel ',' Grounding ',' Credit ',' Package ',' Data ',' Customer ',' Out ',' Doesn business', ' Telkomsel ']")</f>
        <v>['Customer', 'Telkomsel', 'Telkomsel', 'Provider', 'number', 'The', 'Best', 'Indonesia', 'reach', 'reach', 'remote', 'area' Stayed ',' Story ',' Sad ',' Telkomsel ',' Provider ',' Worst ',' Most expensive ',' number ',' Indonesia ',' Telkomsel ',' Customer ',' Disappointed ',' Plus' , 'Thieves',' Credit ',' Restui ',' Telkomsel ',' Telkomsel ',' Grounding ',' Credit ',' Package ',' Data ',' Customer ',' Out ',' Doesn business', ' Telkomsel ']</v>
      </c>
      <c r="D8683" s="3">
        <v>1.0</v>
      </c>
    </row>
    <row r="8684" ht="15.75" customHeight="1">
      <c r="A8684" s="1">
        <v>9335.0</v>
      </c>
      <c r="B8684" s="3" t="s">
        <v>4008</v>
      </c>
      <c r="C8684" s="3" t="str">
        <f>IFERROR(__xludf.DUMMYFUNCTION("GOOGLETRANSLATE(B8684,""id"",""en"")"),"['like', 'application']")</f>
        <v>['like', 'application']</v>
      </c>
      <c r="D8684" s="3">
        <v>5.0</v>
      </c>
    </row>
    <row r="8685" ht="15.75" customHeight="1">
      <c r="A8685" s="1">
        <v>9336.0</v>
      </c>
      <c r="B8685" s="3" t="s">
        <v>8339</v>
      </c>
      <c r="C8685" s="3" t="str">
        <f>IFERROR(__xludf.DUMMYFUNCTION("GOOGLETRANSLATE(B8685,""id"",""en"")"),"['oath', 'Telkomsel', 'here', 'ngelag', 'kouta', 'expensive', 'quality', 'gada', '']")</f>
        <v>['oath', 'Telkomsel', 'here', 'ngelag', 'kouta', 'expensive', 'quality', 'gada', '']</v>
      </c>
      <c r="D8685" s="3">
        <v>1.0</v>
      </c>
    </row>
    <row r="8686" ht="15.75" customHeight="1">
      <c r="A8686" s="1">
        <v>9337.0</v>
      </c>
      <c r="B8686" s="3" t="s">
        <v>8340</v>
      </c>
      <c r="C8686" s="3" t="str">
        <f>IFERROR(__xludf.DUMMYFUNCTION("GOOGLETRANSLATE(B8686,""id"",""en"")"),"['Signal', 'Kalimantan', 'Banjarmasin', 'Fix', 'Congratulations',' Consumer ',' Reduced ',' Telkomsel ',' Already ',' Play ',' pub ',' lag ',' Severe ',' Weather ',' Overcast ',' Telkomsel ',' Lost ',' Signal ',' Provider ',' Current ',' Move ',' Provider"&amp;" ',' Skrg ',' Thanks', ""]")</f>
        <v>['Signal', 'Kalimantan', 'Banjarmasin', 'Fix', 'Congratulations',' Consumer ',' Reduced ',' Telkomsel ',' Already ',' Play ',' pub ',' lag ',' Severe ',' Weather ',' Overcast ',' Telkomsel ',' Lost ',' Signal ',' Provider ',' Current ',' Move ',' Provider ',' Skrg ',' Thanks', "]</v>
      </c>
      <c r="D8686" s="3">
        <v>1.0</v>
      </c>
    </row>
    <row r="8687" ht="15.75" customHeight="1">
      <c r="A8687" s="1">
        <v>9338.0</v>
      </c>
      <c r="B8687" s="3" t="s">
        <v>8341</v>
      </c>
      <c r="C8687" s="3" t="str">
        <f>IFERROR(__xludf.DUMMYFUNCTION("GOOGLETRANSLATE(B8687,""id"",""en"")"),"['Pay', 'bill', 'card', 'Hello', 'late', 'late', 'little', 'directly', 'delegated', 'pay', 'sorry', 'wear', ' card ',' Hello ',' if ',' card ',' sympathy ',' prepaid ',' card ',' already ',' tens', 'darling', 'discarded', 'memories',' with him ' , 'Please"&amp;"', 'Restore', 'Kartuku', 'Sympathy', '']")</f>
        <v>['Pay', 'bill', 'card', 'Hello', 'late', 'late', 'little', 'directly', 'delegated', 'pay', 'sorry', 'wear', ' card ',' Hello ',' if ',' card ',' sympathy ',' prepaid ',' card ',' already ',' tens', 'darling', 'discarded', 'memories',' with him ' , 'Please', 'Restore', 'Kartuku', 'Sympathy', '']</v>
      </c>
      <c r="D8687" s="3">
        <v>1.0</v>
      </c>
    </row>
    <row r="8688" ht="15.75" customHeight="1">
      <c r="A8688" s="1">
        <v>9339.0</v>
      </c>
      <c r="B8688" s="3" t="s">
        <v>6229</v>
      </c>
      <c r="C8688" s="3" t="str">
        <f>IFERROR(__xludf.DUMMYFUNCTION("GOOGLETRANSLATE(B8688,""id"",""en"")"),"['Steady', 'fast']")</f>
        <v>['Steady', 'fast']</v>
      </c>
      <c r="D8688" s="3">
        <v>5.0</v>
      </c>
    </row>
    <row r="8689" ht="15.75" customHeight="1">
      <c r="A8689" s="1">
        <v>9342.0</v>
      </c>
      <c r="B8689" s="3" t="s">
        <v>8342</v>
      </c>
      <c r="C8689" s="3" t="str">
        <f>IFERROR(__xludf.DUMMYFUNCTION("GOOGLETRANSLATE(B8689,""id"",""en"")"),"['Service', 'Telkomsel', 'Baguus']")</f>
        <v>['Service', 'Telkomsel', 'Baguus']</v>
      </c>
      <c r="D8689" s="3">
        <v>5.0</v>
      </c>
    </row>
    <row r="8690" ht="15.75" customHeight="1">
      <c r="A8690" s="1">
        <v>9343.0</v>
      </c>
      <c r="B8690" s="3" t="s">
        <v>8343</v>
      </c>
      <c r="C8690" s="3" t="str">
        <f>IFERROR(__xludf.DUMMYFUNCTION("GOOGLETRANSLATE(B8690,""id"",""en"")"),"['Anyway', 'Jos']")</f>
        <v>['Anyway', 'Jos']</v>
      </c>
      <c r="D8690" s="3">
        <v>5.0</v>
      </c>
    </row>
    <row r="8691" ht="15.75" customHeight="1">
      <c r="A8691" s="1">
        <v>9344.0</v>
      </c>
      <c r="B8691" s="3" t="s">
        <v>8344</v>
      </c>
      <c r="C8691" s="3" t="str">
        <f>IFERROR(__xludf.DUMMYFUNCTION("GOOGLETRANSLATE(B8691,""id"",""en"")"),"['Dlude', 'card', 'Sya', 'buy', 'package', 'cheap', 'history', 'expensive']")</f>
        <v>['Dlude', 'card', 'Sya', 'buy', 'package', 'cheap', 'history', 'expensive']</v>
      </c>
      <c r="D8691" s="3">
        <v>1.0</v>
      </c>
    </row>
    <row r="8692" ht="15.75" customHeight="1">
      <c r="A8692" s="1">
        <v>9345.0</v>
      </c>
      <c r="B8692" s="3" t="s">
        <v>8345</v>
      </c>
      <c r="C8692" s="3" t="str">
        <f>IFERROR(__xludf.DUMMYFUNCTION("GOOGLETRANSLATE(B8692,""id"",""en"")"),"['It's', 'fast', 'user']")</f>
        <v>['It's', 'fast', 'user']</v>
      </c>
      <c r="D8692" s="3">
        <v>5.0</v>
      </c>
    </row>
    <row r="8693" ht="15.75" customHeight="1">
      <c r="A8693" s="1">
        <v>9346.0</v>
      </c>
      <c r="B8693" s="3" t="s">
        <v>8346</v>
      </c>
      <c r="C8693" s="3" t="str">
        <f>IFERROR(__xludf.DUMMYFUNCTION("GOOGLETRANSLATE(B8693,""id"",""en"")"),"['', 'Increase', 'quality', 'signal']")</f>
        <v>['', 'Increase', 'quality', 'signal']</v>
      </c>
      <c r="D8693" s="3">
        <v>4.0</v>
      </c>
    </row>
    <row r="8694" ht="15.75" customHeight="1">
      <c r="A8694" s="1">
        <v>9347.0</v>
      </c>
      <c r="B8694" s="3" t="s">
        <v>1525</v>
      </c>
      <c r="C8694" s="3" t="str">
        <f>IFERROR(__xludf.DUMMYFUNCTION("GOOGLETRANSLATE(B8694,""id"",""en"")"),"['APK']")</f>
        <v>['APK']</v>
      </c>
      <c r="D8694" s="3">
        <v>5.0</v>
      </c>
    </row>
    <row r="8695" ht="15.75" customHeight="1">
      <c r="A8695" s="1">
        <v>9348.0</v>
      </c>
      <c r="B8695" s="3" t="s">
        <v>8347</v>
      </c>
      <c r="C8695" s="3" t="str">
        <f>IFERROR(__xludf.DUMMYFUNCTION("GOOGLETRANSLATE(B8695,""id"",""en"")"),"['promo', 'recommendation', 'package', 'friendly', 'price', 'increase', 'package', 'promo', 'cheap', 'thank', 'love', 'Telkomsel']")</f>
        <v>['promo', 'recommendation', 'package', 'friendly', 'price', 'increase', 'package', 'promo', 'cheap', 'thank', 'love', 'Telkomsel']</v>
      </c>
      <c r="D8695" s="3">
        <v>5.0</v>
      </c>
    </row>
    <row r="8696" ht="15.75" customHeight="1">
      <c r="A8696" s="1">
        <v>9349.0</v>
      </c>
      <c r="B8696" s="3" t="s">
        <v>8348</v>
      </c>
      <c r="C8696" s="3" t="str">
        <f>IFERROR(__xludf.DUMMYFUNCTION("GOOGLETRANSLATE(B8696,""id"",""en"")"),"['toloooollllllll', 'annnjjhhhiiing', 'Bhabii', 'Bangsaaaa', 'Siaaalll', 'Khimak', 'pulse', 'abis',' suck ',' sampay ',' minutes', 'leftover', ' Buy ',' package ',' sufficient ',' Tholol ']")</f>
        <v>['toloooollllllll', 'annnjjhhhiiing', 'Bhabii', 'Bangsaaaa', 'Siaaalll', 'Khimak', 'pulse', 'abis',' suck ',' sampay ',' minutes', 'leftover', ' Buy ',' package ',' sufficient ',' Tholol ']</v>
      </c>
      <c r="D8696" s="3">
        <v>1.0</v>
      </c>
    </row>
    <row r="8697" ht="15.75" customHeight="1">
      <c r="A8697" s="1">
        <v>9350.0</v>
      </c>
      <c r="B8697" s="3" t="s">
        <v>8349</v>
      </c>
      <c r="C8697" s="3" t="str">
        <f>IFERROR(__xludf.DUMMYFUNCTION("GOOGLETRANSLATE(B8697,""id"",""en"")"),"['', 'thank you']")</f>
        <v>['', 'thank you']</v>
      </c>
      <c r="D8697" s="3">
        <v>5.0</v>
      </c>
    </row>
    <row r="8698" ht="15.75" customHeight="1">
      <c r="A8698" s="1">
        <v>9352.0</v>
      </c>
      <c r="B8698" s="3" t="s">
        <v>8350</v>
      </c>
      <c r="C8698" s="3" t="str">
        <f>IFERROR(__xludf.DUMMYFUNCTION("GOOGLETRANSLATE(B8698,""id"",""en"")"),"['Cemana', 'list', '']")</f>
        <v>['Cemana', 'list', '']</v>
      </c>
      <c r="D8698" s="3">
        <v>1.0</v>
      </c>
    </row>
    <row r="8699" ht="15.75" customHeight="1">
      <c r="A8699" s="1">
        <v>9353.0</v>
      </c>
      <c r="B8699" s="3" t="s">
        <v>8351</v>
      </c>
      <c r="C8699" s="3" t="str">
        <f>IFERROR(__xludf.DUMMYFUNCTION("GOOGLETRANSLATE(B8699,""id"",""en"")"),"['hope', 'useful', 'user', 'Telkomsel']")</f>
        <v>['hope', 'useful', 'user', 'Telkomsel']</v>
      </c>
      <c r="D8699" s="3">
        <v>3.0</v>
      </c>
    </row>
    <row r="8700" ht="15.75" customHeight="1">
      <c r="A8700" s="1">
        <v>9354.0</v>
      </c>
      <c r="B8700" s="3" t="s">
        <v>8352</v>
      </c>
      <c r="C8700" s="3" t="str">
        <f>IFERROR(__xludf.DUMMYFUNCTION("GOOGLETRANSLATE(B8700,""id"",""en"")"),"['Please', 'Repaired', 'Sirig', 'BSA', 'MLALUNGAN', 'Trions', 'Purchase', ""]")</f>
        <v>['Please', 'Repaired', 'Sirig', 'BSA', 'MLALUNGAN', 'Trions', 'Purchase', "]</v>
      </c>
      <c r="D8700" s="3">
        <v>4.0</v>
      </c>
    </row>
    <row r="8701" ht="15.75" customHeight="1">
      <c r="A8701" s="1">
        <v>9355.0</v>
      </c>
      <c r="B8701" s="3" t="s">
        <v>8353</v>
      </c>
      <c r="C8701" s="3" t="str">
        <f>IFERROR(__xludf.DUMMYFUNCTION("GOOGLETRANSLATE(B8701,""id"",""en"")"),"['Telkomsel', 'expensive']")</f>
        <v>['Telkomsel', 'expensive']</v>
      </c>
      <c r="D8701" s="3">
        <v>5.0</v>
      </c>
    </row>
    <row r="8702" ht="15.75" customHeight="1">
      <c r="A8702" s="1">
        <v>9356.0</v>
      </c>
      <c r="B8702" s="3" t="s">
        <v>8354</v>
      </c>
      <c r="C8702" s="3" t="str">
        <f>IFERROR(__xludf.DUMMYFUNCTION("GOOGLETRANSLATE(B8702,""id"",""en"")"),"['Credit', 'reduced', 'no', 'use', 'nelfon', 'sms',' etc. ',' tibatiba ',' pulse ',' drained ',' try ',' info ',' Dri ',' Telkomsel ',' GMna ',' ']")</f>
        <v>['Credit', 'reduced', 'no', 'use', 'nelfon', 'sms',' etc. ',' tibatiba ',' pulse ',' drained ',' try ',' info ',' Dri ',' Telkomsel ',' GMna ',' ']</v>
      </c>
      <c r="D8702" s="3">
        <v>2.0</v>
      </c>
    </row>
    <row r="8703" ht="15.75" customHeight="1">
      <c r="A8703" s="1">
        <v>9358.0</v>
      </c>
      <c r="B8703" s="3" t="s">
        <v>8355</v>
      </c>
      <c r="C8703" s="3" t="str">
        <f>IFERROR(__xludf.DUMMYFUNCTION("GOOGLETRANSLATE(B8703,""id"",""en"")"),"['UDH', 'Customer', 'Telkomsel', 'Dri', 'Signal', 'Good', 'Bngt', 'Nge', 'lag', 'Sometimes',' lost ',' signal ',' PDHL ',' Location ',' TNGH ',' City ',' Bandung ',' ']")</f>
        <v>['UDH', 'Customer', 'Telkomsel', 'Dri', 'Signal', 'Good', 'Bngt', 'Nge', 'lag', 'Sometimes',' lost ',' signal ',' PDHL ',' Location ',' TNGH ',' City ',' Bandung ',' ']</v>
      </c>
      <c r="D8703" s="3">
        <v>2.0</v>
      </c>
    </row>
    <row r="8704" ht="15.75" customHeight="1">
      <c r="A8704" s="1">
        <v>9359.0</v>
      </c>
      <c r="B8704" s="3" t="s">
        <v>8356</v>
      </c>
      <c r="C8704" s="3" t="str">
        <f>IFERROR(__xludf.DUMMYFUNCTION("GOOGLETRANSLATE(B8704,""id"",""en"")"),"['Since', 'neighbors', 'village', 'pairs', 'wifi', 'network', 'Telkomsel', 'difficult', 'city', 'good', ""]")</f>
        <v>['Since', 'neighbors', 'village', 'pairs', 'wifi', 'network', 'Telkomsel', 'difficult', 'city', 'good', "]</v>
      </c>
      <c r="D8704" s="3">
        <v>5.0</v>
      </c>
    </row>
    <row r="8705" ht="15.75" customHeight="1">
      <c r="A8705" s="1">
        <v>9360.0</v>
      </c>
      <c r="B8705" s="3" t="s">
        <v>8357</v>
      </c>
      <c r="C8705" s="3" t="str">
        <f>IFERROR(__xludf.DUMMYFUNCTION("GOOGLETRANSLATE(B8705,""id"",""en"")"),"['Network', 'ugly', 'broke', 'network', 'ugly', 'bad']")</f>
        <v>['Network', 'ugly', 'broke', 'network', 'ugly', 'bad']</v>
      </c>
      <c r="D8705" s="3">
        <v>1.0</v>
      </c>
    </row>
    <row r="8706" ht="15.75" customHeight="1">
      <c r="A8706" s="1">
        <v>9361.0</v>
      </c>
      <c r="B8706" s="3" t="s">
        <v>8358</v>
      </c>
      <c r="C8706" s="3" t="str">
        <f>IFERROR(__xludf.DUMMYFUNCTION("GOOGLETRANSLATE(B8706,""id"",""en"")"),"['application', 'good', 'help', 'check', 'pulse', 'quota', ""]")</f>
        <v>['application', 'good', 'help', 'check', 'pulse', 'quota', "]</v>
      </c>
      <c r="D8706" s="3">
        <v>5.0</v>
      </c>
    </row>
    <row r="8707" ht="15.75" customHeight="1">
      <c r="A8707" s="1">
        <v>9362.0</v>
      </c>
      <c r="B8707" s="3" t="s">
        <v>8359</v>
      </c>
      <c r="C8707" s="3" t="str">
        <f>IFERROR(__xludf.DUMMYFUNCTION("GOOGLETRANSLATE(B8707,""id"",""en"")"),"['Season', 'Telkomsel', 'buy', 'package', 'dati', 'TLKMSEL', 'leftover', 'credit', 'buy', 'package', 'sms',' Telkomsel ',' Credit ',' sufficient ',' buy ',' Package ',' Semenatara ',' pulse ',' buy ',' Package ']")</f>
        <v>['Season', 'Telkomsel', 'buy', 'package', 'dati', 'TLKMSEL', 'leftover', 'credit', 'buy', 'package', 'sms',' Telkomsel ',' Credit ',' sufficient ',' buy ',' Package ',' Semenatara ',' pulse ',' buy ',' Package ']</v>
      </c>
      <c r="D8707" s="3">
        <v>3.0</v>
      </c>
    </row>
    <row r="8708" ht="15.75" customHeight="1">
      <c r="A8708" s="1">
        <v>9363.0</v>
      </c>
      <c r="B8708" s="3" t="s">
        <v>8360</v>
      </c>
      <c r="C8708" s="3" t="str">
        <f>IFERROR(__xludf.DUMMYFUNCTION("GOOGLETRANSLATE(B8708,""id"",""en"")"),"['Application', 'Norak', '']")</f>
        <v>['Application', 'Norak', '']</v>
      </c>
      <c r="D8708" s="3">
        <v>5.0</v>
      </c>
    </row>
    <row r="8709" ht="15.75" customHeight="1">
      <c r="A8709" s="1">
        <v>9364.0</v>
      </c>
      <c r="B8709" s="3" t="s">
        <v>8361</v>
      </c>
      <c r="C8709" s="3" t="str">
        <f>IFERROR(__xludf.DUMMYFUNCTION("GOOGLETRANSLATE(B8709,""id"",""en"")"),"['promo', 'steady']")</f>
        <v>['promo', 'steady']</v>
      </c>
      <c r="D8709" s="3">
        <v>5.0</v>
      </c>
    </row>
    <row r="8710" ht="15.75" customHeight="1">
      <c r="A8710" s="1">
        <v>9365.0</v>
      </c>
      <c r="B8710" s="3" t="s">
        <v>8362</v>
      </c>
      <c r="C8710" s="3" t="str">
        <f>IFERROR(__xludf.DUMMYFUNCTION("GOOGLETRANSLATE(B8710,""id"",""en"")"),"['Good', 'mandatory', 'increase', 'quality', 'signal']")</f>
        <v>['Good', 'mandatory', 'increase', 'quality', 'signal']</v>
      </c>
      <c r="D8710" s="3">
        <v>5.0</v>
      </c>
    </row>
    <row r="8711" ht="15.75" customHeight="1">
      <c r="A8711" s="1">
        <v>9366.0</v>
      </c>
      <c r="B8711" s="3" t="s">
        <v>8363</v>
      </c>
      <c r="C8711" s="3" t="str">
        <f>IFERROR(__xludf.DUMMYFUNCTION("GOOGLETRANSLATE(B8711,""id"",""en"")"),"['Menu', 'Change', 'Network']")</f>
        <v>['Menu', 'Change', 'Network']</v>
      </c>
      <c r="D8711" s="3">
        <v>3.0</v>
      </c>
    </row>
    <row r="8712" ht="15.75" customHeight="1">
      <c r="A8712" s="1">
        <v>9367.0</v>
      </c>
      <c r="B8712" s="3" t="s">
        <v>8364</v>
      </c>
      <c r="C8712" s="3" t="str">
        <f>IFERROR(__xludf.DUMMYFUNCTION("GOOGLETRANSLATE(B8712,""id"",""en"")"),"['Buy', 'Package', 'Mirah', 'Telkomsel', 'mantaaap']")</f>
        <v>['Buy', 'Package', 'Mirah', 'Telkomsel', 'mantaaap']</v>
      </c>
      <c r="D8712" s="3">
        <v>5.0</v>
      </c>
    </row>
    <row r="8713" ht="15.75" customHeight="1">
      <c r="A8713" s="1">
        <v>9368.0</v>
      </c>
      <c r="B8713" s="3" t="s">
        <v>8365</v>
      </c>
      <c r="C8713" s="3" t="str">
        <f>IFERROR(__xludf.DUMMYFUNCTION("GOOGLETRANSLATE(B8713,""id"",""en"")"),"['My APK', 'Please', 'Use', 'Pulse', 'Lock', 'Buy', 'Package', 'Credit', 'Cutting']")</f>
        <v>['My APK', 'Please', 'Use', 'Pulse', 'Lock', 'Buy', 'Package', 'Credit', 'Cutting']</v>
      </c>
      <c r="D8713" s="3">
        <v>1.0</v>
      </c>
    </row>
    <row r="8714" ht="15.75" customHeight="1">
      <c r="A8714" s="1">
        <v>9369.0</v>
      </c>
      <c r="B8714" s="3" t="s">
        <v>8366</v>
      </c>
      <c r="C8714" s="3" t="str">
        <f>IFERROR(__xludf.DUMMYFUNCTION("GOOGLETRANSLATE(B8714,""id"",""en"")"),"['Easy', 'Telkom']")</f>
        <v>['Easy', 'Telkom']</v>
      </c>
      <c r="D8714" s="3">
        <v>5.0</v>
      </c>
    </row>
    <row r="8715" ht="15.75" customHeight="1">
      <c r="A8715" s="1">
        <v>9370.0</v>
      </c>
      <c r="B8715" s="3" t="s">
        <v>8367</v>
      </c>
      <c r="C8715" s="3" t="str">
        <f>IFERROR(__xludf.DUMMYFUNCTION("GOOGLETRANSLATE(B8715,""id"",""en"")"),"['', 'Disappointed', 'Telkomsel', 'Credit', 'Reduced', '']")</f>
        <v>['', 'Disappointed', 'Telkomsel', 'Credit', 'Reduced', '']</v>
      </c>
      <c r="D8715" s="3">
        <v>1.0</v>
      </c>
    </row>
    <row r="8716" ht="15.75" customHeight="1">
      <c r="A8716" s="1">
        <v>9371.0</v>
      </c>
      <c r="B8716" s="3" t="s">
        <v>8368</v>
      </c>
      <c r="C8716" s="3" t="str">
        <f>IFERROR(__xludf.DUMMYFUNCTION("GOOGLETRANSLATE(B8716,""id"",""en"")"),"['easy', 'checks', 'data', 'nonor']")</f>
        <v>['easy', 'checks', 'data', 'nonor']</v>
      </c>
      <c r="D8716" s="3">
        <v>5.0</v>
      </c>
    </row>
    <row r="8717" ht="15.75" customHeight="1">
      <c r="A8717" s="1">
        <v>9372.0</v>
      </c>
      <c r="B8717" s="3" t="s">
        <v>8369</v>
      </c>
      <c r="C8717" s="3" t="str">
        <f>IFERROR(__xludf.DUMMYFUNCTION("GOOGLETRANSLATE(B8717,""id"",""en"")"),"['just', 'attached to', 'money', 'network', 'slow', 'really', 'network', 'worst']")</f>
        <v>['just', 'attached to', 'money', 'network', 'slow', 'really', 'network', 'worst']</v>
      </c>
      <c r="D8717" s="3">
        <v>1.0</v>
      </c>
    </row>
    <row r="8718" ht="15.75" customHeight="1">
      <c r="A8718" s="1">
        <v>9373.0</v>
      </c>
      <c r="B8718" s="3" t="s">
        <v>8370</v>
      </c>
      <c r="C8718" s="3" t="str">
        <f>IFERROR(__xludf.DUMMYFUNCTION("GOOGLETRANSLATE(B8718,""id"",""en"")"),"['Internet', 'choose', 'network', 'Telkomsel']")</f>
        <v>['Internet', 'choose', 'network', 'Telkomsel']</v>
      </c>
      <c r="D8718" s="3">
        <v>2.0</v>
      </c>
    </row>
    <row r="8719" ht="15.75" customHeight="1">
      <c r="A8719" s="1">
        <v>9374.0</v>
      </c>
      <c r="B8719" s="3" t="s">
        <v>8371</v>
      </c>
      <c r="C8719" s="3" t="str">
        <f>IFERROR(__xludf.DUMMYFUNCTION("GOOGLETRANSLATE(B8719,""id"",""en"")"),"['Please', 'sympathy', 'fix', 'signal', 'loss', 'sympathy', 'signal', 'ugly', 'thank', 'love']")</f>
        <v>['Please', 'sympathy', 'fix', 'signal', 'loss', 'sympathy', 'signal', 'ugly', 'thank', 'love']</v>
      </c>
      <c r="D8719" s="3">
        <v>1.0</v>
      </c>
    </row>
    <row r="8720" ht="15.75" customHeight="1">
      <c r="A8720" s="1">
        <v>9375.0</v>
      </c>
      <c r="B8720" s="3" t="s">
        <v>8372</v>
      </c>
      <c r="C8720" s="3" t="str">
        <f>IFERROR(__xludf.DUMMYFUNCTION("GOOGLETRANSLATE(B8720,""id"",""en"")"),"['Application', 'Bagoss']")</f>
        <v>['Application', 'Bagoss']</v>
      </c>
      <c r="D8720" s="3">
        <v>5.0</v>
      </c>
    </row>
    <row r="8721" ht="15.75" customHeight="1">
      <c r="A8721" s="1">
        <v>9376.0</v>
      </c>
      <c r="B8721" s="3" t="s">
        <v>8373</v>
      </c>
      <c r="C8721" s="3" t="str">
        <f>IFERROR(__xludf.DUMMYFUNCTION("GOOGLETRANSLATE(B8721,""id"",""en"")"),"['Quota', 'Learning']")</f>
        <v>['Quota', 'Learning']</v>
      </c>
      <c r="D8721" s="3">
        <v>5.0</v>
      </c>
    </row>
    <row r="8722" ht="15.75" customHeight="1">
      <c r="A8722" s="1">
        <v>9377.0</v>
      </c>
      <c r="B8722" s="3" t="s">
        <v>8374</v>
      </c>
      <c r="C8722" s="3" t="str">
        <f>IFERROR(__xludf.DUMMYFUNCTION("GOOGLETRANSLATE(B8722,""id"",""en"")"),"['Package', 'expensive']")</f>
        <v>['Package', 'expensive']</v>
      </c>
      <c r="D8722" s="3">
        <v>1.0</v>
      </c>
    </row>
    <row r="8723" ht="15.75" customHeight="1">
      <c r="A8723" s="1">
        <v>9378.0</v>
      </c>
      <c r="B8723" s="3" t="s">
        <v>8375</v>
      </c>
      <c r="C8723" s="3" t="str">
        <f>IFERROR(__xludf.DUMMYFUNCTION("GOOGLETRANSLATE(B8723,""id"",""en"")"),"['Please', 'Hold', 'Package', 'Unlimited', 'Price', 'Affordable']")</f>
        <v>['Please', 'Hold', 'Package', 'Unlimited', 'Price', 'Affordable']</v>
      </c>
      <c r="D8723" s="3">
        <v>5.0</v>
      </c>
    </row>
    <row r="8724" ht="15.75" customHeight="1">
      <c r="A8724" s="1">
        <v>9379.0</v>
      </c>
      <c r="B8724" s="3" t="s">
        <v>8376</v>
      </c>
      <c r="C8724" s="3" t="str">
        <f>IFERROR(__xludf.DUMMYFUNCTION("GOOGLETRANSLATE(B8724,""id"",""en"")"),"['YTH', 'Directors',' Telkomsel ',' anything ',' products', 'signal', 'internet', 'maximum', 'remote', 'village', 'affordable', 'meregala', ' Throngs', 'informed', 'area', 'village', 'mountain', 'anten', 'kec', 'cimarga', 'kab', 'lebak', 'banten', 'maximu"&amp;"m', 'bar' , 'Please', 'reviewed', 'repaired', 'network', 'cellular', ""]")</f>
        <v>['YTH', 'Directors',' Telkomsel ',' anything ',' products', 'signal', 'internet', 'maximum', 'remote', 'village', 'affordable', 'meregala', ' Throngs', 'informed', 'area', 'village', 'mountain', 'anten', 'kec', 'cimarga', 'kab', 'lebak', 'banten', 'maximum', 'bar' , 'Please', 'reviewed', 'repaired', 'network', 'cellular', "]</v>
      </c>
      <c r="D8724" s="3">
        <v>2.0</v>
      </c>
    </row>
    <row r="8725" ht="15.75" customHeight="1">
      <c r="A8725" s="1">
        <v>9380.0</v>
      </c>
      <c r="B8725" s="3" t="s">
        <v>8377</v>
      </c>
      <c r="C8725" s="3" t="str">
        <f>IFERROR(__xludf.DUMMYFUNCTION("GOOGLETRANSLATE(B8725,""id"",""en"")"),"['signal', 'mantul', 'wherever']")</f>
        <v>['signal', 'mantul', 'wherever']</v>
      </c>
      <c r="D8725" s="3">
        <v>5.0</v>
      </c>
    </row>
    <row r="8726" ht="15.75" customHeight="1">
      <c r="A8726" s="1">
        <v>9381.0</v>
      </c>
      <c r="B8726" s="3" t="s">
        <v>8378</v>
      </c>
      <c r="C8726" s="3" t="str">
        <f>IFERROR(__xludf.DUMMYFUNCTION("GOOGLETRANSLATE(B8726,""id"",""en"")"),"['Buy', 'Package', 'Internet', 'GB', 'Official', 'Application', 'Worth', 'RB', 'Payment', 'Via', 'Shopeepay', 'Enter', ' Complaints', 'send', 'data', 'proof', 'transaction', 'complete', 'handling', 'told', 'waiting', 'clarity', 'disappointed', 'Telkomsel'"&amp;"]")</f>
        <v>['Buy', 'Package', 'Internet', 'GB', 'Official', 'Application', 'Worth', 'RB', 'Payment', 'Via', 'Shopeepay', 'Enter', ' Complaints', 'send', 'data', 'proof', 'transaction', 'complete', 'handling', 'told', 'waiting', 'clarity', 'disappointed', 'Telkomsel']</v>
      </c>
      <c r="D8726" s="3">
        <v>1.0</v>
      </c>
    </row>
    <row r="8727" ht="15.75" customHeight="1">
      <c r="A8727" s="1">
        <v>9383.0</v>
      </c>
      <c r="B8727" s="3" t="s">
        <v>8379</v>
      </c>
      <c r="C8727" s="3" t="str">
        <f>IFERROR(__xludf.DUMMYFUNCTION("GOOGLETRANSLATE(B8727,""id"",""en"")"),"['Login', 'Kenpa', 'Telkomsel', 'Error', 'Please', 'Consistent', 'Confirmation', 'TWiter', 'Seasons', 'The application']")</f>
        <v>['Login', 'Kenpa', 'Telkomsel', 'Error', 'Please', 'Consistent', 'Confirmation', 'TWiter', 'Seasons', 'The application']</v>
      </c>
      <c r="D8727" s="3">
        <v>3.0</v>
      </c>
    </row>
    <row r="8728" ht="15.75" customHeight="1">
      <c r="A8728" s="1">
        <v>9384.0</v>
      </c>
      <c r="B8728" s="3" t="s">
        <v>8380</v>
      </c>
      <c r="C8728" s="3" t="str">
        <f>IFERROR(__xludf.DUMMYFUNCTION("GOOGLETRANSLATE(B8728,""id"",""en"")"),"['easy', 'practical']")</f>
        <v>['easy', 'practical']</v>
      </c>
      <c r="D8728" s="3">
        <v>5.0</v>
      </c>
    </row>
    <row r="8729" ht="15.75" customHeight="1">
      <c r="A8729" s="1">
        <v>9385.0</v>
      </c>
      <c r="B8729" s="3" t="s">
        <v>8381</v>
      </c>
      <c r="C8729" s="3" t="str">
        <f>IFERROR(__xludf.DUMMYFUNCTION("GOOGLETRANSLATE(B8729,""id"",""en"")"),"['pulse', 'ilang', 'right', 'pay', 'package', 'emergency', 'thousand', 'taken', 'thousand', 'thousand', 'disappear', 'where' Data ',' except ',' data ',' run out ',' credit ',' ilang ',' dkasih ',' warning ',' told ',' pay ',' package ',' emergency ',' co"&amp;"ntents' , 'thousand', 'take', 'automatically', 'that's',' ilang ',' ilang ',' pulse ',' package ',' emergency ',' paid ',' Telkomsel ',' money ',' Rebu ',' valuable ',' child ',' school ',' bro ',' child ',' boarding ',' hee ',' ilah ', ""]")</f>
        <v>['pulse', 'ilang', 'right', 'pay', 'package', 'emergency', 'thousand', 'taken', 'thousand', 'thousand', 'disappear', 'where' Data ',' except ',' data ',' run out ',' credit ',' ilang ',' dkasih ',' warning ',' told ',' pay ',' package ',' emergency ',' contents' , 'thousand', 'take', 'automatically', 'that's',' ilang ',' ilang ',' pulse ',' package ',' emergency ',' paid ',' Telkomsel ',' money ',' Rebu ',' valuable ',' child ',' school ',' bro ',' child ',' boarding ',' hee ',' ilah ', "]</v>
      </c>
      <c r="D8729" s="3">
        <v>1.0</v>
      </c>
    </row>
    <row r="8730" ht="15.75" customHeight="1">
      <c r="A8730" s="1">
        <v>9386.0</v>
      </c>
      <c r="B8730" s="3" t="s">
        <v>8382</v>
      </c>
      <c r="C8730" s="3" t="str">
        <f>IFERROR(__xludf.DUMMYFUNCTION("GOOGLETRANSLATE(B8730,""id"",""en"")"),"['', 'Telkomsel', 'bad', 'disappointed', 'network', 'lost', 'point', 'exchange', 'sorry', 'pulse', 'sufficient', 'please', 'fill ',' reset ',' pulse ',' pdahal ',' run out ',' ngsi ',' thousand ',' remind ',' buy ',' card ',' buy ',' regret ',' Telkomsel "&amp;"', 'Bad', 'Hopefully', 'Read', 'admin', 'Telkomsel', 'Congratulations', 'Live', 'Telkomsel', 'Switch', ""]")</f>
        <v>['', 'Telkomsel', 'bad', 'disappointed', 'network', 'lost', 'point', 'exchange', 'sorry', 'pulse', 'sufficient', 'please', 'fill ',' reset ',' pulse ',' pdahal ',' run out ',' ngsi ',' thousand ',' remind ',' buy ',' card ',' buy ',' regret ',' Telkomsel ', 'Bad', 'Hopefully', 'Read', 'admin', 'Telkomsel', 'Congratulations', 'Live', 'Telkomsel', 'Switch', "]</v>
      </c>
      <c r="D8730" s="3">
        <v>1.0</v>
      </c>
    </row>
    <row r="8731" ht="15.75" customHeight="1">
      <c r="A8731" s="1">
        <v>9387.0</v>
      </c>
      <c r="B8731" s="3" t="s">
        <v>8383</v>
      </c>
      <c r="C8731" s="3" t="str">
        <f>IFERROR(__xludf.DUMMYFUNCTION("GOOGLETRANSLATE(B8731,""id"",""en"")"),"['Satisfied', 'application']")</f>
        <v>['Satisfied', 'application']</v>
      </c>
      <c r="D8731" s="3">
        <v>5.0</v>
      </c>
    </row>
    <row r="8732" ht="15.75" customHeight="1">
      <c r="A8732" s="1">
        <v>9388.0</v>
      </c>
      <c r="B8732" s="3" t="s">
        <v>8384</v>
      </c>
      <c r="C8732" s="3" t="str">
        <f>IFERROR(__xludf.DUMMYFUNCTION("GOOGLETRANSLATE(B8732,""id"",""en"")"),"['option', 'turn off', 'tone', 'notification', 'application', 'function', 'open', 'application', 'option', 'tone', 'notification', 'active', ' bother', '']")</f>
        <v>['option', 'turn off', 'tone', 'notification', 'application', 'function', 'open', 'application', 'option', 'tone', 'notification', 'active', ' bother', '']</v>
      </c>
      <c r="D8732" s="3">
        <v>1.0</v>
      </c>
    </row>
    <row r="8733" ht="15.75" customHeight="1">
      <c r="A8733" s="1">
        <v>9389.0</v>
      </c>
      <c r="B8733" s="3" t="s">
        <v>8385</v>
      </c>
      <c r="C8733" s="3" t="str">
        <f>IFERROR(__xludf.DUMMYFUNCTION("GOOGLETRANSLATE(B8733,""id"",""en"")"),"['Contents',' pulse ',' thousand ',' directly ',' cut ',' thousand ',' use ',' package ',' emergency ',' told ',' reverse ',' reasons', ' disruption ',' responsibility ',' disappointed ',' system ',' package ',' emergency ',' pay ',' diverted ',' payment "&amp;"',' customer ',' ']")</f>
        <v>['Contents',' pulse ',' thousand ',' directly ',' cut ',' thousand ',' use ',' package ',' emergency ',' told ',' reverse ',' reasons', ' disruption ',' responsibility ',' disappointed ',' system ',' package ',' emergency ',' pay ',' diverted ',' payment ',' customer ',' ']</v>
      </c>
      <c r="D8733" s="3">
        <v>1.0</v>
      </c>
    </row>
    <row r="8734" ht="15.75" customHeight="1">
      <c r="A8734" s="1">
        <v>9390.0</v>
      </c>
      <c r="B8734" s="3" t="s">
        <v>8386</v>
      </c>
      <c r="C8734" s="3" t="str">
        <f>IFERROR(__xludf.DUMMYFUNCTION("GOOGLETRANSLATE(B8734,""id"",""en"")"),"['Hopefully', 'sustenance accepted', 'motorbike', 'max', 'gift', 'birthday', 'dated', 'tuker', 'point', 'amin', 'spirit']")</f>
        <v>['Hopefully', 'sustenance accepted', 'motorbike', 'max', 'gift', 'birthday', 'dated', 'tuker', 'point', 'amin', 'spirit']</v>
      </c>
      <c r="D8734" s="3">
        <v>5.0</v>
      </c>
    </row>
    <row r="8735" ht="15.75" customHeight="1">
      <c r="A8735" s="1">
        <v>9391.0</v>
      </c>
      <c r="B8735" s="3" t="s">
        <v>8387</v>
      </c>
      <c r="C8735" s="3" t="str">
        <f>IFERROR(__xludf.DUMMYFUNCTION("GOOGLETRANSLATE(B8735,""id"",""en"")"),"['suggestion', 'purchase', 'quota', 'special', 'quota', 'main', 'hope', ""]")</f>
        <v>['suggestion', 'purchase', 'quota', 'special', 'quota', 'main', 'hope', "]</v>
      </c>
      <c r="D8735" s="3">
        <v>5.0</v>
      </c>
    </row>
    <row r="8736" ht="15.75" customHeight="1">
      <c r="A8736" s="1">
        <v>9392.0</v>
      </c>
      <c r="B8736" s="3" t="s">
        <v>8388</v>
      </c>
      <c r="C8736" s="3" t="str">
        <f>IFERROR(__xludf.DUMMYFUNCTION("GOOGLETRANSLATE(B8736,""id"",""en"")"),"['signal', 'Telkomsel', 'ugly', 'package', 'doang', 'expensive', 'disappointed', 'upgrade', 'stay', 'boro', 'boro', 'disappointing', ' Telkomsel ',' ']")</f>
        <v>['signal', 'Telkomsel', 'ugly', 'package', 'doang', 'expensive', 'disappointed', 'upgrade', 'stay', 'boro', 'boro', 'disappointing', ' Telkomsel ',' ']</v>
      </c>
      <c r="D8736" s="3">
        <v>1.0</v>
      </c>
    </row>
    <row r="8737" ht="15.75" customHeight="1">
      <c r="A8737" s="1">
        <v>9393.0</v>
      </c>
      <c r="B8737" s="3" t="s">
        <v>8389</v>
      </c>
      <c r="C8737" s="3" t="str">
        <f>IFERROR(__xludf.DUMMYFUNCTION("GOOGLETRANSLATE(B8737,""id"",""en"")"),"['The application', 'help', 'quota', 'free', 'TPI', 'lack', 'please', 'feature', 'key', 'pulse', 'right', 'quota', ' run out ',' please ',' Adin ',' Kek ',' Next ',' UDH ',' KEK ',' Litu ',' Feature ',' Help ', ""]")</f>
        <v>['The application', 'help', 'quota', 'free', 'TPI', 'lack', 'please', 'feature', 'key', 'pulse', 'right', 'quota', ' run out ',' please ',' Adin ',' Kek ',' Next ',' UDH ',' KEK ',' Litu ',' Feature ',' Help ', "]</v>
      </c>
      <c r="D8737" s="3">
        <v>5.0</v>
      </c>
    </row>
    <row r="8738" ht="15.75" customHeight="1">
      <c r="A8738" s="1">
        <v>9394.0</v>
      </c>
      <c r="B8738" s="3" t="s">
        <v>2765</v>
      </c>
      <c r="C8738" s="3" t="str">
        <f>IFERROR(__xludf.DUMMYFUNCTION("GOOGLETRANSLATE(B8738,""id"",""en"")"),"['application', 'good', 'really']")</f>
        <v>['application', 'good', 'really']</v>
      </c>
      <c r="D8738" s="3">
        <v>5.0</v>
      </c>
    </row>
    <row r="8739" ht="15.75" customHeight="1">
      <c r="A8739" s="1">
        <v>9395.0</v>
      </c>
      <c r="B8739" s="3" t="s">
        <v>2620</v>
      </c>
      <c r="C8739" s="3" t="str">
        <f>IFERROR(__xludf.DUMMYFUNCTION("GOOGLETRANSLATE(B8739,""id"",""en"")"),"Of course")</f>
        <v>Of course</v>
      </c>
      <c r="D8739" s="3">
        <v>1.0</v>
      </c>
    </row>
    <row r="8740" ht="15.75" customHeight="1">
      <c r="A8740" s="1">
        <v>9396.0</v>
      </c>
      <c r="B8740" s="3" t="s">
        <v>8390</v>
      </c>
      <c r="C8740" s="3" t="str">
        <f>IFERROR(__xludf.DUMMYFUNCTION("GOOGLETRANSLATE(B8740,""id"",""en"")"),"['What', 'quota', 'unlimited', 'handy', 'open', 'tiktok', 'ama', 'sosmed', 'TPI', 'open', 'handy', 'oath']")</f>
        <v>['What', 'quota', 'unlimited', 'handy', 'open', 'tiktok', 'ama', 'sosmed', 'TPI', 'open', 'handy', 'oath']</v>
      </c>
      <c r="D8740" s="3">
        <v>1.0</v>
      </c>
    </row>
    <row r="8741" ht="15.75" customHeight="1">
      <c r="A8741" s="1">
        <v>9397.0</v>
      </c>
      <c r="B8741" s="3" t="s">
        <v>8391</v>
      </c>
      <c r="C8741" s="3" t="str">
        <f>IFERROR(__xludf.DUMMYFUNCTION("GOOGLETRANSLATE(B8741,""id"",""en"")"),"['love', 'star', 'already', 'buy', 'package', 'application', 'writing', 'system', 'disorder', 'ugly', 'application', '']")</f>
        <v>['love', 'star', 'already', 'buy', 'package', 'application', 'writing', 'system', 'disorder', 'ugly', 'application', '']</v>
      </c>
      <c r="D8741" s="3">
        <v>1.0</v>
      </c>
    </row>
    <row r="8742" ht="15.75" customHeight="1">
      <c r="A8742" s="1">
        <v>9398.0</v>
      </c>
      <c r="B8742" s="3" t="s">
        <v>8392</v>
      </c>
      <c r="C8742" s="3" t="str">
        <f>IFERROR(__xludf.DUMMYFUNCTION("GOOGLETRANSLATE(B8742,""id"",""en"")"),"['', 'promo']")</f>
        <v>['', 'promo']</v>
      </c>
      <c r="D8742" s="3">
        <v>5.0</v>
      </c>
    </row>
    <row r="8743" ht="15.75" customHeight="1">
      <c r="A8743" s="1">
        <v>9399.0</v>
      </c>
      <c r="B8743" s="3" t="s">
        <v>8393</v>
      </c>
      <c r="C8743" s="3" t="str">
        <f>IFERROR(__xludf.DUMMYFUNCTION("GOOGLETRANSLATE(B8743,""id"",""en"")"),"['menu', 'app', 'improved', 'promo', 'special', 'price', 'help']")</f>
        <v>['menu', 'app', 'improved', 'promo', 'special', 'price', 'help']</v>
      </c>
      <c r="D8743" s="3">
        <v>5.0</v>
      </c>
    </row>
    <row r="8744" ht="15.75" customHeight="1">
      <c r="A8744" s="1">
        <v>9400.0</v>
      </c>
      <c r="B8744" s="3" t="s">
        <v>8394</v>
      </c>
      <c r="C8744" s="3" t="str">
        <f>IFERROR(__xludf.DUMMYFUNCTION("GOOGLETRANSLATE(B8744,""id"",""en"")"),"['Mantep', 'Lotten', 'Promo', 'Donk', '']")</f>
        <v>['Mantep', 'Lotten', 'Promo', 'Donk', '']</v>
      </c>
      <c r="D8744" s="3">
        <v>5.0</v>
      </c>
    </row>
    <row r="8745" ht="15.75" customHeight="1">
      <c r="A8745" s="1">
        <v>9402.0</v>
      </c>
      <c r="B8745" s="3" t="s">
        <v>8395</v>
      </c>
      <c r="C8745" s="3" t="str">
        <f>IFERROR(__xludf.DUMMYFUNCTION("GOOGLETRANSLATE(B8745,""id"",""en"")"),"['Buy', 'Download', 'Telkomsel', 'card', 'expensive', 'Nge', 'leg']")</f>
        <v>['Buy', 'Download', 'Telkomsel', 'card', 'expensive', 'Nge', 'leg']</v>
      </c>
      <c r="D8745" s="3">
        <v>1.0</v>
      </c>
    </row>
    <row r="8746" ht="15.75" customHeight="1">
      <c r="A8746" s="1">
        <v>9403.0</v>
      </c>
      <c r="B8746" s="3" t="s">
        <v>8396</v>
      </c>
      <c r="C8746" s="3" t="str">
        <f>IFERROR(__xludf.DUMMYFUNCTION("GOOGLETRANSLATE(B8746,""id"",""en"")"),"['Capitalist', 'Care', 'user']")</f>
        <v>['Capitalist', 'Care', 'user']</v>
      </c>
      <c r="D8746" s="3">
        <v>1.0</v>
      </c>
    </row>
    <row r="8747" ht="15.75" customHeight="1">
      <c r="A8747" s="1">
        <v>9404.0</v>
      </c>
      <c r="B8747" s="3" t="s">
        <v>8397</v>
      </c>
      <c r="C8747" s="3" t="str">
        <f>IFERROR(__xludf.DUMMYFUNCTION("GOOGLETRANSLATE(B8747,""id"",""en"")"),"['network', 'slow', 'expensive', '']")</f>
        <v>['network', 'slow', 'expensive', '']</v>
      </c>
      <c r="D8747" s="3">
        <v>3.0</v>
      </c>
    </row>
    <row r="8748" ht="15.75" customHeight="1">
      <c r="A8748" s="1">
        <v>9405.0</v>
      </c>
      <c r="B8748" s="3" t="s">
        <v>8398</v>
      </c>
      <c r="C8748" s="3" t="str">
        <f>IFERROR(__xludf.DUMMYFUNCTION("GOOGLETRANSLATE(B8748,""id"",""en"")"),"['APK', 'slow']")</f>
        <v>['APK', 'slow']</v>
      </c>
      <c r="D8748" s="3">
        <v>3.0</v>
      </c>
    </row>
    <row r="8749" ht="15.75" customHeight="1">
      <c r="A8749" s="1">
        <v>9406.0</v>
      </c>
      <c r="B8749" s="3" t="s">
        <v>8399</v>
      </c>
      <c r="C8749" s="3" t="str">
        <f>IFERROR(__xludf.DUMMYFUNCTION("GOOGLETRANSLATE(B8749,""id"",""en"")"),"['pig', 'network', 'really']")</f>
        <v>['pig', 'network', 'really']</v>
      </c>
      <c r="D8749" s="3">
        <v>1.0</v>
      </c>
    </row>
    <row r="8750" ht="15.75" customHeight="1">
      <c r="A8750" s="1">
        <v>9407.0</v>
      </c>
      <c r="B8750" s="3" t="s">
        <v>1525</v>
      </c>
      <c r="C8750" s="3" t="str">
        <f>IFERROR(__xludf.DUMMYFUNCTION("GOOGLETRANSLATE(B8750,""id"",""en"")"),"['APK']")</f>
        <v>['APK']</v>
      </c>
      <c r="D8750" s="3">
        <v>5.0</v>
      </c>
    </row>
    <row r="8751" ht="15.75" customHeight="1">
      <c r="A8751" s="1">
        <v>9408.0</v>
      </c>
      <c r="B8751" s="3" t="s">
        <v>7742</v>
      </c>
      <c r="C8751" s="3" t="str">
        <f>IFERROR(__xludf.DUMMYFUNCTION("GOOGLETRANSLATE(B8751,""id"",""en"")"),"['steady', 'app']")</f>
        <v>['steady', 'app']</v>
      </c>
      <c r="D8751" s="3">
        <v>5.0</v>
      </c>
    </row>
    <row r="8752" ht="15.75" customHeight="1">
      <c r="A8752" s="1">
        <v>9409.0</v>
      </c>
      <c r="B8752" s="3" t="s">
        <v>8400</v>
      </c>
      <c r="C8752" s="3" t="str">
        <f>IFERROR(__xludf.DUMMYFUNCTION("GOOGLETRANSLATE(B8752,""id"",""en"")"),"['Woii', 'Network', 'Kenape', 'Siiih', ""]")</f>
        <v>['Woii', 'Network', 'Kenape', 'Siiih', "]</v>
      </c>
      <c r="D8752" s="3">
        <v>2.0</v>
      </c>
    </row>
    <row r="8753" ht="15.75" customHeight="1">
      <c r="A8753" s="1">
        <v>9410.0</v>
      </c>
      <c r="B8753" s="3" t="s">
        <v>8401</v>
      </c>
      <c r="C8753" s="3" t="str">
        <f>IFERROR(__xludf.DUMMYFUNCTION("GOOGLETRANSLATE(B8753,""id"",""en"")"),"['signal', 'slow', 'expensive', 'smooth', '']")</f>
        <v>['signal', 'slow', 'expensive', 'smooth', '']</v>
      </c>
      <c r="D8753" s="3">
        <v>5.0</v>
      </c>
    </row>
    <row r="8754" ht="15.75" customHeight="1">
      <c r="A8754" s="1">
        <v>9411.0</v>
      </c>
      <c r="B8754" s="3" t="s">
        <v>8402</v>
      </c>
      <c r="C8754" s="3" t="str">
        <f>IFERROR(__xludf.DUMMYFUNCTION("GOOGLETRANSLATE(B8754,""id"",""en"")"),"['Margnon']")</f>
        <v>['Margnon']</v>
      </c>
      <c r="D8754" s="3">
        <v>5.0</v>
      </c>
    </row>
    <row r="8755" ht="15.75" customHeight="1">
      <c r="A8755" s="1">
        <v>9412.0</v>
      </c>
      <c r="B8755" s="3" t="s">
        <v>8403</v>
      </c>
      <c r="C8755" s="3" t="str">
        <f>IFERROR(__xludf.DUMMYFUNCTION("GOOGLETRANSLATE(B8755,""id"",""en"")"),"['Develover', 'Telkomsel', 'please', 'difference', 'use', 'multimedia', 'internet', 'spoil', 'internet', 'useful', ""]")</f>
        <v>['Develover', 'Telkomsel', 'please', 'difference', 'use', 'multimedia', 'internet', 'spoil', 'internet', 'useful', "]</v>
      </c>
      <c r="D8755" s="3">
        <v>1.0</v>
      </c>
    </row>
    <row r="8756" ht="15.75" customHeight="1">
      <c r="A8756" s="1">
        <v>9413.0</v>
      </c>
      <c r="B8756" s="3" t="s">
        <v>8404</v>
      </c>
      <c r="C8756" s="3" t="str">
        <f>IFERROR(__xludf.DUMMYFUNCTION("GOOGLETRANSLATE(B8756,""id"",""en"")"),"['Keep', 'Quality', 'Increase', 'Service', ""]")</f>
        <v>['Keep', 'Quality', 'Increase', 'Service', "]</v>
      </c>
      <c r="D8756" s="3">
        <v>5.0</v>
      </c>
    </row>
    <row r="8757" ht="15.75" customHeight="1">
      <c r="A8757" s="1">
        <v>9414.0</v>
      </c>
      <c r="B8757" s="3" t="s">
        <v>8405</v>
      </c>
      <c r="C8757" s="3" t="str">
        <f>IFERROR(__xludf.DUMMYFUNCTION("GOOGLETRANSLATE(B8757,""id"",""en"")"),"['Increase', 'kmbali', 'signal']")</f>
        <v>['Increase', 'kmbali', 'signal']</v>
      </c>
      <c r="D8757" s="3">
        <v>4.0</v>
      </c>
    </row>
    <row r="8758" ht="15.75" customHeight="1">
      <c r="A8758" s="1">
        <v>9416.0</v>
      </c>
      <c r="B8758" s="3" t="s">
        <v>8406</v>
      </c>
      <c r="C8758" s="3" t="str">
        <f>IFERROR(__xludf.DUMMYFUNCTION("GOOGLETRANSLATE(B8758,""id"",""en"")"),"['The application', 'good', 'makes it easy', 'shopping', 'transaction', 'package', 'easy', 'okkkk', 'deh']")</f>
        <v>['The application', 'good', 'makes it easy', 'shopping', 'transaction', 'package', 'easy', 'okkkk', 'deh']</v>
      </c>
      <c r="D8758" s="3">
        <v>5.0</v>
      </c>
    </row>
    <row r="8759" ht="15.75" customHeight="1">
      <c r="A8759" s="1">
        <v>9417.0</v>
      </c>
      <c r="B8759" s="3" t="s">
        <v>8407</v>
      </c>
      <c r="C8759" s="3" t="str">
        <f>IFERROR(__xludf.DUMMYFUNCTION("GOOGLETRANSLATE(B8759,""id"",""en"")"),"['Interested', 'bro', 'Lyng']")</f>
        <v>['Interested', 'bro', 'Lyng']</v>
      </c>
      <c r="D8759" s="3">
        <v>3.0</v>
      </c>
    </row>
    <row r="8760" ht="15.75" customHeight="1">
      <c r="A8760" s="1">
        <v>9418.0</v>
      </c>
      <c r="B8760" s="3" t="s">
        <v>8408</v>
      </c>
      <c r="C8760" s="3" t="str">
        <f>IFERROR(__xludf.DUMMYFUNCTION("GOOGLETRANSLATE(B8760,""id"",""en"")"),"['Telkomsel', 'Points', 'Prizes', 'Really', 'Undi', 'Nidak', 'Liat', 'Direct', ""]")</f>
        <v>['Telkomsel', 'Points', 'Prizes', 'Really', 'Undi', 'Nidak', 'Liat', 'Direct', "]</v>
      </c>
      <c r="D8760" s="3">
        <v>1.0</v>
      </c>
    </row>
    <row r="8761" ht="15.75" customHeight="1">
      <c r="A8761" s="1">
        <v>9419.0</v>
      </c>
      <c r="B8761" s="3" t="s">
        <v>1535</v>
      </c>
      <c r="C8761" s="3" t="str">
        <f>IFERROR(__xludf.DUMMYFUNCTION("GOOGLETRANSLATE(B8761,""id"",""en"")"),"['like', 'APK', '']")</f>
        <v>['like', 'APK', '']</v>
      </c>
      <c r="D8761" s="3">
        <v>5.0</v>
      </c>
    </row>
    <row r="8762" ht="15.75" customHeight="1">
      <c r="A8762" s="1">
        <v>9420.0</v>
      </c>
      <c r="B8762" s="3" t="s">
        <v>8409</v>
      </c>
      <c r="C8762" s="3" t="str">
        <f>IFERROR(__xludf.DUMMYFUNCTION("GOOGLETRANSLATE(B8762,""id"",""en"")"),"['Telkomsel', 'best', 'network', 'severe', 'play', 'game', 'online', 'auto', 'AFK', 'please', 'fix']")</f>
        <v>['Telkomsel', 'best', 'network', 'severe', 'play', 'game', 'online', 'auto', 'AFK', 'please', 'fix']</v>
      </c>
      <c r="D8762" s="3">
        <v>1.0</v>
      </c>
    </row>
    <row r="8763" ht="15.75" customHeight="1">
      <c r="A8763" s="1">
        <v>9421.0</v>
      </c>
      <c r="B8763" s="3" t="s">
        <v>8410</v>
      </c>
      <c r="C8763" s="3" t="str">
        <f>IFERROR(__xludf.DUMMYFUNCTION("GOOGLETRANSLATE(B8763,""id"",""en"")"),"['save', 'buy', 'package']")</f>
        <v>['save', 'buy', 'package']</v>
      </c>
      <c r="D8763" s="3">
        <v>5.0</v>
      </c>
    </row>
    <row r="8764" ht="15.75" customHeight="1">
      <c r="A8764" s="1">
        <v>9423.0</v>
      </c>
      <c r="B8764" s="3" t="s">
        <v>8411</v>
      </c>
      <c r="C8764" s="3" t="str">
        <f>IFERROR(__xludf.DUMMYFUNCTION("GOOGLETRANSLATE(B8764,""id"",""en"")"),"['buy', 'pulse', 'can', 'package', 'telkomsel', 'knp', 'pulse', 'run out', 'package', 'strange', 'telkomsel']")</f>
        <v>['buy', 'pulse', 'can', 'package', 'telkomsel', 'knp', 'pulse', 'run out', 'package', 'strange', 'telkomsel']</v>
      </c>
      <c r="D8764" s="3">
        <v>1.0</v>
      </c>
    </row>
    <row r="8765" ht="15.75" customHeight="1">
      <c r="A8765" s="1">
        <v>9425.0</v>
      </c>
      <c r="B8765" s="3" t="s">
        <v>8412</v>
      </c>
      <c r="C8765" s="3" t="str">
        <f>IFERROR(__xludf.DUMMYFUNCTION("GOOGLETRANSLATE(B8765,""id"",""en"")"),"['Tekomyet', 'Please', 'Adin', 'Lock', 'Lock', 'Credit', 'Already', 'Kalu', 'Credit', 'Sumpot', 'Ajg', 'Liat', ' Providers', 'Next to', 'already', 'Nerapin', 'Features',' setbacks', 'Telkomnyet', 'already', 'internet', 'slow', 'lose', 'competitiveness',' "&amp;"Prov ' , 'Next', 'ngebadut', 'Cok', '']")</f>
        <v>['Tekomyet', 'Please', 'Adin', 'Lock', 'Lock', 'Credit', 'Already', 'Kalu', 'Credit', 'Sumpot', 'Ajg', 'Liat', ' Providers', 'Next to', 'already', 'Nerapin', 'Features',' setbacks', 'Telkomnyet', 'already', 'internet', 'slow', 'lose', 'competitiveness',' Prov ' , 'Next', 'ngebadut', 'Cok', '']</v>
      </c>
      <c r="D8765" s="3">
        <v>1.0</v>
      </c>
    </row>
    <row r="8766" ht="15.75" customHeight="1">
      <c r="A8766" s="1">
        <v>9426.0</v>
      </c>
      <c r="B8766" s="3" t="s">
        <v>8413</v>
      </c>
      <c r="C8766" s="3" t="str">
        <f>IFERROR(__xludf.DUMMYFUNCTION("GOOGLETRANSLATE(B8766,""id"",""en"")"),"['Please', 'authorized', 'Hold', 'GB', 'Free', 'users', 'Telkomsel', 'mkasih', 'understanding', ""]")</f>
        <v>['Please', 'authorized', 'Hold', 'GB', 'Free', 'users', 'Telkomsel', 'mkasih', 'understanding', "]</v>
      </c>
      <c r="D8766" s="3">
        <v>5.0</v>
      </c>
    </row>
    <row r="8767" ht="15.75" customHeight="1">
      <c r="A8767" s="1">
        <v>9427.0</v>
      </c>
      <c r="B8767" s="3" t="s">
        <v>8414</v>
      </c>
      <c r="C8767" s="3" t="str">
        <f>IFERROR(__xludf.DUMMYFUNCTION("GOOGLETRANSLATE(B8767,""id"",""en"")"),"['Missing', 'pulse']")</f>
        <v>['Missing', 'pulse']</v>
      </c>
      <c r="D8767" s="3">
        <v>5.0</v>
      </c>
    </row>
    <row r="8768" ht="15.75" customHeight="1">
      <c r="A8768" s="1">
        <v>9428.0</v>
      </c>
      <c r="B8768" s="3" t="s">
        <v>8415</v>
      </c>
      <c r="C8768" s="3" t="str">
        <f>IFERROR(__xludf.DUMMYFUNCTION("GOOGLETRANSLATE(B8768,""id"",""en"")"),"['Points', 'difficult']")</f>
        <v>['Points', 'difficult']</v>
      </c>
      <c r="D8768" s="3">
        <v>3.0</v>
      </c>
    </row>
    <row r="8769" ht="15.75" customHeight="1">
      <c r="A8769" s="1">
        <v>9429.0</v>
      </c>
      <c r="B8769" s="3" t="s">
        <v>8416</v>
      </c>
      <c r="C8769" s="3" t="str">
        <f>IFERROR(__xludf.DUMMYFUNCTION("GOOGLETRANSLATE(B8769,""id"",""en"")"),"['', 'Wait', 'Clock', 'Losing', 'Severe', 'Telkomsel']")</f>
        <v>['', 'Wait', 'Clock', 'Losing', 'Severe', 'Telkomsel']</v>
      </c>
      <c r="D8769" s="3">
        <v>1.0</v>
      </c>
    </row>
    <row r="8770" ht="15.75" customHeight="1">
      <c r="A8770" s="1">
        <v>9430.0</v>
      </c>
      <c r="B8770" s="3" t="s">
        <v>1855</v>
      </c>
      <c r="C8770" s="3" t="str">
        <f>IFERROR(__xludf.DUMMYFUNCTION("GOOGLETRANSLATE(B8770,""id"",""en"")"),"['star']")</f>
        <v>['star']</v>
      </c>
      <c r="D8770" s="3">
        <v>4.0</v>
      </c>
    </row>
    <row r="8771" ht="15.75" customHeight="1">
      <c r="A8771" s="1">
        <v>9431.0</v>
      </c>
      <c r="B8771" s="3" t="s">
        <v>8417</v>
      </c>
      <c r="C8771" s="3" t="str">
        <f>IFERROR(__xludf.DUMMYFUNCTION("GOOGLETRANSLATE(B8771,""id"",""en"")"),"['Took', 'Telkomsel', 'points', 'Exchange', 'Credit', 'Kasi', 'Star', 'Direct']")</f>
        <v>['Took', 'Telkomsel', 'points', 'Exchange', 'Credit', 'Kasi', 'Star', 'Direct']</v>
      </c>
      <c r="D8771" s="3">
        <v>4.0</v>
      </c>
    </row>
    <row r="8772" ht="15.75" customHeight="1">
      <c r="A8772" s="1">
        <v>9432.0</v>
      </c>
      <c r="B8772" s="3" t="s">
        <v>8418</v>
      </c>
      <c r="C8772" s="3" t="str">
        <f>IFERROR(__xludf.DUMMYFUNCTION("GOOGLETRANSLATE(B8772,""id"",""en"")"),"['Skian', 'trimakasih']")</f>
        <v>['Skian', 'trimakasih']</v>
      </c>
      <c r="D8772" s="3">
        <v>1.0</v>
      </c>
    </row>
    <row r="8773" ht="15.75" customHeight="1">
      <c r="A8773" s="1">
        <v>9433.0</v>
      </c>
      <c r="B8773" s="3" t="s">
        <v>8419</v>
      </c>
      <c r="C8773" s="3" t="str">
        <f>IFERROR(__xludf.DUMMYFUNCTION("GOOGLETRANSLATE(B8773,""id"",""en"")"),"['Explanation', 'accurate', 'mksh']")</f>
        <v>['Explanation', 'accurate', 'mksh']</v>
      </c>
      <c r="D8773" s="3">
        <v>5.0</v>
      </c>
    </row>
    <row r="8774" ht="15.75" customHeight="1">
      <c r="A8774" s="1">
        <v>9434.0</v>
      </c>
      <c r="B8774" s="3" t="s">
        <v>8420</v>
      </c>
      <c r="C8774" s="3" t="str">
        <f>IFERROR(__xludf.DUMMYFUNCTION("GOOGLETRANSLATE(B8774,""id"",""en"")"),"['Good', 'internet', 'it's easy', 'purchase', 'data']")</f>
        <v>['Good', 'internet', 'it's easy', 'purchase', 'data']</v>
      </c>
      <c r="D8774" s="3">
        <v>5.0</v>
      </c>
    </row>
    <row r="8775" ht="15.75" customHeight="1">
      <c r="A8775" s="1">
        <v>9435.0</v>
      </c>
      <c r="B8775" s="3" t="s">
        <v>8421</v>
      </c>
      <c r="C8775" s="3" t="str">
        <f>IFERROR(__xludf.DUMMYFUNCTION("GOOGLETRANSLATE(B8775,""id"",""en"")"),"['Mantab', 'Dahh', 'Anyway']")</f>
        <v>['Mantab', 'Dahh', 'Anyway']</v>
      </c>
      <c r="D8775" s="3">
        <v>5.0</v>
      </c>
    </row>
    <row r="8776" ht="15.75" customHeight="1">
      <c r="A8776" s="1">
        <v>9436.0</v>
      </c>
      <c r="B8776" s="3" t="s">
        <v>8422</v>
      </c>
      <c r="C8776" s="3" t="str">
        <f>IFERROR(__xludf.DUMMYFUNCTION("GOOGLETRANSLATE(B8776,""id"",""en"")"),"['Hopefully', 'MyTelkomsel', 'pay attention', 'customers', 'loyal', 'hope', 'package', 'promo', 'cheap', 'hope']")</f>
        <v>['Hopefully', 'MyTelkomsel', 'pay attention', 'customers', 'loyal', 'hope', 'package', 'promo', 'cheap', 'hope']</v>
      </c>
      <c r="D8776" s="3">
        <v>5.0</v>
      </c>
    </row>
    <row r="8777" ht="15.75" customHeight="1">
      <c r="A8777" s="1">
        <v>9437.0</v>
      </c>
      <c r="B8777" s="3" t="s">
        <v>8423</v>
      </c>
      <c r="C8777" s="3" t="str">
        <f>IFERROR(__xludf.DUMMYFUNCTION("GOOGLETRANSLATE(B8777,""id"",""en"")"),"['', 'Telkomsel', 'heart', 'forward', 'Telkomsel']")</f>
        <v>['', 'Telkomsel', 'heart', 'forward', 'Telkomsel']</v>
      </c>
      <c r="D8777" s="3">
        <v>5.0</v>
      </c>
    </row>
    <row r="8778" ht="15.75" customHeight="1">
      <c r="A8778" s="1">
        <v>9438.0</v>
      </c>
      <c r="B8778" s="3" t="s">
        <v>8424</v>
      </c>
      <c r="C8778" s="3" t="str">
        <f>IFERROR(__xludf.DUMMYFUNCTION("GOOGLETRANSLATE(B8778,""id"",""en"")"),"['like', 'error', 'ngak', 'open', 'application', 'mytelkomsel']")</f>
        <v>['like', 'error', 'ngak', 'open', 'application', 'mytelkomsel']</v>
      </c>
      <c r="D8778" s="3">
        <v>3.0</v>
      </c>
    </row>
    <row r="8779" ht="15.75" customHeight="1">
      <c r="A8779" s="1">
        <v>9439.0</v>
      </c>
      <c r="B8779" s="3" t="s">
        <v>8425</v>
      </c>
      <c r="C8779" s="3" t="str">
        <f>IFERROR(__xludf.DUMMYFUNCTION("GOOGLETRANSLATE(B8779,""id"",""en"")"),"['God', 'sadistic', 'price', 'Kouta', 'rice', 'Mahalan', 'kouta']")</f>
        <v>['God', 'sadistic', 'price', 'Kouta', 'rice', 'Mahalan', 'kouta']</v>
      </c>
      <c r="D8779" s="3">
        <v>1.0</v>
      </c>
    </row>
    <row r="8780" ht="15.75" customHeight="1">
      <c r="A8780" s="1">
        <v>9440.0</v>
      </c>
      <c r="B8780" s="3" t="s">
        <v>8426</v>
      </c>
      <c r="C8780" s="3" t="str">
        <f>IFERROR(__xludf.DUMMYFUNCTION("GOOGLETRANSLATE(B8780,""id"",""en"")"),"['voice', 'enter', 'application', 'annoying', 'disabled', 'notification', 'life', 'hard', 'please', 'repair', '']")</f>
        <v>['voice', 'enter', 'application', 'annoying', 'disabled', 'notification', 'life', 'hard', 'please', 'repair', '']</v>
      </c>
      <c r="D8780" s="3">
        <v>1.0</v>
      </c>
    </row>
    <row r="8781" ht="15.75" customHeight="1">
      <c r="A8781" s="1">
        <v>9441.0</v>
      </c>
      <c r="B8781" s="3" t="s">
        <v>8427</v>
      </c>
      <c r="C8781" s="3" t="str">
        <f>IFERROR(__xludf.DUMMYFUNCTION("GOOGLETRANSLATE(B8781,""id"",""en"")"),"['Convenience', 'buy', 'Package']")</f>
        <v>['Convenience', 'buy', 'Package']</v>
      </c>
      <c r="D8781" s="3">
        <v>5.0</v>
      </c>
    </row>
    <row r="8782" ht="15.75" customHeight="1">
      <c r="A8782" s="1">
        <v>9442.0</v>
      </c>
      <c r="B8782" s="3" t="s">
        <v>8428</v>
      </c>
      <c r="C8782" s="3" t="str">
        <f>IFERROR(__xludf.DUMMYFUNCTION("GOOGLETRANSLATE(B8782,""id"",""en"")"),"['ojol', 'sometimes',' signal ',' good ',' sometimes', 'ugly', 'right', 'season', 'cloud', 'rain', 'please', 'stable', ' Add it ',' strong ',' signal ']")</f>
        <v>['ojol', 'sometimes',' signal ',' good ',' sometimes', 'ugly', 'right', 'season', 'cloud', 'rain', 'please', 'stable', ' Add it ',' strong ',' signal ']</v>
      </c>
      <c r="D8782" s="3">
        <v>5.0</v>
      </c>
    </row>
    <row r="8783" ht="15.75" customHeight="1">
      <c r="A8783" s="1">
        <v>9444.0</v>
      </c>
      <c r="B8783" s="3" t="s">
        <v>8429</v>
      </c>
      <c r="C8783" s="3" t="str">
        <f>IFERROR(__xludf.DUMMYFUNCTION("GOOGLETRANSLATE(B8783,""id"",""en"")"),"['Simple', 'steady', 'staple', '']")</f>
        <v>['Simple', 'steady', 'staple', '']</v>
      </c>
      <c r="D8783" s="3">
        <v>4.0</v>
      </c>
    </row>
    <row r="8784" ht="15.75" customHeight="1">
      <c r="A8784" s="1">
        <v>9445.0</v>
      </c>
      <c r="B8784" s="3" t="s">
        <v>8430</v>
      </c>
      <c r="C8784" s="3" t="str">
        <f>IFERROR(__xludf.DUMMYFUNCTION("GOOGLETRANSLATE(B8784,""id"",""en"")"),"['info', 'package', 'buy', 'package', 'clarity', 'bhs', 'aesthetic', 'supports', 'activity', 'a day', '']")</f>
        <v>['info', 'package', 'buy', 'package', 'clarity', 'bhs', 'aesthetic', 'supports', 'activity', 'a day', '']</v>
      </c>
      <c r="D8784" s="3">
        <v>5.0</v>
      </c>
    </row>
    <row r="8785" ht="15.75" customHeight="1">
      <c r="A8785" s="1">
        <v>9446.0</v>
      </c>
      <c r="B8785" s="3" t="s">
        <v>8431</v>
      </c>
      <c r="C8785" s="3" t="str">
        <f>IFERROR(__xludf.DUMMYFUNCTION("GOOGLETRANSLATE(B8785,""id"",""en"")"),"['Belom', 'money']")</f>
        <v>['Belom', 'money']</v>
      </c>
      <c r="D8785" s="3">
        <v>5.0</v>
      </c>
    </row>
    <row r="8786" ht="15.75" customHeight="1">
      <c r="A8786" s="1">
        <v>9448.0</v>
      </c>
      <c r="B8786" s="3" t="s">
        <v>8432</v>
      </c>
      <c r="C8786" s="3" t="str">
        <f>IFERROR(__xludf.DUMMYFUNCTION("GOOGLETRANSLATE(B8786,""id"",""en"")"),"['bad', 'package', 'pulse', 'suck', 'pulse', 'buy', 'pulse', 'package', 'ttep', 'sumps',' pulse ',' pulse ',' thousand ',' package ',' abis', 'pulse', 'thousand', 'gara', 'apk', 'anjg']")</f>
        <v>['bad', 'package', 'pulse', 'suck', 'pulse', 'buy', 'pulse', 'package', 'ttep', 'sumps',' pulse ',' pulse ',' thousand ',' package ',' abis', 'pulse', 'thousand', 'gara', 'apk', 'anjg']</v>
      </c>
      <c r="D8786" s="3">
        <v>1.0</v>
      </c>
    </row>
    <row r="8787" ht="15.75" customHeight="1">
      <c r="A8787" s="1">
        <v>9449.0</v>
      </c>
      <c r="B8787" s="3" t="s">
        <v>8433</v>
      </c>
      <c r="C8787" s="3" t="str">
        <f>IFERROR(__xludf.DUMMYFUNCTION("GOOGLETRANSLATE(B8787,""id"",""en"")"),"['Enchanted', 'number', 'Telkomsel', 'turn', 'dinomer', 'use', 'price', 'package', 'data', 'expensive', 'nomer', 'cheap', ' SPT ',' RB ',' knapa ',' min ',' user ',' treated ',' choose ',' love ',' gtu ',' buy ',' package ',' nomer ',' next door ' , 'Untu"&amp;"ng', 'SIM', 'Double']")</f>
        <v>['Enchanted', 'number', 'Telkomsel', 'turn', 'dinomer', 'use', 'price', 'package', 'data', 'expensive', 'nomer', 'cheap', ' SPT ',' RB ',' knapa ',' min ',' user ',' treated ',' choose ',' love ',' gtu ',' buy ',' package ',' nomer ',' next door ' , 'Untung', 'SIM', 'Double']</v>
      </c>
      <c r="D8787" s="3">
        <v>2.0</v>
      </c>
    </row>
    <row r="8788" ht="15.75" customHeight="1">
      <c r="A8788" s="1">
        <v>9450.0</v>
      </c>
      <c r="B8788" s="3" t="s">
        <v>8434</v>
      </c>
      <c r="C8788" s="3" t="str">
        <f>IFERROR(__xludf.DUMMYFUNCTION("GOOGLETRANSLATE(B8788,""id"",""en"")"),"['Overcome', 'use', 'Telkomsel', 'subscribe', 'sinya', 'slow', 'original', 'disappointed', 'card', 'classy', 'signal', 'catfish', ' ']")</f>
        <v>['Overcome', 'use', 'Telkomsel', 'subscribe', 'sinya', 'slow', 'original', 'disappointed', 'card', 'classy', 'signal', 'catfish', ' ']</v>
      </c>
      <c r="D8788" s="3">
        <v>1.0</v>
      </c>
    </row>
    <row r="8789" ht="15.75" customHeight="1">
      <c r="A8789" s="1">
        <v>9451.0</v>
      </c>
      <c r="B8789" s="3" t="s">
        <v>8435</v>
      </c>
      <c r="C8789" s="3" t="str">
        <f>IFERROR(__xludf.DUMMYFUNCTION("GOOGLETRANSLATE(B8789,""id"",""en"")"),"['Netting "",' Sring ',' Setabil ',' YouTuban ']")</f>
        <v>['Netting ",' Sring ',' Setabil ',' YouTuban ']</v>
      </c>
      <c r="D8789" s="3">
        <v>1.0</v>
      </c>
    </row>
    <row r="8790" ht="15.75" customHeight="1">
      <c r="A8790" s="1">
        <v>9452.0</v>
      </c>
      <c r="B8790" s="3" t="s">
        <v>8436</v>
      </c>
      <c r="C8790" s="3" t="str">
        <f>IFERROR(__xludf.DUMMYFUNCTION("GOOGLETRANSLATE(B8790,""id"",""en"")"),"['Application', 'steady', 'Putie', 'Come', 'friend', 'SGRA', 'Download', 'Telkomsel']")</f>
        <v>['Application', 'steady', 'Putie', 'Come', 'friend', 'SGRA', 'Download', 'Telkomsel']</v>
      </c>
      <c r="D8790" s="3">
        <v>5.0</v>
      </c>
    </row>
    <row r="8791" ht="15.75" customHeight="1">
      <c r="A8791" s="1">
        <v>9453.0</v>
      </c>
      <c r="B8791" s="3" t="s">
        <v>8437</v>
      </c>
      <c r="C8791" s="3" t="str">
        <f>IFERROR(__xludf.DUMMYFUNCTION("GOOGLETRANSLATE(B8791,""id"",""en"")"),"['The essence', 'Telkomsel', 'cares',' user ',' heavy ',' rich ',' that's', 'application', 'empty', 'tetep', 'slow', 'slow', ' superrrrrr ',' slow ',' complaining ',' network ',' Telkomsel ',' Where ',' said ',' lemoottttttttt ',' parahhhhh ',' acts', 'de"&amp;"liberate', 'given', 'star' , 'be read']")</f>
        <v>['The essence', 'Telkomsel', 'cares',' user ',' heavy ',' rich ',' that's', 'application', 'empty', 'tetep', 'slow', 'slow', ' superrrrrr ',' slow ',' complaining ',' network ',' Telkomsel ',' Where ',' said ',' lemoottttttttt ',' parahhhhh ',' acts', 'deliberate', 'given', 'star' , 'be read']</v>
      </c>
      <c r="D8791" s="3">
        <v>5.0</v>
      </c>
    </row>
    <row r="8792" ht="15.75" customHeight="1">
      <c r="A8792" s="1">
        <v>9454.0</v>
      </c>
      <c r="B8792" s="3" t="s">
        <v>8438</v>
      </c>
      <c r="C8792" s="3" t="str">
        <f>IFERROR(__xludf.DUMMYFUNCTION("GOOGLETRANSLATE(B8792,""id"",""en"")"),"['Good', 'fast', 'buy', 'package', 'nyaaa']")</f>
        <v>['Good', 'fast', 'buy', 'package', 'nyaaa']</v>
      </c>
      <c r="D8792" s="3">
        <v>5.0</v>
      </c>
    </row>
    <row r="8793" ht="15.75" customHeight="1">
      <c r="A8793" s="1">
        <v>9455.0</v>
      </c>
      <c r="B8793" s="3" t="s">
        <v>8439</v>
      </c>
      <c r="C8793" s="3" t="str">
        <f>IFERROR(__xludf.DUMMYFUNCTION("GOOGLETRANSLATE(B8793,""id"",""en"")"),"['Love', 'Bintang', '']")</f>
        <v>['Love', 'Bintang', '']</v>
      </c>
      <c r="D8793" s="3">
        <v>5.0</v>
      </c>
    </row>
    <row r="8794" ht="15.75" customHeight="1">
      <c r="A8794" s="1">
        <v>9456.0</v>
      </c>
      <c r="B8794" s="3" t="s">
        <v>8440</v>
      </c>
      <c r="C8794" s="3" t="str">
        <f>IFERROR(__xludf.DUMMYFUNCTION("GOOGLETRANSLATE(B8794,""id"",""en"")"),"['Easy', 'Understand', 'Choice', '']")</f>
        <v>['Easy', 'Understand', 'Choice', '']</v>
      </c>
      <c r="D8794" s="3">
        <v>5.0</v>
      </c>
    </row>
    <row r="8795" ht="15.75" customHeight="1">
      <c r="A8795" s="1">
        <v>9458.0</v>
      </c>
      <c r="B8795" s="3" t="s">
        <v>8441</v>
      </c>
      <c r="C8795" s="3" t="str">
        <f>IFERROR(__xludf.DUMMYFUNCTION("GOOGLETRANSLATE(B8795,""id"",""en"")"),"['Lemoott', 'The application', 'Network', 'Bags', ""]")</f>
        <v>['Lemoott', 'The application', 'Network', 'Bags', "]</v>
      </c>
      <c r="D8795" s="3">
        <v>1.0</v>
      </c>
    </row>
    <row r="8796" ht="15.75" customHeight="1">
      <c r="A8796" s="1">
        <v>9459.0</v>
      </c>
      <c r="B8796" s="3" t="s">
        <v>8442</v>
      </c>
      <c r="C8796" s="3" t="str">
        <f>IFERROR(__xludf.DUMMYFUNCTION("GOOGLETRANSLATE(B8796,""id"",""en"")"),"['Easy', 'Simple', 'use', 'Telkomsel']")</f>
        <v>['Easy', 'Simple', 'use', 'Telkomsel']</v>
      </c>
      <c r="D8796" s="3">
        <v>5.0</v>
      </c>
    </row>
    <row r="8797" ht="15.75" customHeight="1">
      <c r="A8797" s="1">
        <v>9460.0</v>
      </c>
      <c r="B8797" s="3" t="s">
        <v>8443</v>
      </c>
      <c r="C8797" s="3" t="str">
        <f>IFERROR(__xludf.DUMMYFUNCTION("GOOGLETRANSLATE(B8797,""id"",""en"")"),"['application', 'heavy', 'difficult', 'enter', 'clock', 'click', 'app', 'enter', 'alias',' logo ',' difficult ',' check ',' Details', 'trade', 'number', 'used', 'forced', 'forced', 'migrate', 'number', 'only', 'provider', 'trade', 'thank you', 'accompany'"&amp;" , 'difficult', 'happy', '']")</f>
        <v>['application', 'heavy', 'difficult', 'enter', 'clock', 'click', 'app', 'enter', 'alias',' logo ',' difficult ',' check ',' Details', 'trade', 'number', 'used', 'forced', 'forced', 'migrate', 'number', 'only', 'provider', 'trade', 'thank you', 'accompany' , 'difficult', 'happy', '']</v>
      </c>
      <c r="D8797" s="3">
        <v>1.0</v>
      </c>
    </row>
    <row r="8798" ht="15.75" customHeight="1">
      <c r="A8798" s="1">
        <v>9461.0</v>
      </c>
      <c r="B8798" s="3" t="s">
        <v>8444</v>
      </c>
      <c r="C8798" s="3" t="str">
        <f>IFERROR(__xludf.DUMMYFUNCTION("GOOGLETRANSLATE(B8798,""id"",""en"")"),"['Sorry', 'proud', 'Telkomsel', 'threat', 'bngt', 'slow', 'work', 'skrng', 'sequence', 'threat', 'provider', 'forced', ' Change ',' Provider ',' Next to ',' Karna ',' already ',' Rely on ', ""]")</f>
        <v>['Sorry', 'proud', 'Telkomsel', 'threat', 'bngt', 'slow', 'work', 'skrng', 'sequence', 'threat', 'provider', 'forced', ' Change ',' Provider ',' Next to ',' Karna ',' already ',' Rely on ', "]</v>
      </c>
      <c r="D8798" s="3">
        <v>1.0</v>
      </c>
    </row>
    <row r="8799" ht="15.75" customHeight="1">
      <c r="A8799" s="1">
        <v>9462.0</v>
      </c>
      <c r="B8799" s="3" t="s">
        <v>8445</v>
      </c>
      <c r="C8799" s="3" t="str">
        <f>IFERROR(__xludf.DUMMYFUNCTION("GOOGLETRANSLATE(B8799,""id"",""en"")"),"['package', 'data', 'bought', 'like', 'change', 'change', 'package', 'interesting', ""]")</f>
        <v>['package', 'data', 'bought', 'like', 'change', 'change', 'package', 'interesting', "]</v>
      </c>
      <c r="D8799" s="3">
        <v>1.0</v>
      </c>
    </row>
    <row r="8800" ht="15.75" customHeight="1">
      <c r="A8800" s="1">
        <v>9463.0</v>
      </c>
      <c r="B8800" s="3" t="s">
        <v>8446</v>
      </c>
      <c r="C8800" s="3" t="str">
        <f>IFERROR(__xludf.DUMMYFUNCTION("GOOGLETRANSLATE(B8800,""id"",""en"")"),"['App', 'Overall', 'Buy', 'Package', 'Network', 'Region', 'Good', 'Line', 'Data', 'Lost', 'Sometimes',' Network ',' Full ',' path ',' data ',' lost ',' disappointed ',' smooth ',' ']")</f>
        <v>['App', 'Overall', 'Buy', 'Package', 'Network', 'Region', 'Good', 'Line', 'Data', 'Lost', 'Sometimes',' Network ',' Full ',' path ',' data ',' lost ',' disappointed ',' smooth ',' ']</v>
      </c>
      <c r="D8800" s="3">
        <v>3.0</v>
      </c>
    </row>
    <row r="8801" ht="15.75" customHeight="1">
      <c r="A8801" s="1">
        <v>9464.0</v>
      </c>
      <c r="B8801" s="3" t="s">
        <v>8447</v>
      </c>
      <c r="C8801" s="3" t="str">
        <f>IFERROR(__xludf.DUMMYFUNCTION("GOOGLETRANSLATE(B8801,""id"",""en"")"),"['', 'play', 'blur', 'answered', 'Wait', 'process', 'proof', 'zero']")</f>
        <v>['', 'play', 'blur', 'answered', 'Wait', 'process', 'proof', 'zero']</v>
      </c>
      <c r="D8801" s="3">
        <v>1.0</v>
      </c>
    </row>
    <row r="8802" ht="15.75" customHeight="1">
      <c r="A8802" s="1">
        <v>9465.0</v>
      </c>
      <c r="B8802" s="3" t="s">
        <v>8448</v>
      </c>
      <c r="C8802" s="3" t="str">
        <f>IFERROR(__xludf.DUMMYFUNCTION("GOOGLETRANSLATE(B8802,""id"",""en"")"),"['network', 'severe', 'daily', 'yes',' jakarta ',' east ',' signal ',' bankrupt ',' gmn ',' telkomsel ',' yes', 'network', ' Chaucet ',' Lost ',' Indosat ',' Disappointed ',' ']")</f>
        <v>['network', 'severe', 'daily', 'yes',' jakarta ',' east ',' signal ',' bankrupt ',' gmn ',' telkomsel ',' yes', 'network', ' Chaucet ',' Lost ',' Indosat ',' Disappointed ',' ']</v>
      </c>
      <c r="D8802" s="3">
        <v>1.0</v>
      </c>
    </row>
    <row r="8803" ht="15.75" customHeight="1">
      <c r="A8803" s="1">
        <v>9466.0</v>
      </c>
      <c r="B8803" s="3" t="s">
        <v>8449</v>
      </c>
      <c r="C8803" s="3" t="str">
        <f>IFERROR(__xludf.DUMMYFUNCTION("GOOGLETRANSLATE(B8803,""id"",""en"")"),"['', 'Honest', 'Please', 'Include', 'Details', 'History', 'Use', 'Credit', 'Application', 'People', 'Pulses', 'Lost']")</f>
        <v>['', 'Honest', 'Please', 'Include', 'Details', 'History', 'Use', 'Credit', 'Application', 'People', 'Pulses', 'Lost']</v>
      </c>
      <c r="D8803" s="3">
        <v>1.0</v>
      </c>
    </row>
    <row r="8804" ht="15.75" customHeight="1">
      <c r="A8804" s="1">
        <v>9467.0</v>
      </c>
      <c r="B8804" s="3" t="s">
        <v>8450</v>
      </c>
      <c r="C8804" s="3" t="str">
        <f>IFERROR(__xludf.DUMMYFUNCTION("GOOGLETRANSLATE(B8804,""id"",""en"")"),"['Under', 'Service', 'Card', 'Indosat', 'Telkomsel', 'BLM', 'Optimal', 'Modem', 'Please', 'Noted', 'Boost', 'Your Signal', ' People ',' united ',' Telkomsel ',' ']")</f>
        <v>['Under', 'Service', 'Card', 'Indosat', 'Telkomsel', 'BLM', 'Optimal', 'Modem', 'Please', 'Noted', 'Boost', 'Your Signal', ' People ',' united ',' Telkomsel ',' ']</v>
      </c>
      <c r="D8804" s="3">
        <v>2.0</v>
      </c>
    </row>
    <row r="8805" ht="15.75" customHeight="1">
      <c r="A8805" s="1">
        <v>9469.0</v>
      </c>
      <c r="B8805" s="3" t="s">
        <v>8451</v>
      </c>
      <c r="C8805" s="3" t="str">
        <f>IFERROR(__xludf.DUMMYFUNCTION("GOOGLETRANSLATE(B8805,""id"",""en"")"),"['artisan', 'suck', 'pulse', 'run out', 'quota']")</f>
        <v>['artisan', 'suck', 'pulse', 'run out', 'quota']</v>
      </c>
      <c r="D8805" s="3">
        <v>1.0</v>
      </c>
    </row>
    <row r="8806" ht="15.75" customHeight="1">
      <c r="A8806" s="1">
        <v>9470.0</v>
      </c>
      <c r="B8806" s="3" t="s">
        <v>8452</v>
      </c>
      <c r="C8806" s="3" t="str">
        <f>IFERROR(__xludf.DUMMYFUNCTION("GOOGLETRANSLATE(B8806,""id"",""en"")"),"['Gag', 'Credit', 'Cut']")</f>
        <v>['Gag', 'Credit', 'Cut']</v>
      </c>
      <c r="D8806" s="3">
        <v>2.0</v>
      </c>
    </row>
    <row r="8807" ht="15.75" customHeight="1">
      <c r="A8807" s="1">
        <v>9471.0</v>
      </c>
      <c r="B8807" s="3" t="s">
        <v>8453</v>
      </c>
      <c r="C8807" s="3" t="str">
        <f>IFERROR(__xludf.DUMMYFUNCTION("GOOGLETRANSLATE(B8807,""id"",""en"")"),"['oath', 'pulse', 'rb', 'rb', 'severe', 'really', 'original', 'pakenya', 'wifi', 'telephone', 'regret', 'fill', ' Credit ',' Telkomsel ']")</f>
        <v>['oath', 'pulse', 'rb', 'rb', 'severe', 'really', 'original', 'pakenya', 'wifi', 'telephone', 'regret', 'fill', ' Credit ',' Telkomsel ']</v>
      </c>
      <c r="D8807" s="3">
        <v>1.0</v>
      </c>
    </row>
    <row r="8808" ht="15.75" customHeight="1">
      <c r="A8808" s="1">
        <v>9472.0</v>
      </c>
      <c r="B8808" s="3" t="s">
        <v>8454</v>
      </c>
      <c r="C8808" s="3" t="str">
        <f>IFERROR(__xludf.DUMMYFUNCTION("GOOGLETRANSLATE(B8808,""id"",""en"")"),"['apk', 'help', 'really', '']")</f>
        <v>['apk', 'help', 'really', '']</v>
      </c>
      <c r="D8808" s="3">
        <v>5.0</v>
      </c>
    </row>
    <row r="8809" ht="15.75" customHeight="1">
      <c r="A8809" s="1">
        <v>9473.0</v>
      </c>
      <c r="B8809" s="3" t="s">
        <v>8455</v>
      </c>
      <c r="C8809" s="3" t="str">
        <f>IFERROR(__xludf.DUMMYFUNCTION("GOOGLETRANSLATE(B8809,""id"",""en"")"),"['Fix', 'bug', 'network']")</f>
        <v>['Fix', 'bug', 'network']</v>
      </c>
      <c r="D8809" s="3">
        <v>4.0</v>
      </c>
    </row>
    <row r="8810" ht="15.75" customHeight="1">
      <c r="A8810" s="1">
        <v>9474.0</v>
      </c>
      <c r="B8810" s="3" t="s">
        <v>8456</v>
      </c>
      <c r="C8810" s="3" t="str">
        <f>IFERROR(__xludf.DUMMYFUNCTION("GOOGLETRANSLATE(B8810,""id"",""en"")"),"['Satisfied', 'card', 'package', 'expensive', '']")</f>
        <v>['Satisfied', 'card', 'package', 'expensive', '']</v>
      </c>
      <c r="D8810" s="3">
        <v>4.0</v>
      </c>
    </row>
    <row r="8811" ht="15.75" customHeight="1">
      <c r="A8811" s="1">
        <v>9475.0</v>
      </c>
      <c r="B8811" s="3" t="s">
        <v>8457</v>
      </c>
      <c r="C8811" s="3" t="str">
        <f>IFERROR(__xludf.DUMMYFUNCTION("GOOGLETRANSLATE(B8811,""id"",""en"")"),"['Star', 'hope', 'in the future', 'service', 'cheap', 'rates']")</f>
        <v>['Star', 'hope', 'in the future', 'service', 'cheap', 'rates']</v>
      </c>
      <c r="D8811" s="3">
        <v>3.0</v>
      </c>
    </row>
    <row r="8812" ht="15.75" customHeight="1">
      <c r="A8812" s="1">
        <v>9476.0</v>
      </c>
      <c r="B8812" s="3" t="s">
        <v>1466</v>
      </c>
      <c r="C8812" s="3" t="str">
        <f>IFERROR(__xludf.DUMMYFUNCTION("GOOGLETRANSLATE(B8812,""id"",""en"")"),"['easy', 'fast']")</f>
        <v>['easy', 'fast']</v>
      </c>
      <c r="D8812" s="3">
        <v>5.0</v>
      </c>
    </row>
    <row r="8813" ht="15.75" customHeight="1">
      <c r="A8813" s="1">
        <v>9478.0</v>
      </c>
      <c r="B8813" s="3" t="s">
        <v>8458</v>
      </c>
      <c r="C8813" s="3" t="str">
        <f>IFERROR(__xludf.DUMMYFUNCTION("GOOGLETRANSLATE(B8813,""id"",""en"")"),"['Cool', 'Save']")</f>
        <v>['Cool', 'Save']</v>
      </c>
      <c r="D8813" s="3">
        <v>5.0</v>
      </c>
    </row>
    <row r="8814" ht="15.75" customHeight="1">
      <c r="A8814" s="1">
        <v>9479.0</v>
      </c>
      <c r="B8814" s="3" t="s">
        <v>3616</v>
      </c>
      <c r="C8814" s="3" t="str">
        <f>IFERROR(__xludf.DUMMYFUNCTION("GOOGLETRANSLATE(B8814,""id"",""en"")"),"['application', 'good']")</f>
        <v>['application', 'good']</v>
      </c>
      <c r="D8814" s="3">
        <v>5.0</v>
      </c>
    </row>
    <row r="8815" ht="15.75" customHeight="1">
      <c r="A8815" s="1">
        <v>9480.0</v>
      </c>
      <c r="B8815" s="3" t="s">
        <v>8459</v>
      </c>
      <c r="C8815" s="3" t="str">
        <f>IFERROR(__xludf.DUMMYFUNCTION("GOOGLETRANSLATE(B8815,""id"",""en"")"),"['Sangant', 'steady']")</f>
        <v>['Sangant', 'steady']</v>
      </c>
      <c r="D8815" s="3">
        <v>5.0</v>
      </c>
    </row>
    <row r="8816" ht="15.75" customHeight="1">
      <c r="A8816" s="1">
        <v>9481.0</v>
      </c>
      <c r="B8816" s="3" t="s">
        <v>8460</v>
      </c>
      <c r="C8816" s="3" t="str">
        <f>IFERROR(__xludf.DUMMYFUNCTION("GOOGLETRANSLATE(B8816,""id"",""en"")"),"['Love', 'Suggestion', 'Try', 'Feature', 'Key', 'Look', 'Credit', 'Min', 'Credit', 'Take', 'TRS', 'Njir', ' Ampe ',' Ludes', 'Paketan', '']")</f>
        <v>['Love', 'Suggestion', 'Try', 'Feature', 'Key', 'Look', 'Credit', 'Min', 'Credit', 'Take', 'TRS', 'Njir', ' Ampe ',' Ludes', 'Paketan', '']</v>
      </c>
      <c r="D8816" s="3">
        <v>3.0</v>
      </c>
    </row>
    <row r="8817" ht="15.75" customHeight="1">
      <c r="A8817" s="1">
        <v>9483.0</v>
      </c>
      <c r="B8817" s="3" t="s">
        <v>8461</v>
      </c>
      <c r="C8817" s="3" t="str">
        <f>IFERROR(__xludf.DUMMYFUNCTION("GOOGLETRANSLATE(B8817,""id"",""en"")"),"['', 'good', 'signal', 'cheap', 'jga', ""]")</f>
        <v>['', 'good', 'signal', 'cheap', 'jga', "]</v>
      </c>
      <c r="D8817" s="3">
        <v>5.0</v>
      </c>
    </row>
    <row r="8818" ht="15.75" customHeight="1">
      <c r="A8818" s="1">
        <v>9484.0</v>
      </c>
      <c r="B8818" s="3" t="s">
        <v>8462</v>
      </c>
      <c r="C8818" s="3" t="str">
        <f>IFERROR(__xludf.DUMMYFUNCTION("GOOGLETRANSLATE(B8818,""id"",""en"")"),"['Move', 'prepaid', 'postpaid', 'signal', 'Makah', 'missing', 'signal', 'signal', 'fast', 'signal', ""]")</f>
        <v>['Move', 'prepaid', 'postpaid', 'signal', 'Makah', 'missing', 'signal', 'signal', 'fast', 'signal', "]</v>
      </c>
      <c r="D8818" s="3">
        <v>1.0</v>
      </c>
    </row>
    <row r="8819" ht="15.75" customHeight="1">
      <c r="A8819" s="1">
        <v>9485.0</v>
      </c>
      <c r="B8819" s="3" t="s">
        <v>1227</v>
      </c>
      <c r="C8819" s="3" t="str">
        <f>IFERROR(__xludf.DUMMYFUNCTION("GOOGLETRANSLATE(B8819,""id"",""en"")"),"['promo', 'help']")</f>
        <v>['promo', 'help']</v>
      </c>
      <c r="D8819" s="3">
        <v>5.0</v>
      </c>
    </row>
    <row r="8820" ht="15.75" customHeight="1">
      <c r="A8820" s="1">
        <v>9486.0</v>
      </c>
      <c r="B8820" s="3" t="s">
        <v>8463</v>
      </c>
      <c r="C8820" s="3" t="str">
        <f>IFERROR(__xludf.DUMMYFUNCTION("GOOGLETRANSLATE(B8820,""id"",""en"")"),"['Telkomsel', 'yaa', 'fast', 'really', 'sucked', 'kouta', 'a day', 'usage', 'lho', 'crazyaa', '']")</f>
        <v>['Telkomsel', 'yaa', 'fast', 'really', 'sucked', 'kouta', 'a day', 'usage', 'lho', 'crazyaa', '']</v>
      </c>
      <c r="D8820" s="3">
        <v>1.0</v>
      </c>
    </row>
    <row r="8821" ht="15.75" customHeight="1">
      <c r="A8821" s="1">
        <v>9487.0</v>
      </c>
      <c r="B8821" s="3" t="s">
        <v>8464</v>
      </c>
      <c r="C8821" s="3" t="str">
        <f>IFERROR(__xludf.DUMMYFUNCTION("GOOGLETRANSLATE(B8821,""id"",""en"")"),"['My Network', 'Destroyed', 'Enter', 'Application', 'Difficult', 'Enter', 'Kowta', 'Internet', 'Region', 'Sulawesi', 'South', 'Region', ' Maros', 'Moncongloe', 'hope', 'fix', 'network', 'internet', 'slow', 'laun', 'Telkomsel', 'enthusiasts']")</f>
        <v>['My Network', 'Destroyed', 'Enter', 'Application', 'Difficult', 'Enter', 'Kowta', 'Internet', 'Region', 'Sulawesi', 'South', 'Region', ' Maros', 'Moncongloe', 'hope', 'fix', 'network', 'internet', 'slow', 'laun', 'Telkomsel', 'enthusiasts']</v>
      </c>
      <c r="D8821" s="3">
        <v>1.0</v>
      </c>
    </row>
    <row r="8822" ht="15.75" customHeight="1">
      <c r="A8822" s="1">
        <v>9488.0</v>
      </c>
      <c r="B8822" s="3" t="s">
        <v>8465</v>
      </c>
      <c r="C8822" s="3" t="str">
        <f>IFERROR(__xludf.DUMMYFUNCTION("GOOGLETRANSLATE(B8822,""id"",""en"")"),"['How', 'Send', 'Credit', 'Kepety', 'Service', 'Screen', 'Tancep', 'Taik', 'Cat', 'Service', 'Cinema', 'old' Gubluk ',' Error ',' Telkum ', ""]")</f>
        <v>['How', 'Send', 'Credit', 'Kepety', 'Service', 'Screen', 'Tancep', 'Taik', 'Cat', 'Service', 'Cinema', 'old' Gubluk ',' Error ',' Telkum ', "]</v>
      </c>
      <c r="D8822" s="3">
        <v>1.0</v>
      </c>
    </row>
    <row r="8823" ht="15.75" customHeight="1">
      <c r="A8823" s="1">
        <v>9489.0</v>
      </c>
      <c r="B8823" s="3" t="s">
        <v>8466</v>
      </c>
      <c r="C8823" s="3" t="str">
        <f>IFERROR(__xludf.DUMMYFUNCTION("GOOGLETRANSLATE(B8823,""id"",""en"")"),"['Daily', 'check', 'get', 'quota', 'free', 'right', 'open', 'facebook', 'check', 'locker', 'cut', 'pulse', ' In Information ',' Internet ',' Package ',' Nailing ',' Quota ',' Chapter ',' Severe ',' Moga ',' Get ',' Karma ',' Bad ',' Uuuuuu ']")</f>
        <v>['Daily', 'check', 'get', 'quota', 'free', 'right', 'open', 'facebook', 'check', 'locker', 'cut', 'pulse', ' In Information ',' Internet ',' Package ',' Nailing ',' Quota ',' Chapter ',' Severe ',' Moga ',' Get ',' Karma ',' Bad ',' Uuuuuu ']</v>
      </c>
      <c r="D8823" s="3">
        <v>1.0</v>
      </c>
    </row>
    <row r="8824" ht="15.75" customHeight="1">
      <c r="A8824" s="1">
        <v>9490.0</v>
      </c>
      <c r="B8824" s="3" t="s">
        <v>8467</v>
      </c>
      <c r="C8824" s="3" t="str">
        <f>IFERROR(__xludf.DUMMYFUNCTION("GOOGLETRANSLATE(B8824,""id"",""en"")"),"['Here', 'Bapuk', 'Bagusan', 'Skrg', 'Error', 'Mulu', 'Sampe', 'Ngeheng', 'Open', 'Application', 'Server', 'Update', ' JLS ',' ']")</f>
        <v>['Here', 'Bapuk', 'Bagusan', 'Skrg', 'Error', 'Mulu', 'Sampe', 'Ngeheng', 'Open', 'Application', 'Server', 'Update', ' JLS ',' ']</v>
      </c>
      <c r="D8824" s="3">
        <v>2.0</v>
      </c>
    </row>
    <row r="8825" ht="15.75" customHeight="1">
      <c r="A8825" s="1">
        <v>9491.0</v>
      </c>
      <c r="B8825" s="3" t="s">
        <v>8468</v>
      </c>
      <c r="C8825" s="3" t="str">
        <f>IFERROR(__xludf.DUMMYFUNCTION("GOOGLETRANSLATE(B8825,""id"",""en"")"),"['signal', 'sad', 'sad', 'really', 'sad', 'network', 'stable', 'fed up', '']")</f>
        <v>['signal', 'sad', 'sad', 'really', 'sad', 'network', 'stable', 'fed up', '']</v>
      </c>
      <c r="D8825" s="3">
        <v>1.0</v>
      </c>
    </row>
    <row r="8826" ht="15.75" customHeight="1">
      <c r="A8826" s="1">
        <v>9492.0</v>
      </c>
      <c r="B8826" s="3" t="s">
        <v>8469</v>
      </c>
      <c r="C8826" s="3" t="str">
        <f>IFERROR(__xludf.DUMMYFUNCTION("GOOGLETRANSLATE(B8826,""id"",""en"")"),"['steady', 'darling', 'cheap', 'pketanya']")</f>
        <v>['steady', 'darling', 'cheap', 'pketanya']</v>
      </c>
      <c r="D8826" s="3">
        <v>5.0</v>
      </c>
    </row>
    <row r="8827" ht="15.75" customHeight="1">
      <c r="A8827" s="1">
        <v>9493.0</v>
      </c>
      <c r="B8827" s="3" t="s">
        <v>8470</v>
      </c>
      <c r="C8827" s="3" t="str">
        <f>IFERROR(__xludf.DUMMYFUNCTION("GOOGLETRANSLATE(B8827,""id"",""en"")"),"['The network', 'ugly', 'quota', 'tetep', 'ugly', 'network', '']")</f>
        <v>['The network', 'ugly', 'quota', 'tetep', 'ugly', 'network', '']</v>
      </c>
      <c r="D8827" s="3">
        <v>2.0</v>
      </c>
    </row>
    <row r="8828" ht="15.75" customHeight="1">
      <c r="A8828" s="1">
        <v>9494.0</v>
      </c>
      <c r="B8828" s="3" t="s">
        <v>8471</v>
      </c>
      <c r="C8828" s="3" t="str">
        <f>IFERROR(__xludf.DUMMYFUNCTION("GOOGLETRANSLATE(B8828,""id"",""en"")"),"['package', 'expensive', 'already', 'buy', 'quality', 'signal', 'severe', '']")</f>
        <v>['package', 'expensive', 'already', 'buy', 'quality', 'signal', 'severe', '']</v>
      </c>
      <c r="D8828" s="3">
        <v>1.0</v>
      </c>
    </row>
    <row r="8829" ht="15.75" customHeight="1">
      <c r="A8829" s="1">
        <v>9495.0</v>
      </c>
      <c r="B8829" s="3" t="s">
        <v>8472</v>
      </c>
      <c r="C8829" s="3" t="str">
        <f>IFERROR(__xludf.DUMMYFUNCTION("GOOGLETRANSLATE(B8829,""id"",""en"")"),"['easy', 'promo', 'available']")</f>
        <v>['easy', 'promo', 'available']</v>
      </c>
      <c r="D8829" s="3">
        <v>5.0</v>
      </c>
    </row>
    <row r="8830" ht="15.75" customHeight="1">
      <c r="A8830" s="1">
        <v>9496.0</v>
      </c>
      <c r="B8830" s="3" t="s">
        <v>8473</v>
      </c>
      <c r="C8830" s="3" t="str">
        <f>IFERROR(__xludf.DUMMYFUNCTION("GOOGLETRANSLATE(B8830,""id"",""en"")"),"['Good', 'satisfying', 'Tens', 'Telkomsel']")</f>
        <v>['Good', 'satisfying', 'Tens', 'Telkomsel']</v>
      </c>
      <c r="D8830" s="3">
        <v>5.0</v>
      </c>
    </row>
    <row r="8831" ht="15.75" customHeight="1">
      <c r="A8831" s="1">
        <v>9497.0</v>
      </c>
      <c r="B8831" s="3" t="s">
        <v>8474</v>
      </c>
      <c r="C8831" s="3" t="str">
        <f>IFERROR(__xludf.DUMMYFUNCTION("GOOGLETRANSLATE(B8831,""id"",""en"")"),"['heart', 'message', 'package', 'emergency', 'leave', 'pulse', 'penny', 'victim', 'leftover', 'pulse', 'message', 'package', ' emergency ',' buy ',' quota ',' fulfilled ',' package ',' emergency ',' leftover ',' pulse ',' lost ',' truncated ',' sucked ','"&amp;" anything ',' pulses' , 'missing', 'reasons', 'pay', 'contents', 'pulse', 'brap', 'user', 'harmed', ""]")</f>
        <v>['heart', 'message', 'package', 'emergency', 'leave', 'pulse', 'penny', 'victim', 'leftover', 'pulse', 'message', 'package', ' emergency ',' buy ',' quota ',' fulfilled ',' package ',' emergency ',' leftover ',' pulse ',' lost ',' truncated ',' sucked ',' anything ',' pulses' , 'missing', 'reasons', 'pay', 'contents', 'pulse', 'brap', 'user', 'harmed', "]</v>
      </c>
      <c r="D8831" s="3">
        <v>5.0</v>
      </c>
    </row>
    <row r="8832" ht="15.75" customHeight="1">
      <c r="A8832" s="1">
        <v>9498.0</v>
      </c>
      <c r="B8832" s="3" t="s">
        <v>8475</v>
      </c>
      <c r="C8832" s="3" t="str">
        <f>IFERROR(__xludf.DUMMYFUNCTION("GOOGLETRANSLATE(B8832,""id"",""en"")"),"['Hello', 'love', 'suggestion', 'please', 'love', 'mode', 'key', 'pulse', 'lost', 'pulse', 'live', 'data', ' Cellular ',' ']")</f>
        <v>['Hello', 'love', 'suggestion', 'please', 'love', 'mode', 'key', 'pulse', 'lost', 'pulse', 'live', 'data', ' Cellular ',' ']</v>
      </c>
      <c r="D8832" s="3">
        <v>4.0</v>
      </c>
    </row>
    <row r="8833" ht="15.75" customHeight="1">
      <c r="A8833" s="1">
        <v>9499.0</v>
      </c>
      <c r="B8833" s="3" t="s">
        <v>8476</v>
      </c>
      <c r="C8833" s="3" t="str">
        <f>IFERROR(__xludf.DUMMYFUNCTION("GOOGLETRANSLATE(B8833,""id"",""en"")"),"['application', 'good', 'complete', 'buy', 'pulse', 'package', 'quota', 'internet', 'combo', 'sakti', 'lottery', 'prizes',' complete ',' deh ',' basics', 'need', 'buddy', 'download', 'application', 'telkomsel', 'loss',' really ',' hunt ',' download ',' ap"&amp;"plication ' , 'Telkomsel', 'sob', ""]")</f>
        <v>['application', 'good', 'complete', 'buy', 'pulse', 'package', 'quota', 'internet', 'combo', 'sakti', 'lottery', 'prizes',' complete ',' deh ',' basics', 'need', 'buddy', 'download', 'application', 'telkomsel', 'loss',' really ',' hunt ',' download ',' application ' , 'Telkomsel', 'sob', "]</v>
      </c>
      <c r="D8833" s="3">
        <v>5.0</v>
      </c>
    </row>
    <row r="8834" ht="15.75" customHeight="1">
      <c r="A8834" s="1">
        <v>9500.0</v>
      </c>
      <c r="B8834" s="3" t="s">
        <v>2914</v>
      </c>
      <c r="C8834" s="3" t="str">
        <f>IFERROR(__xludf.DUMMYFUNCTION("GOOGLETRANSLATE(B8834,""id"",""en"")"),"['Good', 'help']")</f>
        <v>['Good', 'help']</v>
      </c>
      <c r="D8834" s="3">
        <v>5.0</v>
      </c>
    </row>
    <row r="8835" ht="15.75" customHeight="1">
      <c r="A8835" s="1">
        <v>9501.0</v>
      </c>
      <c r="B8835" s="3" t="s">
        <v>8477</v>
      </c>
      <c r="C8835" s="3" t="str">
        <f>IFERROR(__xludf.DUMMYFUNCTION("GOOGLETRANSLATE(B8835,""id"",""en"")"),"['Signal', 'rotten']")</f>
        <v>['Signal', 'rotten']</v>
      </c>
      <c r="D8835" s="3">
        <v>1.0</v>
      </c>
    </row>
    <row r="8836" ht="15.75" customHeight="1">
      <c r="A8836" s="1">
        <v>9502.0</v>
      </c>
      <c r="B8836" s="3" t="s">
        <v>8478</v>
      </c>
      <c r="C8836" s="3" t="str">
        <f>IFERROR(__xludf.DUMMYFUNCTION("GOOGLETRANSLATE(B8836,""id"",""en"")"),"['Temomsel', 'Best']")</f>
        <v>['Temomsel', 'Best']</v>
      </c>
      <c r="D8836" s="3">
        <v>5.0</v>
      </c>
    </row>
    <row r="8837" ht="15.75" customHeight="1">
      <c r="A8837" s="1">
        <v>9503.0</v>
      </c>
      <c r="B8837" s="3" t="s">
        <v>8479</v>
      </c>
      <c r="C8837" s="3" t="str">
        <f>IFERROR(__xludf.DUMMYFUNCTION("GOOGLETRANSLATE(B8837,""id"",""en"")"),"['Telkomsel', 'like', 'ketchover', 'skarang', 'slow', 'bnyk', 'person', 'employees', 'telkomsel', 'udh', 'mles', 'work']")</f>
        <v>['Telkomsel', 'like', 'ketchover', 'skarang', 'slow', 'bnyk', 'person', 'employees', 'telkomsel', 'udh', 'mles', 'work']</v>
      </c>
      <c r="D8837" s="3">
        <v>1.0</v>
      </c>
    </row>
    <row r="8838" ht="15.75" customHeight="1">
      <c r="A8838" s="1">
        <v>9504.0</v>
      </c>
      <c r="B8838" s="3" t="s">
        <v>8480</v>
      </c>
      <c r="C8838" s="3" t="str">
        <f>IFERROR(__xludf.DUMMYFUNCTION("GOOGLETRANSLATE(B8838,""id"",""en"")"),"['Help', 'sendin', 'reset', 'proof', 'transaction', 'transfer', 'pulse']")</f>
        <v>['Help', 'sendin', 'reset', 'proof', 'transaction', 'transfer', 'pulse']</v>
      </c>
      <c r="D8838" s="3">
        <v>5.0</v>
      </c>
    </row>
    <row r="8839" ht="15.75" customHeight="1">
      <c r="A8839" s="1">
        <v>9506.0</v>
      </c>
      <c r="B8839" s="3" t="s">
        <v>8481</v>
      </c>
      <c r="C8839" s="3" t="str">
        <f>IFERROR(__xludf.DUMMYFUNCTION("GOOGLETRANSLATE(B8839,""id"",""en"")"),"['Try', 'application']")</f>
        <v>['Try', 'application']</v>
      </c>
      <c r="D8839" s="3">
        <v>4.0</v>
      </c>
    </row>
    <row r="8840" ht="15.75" customHeight="1">
      <c r="A8840" s="1">
        <v>9507.0</v>
      </c>
      <c r="B8840" s="3" t="s">
        <v>5265</v>
      </c>
      <c r="C8840" s="3" t="str">
        <f>IFERROR(__xludf.DUMMYFUNCTION("GOOGLETRANSLATE(B8840,""id"",""en"")"),"['Help', 'makes it easy']")</f>
        <v>['Help', 'makes it easy']</v>
      </c>
      <c r="D8840" s="3">
        <v>5.0</v>
      </c>
    </row>
    <row r="8841" ht="15.75" customHeight="1">
      <c r="A8841" s="1">
        <v>9508.0</v>
      </c>
      <c r="B8841" s="3" t="s">
        <v>8482</v>
      </c>
      <c r="C8841" s="3" t="str">
        <f>IFERROR(__xludf.DUMMYFUNCTION("GOOGLETRANSLATE(B8841,""id"",""en"")"),"['Teruntui', 'Tekomsel', 'Gini', 'Package', 'Data', 'Plis',' Down ',' Nin ',' Package ',' Data ',' a month ',' a week ',' Plisss', 'down', 'price', 'package', 'week', 'contents']")</f>
        <v>['Teruntui', 'Tekomsel', 'Gini', 'Package', 'Data', 'Plis',' Down ',' Nin ',' Package ',' Data ',' a month ',' a week ',' Plisss', 'down', 'price', 'package', 'week', 'contents']</v>
      </c>
      <c r="D8841" s="3">
        <v>1.0</v>
      </c>
    </row>
    <row r="8842" ht="15.75" customHeight="1">
      <c r="A8842" s="1">
        <v>9509.0</v>
      </c>
      <c r="B8842" s="3" t="s">
        <v>8483</v>
      </c>
      <c r="C8842" s="3" t="str">
        <f>IFERROR(__xludf.DUMMYFUNCTION("GOOGLETRANSLATE(B8842,""id"",""en"")"),"['Star', 'Network', 'Kayak', 'Keong', 'Reply', 'Fix', 'The Network']")</f>
        <v>['Star', 'Network', 'Kayak', 'Keong', 'Reply', 'Fix', 'The Network']</v>
      </c>
      <c r="D8842" s="3">
        <v>1.0</v>
      </c>
    </row>
    <row r="8843" ht="15.75" customHeight="1">
      <c r="A8843" s="1">
        <v>9510.0</v>
      </c>
      <c r="B8843" s="3" t="s">
        <v>8484</v>
      </c>
      <c r="C8843" s="3" t="str">
        <f>IFERROR(__xludf.DUMMYFUNCTION("GOOGLETRANSLATE(B8843,""id"",""en"")"),"['suggestion', 'add', 'system', 'lock', 'credit', 'pulse', 'sucked', 'then', 'keep', 'convenience', 'customer']")</f>
        <v>['suggestion', 'add', 'system', 'lock', 'credit', 'pulse', 'sucked', 'then', 'keep', 'convenience', 'customer']</v>
      </c>
      <c r="D8843" s="3">
        <v>1.0</v>
      </c>
    </row>
    <row r="8844" ht="15.75" customHeight="1">
      <c r="A8844" s="1">
        <v>9511.0</v>
      </c>
      <c r="B8844" s="3" t="s">
        <v>8485</v>
      </c>
      <c r="C8844" s="3" t="str">
        <f>IFERROR(__xludf.DUMMYFUNCTION("GOOGLETRANSLATE(B8844,""id"",""en"")"),"['Network', 'good', 'around', 'Telkomsel', 'good', 'knapa', 'Malahh', 'appears']")</f>
        <v>['Network', 'good', 'around', 'Telkomsel', 'good', 'knapa', 'Malahh', 'appears']</v>
      </c>
      <c r="D8844" s="3">
        <v>1.0</v>
      </c>
    </row>
    <row r="8845" ht="15.75" customHeight="1">
      <c r="A8845" s="1">
        <v>9512.0</v>
      </c>
      <c r="B8845" s="3" t="s">
        <v>8486</v>
      </c>
      <c r="C8845" s="3" t="str">
        <f>IFERROR(__xludf.DUMMYFUNCTION("GOOGLETRANSLATE(B8845,""id"",""en"")"),"['Kayak', 'Taik', 'quota', 'expensive', 'signal', 'slow', ""]")</f>
        <v>['Kayak', 'Taik', 'quota', 'expensive', 'signal', 'slow', "]</v>
      </c>
      <c r="D8845" s="3">
        <v>1.0</v>
      </c>
    </row>
    <row r="8846" ht="15.75" customHeight="1">
      <c r="A8846" s="1">
        <v>9513.0</v>
      </c>
      <c r="B8846" s="3" t="s">
        <v>8487</v>
      </c>
      <c r="C8846" s="3" t="str">
        <f>IFERROR(__xludf.DUMMYFUNCTION("GOOGLETRANSLATE(B8846,""id"",""en"")"),"['Good', 'Display', 'Unfortunately', 'Buy', 'Paketan', 'Via', 'Application']")</f>
        <v>['Good', 'Display', 'Unfortunately', 'Buy', 'Paketan', 'Via', 'Application']</v>
      </c>
      <c r="D8846" s="3">
        <v>5.0</v>
      </c>
    </row>
    <row r="8847" ht="15.75" customHeight="1">
      <c r="A8847" s="1">
        <v>9514.0</v>
      </c>
      <c r="B8847" s="3" t="s">
        <v>8488</v>
      </c>
      <c r="C8847" s="3" t="str">
        <f>IFERROR(__xludf.DUMMYFUNCTION("GOOGLETRANSLATE(B8847,""id"",""en"")"),"['Telkomsel', 'BURIK', 'already', 'buy', 'package', 'internet', 'GB', 'MNT', 'YouTube', 'already', 'Take', 'Please', ' Telkomsel ',' restore ',' internet ']")</f>
        <v>['Telkomsel', 'BURIK', 'already', 'buy', 'package', 'internet', 'GB', 'MNT', 'YouTube', 'already', 'Take', 'Please', ' Telkomsel ',' restore ',' internet ']</v>
      </c>
      <c r="D8847" s="3">
        <v>1.0</v>
      </c>
    </row>
    <row r="8848" ht="15.75" customHeight="1">
      <c r="A8848" s="1">
        <v>9515.0</v>
      </c>
      <c r="B8848" s="3" t="s">
        <v>8489</v>
      </c>
      <c r="C8848" s="3" t="str">
        <f>IFERROR(__xludf.DUMMYFUNCTION("GOOGLETRANSLATE(B8848,""id"",""en"")"),"['convenience', 'user']")</f>
        <v>['convenience', 'user']</v>
      </c>
      <c r="D8848" s="3">
        <v>5.0</v>
      </c>
    </row>
    <row r="8849" ht="15.75" customHeight="1">
      <c r="A8849" s="1">
        <v>9516.0</v>
      </c>
      <c r="B8849" s="3" t="s">
        <v>8490</v>
      </c>
      <c r="C8849" s="3" t="str">
        <f>IFERROR(__xludf.DUMMYFUNCTION("GOOGLETRANSLATE(B8849,""id"",""en"")"),"['Help', 'access', 'pulses', 'stay', 'rural', 'trimakasih', 'Telkomsel']")</f>
        <v>['Help', 'access', 'pulses', 'stay', 'rural', 'trimakasih', 'Telkomsel']</v>
      </c>
      <c r="D8849" s="3">
        <v>4.0</v>
      </c>
    </row>
    <row r="8850" ht="15.75" customHeight="1">
      <c r="A8850" s="1">
        <v>9517.0</v>
      </c>
      <c r="B8850" s="3" t="s">
        <v>8491</v>
      </c>
      <c r="C8850" s="3" t="str">
        <f>IFERROR(__xludf.DUMMYFUNCTION("GOOGLETRANSLATE(B8850,""id"",""en"")"),"['makes it easy', 'transaction', 'purchase', 'package', 'etc.', '']")</f>
        <v>['makes it easy', 'transaction', 'purchase', 'package', 'etc.', '']</v>
      </c>
      <c r="D8850" s="3">
        <v>5.0</v>
      </c>
    </row>
    <row r="8851" ht="15.75" customHeight="1">
      <c r="A8851" s="1">
        <v>9518.0</v>
      </c>
      <c r="B8851" s="3" t="s">
        <v>8492</v>
      </c>
      <c r="C8851" s="3" t="str">
        <f>IFERROR(__xludf.DUMMYFUNCTION("GOOGLETRANSLATE(B8851,""id"",""en"")"),"['Telkomsel', 'how', 'signal', 'ngelag', 'play', 'games', 'smooth', 'ngellag', 'asudahi', 'bankrupt', 'troubles', 'community']")</f>
        <v>['Telkomsel', 'how', 'signal', 'ngelag', 'play', 'games', 'smooth', 'ngellag', 'asudahi', 'bankrupt', 'troubles', 'community']</v>
      </c>
      <c r="D8851" s="3">
        <v>1.0</v>
      </c>
    </row>
    <row r="8852" ht="15.75" customHeight="1">
      <c r="A8852" s="1">
        <v>9519.0</v>
      </c>
      <c r="B8852" s="3" t="s">
        <v>8493</v>
      </c>
      <c r="C8852" s="3" t="str">
        <f>IFERROR(__xludf.DUMMYFUNCTION("GOOGLETRANSLATE(B8852,""id"",""en"")"),"['Telkomsel', 'advanced', 'quality', 'in the past']")</f>
        <v>['Telkomsel', 'advanced', 'quality', 'in the past']</v>
      </c>
      <c r="D8852" s="3">
        <v>4.0</v>
      </c>
    </row>
    <row r="8853" ht="15.75" customHeight="1">
      <c r="A8853" s="1">
        <v>9520.0</v>
      </c>
      <c r="B8853" s="3" t="s">
        <v>8494</v>
      </c>
      <c r="C8853" s="3" t="str">
        <f>IFERROR(__xludf.DUMMYFUNCTION("GOOGLETRANSLATE(B8853,""id"",""en"")"),"['Thank you', 'MyTelkomsel', 'Easy', 'voice', 'NIVEN', 'Insulting', 'turned off', 'Klau', 'DEVE', 'Notification', 'AUTO', 'AKTF', ' Difficulty ',' Bngat ']")</f>
        <v>['Thank you', 'MyTelkomsel', 'Easy', 'voice', 'NIVEN', 'Insulting', 'turned off', 'Klau', 'DEVE', 'Notification', 'AUTO', 'AKTF', ' Difficulty ',' Bngat ']</v>
      </c>
      <c r="D8853" s="3">
        <v>3.0</v>
      </c>
    </row>
    <row r="8854" ht="15.75" customHeight="1">
      <c r="A8854" s="1">
        <v>9521.0</v>
      </c>
      <c r="B8854" s="3" t="s">
        <v>4940</v>
      </c>
      <c r="C8854" s="3" t="str">
        <f>IFERROR(__xludf.DUMMYFUNCTION("GOOGLETRANSLATE(B8854,""id"",""en"")"),"['easy', 'help']")</f>
        <v>['easy', 'help']</v>
      </c>
      <c r="D8854" s="3">
        <v>5.0</v>
      </c>
    </row>
    <row r="8855" ht="15.75" customHeight="1">
      <c r="A8855" s="1">
        <v>9522.0</v>
      </c>
      <c r="B8855" s="3" t="s">
        <v>8495</v>
      </c>
      <c r="C8855" s="3" t="str">
        <f>IFERROR(__xludf.DUMMYFUNCTION("GOOGLETRANSLATE(B8855,""id"",""en"")"),"['Network', 'Telkomsel', 'deteriorating', 'error', 'signal', 'ngilance', 'Ujan', 'Please', 'Telkomsel', 'fix', 'feeling', 'Group', ' Village ',' Network ',' Telkomsel ',' Please ',' Increase ',' Performance ',' Signal ',' User ',' Telkomsel ',' Comfortabl"&amp;"e ']")</f>
        <v>['Network', 'Telkomsel', 'deteriorating', 'error', 'signal', 'ngilance', 'Ujan', 'Please', 'Telkomsel', 'fix', 'feeling', 'Group', ' Village ',' Network ',' Telkomsel ',' Please ',' Increase ',' Performance ',' Signal ',' User ',' Telkomsel ',' Comfortable ']</v>
      </c>
      <c r="D8855" s="3">
        <v>1.0</v>
      </c>
    </row>
    <row r="8856" ht="15.75" customHeight="1">
      <c r="A8856" s="1">
        <v>9523.0</v>
      </c>
      <c r="B8856" s="3" t="s">
        <v>2462</v>
      </c>
      <c r="C8856" s="3" t="str">
        <f>IFERROR(__xludf.DUMMYFUNCTION("GOOGLETRANSLATE(B8856,""id"",""en"")"),"['useful']")</f>
        <v>['useful']</v>
      </c>
      <c r="D8856" s="3">
        <v>4.0</v>
      </c>
    </row>
    <row r="8857" ht="15.75" customHeight="1">
      <c r="A8857" s="1">
        <v>9524.0</v>
      </c>
      <c r="B8857" s="3" t="s">
        <v>8496</v>
      </c>
      <c r="C8857" s="3" t="str">
        <f>IFERROR(__xludf.DUMMYFUNCTION("GOOGLETRANSLATE(B8857,""id"",""en"")"),"['Alhmdllh', 'MyTelkomsel', 'easy', 'purchase', 'package', 'data', 'gift', 'entertainment', 'lucky', 'accept', 'ksh', 'Telkomsel', ' ']")</f>
        <v>['Alhmdllh', 'MyTelkomsel', 'easy', 'purchase', 'package', 'data', 'gift', 'entertainment', 'lucky', 'accept', 'ksh', 'Telkomsel', ' ']</v>
      </c>
      <c r="D8857" s="3">
        <v>5.0</v>
      </c>
    </row>
    <row r="8858" ht="15.75" customHeight="1">
      <c r="A8858" s="1">
        <v>9525.0</v>
      </c>
      <c r="B8858" s="3" t="s">
        <v>8497</v>
      </c>
      <c r="C8858" s="3" t="str">
        <f>IFERROR(__xludf.DUMMYFUNCTION("GOOGLETRANSLATE(B8858,""id"",""en"")"),"['chaotic', 'signal', 'like', 'difficult', 'information', 'connection', 'like', '']")</f>
        <v>['chaotic', 'signal', 'like', 'difficult', 'information', 'connection', 'like', '']</v>
      </c>
      <c r="D8858" s="3">
        <v>1.0</v>
      </c>
    </row>
    <row r="8859" ht="15.75" customHeight="1">
      <c r="A8859" s="1">
        <v>9526.0</v>
      </c>
      <c r="B8859" s="3" t="s">
        <v>8498</v>
      </c>
      <c r="C8859" s="3" t="str">
        <f>IFERROR(__xludf.DUMMYFUNCTION("GOOGLETRANSLATE(B8859,""id"",""en"")"),"['Can't', 'Worth', 'really', 'Telkomsel', 'quota', 'price', 'expensive', 'network', 'sinynya', 'ugly', 'down', 'down', ' Teross']")</f>
        <v>['Can't', 'Worth', 'really', 'Telkomsel', 'quota', 'price', 'expensive', 'network', 'sinynya', 'ugly', 'down', 'down', ' Teross']</v>
      </c>
      <c r="D8859" s="3">
        <v>1.0</v>
      </c>
    </row>
    <row r="8860" ht="15.75" customHeight="1">
      <c r="A8860" s="1">
        <v>9527.0</v>
      </c>
      <c r="B8860" s="3" t="s">
        <v>8499</v>
      </c>
      <c r="C8860" s="3" t="str">
        <f>IFERROR(__xludf.DUMMYFUNCTION("GOOGLETRANSLATE(B8860,""id"",""en"")"),"['slow', 'loading']")</f>
        <v>['slow', 'loading']</v>
      </c>
      <c r="D8860" s="3">
        <v>5.0</v>
      </c>
    </row>
    <row r="8861" ht="15.75" customHeight="1">
      <c r="A8861" s="1">
        <v>9528.0</v>
      </c>
      <c r="B8861" s="3" t="s">
        <v>8500</v>
      </c>
      <c r="C8861" s="3" t="str">
        <f>IFERROR(__xludf.DUMMYFUNCTION("GOOGLETRANSLATE(B8861,""id"",""en"")"),"['Telkomsel', 'slow', 'network', 'stable']")</f>
        <v>['Telkomsel', 'slow', 'network', 'stable']</v>
      </c>
      <c r="D8861" s="3">
        <v>1.0</v>
      </c>
    </row>
    <row r="8862" ht="15.75" customHeight="1">
      <c r="A8862" s="1">
        <v>9529.0</v>
      </c>
      <c r="B8862" s="3" t="s">
        <v>8501</v>
      </c>
      <c r="C8862" s="3" t="str">
        <f>IFERROR(__xludf.DUMMYFUNCTION("GOOGLETRANSLATE(B8862,""id"",""en"")"),"['Good', 'drinya', 'good', 'yaa', 'good', 'ngeyel']")</f>
        <v>['Good', 'drinya', 'good', 'yaa', 'good', 'ngeyel']</v>
      </c>
      <c r="D8862" s="3">
        <v>5.0</v>
      </c>
    </row>
    <row r="8863" ht="15.75" customHeight="1">
      <c r="A8863" s="1">
        <v>9530.0</v>
      </c>
      <c r="B8863" s="3" t="s">
        <v>8502</v>
      </c>
      <c r="C8863" s="3" t="str">
        <f>IFERROR(__xludf.DUMMYFUNCTION("GOOGLETRANSLATE(B8863,""id"",""en"")"),"['Mark']")</f>
        <v>['Mark']</v>
      </c>
      <c r="D8863" s="3">
        <v>1.0</v>
      </c>
    </row>
    <row r="8864" ht="15.75" customHeight="1">
      <c r="A8864" s="1">
        <v>9531.0</v>
      </c>
      <c r="B8864" s="3" t="s">
        <v>8503</v>
      </c>
      <c r="C8864" s="3" t="str">
        <f>IFERROR(__xludf.DUMMYFUNCTION("GOOGLETRANSLATE(B8864,""id"",""en"")"),"['Help', 'info', 'TTG', 'Availability', 'Package', 'Credit']")</f>
        <v>['Help', 'info', 'TTG', 'Availability', 'Package', 'Credit']</v>
      </c>
      <c r="D8864" s="3">
        <v>4.0</v>
      </c>
    </row>
    <row r="8865" ht="15.75" customHeight="1">
      <c r="A8865" s="1">
        <v>9532.0</v>
      </c>
      <c r="B8865" s="3" t="s">
        <v>8504</v>
      </c>
      <c r="C8865" s="3" t="str">
        <f>IFERROR(__xludf.DUMMYFUNCTION("GOOGLETRANSLATE(B8865,""id"",""en"")"),"['Credit', 'Reduced', 'subscription', 'anything', 'CHT', 'admin', 'reply', 'Telkomsel', 'responsibility', 'bkal', 'report', 'theft', ' Police ',' SNGT ',' Emotion ',' Credit ',' Take ',' Then ',' Wait ',' Itikad ',' Telkomsel ']")</f>
        <v>['Credit', 'Reduced', 'subscription', 'anything', 'CHT', 'admin', 'reply', 'Telkomsel', 'responsibility', 'bkal', 'report', 'theft', ' Police ',' SNGT ',' Emotion ',' Credit ',' Take ',' Then ',' Wait ',' Itikad ',' Telkomsel ']</v>
      </c>
      <c r="D8865" s="3">
        <v>1.0</v>
      </c>
    </row>
    <row r="8866" ht="15.75" customHeight="1">
      <c r="A8866" s="1">
        <v>9533.0</v>
      </c>
      <c r="B8866" s="3" t="s">
        <v>8505</v>
      </c>
      <c r="C8866" s="3" t="str">
        <f>IFERROR(__xludf.DUMMYFUNCTION("GOOGLETRANSLATE(B8866,""id"",""en"")"),"['Easy', 'Register']")</f>
        <v>['Easy', 'Register']</v>
      </c>
      <c r="D8866" s="3">
        <v>5.0</v>
      </c>
    </row>
    <row r="8867" ht="15.75" customHeight="1">
      <c r="A8867" s="1">
        <v>9534.0</v>
      </c>
      <c r="B8867" s="3" t="s">
        <v>8506</v>
      </c>
      <c r="C8867" s="3" t="str">
        <f>IFERROR(__xludf.DUMMYFUNCTION("GOOGLETRANSLATE(B8867,""id"",""en"")"),"['', 'lazy', 'cave', 'Telkomsel', 'sich', 'super', 'cheap', 'quota', 'already', 'strangling', 'gmn', 'emotion', 'cave ',' buy ',' GB ',' already ',' divided ',' for him ',' funny ',' unlimited ',' You ',' Tube ',' Somed ',' chat ',' regular ', 'GB', 'watc"&amp;"h', 'You', 'Tube', 'quota', 'regular', 'used', 'quota', 'unlimited', 'eaten', 'regular', 'right', 'regular ',' Abis', 'unlimited', 'kagak', 'you', 'tube', 'taik', 'mending', 'move', 'card', '']")</f>
        <v>['', 'lazy', 'cave', 'Telkomsel', 'sich', 'super', 'cheap', 'quota', 'already', 'strangling', 'gmn', 'emotion', 'cave ',' buy ',' GB ',' already ',' divided ',' for him ',' funny ',' unlimited ',' You ',' Tube ',' Somed ',' chat ',' regular ', 'GB', 'watch', 'You', 'Tube', 'quota', 'regular', 'used', 'quota', 'unlimited', 'eaten', 'regular', 'right', 'regular ',' Abis', 'unlimited', 'kagak', 'you', 'tube', 'taik', 'mending', 'move', 'card', '']</v>
      </c>
      <c r="D8867" s="3">
        <v>1.0</v>
      </c>
    </row>
    <row r="8868" ht="15.75" customHeight="1">
      <c r="A8868" s="1">
        <v>9535.0</v>
      </c>
      <c r="B8868" s="3" t="s">
        <v>8507</v>
      </c>
      <c r="C8868" s="3" t="str">
        <f>IFERROR(__xludf.DUMMYFUNCTION("GOOGLETRANSLATE(B8868,""id"",""en"")"),"['Gardu', 'Bangke', 'Abis', 'Ujan', 'Nge', 'lag', 'Mulu', 'Raying', 'Make', 'Gardu', 'buy', 'packetan']")</f>
        <v>['Gardu', 'Bangke', 'Abis', 'Ujan', 'Nge', 'lag', 'Mulu', 'Raying', 'Make', 'Gardu', 'buy', 'packetan']</v>
      </c>
      <c r="D8868" s="3">
        <v>1.0</v>
      </c>
    </row>
    <row r="8869" ht="15.75" customHeight="1">
      <c r="A8869" s="1">
        <v>9536.0</v>
      </c>
      <c r="B8869" s="3" t="s">
        <v>8508</v>
      </c>
      <c r="C8869" s="3" t="str">
        <f>IFERROR(__xludf.DUMMYFUNCTION("GOOGLETRANSLATE(B8869,""id"",""en"")"),"['Employee', 'Telkomsel', 'Please', 'repaired', 'signal', 'Telkomsel', 'area', 'Banyumas',' yes', 'already', 'Sunday', 'signal', ' Ilanh ',' ']")</f>
        <v>['Employee', 'Telkomsel', 'Please', 'repaired', 'signal', 'Telkomsel', 'area', 'Banyumas',' yes', 'already', 'Sunday', 'signal', ' Ilanh ',' ']</v>
      </c>
      <c r="D8869" s="3">
        <v>5.0</v>
      </c>
    </row>
    <row r="8870" ht="15.75" customHeight="1">
      <c r="A8870" s="1">
        <v>9537.0</v>
      </c>
      <c r="B8870" s="3" t="s">
        <v>8509</v>
      </c>
      <c r="C8870" s="3" t="str">
        <f>IFERROR(__xludf.DUMMYFUNCTION("GOOGLETRANSLATE(B8870,""id"",""en"")"),"['', 'okay', 'network', 'like', 'ugly', 'muter', 'muter', 'play', 'game', 'kirain', 'quota', 'run out', 'please ',' Fix ',' Min ',' ']")</f>
        <v>['', 'okay', 'network', 'like', 'ugly', 'muter', 'muter', 'play', 'game', 'kirain', 'quota', 'run out', 'please ',' Fix ',' Min ',' ']</v>
      </c>
      <c r="D8870" s="3">
        <v>3.0</v>
      </c>
    </row>
    <row r="8871" ht="15.75" customHeight="1">
      <c r="A8871" s="1">
        <v>9538.0</v>
      </c>
      <c r="B8871" s="3" t="s">
        <v>1801</v>
      </c>
      <c r="C8871" s="3" t="str">
        <f>IFERROR(__xludf.DUMMYFUNCTION("GOOGLETRANSLATE(B8871,""id"",""en"")"),"['steady', 'application']")</f>
        <v>['steady', 'application']</v>
      </c>
      <c r="D8871" s="3">
        <v>5.0</v>
      </c>
    </row>
    <row r="8872" ht="15.75" customHeight="1">
      <c r="A8872" s="1">
        <v>9539.0</v>
      </c>
      <c r="B8872" s="3" t="s">
        <v>8510</v>
      </c>
      <c r="C8872" s="3" t="str">
        <f>IFERROR(__xludf.DUMMYFUNCTION("GOOGLETRANSLATE(B8872,""id"",""en"")"),"['error', 'buy', 'package', 'internet', 'network', 'stable', 'play', 'game', 'online', 'hopefully', 'fast', 'repair']")</f>
        <v>['error', 'buy', 'package', 'internet', 'network', 'stable', 'play', 'game', 'online', 'hopefully', 'fast', 'repair']</v>
      </c>
      <c r="D8872" s="3">
        <v>2.0</v>
      </c>
    </row>
    <row r="8873" ht="15.75" customHeight="1">
      <c r="A8873" s="1">
        <v>9540.0</v>
      </c>
      <c r="B8873" s="3" t="s">
        <v>8511</v>
      </c>
      <c r="C8873" s="3" t="str">
        <f>IFERROR(__xludf.DUMMYFUNCTION("GOOGLETRANSLATE(B8873,""id"",""en"")"),"['Steady', 'times', 'APK']")</f>
        <v>['Steady', 'times', 'APK']</v>
      </c>
      <c r="D8873" s="3">
        <v>5.0</v>
      </c>
    </row>
    <row r="8874" ht="15.75" customHeight="1">
      <c r="A8874" s="1">
        <v>9541.0</v>
      </c>
      <c r="B8874" s="3" t="s">
        <v>8512</v>
      </c>
      <c r="C8874" s="3" t="str">
        <f>IFERROR(__xludf.DUMMYFUNCTION("GOOGLETRANSLATE(B8874,""id"",""en"")"),"['happy', 'use', 'Telkomsel']")</f>
        <v>['happy', 'use', 'Telkomsel']</v>
      </c>
      <c r="D8874" s="3">
        <v>5.0</v>
      </c>
    </row>
    <row r="8875" ht="15.75" customHeight="1">
      <c r="A8875" s="1">
        <v>9542.0</v>
      </c>
      <c r="B8875" s="3" t="s">
        <v>8513</v>
      </c>
      <c r="C8875" s="3" t="str">
        <f>IFERROR(__xludf.DUMMYFUNCTION("GOOGLETRANSLATE(B8875,""id"",""en"")"),"['hope', 'Leading']")</f>
        <v>['hope', 'Leading']</v>
      </c>
      <c r="D8875" s="3">
        <v>4.0</v>
      </c>
    </row>
    <row r="8876" ht="15.75" customHeight="1">
      <c r="A8876" s="1">
        <v>9543.0</v>
      </c>
      <c r="B8876" s="3" t="s">
        <v>8514</v>
      </c>
      <c r="C8876" s="3" t="str">
        <f>IFERROR(__xludf.DUMMYFUNCTION("GOOGLETRANSLATE(B8876,""id"",""en"")"),"['Say', 'Thank', 'Love', 'Telkomsel', 'Telkomsel', 'Slalu', 'Support', 'Help', 'Sodarah', 'Sodarah', 'Smart', 'Easy', ' need ',' Need ',' Semanah ',' Congratulations', 'Telkomsel', 'Jaya', 'Slalu', 'Forward', 'World', 'Amin']")</f>
        <v>['Say', 'Thank', 'Love', 'Telkomsel', 'Telkomsel', 'Slalu', 'Support', 'Help', 'Sodarah', 'Sodarah', 'Smart', 'Easy', ' need ',' Need ',' Semanah ',' Congratulations', 'Telkomsel', 'Jaya', 'Slalu', 'Forward', 'World', 'Amin']</v>
      </c>
      <c r="D8876" s="3">
        <v>5.0</v>
      </c>
    </row>
    <row r="8877" ht="15.75" customHeight="1">
      <c r="A8877" s="1">
        <v>9544.0</v>
      </c>
      <c r="B8877" s="3" t="s">
        <v>8515</v>
      </c>
      <c r="C8877" s="3" t="str">
        <f>IFERROR(__xludf.DUMMYFUNCTION("GOOGLETRANSLATE(B8877,""id"",""en"")"),"['Telkomsel', 'LAKNAT', 'price', 'expensive', 'signal', 'like', 'plus',' balance ',' link ',' gabisa ',' used ',' contents', ' pulse']")</f>
        <v>['Telkomsel', 'LAKNAT', 'price', 'expensive', 'signal', 'like', 'plus',' balance ',' link ',' gabisa ',' used ',' contents', ' pulse']</v>
      </c>
      <c r="D8877" s="3">
        <v>5.0</v>
      </c>
    </row>
    <row r="8878" ht="15.75" customHeight="1">
      <c r="A8878" s="1">
        <v>9545.0</v>
      </c>
      <c r="B8878" s="3" t="s">
        <v>8516</v>
      </c>
      <c r="C8878" s="3" t="str">
        <f>IFERROR(__xludf.DUMMYFUNCTION("GOOGLETRANSLATE(B8878,""id"",""en"")"),"['Exchange', 'points', 'quota', 'apply', 'fast', 'hope', 'change', ""]")</f>
        <v>['Exchange', 'points', 'quota', 'apply', 'fast', 'hope', 'change', "]</v>
      </c>
      <c r="D8878" s="3">
        <v>5.0</v>
      </c>
    </row>
    <row r="8879" ht="15.75" customHeight="1">
      <c r="A8879" s="1">
        <v>9546.0</v>
      </c>
      <c r="B8879" s="3" t="s">
        <v>8517</v>
      </c>
      <c r="C8879" s="3" t="str">
        <f>IFERROR(__xludf.DUMMYFUNCTION("GOOGLETRANSLATE(B8879,""id"",""en"")"),"['quota', 'doang', 'expensive', 'network', 'kek', 'snail', 'tlkomnyet', 'garbage']")</f>
        <v>['quota', 'doang', 'expensive', 'network', 'kek', 'snail', 'tlkomnyet', 'garbage']</v>
      </c>
      <c r="D8879" s="3">
        <v>1.0</v>
      </c>
    </row>
    <row r="8880" ht="15.75" customHeight="1">
      <c r="A8880" s="1">
        <v>9547.0</v>
      </c>
      <c r="B8880" s="3" t="s">
        <v>8518</v>
      </c>
      <c r="C8880" s="3" t="str">
        <f>IFERROR(__xludf.DUMMYFUNCTION("GOOGLETRANSLATE(B8880,""id"",""en"")"),"['kat', 'signal', 'strong', 'slow', 'bamet']")</f>
        <v>['kat', 'signal', 'strong', 'slow', 'bamet']</v>
      </c>
      <c r="D8880" s="3">
        <v>2.0</v>
      </c>
    </row>
    <row r="8881" ht="15.75" customHeight="1">
      <c r="A8881" s="1">
        <v>9548.0</v>
      </c>
      <c r="B8881" s="3" t="s">
        <v>8519</v>
      </c>
      <c r="C8881" s="3" t="str">
        <f>IFERROR(__xludf.DUMMYFUNCTION("GOOGLETRANSLATE(B8881,""id"",""en"")"),"['beil', 'game', 'max', 'silver', 'pale', 'maen', 'doang', 'gmna']")</f>
        <v>['beil', 'game', 'max', 'silver', 'pale', 'maen', 'doang', 'gmna']</v>
      </c>
      <c r="D8881" s="3">
        <v>4.0</v>
      </c>
    </row>
    <row r="8882" ht="15.75" customHeight="1">
      <c r="A8882" s="1">
        <v>9549.0</v>
      </c>
      <c r="B8882" s="3" t="s">
        <v>8520</v>
      </c>
      <c r="C8882" s="3" t="str">
        <f>IFERROR(__xludf.DUMMYFUNCTION("GOOGLETRANSLATE(B8882,""id"",""en"")"),"['Application', 'Good', 'users', 'Telkomsel', 'Hopefully', 'Slalu', 'Update', 'The Network', 'Tank', ""]")</f>
        <v>['Application', 'Good', 'users', 'Telkomsel', 'Hopefully', 'Slalu', 'Update', 'The Network', 'Tank', "]</v>
      </c>
      <c r="D8882" s="3">
        <v>5.0</v>
      </c>
    </row>
    <row r="8883" ht="15.75" customHeight="1">
      <c r="A8883" s="1">
        <v>9550.0</v>
      </c>
      <c r="B8883" s="3" t="s">
        <v>8521</v>
      </c>
      <c r="C8883" s="3" t="str">
        <f>IFERROR(__xludf.DUMMYFUNCTION("GOOGLETRANSLATE(B8883,""id"",""en"")"),"['Sorry', 'Sis',' use ',' Card ',' Telkom ',' already ',' really ',' Molai ',' Blom ',' Android ',' Yesterday ',' Sehati ',' cars', 'heart', 'sorry', 'sorry', 'really', 'move', 'heart', 'believe', 'check', 'already', 'rare', 'buy', 'package' , 'Credit', '"&amp;"Telkomsel', 'Hapir', 'Th', 'Honest', 'Nomer', 'Use', 'Consider', 'Process',' Divorce ',' You ',' Editan ',' Star ',' ksh ',' bwt ',' offers', 'wktu']")</f>
        <v>['Sorry', 'Sis',' use ',' Card ',' Telkom ',' already ',' really ',' Molai ',' Blom ',' Android ',' Yesterday ',' Sehati ',' cars', 'heart', 'sorry', 'sorry', 'really', 'move', 'heart', 'believe', 'check', 'already', 'rare', 'buy', 'package' , 'Credit', 'Telkomsel', 'Hapir', 'Th', 'Honest', 'Nomer', 'Use', 'Consider', 'Process',' Divorce ',' You ',' Editan ',' Star ',' ksh ',' bwt ',' offers', 'wktu']</v>
      </c>
      <c r="D8883" s="3">
        <v>3.0</v>
      </c>
    </row>
    <row r="8884" ht="15.75" customHeight="1">
      <c r="A8884" s="1">
        <v>9551.0</v>
      </c>
      <c r="B8884" s="3" t="s">
        <v>8522</v>
      </c>
      <c r="C8884" s="3" t="str">
        <f>IFERROR(__xludf.DUMMYFUNCTION("GOOGLETRANSLATE(B8884,""id"",""en"")"),"['Sanagat', 'Collaborate', 'MyTelkomsel']")</f>
        <v>['Sanagat', 'Collaborate', 'MyTelkomsel']</v>
      </c>
      <c r="D8884" s="3">
        <v>5.0</v>
      </c>
    </row>
    <row r="8885" ht="15.75" customHeight="1">
      <c r="A8885" s="1">
        <v>9552.0</v>
      </c>
      <c r="B8885" s="3" t="s">
        <v>8523</v>
      </c>
      <c r="C8885" s="3" t="str">
        <f>IFERROR(__xludf.DUMMYFUNCTION("GOOGLETRANSLATE(B8885,""id"",""en"")"),"['Satisfied', 'check', 'quota', 'complicated', 'friend', 'doubt', 'download', 'application', 'feel', 'benefits', ""]")</f>
        <v>['Satisfied', 'check', 'quota', 'complicated', 'friend', 'doubt', 'download', 'application', 'feel', 'benefits', "]</v>
      </c>
      <c r="D8885" s="3">
        <v>5.0</v>
      </c>
    </row>
    <row r="8886" ht="15.75" customHeight="1">
      <c r="A8886" s="1">
        <v>9553.0</v>
      </c>
      <c r="B8886" s="3" t="s">
        <v>8524</v>
      </c>
      <c r="C8886" s="3" t="str">
        <f>IFERROR(__xludf.DUMMYFUNCTION("GOOGLETRANSLATE(B8886,""id"",""en"")"),"['like', 'missing', 'signal']")</f>
        <v>['like', 'missing', 'signal']</v>
      </c>
      <c r="D8886" s="3">
        <v>4.0</v>
      </c>
    </row>
    <row r="8887" ht="15.75" customHeight="1">
      <c r="A8887" s="1">
        <v>9554.0</v>
      </c>
      <c r="B8887" s="3" t="s">
        <v>492</v>
      </c>
      <c r="C8887" s="3" t="str">
        <f>IFERROR(__xludf.DUMMYFUNCTION("GOOGLETRANSLATE(B8887,""id"",""en"")"),"['Application', 'Best']")</f>
        <v>['Application', 'Best']</v>
      </c>
      <c r="D8887" s="3">
        <v>5.0</v>
      </c>
    </row>
    <row r="8888" ht="15.75" customHeight="1">
      <c r="A8888" s="1">
        <v>9555.0</v>
      </c>
      <c r="B8888" s="3" t="s">
        <v>8525</v>
      </c>
      <c r="C8888" s="3" t="str">
        <f>IFERROR(__xludf.DUMMYFUNCTION("GOOGLETRANSLATE(B8888,""id"",""en"")"),"['Telkomsel', 'defective', 'quality', 'signal', 'bad', 'already', 'that's',' package ',' GB ',' enter ',' sense ',' package ',' Healthy ',' Developer ',' Telkomsel ',' Healthy ',' Service ',' Signal ',' Mending ',' Consumers', 'Angry', 'Times',' That's', "&amp;"'Waterproof', 'Man' , '']")</f>
        <v>['Telkomsel', 'defective', 'quality', 'signal', 'bad', 'already', 'that's',' package ',' GB ',' enter ',' sense ',' package ',' Healthy ',' Developer ',' Telkomsel ',' Healthy ',' Service ',' Signal ',' Mending ',' Consumers', 'Angry', 'Times',' That's', 'Waterproof', 'Man' , '']</v>
      </c>
      <c r="D8888" s="3">
        <v>1.0</v>
      </c>
    </row>
    <row r="8889" ht="15.75" customHeight="1">
      <c r="A8889" s="1">
        <v>9556.0</v>
      </c>
      <c r="B8889" s="3" t="s">
        <v>8526</v>
      </c>
      <c r="C8889" s="3" t="str">
        <f>IFERROR(__xludf.DUMMYFUNCTION("GOOGLETRANSLATE(B8889,""id"",""en"")"),"['makes it easier', 'information', '']")</f>
        <v>['makes it easier', 'information', '']</v>
      </c>
      <c r="D8889" s="3">
        <v>5.0</v>
      </c>
    </row>
    <row r="8890" ht="15.75" customHeight="1">
      <c r="A8890" s="1">
        <v>9557.0</v>
      </c>
      <c r="B8890" s="3" t="s">
        <v>8527</v>
      </c>
      <c r="C8890" s="3" t="str">
        <f>IFERROR(__xludf.DUMMYFUNCTION("GOOGLETRANSLATE(B8890,""id"",""en"")"),"['leg', 'Severe', 'oath', 'experience', 'Worst', 'Telkomsel', 'suits', 'price', 'upload', 'task', 'wait', 'until' minute']")</f>
        <v>['leg', 'Severe', 'oath', 'experience', 'Worst', 'Telkomsel', 'suits', 'price', 'upload', 'task', 'wait', 'until' minute']</v>
      </c>
      <c r="D8890" s="3">
        <v>1.0</v>
      </c>
    </row>
    <row r="8891" ht="15.75" customHeight="1">
      <c r="A8891" s="1">
        <v>9558.0</v>
      </c>
      <c r="B8891" s="3" t="s">
        <v>8528</v>
      </c>
      <c r="C8891" s="3" t="str">
        <f>IFERROR(__xludf.DUMMYFUNCTION("GOOGLETRANSLATE(B8891,""id"",""en"")"),"['Internet', 'stable', 'signal', 'full', '']")</f>
        <v>['Internet', 'stable', 'signal', 'full', '']</v>
      </c>
      <c r="D8891" s="3">
        <v>1.0</v>
      </c>
    </row>
    <row r="8892" ht="15.75" customHeight="1">
      <c r="A8892" s="1">
        <v>9559.0</v>
      </c>
      <c r="B8892" s="3" t="s">
        <v>8529</v>
      </c>
      <c r="C8892" s="3" t="str">
        <f>IFERROR(__xludf.DUMMYFUNCTION("GOOGLETRANSLATE(B8892,""id"",""en"")"),"['Kirain', 'Price', 'Expensive', 'Quality', 'Good', 'Expensive', 'Lemoooooooot', 'Tambo', 'Automatic', 'Stop', 'Credit', 'Quota', ' run out ',' pulses', 'ties',' run out ',' parahhhhh ']")</f>
        <v>['Kirain', 'Price', 'Expensive', 'Quality', 'Good', 'Expensive', 'Lemoooooooot', 'Tambo', 'Automatic', 'Stop', 'Credit', 'Quota', ' run out ',' pulses', 'ties',' run out ',' parahhhhh ']</v>
      </c>
      <c r="D8892" s="3">
        <v>1.0</v>
      </c>
    </row>
    <row r="8893" ht="15.75" customHeight="1">
      <c r="A8893" s="1">
        <v>9560.0</v>
      </c>
      <c r="B8893" s="3" t="s">
        <v>8530</v>
      </c>
      <c r="C8893" s="3" t="str">
        <f>IFERROR(__xludf.DUMMYFUNCTION("GOOGLETRANSLATE(B8893,""id"",""en"")"),"['Good', 'makes it easier', 'transaction', 'buy', 'package', '']")</f>
        <v>['Good', 'makes it easier', 'transaction', 'buy', 'package', '']</v>
      </c>
      <c r="D8893" s="3">
        <v>5.0</v>
      </c>
    </row>
    <row r="8894" ht="15.75" customHeight="1">
      <c r="A8894" s="1">
        <v>9561.0</v>
      </c>
      <c r="B8894" s="3" t="s">
        <v>8531</v>
      </c>
      <c r="C8894" s="3" t="str">
        <f>IFERROR(__xludf.DUMMYFUNCTION("GOOGLETRANSLATE(B8894,""id"",""en"")"),"['Application', 'Good', 'Useful', 'Special', 'Personal', 'Hurry', 'Download', 'Application', '']")</f>
        <v>['Application', 'Good', 'Useful', 'Special', 'Personal', 'Hurry', 'Download', 'Application', '']</v>
      </c>
      <c r="D8894" s="3">
        <v>5.0</v>
      </c>
    </row>
    <row r="8895" ht="15.75" customHeight="1">
      <c r="A8895" s="1">
        <v>9562.0</v>
      </c>
      <c r="B8895" s="3" t="s">
        <v>8532</v>
      </c>
      <c r="C8895" s="3" t="str">
        <f>IFERROR(__xludf.DUMMYFUNCTION("GOOGLETRANSLATE(B8895,""id"",""en"")"),"['network', 'Telkomsel', 'network', 'broken', 'error', 'package', 'expensive', 'maslah', 'connection', 'error', 'right', 'right', ' network ',' kamrettttr ']")</f>
        <v>['network', 'Telkomsel', 'network', 'broken', 'error', 'package', 'expensive', 'maslah', 'connection', 'error', 'right', 'right', ' network ',' kamrettttr ']</v>
      </c>
      <c r="D8895" s="3">
        <v>1.0</v>
      </c>
    </row>
    <row r="8896" ht="15.75" customHeight="1">
      <c r="A8896" s="1">
        <v>9563.0</v>
      </c>
      <c r="B8896" s="3" t="s">
        <v>8533</v>
      </c>
      <c r="C8896" s="3" t="str">
        <f>IFERROR(__xludf.DUMMYFUNCTION("GOOGLETRANSLATE(B8896,""id"",""en"")"),"['continue']")</f>
        <v>['continue']</v>
      </c>
      <c r="D8896" s="3">
        <v>5.0</v>
      </c>
    </row>
    <row r="8897" ht="15.75" customHeight="1">
      <c r="A8897" s="1">
        <v>9564.0</v>
      </c>
      <c r="B8897" s="3" t="s">
        <v>8534</v>
      </c>
      <c r="C8897" s="3" t="str">
        <f>IFERROR(__xludf.DUMMYFUNCTION("GOOGLETRANSLATE(B8897,""id"",""en"")"),"['Telkomsel', 'Telkom', 'Sich', 'bankrupt', 'sell', 'image', 'network', 'broad', 'signal', 'strong', 'fact', 'rich']")</f>
        <v>['Telkomsel', 'Telkom', 'Sich', 'bankrupt', 'sell', 'image', 'network', 'broad', 'signal', 'strong', 'fact', 'rich']</v>
      </c>
      <c r="D8897" s="3">
        <v>1.0</v>
      </c>
    </row>
    <row r="8898" ht="15.75" customHeight="1">
      <c r="A8898" s="1">
        <v>9565.0</v>
      </c>
      <c r="B8898" s="3" t="s">
        <v>8535</v>
      </c>
      <c r="C8898" s="3" t="str">
        <f>IFERROR(__xludf.DUMMYFUNCTION("GOOGLETRANSLATE(B8898,""id"",""en"")"),"['Leet', 'slow', 'network', 'Telkomsel', 'yiiiiiiiiiii', 'yiiiiiiiiii', 'taik']")</f>
        <v>['Leet', 'slow', 'network', 'Telkomsel', 'yiiiiiiiiiii', 'yiiiiiiiiii', 'taik']</v>
      </c>
      <c r="D8898" s="3">
        <v>1.0</v>
      </c>
    </row>
    <row r="8899" ht="15.75" customHeight="1">
      <c r="A8899" s="1">
        <v>9566.0</v>
      </c>
      <c r="B8899" s="3" t="s">
        <v>8536</v>
      </c>
      <c r="C8899" s="3" t="str">
        <f>IFERROR(__xludf.DUMMYFUNCTION("GOOGLETRANSLATE(B8899,""id"",""en"")"),"['For', 'MyTelkomsel', 'Please', 'Make it', 'Features',' Lock ',' Credit ',' Sumpot ',' Fill ',' Credit ',' Pas', 'Check', ' Credit ',' UDH ',' UDH ',' Out ',' Pulsany ',' Sumpot ',' ']")</f>
        <v>['For', 'MyTelkomsel', 'Please', 'Make it', 'Features',' Lock ',' Credit ',' Sumpot ',' Fill ',' Credit ',' Pas', 'Check', ' Credit ',' UDH ',' UDH ',' Out ',' Pulsany ',' Sumpot ',' ']</v>
      </c>
      <c r="D8899" s="3">
        <v>2.0</v>
      </c>
    </row>
    <row r="8900" ht="15.75" customHeight="1">
      <c r="A8900" s="1">
        <v>9567.0</v>
      </c>
      <c r="B8900" s="3" t="s">
        <v>8537</v>
      </c>
      <c r="C8900" s="3" t="str">
        <f>IFERROR(__xludf.DUMMYFUNCTION("GOOGLETRANSLATE(B8900,""id"",""en"")"),"['Haduuuh', 'package', 'expensive', 'nihhhh', 'card', 'Maah', 'insulted', 'just', 'criticism']")</f>
        <v>['Haduuuh', 'package', 'expensive', 'nihhhh', 'card', 'Maah', 'insulted', 'just', 'criticism']</v>
      </c>
      <c r="D8900" s="3">
        <v>1.0</v>
      </c>
    </row>
    <row r="8901" ht="15.75" customHeight="1">
      <c r="A8901" s="1">
        <v>9568.0</v>
      </c>
      <c r="B8901" s="3" t="s">
        <v>8538</v>
      </c>
      <c r="C8901" s="3" t="str">
        <f>IFERROR(__xludf.DUMMYFUNCTION("GOOGLETRANSLATE(B8901,""id"",""en"")"),"['', 'package', 'divided']")</f>
        <v>['', 'package', 'divided']</v>
      </c>
      <c r="D8901" s="3">
        <v>5.0</v>
      </c>
    </row>
    <row r="8902" ht="15.75" customHeight="1">
      <c r="A8902" s="1">
        <v>9569.0</v>
      </c>
      <c r="B8902" s="3" t="s">
        <v>8539</v>
      </c>
      <c r="C8902" s="3" t="str">
        <f>IFERROR(__xludf.DUMMYFUNCTION("GOOGLETRANSLATE(B8902,""id"",""en"")"),"['The name', 'slow', 'rich', 'snail', 'siputtttttt']")</f>
        <v>['The name', 'slow', 'rich', 'snail', 'siputtttttt']</v>
      </c>
      <c r="D8902" s="3">
        <v>1.0</v>
      </c>
    </row>
    <row r="8903" ht="15.75" customHeight="1">
      <c r="A8903" s="1">
        <v>9570.0</v>
      </c>
      <c r="B8903" s="3" t="s">
        <v>8540</v>
      </c>
      <c r="C8903" s="3" t="str">
        <f>IFERROR(__xludf.DUMMYFUNCTION("GOOGLETRANSLATE(B8903,""id"",""en"")"),"['signal', 'rich', 'bad', 'grimis', 'little', 'signal', 'internet', 'ilang', 'Telkomsel', 'kya', 'dlu', ""]")</f>
        <v>['signal', 'rich', 'bad', 'grimis', 'little', 'signal', 'internet', 'ilang', 'Telkomsel', 'kya', 'dlu', "]</v>
      </c>
      <c r="D8903" s="3">
        <v>1.0</v>
      </c>
    </row>
    <row r="8904" ht="15.75" customHeight="1">
      <c r="A8904" s="1">
        <v>9571.0</v>
      </c>
      <c r="B8904" s="3" t="s">
        <v>8541</v>
      </c>
      <c r="C8904" s="3" t="str">
        <f>IFERROR(__xludf.DUMMYFUNCTION("GOOGLETRANSLATE(B8904,""id"",""en"")"),"['Telkomsel', 'ugly', 'jaieSanya', 'paa', 'rain', 'get', 'network', 'weather', 'cloud', 'the network', 'already', 'get']")</f>
        <v>['Telkomsel', 'ugly', 'jaieSanya', 'paa', 'rain', 'get', 'network', 'weather', 'cloud', 'the network', 'already', 'get']</v>
      </c>
      <c r="D8904" s="3">
        <v>1.0</v>
      </c>
    </row>
    <row r="8905" ht="15.75" customHeight="1">
      <c r="A8905" s="1">
        <v>9572.0</v>
      </c>
      <c r="B8905" s="3" t="s">
        <v>8542</v>
      </c>
      <c r="C8905" s="3" t="str">
        <f>IFERROR(__xludf.DUMMYFUNCTION("GOOGLETRANSLATE(B8905,""id"",""en"")"),"['Dapet', 'Lottery']")</f>
        <v>['Dapet', 'Lottery']</v>
      </c>
      <c r="D8905" s="3">
        <v>5.0</v>
      </c>
    </row>
    <row r="8906" ht="15.75" customHeight="1">
      <c r="A8906" s="1">
        <v>9573.0</v>
      </c>
      <c r="B8906" s="3" t="s">
        <v>8543</v>
      </c>
      <c r="C8906" s="3" t="str">
        <f>IFERROR(__xludf.DUMMYFUNCTION("GOOGLETRANSLATE(B8906,""id"",""en"")"),"['network', 'stable', 'complaint', 'package', 'denied', 'explanation', 'satisfying', 'disappointing']")</f>
        <v>['network', 'stable', 'complaint', 'package', 'denied', 'explanation', 'satisfying', 'disappointing']</v>
      </c>
      <c r="D8906" s="3">
        <v>1.0</v>
      </c>
    </row>
    <row r="8907" ht="15.75" customHeight="1">
      <c r="A8907" s="1">
        <v>9574.0</v>
      </c>
      <c r="B8907" s="3" t="s">
        <v>8544</v>
      </c>
      <c r="C8907" s="3" t="str">
        <f>IFERROR(__xludf.DUMMYFUNCTION("GOOGLETRANSLATE(B8907,""id"",""en"")"),"['steady', 'all-round', 'easy', 'pay']")</f>
        <v>['steady', 'all-round', 'easy', 'pay']</v>
      </c>
      <c r="D8907" s="3">
        <v>5.0</v>
      </c>
    </row>
    <row r="8908" ht="15.75" customHeight="1">
      <c r="A8908" s="1">
        <v>9575.0</v>
      </c>
      <c r="B8908" s="3" t="s">
        <v>8545</v>
      </c>
      <c r="C8908" s="3" t="str">
        <f>IFERROR(__xludf.DUMMYFUNCTION("GOOGLETRANSLATE(B8908,""id"",""en"")"),"['Ngani', 'star', 'forced', 'times',' belik ',' package ',' pulse ',' run out ',' pket ',' entry ',' hurt ',' return ',' pulse']")</f>
        <v>['Ngani', 'star', 'forced', 'times',' belik ',' package ',' pulse ',' run out ',' pket ',' entry ',' hurt ',' return ',' pulse']</v>
      </c>
      <c r="D8908" s="3">
        <v>1.0</v>
      </c>
    </row>
    <row r="8909" ht="15.75" customHeight="1">
      <c r="A8909" s="1">
        <v>9576.0</v>
      </c>
      <c r="B8909" s="3" t="s">
        <v>8546</v>
      </c>
      <c r="C8909" s="3" t="str">
        <f>IFERROR(__xludf.DUMMYFUNCTION("GOOGLETRANSLATE(B8909,""id"",""en"")"),"['Love', 'Bintang', 'Full']")</f>
        <v>['Love', 'Bintang', 'Full']</v>
      </c>
      <c r="D8909" s="3">
        <v>5.0</v>
      </c>
    </row>
    <row r="8910" ht="15.75" customHeight="1">
      <c r="A8910" s="1">
        <v>9577.0</v>
      </c>
      <c r="B8910" s="3" t="s">
        <v>8547</v>
      </c>
      <c r="C8910" s="3" t="str">
        <f>IFERROR(__xludf.DUMMYFUNCTION("GOOGLETRANSLATE(B8910,""id"",""en"")"),"['cheated', 'apk', 'times', 'buy', 'data', 'enter', 'pulse', 'missing', 'instant']")</f>
        <v>['cheated', 'apk', 'times', 'buy', 'data', 'enter', 'pulse', 'missing', 'instant']</v>
      </c>
      <c r="D8910" s="3">
        <v>1.0</v>
      </c>
    </row>
    <row r="8911" ht="15.75" customHeight="1">
      <c r="A8911" s="1">
        <v>9578.0</v>
      </c>
      <c r="B8911" s="3" t="s">
        <v>8548</v>
      </c>
      <c r="C8911" s="3" t="str">
        <f>IFERROR(__xludf.DUMMYFUNCTION("GOOGLETRANSLATE(B8911,""id"",""en"")"),"['price', 'Ajah', 'ride', 'quality', 'network', 'fix', 'already', 'week', 'network', ""]")</f>
        <v>['price', 'Ajah', 'ride', 'quality', 'network', 'fix', 'already', 'week', 'network', "]</v>
      </c>
      <c r="D8911" s="3">
        <v>2.0</v>
      </c>
    </row>
    <row r="8912" ht="15.75" customHeight="1">
      <c r="A8912" s="1">
        <v>9579.0</v>
      </c>
      <c r="B8912" s="3" t="s">
        <v>7418</v>
      </c>
      <c r="C8912" s="3" t="str">
        <f>IFERROR(__xludf.DUMMYFUNCTION("GOOGLETRANSLATE(B8912,""id"",""en"")"),"['Good', 'help']")</f>
        <v>['Good', 'help']</v>
      </c>
      <c r="D8912" s="3">
        <v>5.0</v>
      </c>
    </row>
    <row r="8913" ht="15.75" customHeight="1">
      <c r="A8913" s="1">
        <v>9580.0</v>
      </c>
      <c r="B8913" s="3" t="s">
        <v>8549</v>
      </c>
      <c r="C8913" s="3" t="str">
        <f>IFERROR(__xludf.DUMMYFUNCTION("GOOGLETRANSLATE(B8913,""id"",""en"")"),"['application', 'poor', 'opened']")</f>
        <v>['application', 'poor', 'opened']</v>
      </c>
      <c r="D8913" s="3">
        <v>1.0</v>
      </c>
    </row>
    <row r="8914" ht="15.75" customHeight="1">
      <c r="A8914" s="1">
        <v>9581.0</v>
      </c>
      <c r="B8914" s="3" t="s">
        <v>8550</v>
      </c>
      <c r="C8914" s="3" t="str">
        <f>IFERROR(__xludf.DUMMYFUNCTION("GOOGLETRANSLATE(B8914,""id"",""en"")"),"['signal', 'lost', 'please', 'repair']")</f>
        <v>['signal', 'lost', 'please', 'repair']</v>
      </c>
      <c r="D8914" s="3">
        <v>3.0</v>
      </c>
    </row>
    <row r="8915" ht="15.75" customHeight="1">
      <c r="A8915" s="1">
        <v>9582.0</v>
      </c>
      <c r="B8915" s="3" t="s">
        <v>8551</v>
      </c>
      <c r="C8915" s="3" t="str">
        <f>IFERROR(__xludf.DUMMYFUNCTION("GOOGLETRANSLATE(B8915,""id"",""en"")"),"['Njaluk', 'Cok', 'Paketan', 'banned', 'signal', 'goib']")</f>
        <v>['Njaluk', 'Cok', 'Paketan', 'banned', 'signal', 'goib']</v>
      </c>
      <c r="D8915" s="3">
        <v>1.0</v>
      </c>
    </row>
    <row r="8916" ht="15.75" customHeight="1">
      <c r="A8916" s="1">
        <v>9583.0</v>
      </c>
      <c r="B8916" s="3" t="s">
        <v>8552</v>
      </c>
      <c r="C8916" s="3" t="str">
        <f>IFERROR(__xludf.DUMMYFUNCTION("GOOGLETRANSLATE(B8916,""id"",""en"")"),"['apk', 'difficult', 'Bukak', 'emotion', 'love', 'star', '']")</f>
        <v>['apk', 'difficult', 'Bukak', 'emotion', 'love', 'star', '']</v>
      </c>
      <c r="D8916" s="3">
        <v>2.0</v>
      </c>
    </row>
    <row r="8917" ht="15.75" customHeight="1">
      <c r="A8917" s="1">
        <v>9585.0</v>
      </c>
      <c r="B8917" s="3" t="s">
        <v>8553</v>
      </c>
      <c r="C8917" s="3" t="str">
        <f>IFERROR(__xludf.DUMMYFUNCTION("GOOGLETRANSLATE(B8917,""id"",""en"")"),"['Please', 'home', 'stabilan', 'network', '']")</f>
        <v>['Please', 'home', 'stabilan', 'network', '']</v>
      </c>
      <c r="D8917" s="3">
        <v>5.0</v>
      </c>
    </row>
    <row r="8918" ht="15.75" customHeight="1">
      <c r="A8918" s="1">
        <v>9587.0</v>
      </c>
      <c r="B8918" s="3" t="s">
        <v>8554</v>
      </c>
      <c r="C8918" s="3" t="str">
        <f>IFERROR(__xludf.DUMMYFUNCTION("GOOGLETRANSLATE(B8918,""id"",""en"")"),"['Price', 'cheap']")</f>
        <v>['Price', 'cheap']</v>
      </c>
      <c r="D8918" s="3">
        <v>5.0</v>
      </c>
    </row>
    <row r="8919" ht="15.75" customHeight="1">
      <c r="A8919" s="1">
        <v>9588.0</v>
      </c>
      <c r="B8919" s="3" t="s">
        <v>8555</v>
      </c>
      <c r="C8919" s="3" t="str">
        <f>IFERROR(__xludf.DUMMYFUNCTION("GOOGLETRANSLATE(B8919,""id"",""en"")"),"['thank', 'love', 'application', 'Telkomsel', '']")</f>
        <v>['thank', 'love', 'application', 'Telkomsel', '']</v>
      </c>
      <c r="D8919" s="3">
        <v>5.0</v>
      </c>
    </row>
    <row r="8920" ht="15.75" customHeight="1">
      <c r="A8920" s="1">
        <v>9589.0</v>
      </c>
      <c r="B8920" s="3" t="s">
        <v>8556</v>
      </c>
      <c r="C8920" s="3" t="str">
        <f>IFERROR(__xludf.DUMMYFUNCTION("GOOGLETRANSLATE(B8920,""id"",""en"")"),"['Login', 'Ribet', 'Use', 'OTP', 'MagicLink', 'then', 'Sometimes', 'loggingout', 'Login', 'type', 'number', 'Ribet']")</f>
        <v>['Login', 'Ribet', 'Use', 'OTP', 'MagicLink', 'then', 'Sometimes', 'loggingout', 'Login', 'type', 'number', 'Ribet']</v>
      </c>
      <c r="D8920" s="3">
        <v>1.0</v>
      </c>
    </row>
    <row r="8921" ht="15.75" customHeight="1">
      <c r="A8921" s="1">
        <v>9591.0</v>
      </c>
      <c r="B8921" s="3" t="s">
        <v>8557</v>
      </c>
      <c r="C8921" s="3" t="str">
        <f>IFERROR(__xludf.DUMMYFUNCTION("GOOGLETRANSLATE(B8921,""id"",""en"")"),"['Yai', 'Telkomsel', 'Addin', 'Top', 'Diamond', 'Sis', 'Good']")</f>
        <v>['Yai', 'Telkomsel', 'Addin', 'Top', 'Diamond', 'Sis', 'Good']</v>
      </c>
      <c r="D8921" s="3">
        <v>2.0</v>
      </c>
    </row>
    <row r="8922" ht="15.75" customHeight="1">
      <c r="A8922" s="1">
        <v>9592.0</v>
      </c>
      <c r="B8922" s="3" t="s">
        <v>8558</v>
      </c>
      <c r="C8922" s="3" t="str">
        <f>IFERROR(__xludf.DUMMYFUNCTION("GOOGLETRANSLATE(B8922,""id"",""en"")"),"['face', 'easy', 'cheap', 'buy', 'quota']")</f>
        <v>['face', 'easy', 'cheap', 'buy', 'quota']</v>
      </c>
      <c r="D8922" s="3">
        <v>5.0</v>
      </c>
    </row>
    <row r="8923" ht="15.75" customHeight="1">
      <c r="A8923" s="1">
        <v>9593.0</v>
      </c>
      <c r="B8923" s="3" t="s">
        <v>8559</v>
      </c>
      <c r="C8923" s="3" t="str">
        <f>IFERROR(__xludf.DUMMYFUNCTION("GOOGLETRANSLATE(B8923,""id"",""en"")"),"['application', 'Download', 'difficult', 'NOT', 'Super', 'ugly', 'Telkomsel', '']")</f>
        <v>['application', 'Download', 'difficult', 'NOT', 'Super', 'ugly', 'Telkomsel', '']</v>
      </c>
      <c r="D8923" s="3">
        <v>2.0</v>
      </c>
    </row>
    <row r="8924" ht="15.75" customHeight="1">
      <c r="A8924" s="1">
        <v>9594.0</v>
      </c>
      <c r="B8924" s="3" t="s">
        <v>7555</v>
      </c>
      <c r="C8924" s="3" t="str">
        <f>IFERROR(__xludf.DUMMYFUNCTION("GOOGLETRANSLATE(B8924,""id"",""en"")"),"['expensive', 'package']")</f>
        <v>['expensive', 'package']</v>
      </c>
      <c r="D8924" s="3">
        <v>3.0</v>
      </c>
    </row>
    <row r="8925" ht="15.75" customHeight="1">
      <c r="A8925" s="1">
        <v>9595.0</v>
      </c>
      <c r="B8925" s="3" t="s">
        <v>8560</v>
      </c>
      <c r="C8925" s="3" t="str">
        <f>IFERROR(__xludf.DUMMYFUNCTION("GOOGLETRANSLATE(B8925,""id"",""en"")"),"['Telkomsel', 'EMG', 'Spread', 'already', 'package', 'expensive', 'signal', 'ugly', 'really']")</f>
        <v>['Telkomsel', 'EMG', 'Spread', 'already', 'package', 'expensive', 'signal', 'ugly', 'really']</v>
      </c>
      <c r="D8925" s="3">
        <v>1.0</v>
      </c>
    </row>
    <row r="8926" ht="15.75" customHeight="1">
      <c r="A8926" s="1">
        <v>9596.0</v>
      </c>
      <c r="B8926" s="3" t="s">
        <v>8561</v>
      </c>
      <c r="C8926" s="3" t="str">
        <f>IFERROR(__xludf.DUMMYFUNCTION("GOOGLETRANSLATE(B8926,""id"",""en"")"),"['Telkomsel', 'please', 'network', 'fix', 'play', 'game', 'network', 'ngeleg', 'good', 'just', 'clock', 'doang', ' the rest of ',' ngeleg ',' buy ',' quota ',' Mahl ',' expensive ',' ngeleg ']")</f>
        <v>['Telkomsel', 'please', 'network', 'fix', 'play', 'game', 'network', 'ngeleg', 'good', 'just', 'clock', 'doang', ' the rest of ',' ngeleg ',' buy ',' quota ',' Mahl ',' expensive ',' ngeleg ']</v>
      </c>
      <c r="D8926" s="3">
        <v>1.0</v>
      </c>
    </row>
    <row r="8927" ht="15.75" customHeight="1">
      <c r="A8927" s="1">
        <v>9597.0</v>
      </c>
      <c r="B8927" s="3" t="s">
        <v>8562</v>
      </c>
      <c r="C8927" s="3" t="str">
        <f>IFERROR(__xludf.DUMMYFUNCTION("GOOGLETRANSLATE(B8927,""id"",""en"")"),"['Telkomsel', 'sucked', 'pulse', 'reasons', 'makai', 'internet', 'use', 'wifi', 'live', 'data', 'cellular', 'sucked']")</f>
        <v>['Telkomsel', 'sucked', 'pulse', 'reasons', 'makai', 'internet', 'use', 'wifi', 'live', 'data', 'cellular', 'sucked']</v>
      </c>
      <c r="D8927" s="3">
        <v>1.0</v>
      </c>
    </row>
    <row r="8928" ht="15.75" customHeight="1">
      <c r="A8928" s="1">
        <v>9598.0</v>
      </c>
      <c r="B8928" s="3" t="s">
        <v>8563</v>
      </c>
      <c r="C8928" s="3" t="str">
        <f>IFERROR(__xludf.DUMMYFUNCTION("GOOGLETRANSLATE(B8928,""id"",""en"")"),"['bgmn', 'tlkomsel', 'ktny', 'can', 'monetary', 'buy', 'pulse', 'quota', 'pulse', 'cut', 'monetary', 'msh', ' whole ',' boong ',' blnny ',' ksh ',' free ',' dipke ']")</f>
        <v>['bgmn', 'tlkomsel', 'ktny', 'can', 'monetary', 'buy', 'pulse', 'quota', 'pulse', 'cut', 'monetary', 'msh', ' whole ',' boong ',' blnny ',' ksh ',' free ',' dipke ']</v>
      </c>
      <c r="D8928" s="3">
        <v>1.0</v>
      </c>
    </row>
    <row r="8929" ht="15.75" customHeight="1">
      <c r="A8929" s="1">
        <v>9599.0</v>
      </c>
      <c r="B8929" s="3" t="s">
        <v>8564</v>
      </c>
      <c r="C8929" s="3" t="str">
        <f>IFERROR(__xludf.DUMMYFUNCTION("GOOGLETRANSLATE(B8929,""id"",""en"")"),"['difficult', 'open', 'application', 'supports', 'oppo', 'reno', 'here', 'ugly', 'application', '']")</f>
        <v>['difficult', 'open', 'application', 'supports', 'oppo', 'reno', 'here', 'ugly', 'application', '']</v>
      </c>
      <c r="D8929" s="3">
        <v>1.0</v>
      </c>
    </row>
    <row r="8930" ht="15.75" customHeight="1">
      <c r="A8930" s="1">
        <v>9600.0</v>
      </c>
      <c r="B8930" s="3" t="s">
        <v>8565</v>
      </c>
      <c r="C8930" s="3" t="str">
        <f>IFERROR(__xludf.DUMMYFUNCTION("GOOGLETRANSLATE(B8930,""id"",""en"")"),"['APK', 'good', 'like', 'really', 'package', 'cheap']")</f>
        <v>['APK', 'good', 'like', 'really', 'package', 'cheap']</v>
      </c>
      <c r="D8930" s="3">
        <v>5.0</v>
      </c>
    </row>
    <row r="8931" ht="15.75" customHeight="1">
      <c r="A8931" s="1">
        <v>9601.0</v>
      </c>
      <c r="B8931" s="3" t="s">
        <v>8566</v>
      </c>
      <c r="C8931" s="3" t="str">
        <f>IFERROR(__xludf.DUMMYFUNCTION("GOOGLETRANSLATE(B8931,""id"",""en"")"),"['Memandakan', 'since', 'update', 'failed', 'buy', 'quota']")</f>
        <v>['Memandakan', 'since', 'update', 'failed', 'buy', 'quota']</v>
      </c>
      <c r="D8931" s="3">
        <v>1.0</v>
      </c>
    </row>
    <row r="8932" ht="15.75" customHeight="1">
      <c r="A8932" s="1">
        <v>9602.0</v>
      </c>
      <c r="B8932" s="3" t="s">
        <v>8567</v>
      </c>
      <c r="C8932" s="3" t="str">
        <f>IFERROR(__xludf.DUMMYFUNCTION("GOOGLETRANSLATE(B8932,""id"",""en"")"),"['Telkomsel', 'Knp', 'kyk', 'pig', 'signal', 'setabilia', 'error', 'already', 'expensive', 'package', 'emotion', 'come here', ' Threat ',' Telkomsel ']")</f>
        <v>['Telkomsel', 'Knp', 'kyk', 'pig', 'signal', 'setabilia', 'error', 'already', 'expensive', 'package', 'emotion', 'come here', ' Threat ',' Telkomsel ']</v>
      </c>
      <c r="D8932" s="3">
        <v>1.0</v>
      </c>
    </row>
    <row r="8933" ht="15.75" customHeight="1">
      <c r="A8933" s="1">
        <v>9603.0</v>
      </c>
      <c r="B8933" s="3" t="s">
        <v>8568</v>
      </c>
      <c r="C8933" s="3" t="str">
        <f>IFERROR(__xludf.DUMMYFUNCTION("GOOGLETRANSLATE(B8933,""id"",""en"")"),"['Level', 'network', 'play', 'game', 'like', 'trouble', 'trimakkasih']")</f>
        <v>['Level', 'network', 'play', 'game', 'like', 'trouble', 'trimakkasih']</v>
      </c>
      <c r="D8933" s="3">
        <v>4.0</v>
      </c>
    </row>
    <row r="8934" ht="15.75" customHeight="1">
      <c r="A8934" s="1">
        <v>9604.0</v>
      </c>
      <c r="B8934" s="3" t="s">
        <v>8569</v>
      </c>
      <c r="C8934" s="3" t="str">
        <f>IFERROR(__xludf.DUMMYFUNCTION("GOOGLETRANSLATE(B8934,""id"",""en"")"),"['Okay', 'Helpful']")</f>
        <v>['Okay', 'Helpful']</v>
      </c>
      <c r="D8934" s="3">
        <v>5.0</v>
      </c>
    </row>
    <row r="8935" ht="15.75" customHeight="1">
      <c r="A8935" s="1">
        <v>9605.0</v>
      </c>
      <c r="B8935" s="3" t="s">
        <v>8570</v>
      </c>
      <c r="C8935" s="3" t="str">
        <f>IFERROR(__xludf.DUMMYFUNCTION("GOOGLETRANSLATE(B8935,""id"",""en"")"),"['buy', 'package', 'already', 'done', 'package', 'application', 'pulse', 'already', 'chick']")</f>
        <v>['buy', 'package', 'already', 'done', 'package', 'application', 'pulse', 'already', 'chick']</v>
      </c>
      <c r="D8935" s="3">
        <v>1.0</v>
      </c>
    </row>
    <row r="8936" ht="15.75" customHeight="1">
      <c r="A8936" s="1">
        <v>9606.0</v>
      </c>
      <c r="B8936" s="3" t="s">
        <v>8571</v>
      </c>
      <c r="C8936" s="3" t="str">
        <f>IFERROR(__xludf.DUMMYFUNCTION("GOOGLETRANSLATE(B8936,""id"",""en"")"),"['Sukanya', 'force', 'mode', 'free', 'quota', 'please', 'fix', 'system', 'robot', ""]")</f>
        <v>['Sukanya', 'force', 'mode', 'free', 'quota', 'please', 'fix', 'system', 'robot', "]</v>
      </c>
      <c r="D8936" s="3">
        <v>1.0</v>
      </c>
    </row>
    <row r="8937" ht="15.75" customHeight="1">
      <c r="A8937" s="1">
        <v>9607.0</v>
      </c>
      <c r="B8937" s="3" t="s">
        <v>8572</v>
      </c>
      <c r="C8937" s="3" t="str">
        <f>IFERROR(__xludf.DUMMYFUNCTION("GOOGLETRANSLATE(B8937,""id"",""en"")"),"['Cool', 'Affairs', 'Easy']")</f>
        <v>['Cool', 'Affairs', 'Easy']</v>
      </c>
      <c r="D8937" s="3">
        <v>3.0</v>
      </c>
    </row>
    <row r="8938" ht="15.75" customHeight="1">
      <c r="A8938" s="1">
        <v>9608.0</v>
      </c>
      <c r="B8938" s="3" t="s">
        <v>8573</v>
      </c>
      <c r="C8938" s="3" t="str">
        <f>IFERROR(__xludf.DUMMYFUNCTION("GOOGLETRANSLATE(B8938,""id"",""en"")"),"['disappointing', 'signal', 'NGK', 'Stay', 'City', 'Signal', 'Telkomsel', 'Nauzubillah', 'Severe', ""]")</f>
        <v>['disappointing', 'signal', 'NGK', 'Stay', 'City', 'Signal', 'Telkomsel', 'Nauzubillah', 'Severe', "]</v>
      </c>
      <c r="D8938" s="3">
        <v>2.0</v>
      </c>
    </row>
    <row r="8939" ht="15.75" customHeight="1">
      <c r="A8939" s="1">
        <v>9609.0</v>
      </c>
      <c r="B8939" s="3" t="s">
        <v>8574</v>
      </c>
      <c r="C8939" s="3" t="str">
        <f>IFERROR(__xludf.DUMMYFUNCTION("GOOGLETRANSLATE(B8939,""id"",""en"")"),"['Signal', 'Telkomsel', 'ugly', 'Bangett', 'Woiiii', 'improved', 'Gara', 'Gara', 'ganguan', 'effect', 'ilang', 'severe', ' Sunguh ',' slow ',' response ',' Telkomsel ']")</f>
        <v>['Signal', 'Telkomsel', 'ugly', 'Bangett', 'Woiiii', 'improved', 'Gara', 'Gara', 'ganguan', 'effect', 'ilang', 'severe', ' Sunguh ',' slow ',' response ',' Telkomsel ']</v>
      </c>
      <c r="D8939" s="3">
        <v>1.0</v>
      </c>
    </row>
    <row r="8940" ht="15.75" customHeight="1">
      <c r="A8940" s="1">
        <v>9610.0</v>
      </c>
      <c r="B8940" s="3" t="s">
        <v>8575</v>
      </c>
      <c r="C8940" s="3" t="str">
        <f>IFERROR(__xludf.DUMMYFUNCTION("GOOGLETRANSLATE(B8940,""id"",""en"")"),"['Application', 'Telkomsel', 'Login', 'Registered', 'NMR', 'Telkomsel', 'NMR', 'old school', 'Logut', 'Login', 'Filling', 'Magic', ' Link ',' Manual ',' Dibrowser ',' Android ',' SMS ',' Late ',' Magic ',' Link ',' Magic ',' Magic ',' Link ',' Expired ','"&amp;" Filled ' , 'Manual', 'Application', 'Telkomsel', 'Application', 'Provider', 'Simple', 'Numbers',' Verification ',' Numbers', 'Numbers',' Serum "", '']")</f>
        <v>['Application', 'Telkomsel', 'Login', 'Registered', 'NMR', 'Telkomsel', 'NMR', 'old school', 'Logut', 'Login', 'Filling', 'Magic', ' Link ',' Manual ',' Dibrowser ',' Android ',' SMS ',' Late ',' Magic ',' Link ',' Magic ',' Magic ',' Link ',' Expired ',' Filled ' , 'Manual', 'Application', 'Telkomsel', 'Application', 'Provider', 'Simple', 'Numbers',' Verification ',' Numbers', 'Numbers',' Serum ", '']</v>
      </c>
      <c r="D8940" s="3">
        <v>2.0</v>
      </c>
    </row>
    <row r="8941" ht="15.75" customHeight="1">
      <c r="A8941" s="1">
        <v>9611.0</v>
      </c>
      <c r="B8941" s="3" t="s">
        <v>8576</v>
      </c>
      <c r="C8941" s="3" t="str">
        <f>IFERROR(__xludf.DUMMYFUNCTION("GOOGLETRANSLATE(B8941,""id"",""en"")"),"['Network', 'Telkomsel', 'Diesa', 'trash', 'really', 'The', 'Best', 'and', 'number', 'One', 'Disappointed', 'Telkomsel', ' price ',' the most expensive ',' accompanied ',' quality ',' network ',' stable ',' hope ',' fast ',' repent ']")</f>
        <v>['Network', 'Telkomsel', 'Diesa', 'trash', 'really', 'The', 'Best', 'and', 'number', 'One', 'Disappointed', 'Telkomsel', ' price ',' the most expensive ',' accompanied ',' quality ',' network ',' stable ',' hope ',' fast ',' repent ']</v>
      </c>
      <c r="D8941" s="3">
        <v>1.0</v>
      </c>
    </row>
    <row r="8942" ht="15.75" customHeight="1">
      <c r="A8942" s="1">
        <v>9612.0</v>
      </c>
      <c r="B8942" s="3" t="s">
        <v>8577</v>
      </c>
      <c r="C8942" s="3" t="str">
        <f>IFERROR(__xludf.DUMMYFUNCTION("GOOGLETRANSLATE(B8942,""id"",""en"")"),"['slow network']")</f>
        <v>['slow network']</v>
      </c>
      <c r="D8942" s="3">
        <v>2.0</v>
      </c>
    </row>
    <row r="8943" ht="15.75" customHeight="1">
      <c r="A8943" s="1">
        <v>9613.0</v>
      </c>
      <c r="B8943" s="3" t="s">
        <v>8578</v>
      </c>
      <c r="C8943" s="3" t="str">
        <f>IFERROR(__xludf.DUMMYFUNCTION("GOOGLETRANSLATE(B8943,""id"",""en"")"),"['No', 'Login', 'Persulit', 'really']")</f>
        <v>['No', 'Login', 'Persulit', 'really']</v>
      </c>
      <c r="D8943" s="3">
        <v>5.0</v>
      </c>
    </row>
    <row r="8944" ht="15.75" customHeight="1">
      <c r="A8944" s="1">
        <v>9615.0</v>
      </c>
      <c r="B8944" s="3" t="s">
        <v>8579</v>
      </c>
      <c r="C8944" s="3" t="str">
        <f>IFERROR(__xludf.DUMMYFUNCTION("GOOGLETRANSLATE(B8944,""id"",""en"")"),"['application', 'good', 'sekli', '']")</f>
        <v>['application', 'good', 'sekli', '']</v>
      </c>
      <c r="D8944" s="3">
        <v>5.0</v>
      </c>
    </row>
    <row r="8945" ht="15.75" customHeight="1">
      <c r="A8945" s="1">
        <v>9616.0</v>
      </c>
      <c r="B8945" s="3" t="s">
        <v>8580</v>
      </c>
      <c r="C8945" s="3" t="str">
        <f>IFERROR(__xludf.DUMMYFUNCTION("GOOGLETRANSLATE(B8945,""id"",""en"")"),"['network', 'stagnant', 'skat']")</f>
        <v>['network', 'stagnant', 'skat']</v>
      </c>
      <c r="D8945" s="3">
        <v>3.0</v>
      </c>
    </row>
    <row r="8946" ht="15.75" customHeight="1">
      <c r="A8946" s="1">
        <v>9617.0</v>
      </c>
      <c r="B8946" s="3" t="s">
        <v>8581</v>
      </c>
      <c r="C8946" s="3" t="str">
        <f>IFERROR(__xludf.DUMMYFUNCTION("GOOGLETRANSLATE(B8946,""id"",""en"")"),"['buy', 'package', 'expensive', 'expensive', 'network', 'ngemis', 'ngemis']")</f>
        <v>['buy', 'package', 'expensive', 'expensive', 'network', 'ngemis', 'ngemis']</v>
      </c>
      <c r="D8946" s="3">
        <v>1.0</v>
      </c>
    </row>
    <row r="8947" ht="15.75" customHeight="1">
      <c r="A8947" s="1">
        <v>9618.0</v>
      </c>
      <c r="B8947" s="3" t="s">
        <v>8582</v>
      </c>
      <c r="C8947" s="3" t="str">
        <f>IFERROR(__xludf.DUMMYFUNCTION("GOOGLETRANSLATE(B8947,""id"",""en"")"),"['easy', 'check', 'pulse', 'buy', 'package', 'trima', 'love', ""]")</f>
        <v>['easy', 'check', 'pulse', 'buy', 'package', 'trima', 'love', "]</v>
      </c>
      <c r="D8947" s="3">
        <v>5.0</v>
      </c>
    </row>
    <row r="8948" ht="15.75" customHeight="1">
      <c r="A8948" s="1">
        <v>9619.0</v>
      </c>
      <c r="B8948" s="3" t="s">
        <v>8583</v>
      </c>
      <c r="C8948" s="3" t="str">
        <f>IFERROR(__xludf.DUMMYFUNCTION("GOOGLETRANSLATE(B8948,""id"",""en"")"),"['improved', 'app', '']")</f>
        <v>['improved', 'app', '']</v>
      </c>
      <c r="D8948" s="3">
        <v>5.0</v>
      </c>
    </row>
    <row r="8949" ht="15.75" customHeight="1">
      <c r="A8949" s="1">
        <v>9620.0</v>
      </c>
      <c r="B8949" s="3" t="s">
        <v>8584</v>
      </c>
      <c r="C8949" s="3" t="str">
        <f>IFERROR(__xludf.DUMMYFUNCTION("GOOGLETRANSLATE(B8949,""id"",""en"")"),"['Dii', 'UFDate', 'gabisa', 'opened']")</f>
        <v>['Dii', 'UFDate', 'gabisa', 'opened']</v>
      </c>
      <c r="D8949" s="3">
        <v>1.0</v>
      </c>
    </row>
    <row r="8950" ht="15.75" customHeight="1">
      <c r="A8950" s="1">
        <v>9621.0</v>
      </c>
      <c r="B8950" s="3" t="s">
        <v>409</v>
      </c>
      <c r="C8950" s="3" t="str">
        <f>IFERROR(__xludf.DUMMYFUNCTION("GOOGLETRANSLATE(B8950,""id"",""en"")"),"['easy']")</f>
        <v>['easy']</v>
      </c>
      <c r="D8950" s="3">
        <v>5.0</v>
      </c>
    </row>
    <row r="8951" ht="15.75" customHeight="1">
      <c r="A8951" s="1">
        <v>9622.0</v>
      </c>
      <c r="B8951" s="3" t="s">
        <v>8585</v>
      </c>
      <c r="C8951" s="3" t="str">
        <f>IFERROR(__xludf.DUMMYFUNCTION("GOOGLETRANSLATE(B8951,""id"",""en"")"),"['application', 'good', 'understand', '']")</f>
        <v>['application', 'good', 'understand', '']</v>
      </c>
      <c r="D8951" s="3">
        <v>5.0</v>
      </c>
    </row>
    <row r="8952" ht="15.75" customHeight="1">
      <c r="A8952" s="1">
        <v>9623.0</v>
      </c>
      <c r="B8952" s="3" t="s">
        <v>8586</v>
      </c>
      <c r="C8952" s="3" t="str">
        <f>IFERROR(__xludf.DUMMYFUNCTION("GOOGLETRANSLATE(B8952,""id"",""en"")"),"['Network', 'Different', 'Times', 'Ter', '']")</f>
        <v>['Network', 'Different', 'Times', 'Ter', '']</v>
      </c>
      <c r="D8952" s="3">
        <v>2.0</v>
      </c>
    </row>
    <row r="8953" ht="15.75" customHeight="1">
      <c r="A8953" s="1">
        <v>9624.0</v>
      </c>
      <c r="B8953" s="3" t="s">
        <v>8587</v>
      </c>
      <c r="C8953" s="3" t="str">
        <f>IFERROR(__xludf.DUMMYFUNCTION("GOOGLETRANSLATE(B8953,""id"",""en"")"),"['Hopefully', 'Telkomsel', 'Jaya']")</f>
        <v>['Hopefully', 'Telkomsel', 'Jaya']</v>
      </c>
      <c r="D8953" s="3">
        <v>5.0</v>
      </c>
    </row>
    <row r="8954" ht="15.75" customHeight="1">
      <c r="A8954" s="1">
        <v>9625.0</v>
      </c>
      <c r="B8954" s="3" t="s">
        <v>8588</v>
      </c>
      <c r="C8954" s="3" t="str">
        <f>IFERROR(__xludf.DUMMYFUNCTION("GOOGLETRANSLATE(B8954,""id"",""en"")"),"['Help', 'Pay', ""]")</f>
        <v>['Help', 'Pay', "]</v>
      </c>
      <c r="D8954" s="3">
        <v>5.0</v>
      </c>
    </row>
    <row r="8955" ht="15.75" customHeight="1">
      <c r="A8955" s="1">
        <v>9626.0</v>
      </c>
      <c r="B8955" s="3" t="s">
        <v>8589</v>
      </c>
      <c r="C8955" s="3" t="str">
        <f>IFERROR(__xludf.DUMMYFUNCTION("GOOGLETRANSLATE(B8955,""id"",""en"")"),"['service', 'Telkomsel', 'satisfying', 'disappointing', 'told', 'Meng', 'update', 'pulse', 'sumps',' thousand ',' really ',' ethically ',' ']")</f>
        <v>['service', 'Telkomsel', 'satisfying', 'disappointing', 'told', 'Meng', 'update', 'pulse', 'sumps',' thousand ',' really ',' ethically ',' ']</v>
      </c>
      <c r="D8955" s="3">
        <v>1.0</v>
      </c>
    </row>
    <row r="8956" ht="15.75" customHeight="1">
      <c r="A8956" s="1">
        <v>9627.0</v>
      </c>
      <c r="B8956" s="3" t="s">
        <v>8590</v>
      </c>
      <c r="C8956" s="3" t="str">
        <f>IFERROR(__xludf.DUMMYFUNCTION("GOOGLETRANSLATE(B8956,""id"",""en"")"),"['competitive price']")</f>
        <v>['competitive price']</v>
      </c>
      <c r="D8956" s="3">
        <v>5.0</v>
      </c>
    </row>
    <row r="8957" ht="15.75" customHeight="1">
      <c r="A8957" s="1">
        <v>9628.0</v>
      </c>
      <c r="B8957" s="3" t="s">
        <v>8591</v>
      </c>
      <c r="C8957" s="3" t="str">
        <f>IFERROR(__xludf.DUMMYFUNCTION("GOOGLETRANSLATE(B8957,""id"",""en"")"),"[ 'Good', 'good', 'dear', 'mmmmmmmmmmmmmmmmmbvhwhhahashsbbbabababsbsbsbsbshshshsbhshssbdbssjehsbsbnssbsssbsbnsbbsbsbssshsbsnaigansksbshsjsnsbshsnsndsnshsbsbsbsnsuwbsnsjsjsnsnsnsnsnsnsnsnsbsbsbsbsbsbsnsnsnsnsnsnsnsnsnsnsnsnsnssnsbsbdbsnnnsnsnsmsmmsjsksksks"&amp;"ksjsjskskskskjdkdksjsjenenensnsnsnsnsnsnsnsnsnsnsnsjsjsbshsjsjsjsjsjsjsjsjjsjsjsjsjsjsjsjsjsjsjsjjsjsjsjsjsjsjsjsjsjjsjsjsjsjsjsnsnsjjsjsjsjsjsjskksksjsjsjsjssjsjsjsjjsjsjejsjsjsjsjsjsjsjsjsjsjsjsjsjsnsnsnsnsnsn']")</f>
        <v>[ 'Good', 'good', 'dear', 'mmmmmmmmmmmmmmmmmbvhwhhahashsbbbabababsbsbsbsbshshshsbhshssbdbssjehsbsbnssbsssbsbnsbbsbsbssshsbsnaigansksbshsjsnsbshsnsndsnshsbsbsbsnsuwbsnsjsjsnsnsnsnsnsnsnsnsbsbsbsbsbsbsnsnsnsnsnsnsnsnsnsnsnsnsnssnsbsbdbsnnnsnsnsmsmmsjsksksksksjsjskskskskjdkdksjsjenenensnsnsnsnsnsnsnsnsnsnsnsjsjsbshsjsjsjsjsjsjsjsjjsjsjsjsjsjsjsjsjsjsjsjjsjsjsjsjsjsjsjsjsjjsjsjsjsjsjsnsnsjjsjsjsjsjsjskksksjsjsjsjssjsjsjsjjsjsjejsjsjsjsjsjsjsjsjsjsjsjsjsjsnsnsnsnsnsn']</v>
      </c>
      <c r="D8957" s="3">
        <v>5.0</v>
      </c>
    </row>
    <row r="8958" ht="15.75" customHeight="1">
      <c r="A8958" s="1">
        <v>9629.0</v>
      </c>
      <c r="B8958" s="3" t="s">
        <v>8592</v>
      </c>
      <c r="C8958" s="3" t="str">
        <f>IFERROR(__xludf.DUMMYFUNCTION("GOOGLETRANSLATE(B8958,""id"",""en"")"),"['Package', 'cheap', '']")</f>
        <v>['Package', 'cheap', '']</v>
      </c>
      <c r="D8958" s="3">
        <v>4.0</v>
      </c>
    </row>
    <row r="8959" ht="15.75" customHeight="1">
      <c r="A8959" s="1">
        <v>9630.0</v>
      </c>
      <c r="B8959" s="3" t="s">
        <v>8593</v>
      </c>
      <c r="C8959" s="3" t="str">
        <f>IFERROR(__xludf.DUMMYFUNCTION("GOOGLETRANSLATE(B8959,""id"",""en"")"),"['MOVER', 'Telkomsel', 'Menangani', 'Points', 'Successful', 'Reasons', 'System', 'Busy', 'Arrogant']")</f>
        <v>['MOVER', 'Telkomsel', 'Menangani', 'Points', 'Successful', 'Reasons', 'System', 'Busy', 'Arrogant']</v>
      </c>
      <c r="D8959" s="3">
        <v>2.0</v>
      </c>
    </row>
    <row r="8960" ht="15.75" customHeight="1">
      <c r="A8960" s="1">
        <v>9631.0</v>
      </c>
      <c r="B8960" s="3" t="s">
        <v>8594</v>
      </c>
      <c r="C8960" s="3" t="str">
        <f>IFERROR(__xludf.DUMMYFUNCTION("GOOGLETRANSLATE(B8960,""id"",""en"")"),"['night', 'Doang', 'Not bad']")</f>
        <v>['night', 'Doang', 'Not bad']</v>
      </c>
      <c r="D8960" s="3">
        <v>5.0</v>
      </c>
    </row>
    <row r="8961" ht="15.75" customHeight="1">
      <c r="A8961" s="1">
        <v>9632.0</v>
      </c>
      <c r="B8961" s="3" t="s">
        <v>8595</v>
      </c>
      <c r="C8961" s="3" t="str">
        <f>IFERROR(__xludf.DUMMYFUNCTION("GOOGLETRANSLATE(B8961,""id"",""en"")"),"['Telkomsel', 'as good', 'signal', 'cloudy', 'little', 'different', 'area', 'a little', 'auto', 'loading', 'manteng', 'lose', ' Where ',' Tokcer ']")</f>
        <v>['Telkomsel', 'as good', 'signal', 'cloudy', 'little', 'different', 'area', 'a little', 'auto', 'loading', 'manteng', 'lose', ' Where ',' Tokcer ']</v>
      </c>
      <c r="D8961" s="3">
        <v>1.0</v>
      </c>
    </row>
    <row r="8962" ht="15.75" customHeight="1">
      <c r="A8962" s="1">
        <v>9633.0</v>
      </c>
      <c r="B8962" s="3" t="s">
        <v>8596</v>
      </c>
      <c r="C8962" s="3" t="str">
        <f>IFERROR(__xludf.DUMMYFUNCTION("GOOGLETRANSLATE(B8962,""id"",""en"")"),"['signal', 'smooth', 'kucur', 'buy', 'package', 'masi', 'cheap', '']")</f>
        <v>['signal', 'smooth', 'kucur', 'buy', 'package', 'masi', 'cheap', '']</v>
      </c>
      <c r="D8962" s="3">
        <v>5.0</v>
      </c>
    </row>
    <row r="8963" ht="15.75" customHeight="1">
      <c r="A8963" s="1">
        <v>9634.0</v>
      </c>
      <c r="B8963" s="3" t="s">
        <v>8597</v>
      </c>
      <c r="C8963" s="3" t="str">
        <f>IFERROR(__xludf.DUMMYFUNCTION("GOOGLETRANSLATE(B8963,""id"",""en"")"),"['list', 'kog', 'pulse', 'always',' run out ',' truncated ',' contents', 'rb', 'bru', 'sms',' kiG ',' The rest ',' missing ',' Please ',' explanation ']")</f>
        <v>['list', 'kog', 'pulse', 'always',' run out ',' truncated ',' contents', 'rb', 'bru', 'sms',' kiG ',' The rest ',' missing ',' Please ',' explanation ']</v>
      </c>
      <c r="D8963" s="3">
        <v>3.0</v>
      </c>
    </row>
    <row r="8964" ht="15.75" customHeight="1">
      <c r="A8964" s="1">
        <v>9635.0</v>
      </c>
      <c r="B8964" s="3" t="s">
        <v>8598</v>
      </c>
      <c r="C8964" s="3" t="str">
        <f>IFERROR(__xludf.DUMMYFUNCTION("GOOGLETRANSLATE(B8964,""id"",""en"")"),"['buy', 'pulse', 'sophisticated']")</f>
        <v>['buy', 'pulse', 'sophisticated']</v>
      </c>
      <c r="D8964" s="3">
        <v>5.0</v>
      </c>
    </row>
    <row r="8965" ht="15.75" customHeight="1">
      <c r="A8965" s="1">
        <v>9636.0</v>
      </c>
      <c r="B8965" s="3" t="s">
        <v>8599</v>
      </c>
      <c r="C8965" s="3" t="str">
        <f>IFERROR(__xludf.DUMMYFUNCTION("GOOGLETRANSLATE(B8965,""id"",""en"")"),"['baguus', 'wanted', 'pulsaanyq', 'key', 'quota', 'abis', 'pulsa', 'sumps']")</f>
        <v>['baguus', 'wanted', 'pulsaanyq', 'key', 'quota', 'abis', 'pulsa', 'sumps']</v>
      </c>
      <c r="D8965" s="3">
        <v>5.0</v>
      </c>
    </row>
    <row r="8966" ht="15.75" customHeight="1">
      <c r="A8966" s="1">
        <v>9637.0</v>
      </c>
      <c r="B8966" s="3" t="s">
        <v>8600</v>
      </c>
      <c r="C8966" s="3" t="str">
        <f>IFERROR(__xludf.DUMMYFUNCTION("GOOGLETRANSLATE(B8966,""id"",""en"")"),"['friend', 'so', 'promo', 'easy', 'hopefully', 'get', 'motor', 'max', 'results',' exchange ',' point ',' nuhun ',' MyTelkomsel ']")</f>
        <v>['friend', 'so', 'promo', 'easy', 'hopefully', 'get', 'motor', 'max', 'results',' exchange ',' point ',' nuhun ',' MyTelkomsel ']</v>
      </c>
      <c r="D8966" s="3">
        <v>5.0</v>
      </c>
    </row>
    <row r="8967" ht="15.75" customHeight="1">
      <c r="A8967" s="1">
        <v>9638.0</v>
      </c>
      <c r="B8967" s="3" t="s">
        <v>8601</v>
      </c>
      <c r="C8967" s="3" t="str">
        <f>IFERROR(__xludf.DUMMYFUNCTION("GOOGLETRANSLATE(B8967,""id"",""en"")"),"['Help', 'Koata', 'Direct', 'trimakasih', ""]")</f>
        <v>['Help', 'Koata', 'Direct', 'trimakasih', "]</v>
      </c>
      <c r="D8967" s="3">
        <v>5.0</v>
      </c>
    </row>
    <row r="8968" ht="15.75" customHeight="1">
      <c r="A8968" s="1">
        <v>9639.0</v>
      </c>
      <c r="B8968" s="3" t="s">
        <v>8602</v>
      </c>
      <c r="C8968" s="3" t="str">
        <f>IFERROR(__xludf.DUMMYFUNCTION("GOOGLETRANSLATE(B8968,""id"",""en"")"),"['Come here', 'network', 'Telkomsel', 'stable', 'already', 'hub', 'answer', 'solution', ""]")</f>
        <v>['Come here', 'network', 'Telkomsel', 'stable', 'already', 'hub', 'answer', 'solution', "]</v>
      </c>
      <c r="D8968" s="3">
        <v>1.0</v>
      </c>
    </row>
    <row r="8969" ht="15.75" customHeight="1">
      <c r="A8969" s="1">
        <v>9642.0</v>
      </c>
      <c r="B8969" s="3" t="s">
        <v>8603</v>
      </c>
      <c r="C8969" s="3" t="str">
        <f>IFERROR(__xludf.DUMMYFUNCTION("GOOGLETRANSLATE(B8969,""id"",""en"")"),"['Distribution', 'Darling', 'Kekeke', 'Provider', 'Signal', 'Kenceng']")</f>
        <v>['Distribution', 'Darling', 'Kekeke', 'Provider', 'Signal', 'Kenceng']</v>
      </c>
      <c r="D8969" s="3">
        <v>2.0</v>
      </c>
    </row>
    <row r="8970" ht="15.75" customHeight="1">
      <c r="A8970" s="1">
        <v>9643.0</v>
      </c>
      <c r="B8970" s="3" t="s">
        <v>8604</v>
      </c>
      <c r="C8970" s="3" t="str">
        <f>IFERROR(__xludf.DUMMYFUNCTION("GOOGLETRANSLATE(B8970,""id"",""en"")"),"['Error', 'Application', 'MyTelkomsel', 'Error', 'Times', 'Open', 'Application', 'Log', 'Network', 'Error']")</f>
        <v>['Error', 'Application', 'MyTelkomsel', 'Error', 'Times', 'Open', 'Application', 'Log', 'Network', 'Error']</v>
      </c>
      <c r="D8970" s="3">
        <v>2.0</v>
      </c>
    </row>
    <row r="8971" ht="15.75" customHeight="1">
      <c r="A8971" s="1">
        <v>9644.0</v>
      </c>
      <c r="B8971" s="3" t="s">
        <v>8605</v>
      </c>
      <c r="C8971" s="3" t="str">
        <f>IFERROR(__xludf.DUMMYFUNCTION("GOOGLETRANSLATE(B8971,""id"",""en"")"),"['Like', 'application']")</f>
        <v>['Like', 'application']</v>
      </c>
      <c r="D8971" s="3">
        <v>5.0</v>
      </c>
    </row>
    <row r="8972" ht="15.75" customHeight="1">
      <c r="A8972" s="1">
        <v>9645.0</v>
      </c>
      <c r="B8972" s="3" t="s">
        <v>8606</v>
      </c>
      <c r="C8972" s="3" t="str">
        <f>IFERROR(__xludf.DUMMYFUNCTION("GOOGLETRANSLATE(B8972,""id"",""en"")"),"['signal', 'stable', 'like', 'down', '']")</f>
        <v>['signal', 'stable', 'like', 'down', '']</v>
      </c>
      <c r="D8972" s="3">
        <v>4.0</v>
      </c>
    </row>
    <row r="8973" ht="15.75" customHeight="1">
      <c r="A8973" s="1">
        <v>9646.0</v>
      </c>
      <c r="B8973" s="3" t="s">
        <v>8607</v>
      </c>
      <c r="C8973" s="3" t="str">
        <f>IFERROR(__xludf.DUMMYFUNCTION("GOOGLETRANSLATE(B8973,""id"",""en"")"),"['free', 'boss']")</f>
        <v>['free', 'boss']</v>
      </c>
      <c r="D8973" s="3">
        <v>3.0</v>
      </c>
    </row>
    <row r="8974" ht="15.75" customHeight="1">
      <c r="A8974" s="1">
        <v>9647.0</v>
      </c>
      <c r="B8974" s="3" t="s">
        <v>8608</v>
      </c>
      <c r="C8974" s="3" t="str">
        <f>IFERROR(__xludf.DUMMYFUNCTION("GOOGLETRANSLATE(B8974,""id"",""en"")"),"['Min', 'Please', 'Fix', 'Tower', 'Village', 'Tanjung', 'Peranap', 'District', 'Tebing', 'West', 'Kab', 'Islands',' Meranti ',' Riau ',' Krna ',' Disorders', 'Network', 'Network', '']")</f>
        <v>['Min', 'Please', 'Fix', 'Tower', 'Village', 'Tanjung', 'Peranap', 'District', 'Tebing', 'West', 'Kab', 'Islands',' Meranti ',' Riau ',' Krna ',' Disorders', 'Network', 'Network', '']</v>
      </c>
      <c r="D8974" s="3">
        <v>3.0</v>
      </c>
    </row>
    <row r="8975" ht="15.75" customHeight="1">
      <c r="A8975" s="1">
        <v>9648.0</v>
      </c>
      <c r="B8975" s="3" t="s">
        <v>8609</v>
      </c>
      <c r="C8975" s="3" t="str">
        <f>IFERROR(__xludf.DUMMYFUNCTION("GOOGLETRANSLATE(B8975,""id"",""en"")"),"['waaaah', 'paraahh', 'update', 'open', 'application', '']")</f>
        <v>['waaaah', 'paraahh', 'update', 'open', 'application', '']</v>
      </c>
      <c r="D8975" s="3">
        <v>1.0</v>
      </c>
    </row>
    <row r="8976" ht="15.75" customHeight="1">
      <c r="A8976" s="1">
        <v>9649.0</v>
      </c>
      <c r="B8976" s="3" t="s">
        <v>8610</v>
      </c>
      <c r="C8976" s="3" t="str">
        <f>IFERROR(__xludf.DUMMYFUNCTION("GOOGLETRANSLATE(B8976,""id"",""en"")"),"['Help', 'Niceee']")</f>
        <v>['Help', 'Niceee']</v>
      </c>
      <c r="D8976" s="3">
        <v>5.0</v>
      </c>
    </row>
    <row r="8977" ht="15.75" customHeight="1">
      <c r="A8977" s="1">
        <v>9650.0</v>
      </c>
      <c r="B8977" s="3" t="s">
        <v>8611</v>
      </c>
      <c r="C8977" s="3" t="str">
        <f>IFERROR(__xludf.DUMMYFUNCTION("GOOGLETRANSLATE(B8977,""id"",""en"")"),"['Good', 'really', 'aolikasi', 'Telkomsel', 'help']")</f>
        <v>['Good', 'really', 'aolikasi', 'Telkomsel', 'help']</v>
      </c>
      <c r="D8977" s="3">
        <v>5.0</v>
      </c>
    </row>
    <row r="8978" ht="15.75" customHeight="1">
      <c r="A8978" s="1">
        <v>9651.0</v>
      </c>
      <c r="B8978" s="3" t="s">
        <v>8612</v>
      </c>
      <c r="C8978" s="3" t="str">
        <f>IFERROR(__xludf.DUMMYFUNCTION("GOOGLETRANSLATE(B8978,""id"",""en"")"),"['', 'Deh', 'Sometimes', 'Leet', 'Weather', 'Friendly', ""]")</f>
        <v>['', 'Deh', 'Sometimes', 'Leet', 'Weather', 'Friendly', "]</v>
      </c>
      <c r="D8978" s="3">
        <v>4.0</v>
      </c>
    </row>
    <row r="8979" ht="15.75" customHeight="1">
      <c r="A8979" s="1">
        <v>9652.0</v>
      </c>
      <c r="B8979" s="3" t="s">
        <v>8613</v>
      </c>
      <c r="C8979" s="3" t="str">
        <f>IFERROR(__xludf.DUMMYFUNCTION("GOOGLETRANSLATE(B8979,""id"",""en"")"),"['level', 'quality', 'kouta', 'cheap']")</f>
        <v>['level', 'quality', 'kouta', 'cheap']</v>
      </c>
      <c r="D8979" s="3">
        <v>5.0</v>
      </c>
    </row>
    <row r="8980" ht="15.75" customHeight="1">
      <c r="A8980" s="1">
        <v>9653.0</v>
      </c>
      <c r="B8980" s="3" t="s">
        <v>8614</v>
      </c>
      <c r="C8980" s="3" t="str">
        <f>IFERROR(__xludf.DUMMYFUNCTION("GOOGLETRANSLATE(B8980,""id"",""en"")"),"['Practical', 'help']")</f>
        <v>['Practical', 'help']</v>
      </c>
      <c r="D8980" s="3">
        <v>5.0</v>
      </c>
    </row>
    <row r="8981" ht="15.75" customHeight="1">
      <c r="A8981" s="1">
        <v>9654.0</v>
      </c>
      <c r="B8981" s="3" t="s">
        <v>8615</v>
      </c>
      <c r="C8981" s="3" t="str">
        <f>IFERROR(__xludf.DUMMYFUNCTION("GOOGLETRANSLATE(B8981,""id"",""en"")"),"['buy', 'pulse', 'thousand', 'intention', 'buy', 'unlimited', 'max', 'pulses',' take-up ',' thousand ',' buy ',' pulse ',' thousand ',' take-taken ',' message ',' use ',' pulse ',' thousand ',' cave ',' turn on ',' data ',' open ',' telkomsel ',' forced '"&amp;",' buy ' , 'bought', 'wifi', 'data', 'fear', 'take', 'disappointed']")</f>
        <v>['buy', 'pulse', 'thousand', 'intention', 'buy', 'unlimited', 'max', 'pulses',' take-up ',' thousand ',' buy ',' pulse ',' thousand ',' take-taken ',' message ',' use ',' pulse ',' thousand ',' cave ',' turn on ',' data ',' open ',' telkomsel ',' forced ',' buy ' , 'bought', 'wifi', 'data', 'fear', 'take', 'disappointed']</v>
      </c>
      <c r="D8981" s="3">
        <v>2.0</v>
      </c>
    </row>
    <row r="8982" ht="15.75" customHeight="1">
      <c r="A8982" s="1">
        <v>9655.0</v>
      </c>
      <c r="B8982" s="3" t="s">
        <v>8616</v>
      </c>
      <c r="C8982" s="3" t="str">
        <f>IFERROR(__xludf.DUMMYFUNCTION("GOOGLETRANSLATE(B8982,""id"",""en"")"),"['Satisfied', 'Service', 'Telkomsel', '']")</f>
        <v>['Satisfied', 'Service', 'Telkomsel', '']</v>
      </c>
      <c r="D8982" s="3">
        <v>5.0</v>
      </c>
    </row>
    <row r="8983" ht="15.75" customHeight="1">
      <c r="A8983" s="1">
        <v>9656.0</v>
      </c>
      <c r="B8983" s="3" t="s">
        <v>8617</v>
      </c>
      <c r="C8983" s="3" t="str">
        <f>IFERROR(__xludf.DUMMYFUNCTION("GOOGLETRANSLATE(B8983,""id"",""en"")"),"['signal', 'adequate', 'village', 'sorry', 'star']")</f>
        <v>['signal', 'adequate', 'village', 'sorry', 'star']</v>
      </c>
      <c r="D8983" s="3">
        <v>3.0</v>
      </c>
    </row>
    <row r="8984" ht="15.75" customHeight="1">
      <c r="A8984" s="1">
        <v>9657.0</v>
      </c>
      <c r="B8984" s="3" t="s">
        <v>8618</v>
      </c>
      <c r="C8984" s="3" t="str">
        <f>IFERROR(__xludf.DUMMYFUNCTION("GOOGLETRANSLATE(B8984,""id"",""en"")"),"['skrng', 'Telkomsel', 'tidk', 'buy', 'pket', 'tlf', 'mnit', 'pdhl', 'bln', 'kmaren', 'pke', 'lho', ' Please ',' Fix ',' Min ',' plngng ',' maybe ',' satisfied ',' high school ',' service ',' Telkomsel ',' trimksih ']")</f>
        <v>['skrng', 'Telkomsel', 'tidk', 'buy', 'pket', 'tlf', 'mnit', 'pdhl', 'bln', 'kmaren', 'pke', 'lho', ' Please ',' Fix ',' Min ',' plngng ',' maybe ',' satisfied ',' high school ',' service ',' Telkomsel ',' trimksih ']</v>
      </c>
      <c r="D8984" s="3">
        <v>2.0</v>
      </c>
    </row>
    <row r="8985" ht="15.75" customHeight="1">
      <c r="A8985" s="1">
        <v>9658.0</v>
      </c>
      <c r="B8985" s="3" t="s">
        <v>8619</v>
      </c>
      <c r="C8985" s="3" t="str">
        <f>IFERROR(__xludf.DUMMYFUNCTION("GOOGLETRANSLATE(B8985,""id"",""en"")"),"['Telkomsel', 'company', 'BUMN', 'stands',' tens', 'professional', 'ugly', 'signal', 'ajah', 'loading', 'ugly', 'business',' ']")</f>
        <v>['Telkomsel', 'company', 'BUMN', 'stands',' tens', 'professional', 'ugly', 'signal', 'ajah', 'loading', 'ugly', 'business',' ']</v>
      </c>
      <c r="D8985" s="3">
        <v>3.0</v>
      </c>
    </row>
    <row r="8986" ht="15.75" customHeight="1">
      <c r="A8986" s="1">
        <v>9659.0</v>
      </c>
      <c r="B8986" s="3" t="s">
        <v>8620</v>
      </c>
      <c r="C8986" s="3" t="str">
        <f>IFERROR(__xludf.DUMMYFUNCTION("GOOGLETRANSLATE(B8986,""id"",""en"")"),"['Trima', 'Kasi', 'Kmudahan']")</f>
        <v>['Trima', 'Kasi', 'Kmudahan']</v>
      </c>
      <c r="D8986" s="3">
        <v>5.0</v>
      </c>
    </row>
    <row r="8987" ht="15.75" customHeight="1">
      <c r="A8987" s="1">
        <v>9660.0</v>
      </c>
      <c r="B8987" s="3" t="s">
        <v>8621</v>
      </c>
      <c r="C8987" s="3" t="str">
        <f>IFERROR(__xludf.DUMMYFUNCTION("GOOGLETRANSLATE(B8987,""id"",""en"")"),"['Come', 'strange', 'quota', 'expensive', 'unlimited', 'gabisa', 'signal', 'ugly', 'Please', 'pay attention', 'telkom']")</f>
        <v>['Come', 'strange', 'quota', 'expensive', 'unlimited', 'gabisa', 'signal', 'ugly', 'Please', 'pay attention', 'telkom']</v>
      </c>
      <c r="D8987" s="3">
        <v>1.0</v>
      </c>
    </row>
    <row r="8988" ht="15.75" customHeight="1">
      <c r="A8988" s="1">
        <v>9661.0</v>
      </c>
      <c r="B8988" s="3" t="s">
        <v>8622</v>
      </c>
      <c r="C8988" s="3" t="str">
        <f>IFERROR(__xludf.DUMMYFUNCTION("GOOGLETRANSLATE(B8988,""id"",""en"")"),"['Thank you', 'MyTelkomsel', 'Connect', 'Best', 'Kouta', 'Kouta', 'Cheap', 'Price', 'Hopefully', 'MyTelkomsel', 'Jaya']")</f>
        <v>['Thank you', 'MyTelkomsel', 'Connect', 'Best', 'Kouta', 'Kouta', 'Cheap', 'Price', 'Hopefully', 'MyTelkomsel', 'Jaya']</v>
      </c>
      <c r="D8988" s="3">
        <v>5.0</v>
      </c>
    </row>
    <row r="8989" ht="15.75" customHeight="1">
      <c r="A8989" s="1">
        <v>9662.0</v>
      </c>
      <c r="B8989" s="3" t="s">
        <v>8623</v>
      </c>
      <c r="C8989" s="3" t="str">
        <f>IFERROR(__xludf.DUMMYFUNCTION("GOOGLETRANSLATE(B8989,""id"",""en"")"),"['Mantab', 'Gan', '']")</f>
        <v>['Mantab', 'Gan', '']</v>
      </c>
      <c r="D8989" s="3">
        <v>5.0</v>
      </c>
    </row>
    <row r="8990" ht="15.75" customHeight="1">
      <c r="A8990" s="1">
        <v>9663.0</v>
      </c>
      <c r="B8990" s="3" t="s">
        <v>8624</v>
      </c>
      <c r="C8990" s="3" t="str">
        <f>IFERROR(__xludf.DUMMYFUNCTION("GOOGLETRANSLATE(B8990,""id"",""en"")"),"['Bagus',' ATIIII ',' '']")</f>
        <v>['Bagus',' ATIIII ',' '']</v>
      </c>
      <c r="D8990" s="3">
        <v>5.0</v>
      </c>
    </row>
    <row r="8991" ht="15.75" customHeight="1">
      <c r="A8991" s="1">
        <v>9664.0</v>
      </c>
      <c r="B8991" s="3" t="s">
        <v>8625</v>
      </c>
      <c r="C8991" s="3" t="str">
        <f>IFERROR(__xludf.DUMMYFUNCTION("GOOGLETRANSLATE(B8991,""id"",""en"")"),"['Report', 'Telkomsel', 'pulse', 'empty', 'pay', 'bulun', ""]")</f>
        <v>['Report', 'Telkomsel', 'pulse', 'empty', 'pay', 'bulun', "]</v>
      </c>
      <c r="D8991" s="3">
        <v>5.0</v>
      </c>
    </row>
    <row r="8992" ht="15.75" customHeight="1">
      <c r="A8992" s="1">
        <v>9665.0</v>
      </c>
      <c r="B8992" s="3" t="s">
        <v>8626</v>
      </c>
      <c r="C8992" s="3" t="str">
        <f>IFERROR(__xludf.DUMMYFUNCTION("GOOGLETRANSLATE(B8992,""id"",""en"")"),"['Telkomsel', 'service', 'digital', 'easy', 'Indonesia', 'price', 'cheap']")</f>
        <v>['Telkomsel', 'service', 'digital', 'easy', 'Indonesia', 'price', 'cheap']</v>
      </c>
      <c r="D8992" s="3">
        <v>5.0</v>
      </c>
    </row>
    <row r="8993" ht="15.75" customHeight="1">
      <c r="A8993" s="1">
        <v>9666.0</v>
      </c>
      <c r="B8993" s="3" t="s">
        <v>8627</v>
      </c>
      <c r="C8993" s="3" t="str">
        <f>IFERROR(__xludf.DUMMYFUNCTION("GOOGLETRANSLATE(B8993,""id"",""en"")"),"['Please', 'Min', 'Kouta', 'Sosmed', 'Local', 'GB', 'Internat', 'Cave', 'Lagganan', 'Telkomsel', 'Sagat', 'Cave', ' Like ',' Kouta ',' Local ',' Sosmed ',' then ',' Jga ',' Out ',' Koutaa ',' Internat ',' KGK ',' Use ',' YouTube ',' Bosen ' , 'COK', 'BSA'"&amp;", 'Line', 'Michat', 'Please', 'Fix', 'Min', 'Trima', 'Love']")</f>
        <v>['Please', 'Min', 'Kouta', 'Sosmed', 'Local', 'GB', 'Internat', 'Cave', 'Lagganan', 'Telkomsel', 'Sagat', 'Cave', ' Like ',' Kouta ',' Local ',' Sosmed ',' then ',' Jga ',' Out ',' Koutaa ',' Internat ',' KGK ',' Use ',' YouTube ',' Bosen ' , 'COK', 'BSA', 'Line', 'Michat', 'Please', 'Fix', 'Min', 'Trima', 'Love']</v>
      </c>
      <c r="D8993" s="3">
        <v>5.0</v>
      </c>
    </row>
    <row r="8994" ht="15.75" customHeight="1">
      <c r="A8994" s="1">
        <v>9667.0</v>
      </c>
      <c r="B8994" s="3" t="s">
        <v>8628</v>
      </c>
      <c r="C8994" s="3" t="str">
        <f>IFERROR(__xludf.DUMMYFUNCTION("GOOGLETRANSLATE(B8994,""id"",""en"")"),"['Package', 'combo', 'saktinya', 'lost', 'card', 'buy', 'history', 'purchase', 'error', 'please', 'proiritas', 'customer']")</f>
        <v>['Package', 'combo', 'saktinya', 'lost', 'card', 'buy', 'history', 'purchase', 'error', 'please', 'proiritas', 'customer']</v>
      </c>
      <c r="D8994" s="3">
        <v>1.0</v>
      </c>
    </row>
    <row r="8995" ht="15.75" customHeight="1">
      <c r="A8995" s="1">
        <v>9668.0</v>
      </c>
      <c r="B8995" s="3" t="s">
        <v>8629</v>
      </c>
      <c r="C8995" s="3" t="str">
        <f>IFERROR(__xludf.DUMMYFUNCTION("GOOGLETRANSLATE(B8995,""id"",""en"")"),"['signal', 'sympathy', 'poor', 'disappointed', 'heavy', 'adh', 'buy', 'package', 'open', 'youtube', 'loading', 'mulu', ' Russy ',' Bngt ',' told ',' Hub ',' Customer ',' Service ',' Change ',' Help ']")</f>
        <v>['signal', 'sympathy', 'poor', 'disappointed', 'heavy', 'adh', 'buy', 'package', 'open', 'youtube', 'loading', 'mulu', ' Russy ',' Bngt ',' told ',' Hub ',' Customer ',' Service ',' Change ',' Help ']</v>
      </c>
      <c r="D8995" s="3">
        <v>1.0</v>
      </c>
    </row>
    <row r="8996" ht="15.75" customHeight="1">
      <c r="A8996" s="1">
        <v>9669.0</v>
      </c>
      <c r="B8996" s="3" t="s">
        <v>8630</v>
      </c>
      <c r="C8996" s="3" t="str">
        <f>IFERROR(__xludf.DUMMYFUNCTION("GOOGLETRANSLATE(B8996,""id"",""en"")"),"['Point', 'pursued', 'already', 'that's', 'package', 'expensive', 'signal', 'ugly', 'really', 'you', 'signal']")</f>
        <v>['Point', 'pursued', 'already', 'that's', 'package', 'expensive', 'signal', 'ugly', 'really', 'you', 'signal']</v>
      </c>
      <c r="D8996" s="3">
        <v>1.0</v>
      </c>
    </row>
    <row r="8997" ht="15.75" customHeight="1">
      <c r="A8997" s="1">
        <v>9670.0</v>
      </c>
      <c r="B8997" s="3" t="s">
        <v>8631</v>
      </c>
      <c r="C8997" s="3" t="str">
        <f>IFERROR(__xludf.DUMMYFUNCTION("GOOGLETRANSLATE(B8997,""id"",""en"")"),"['Diamon', 'MLBB', 'Ride in', 'Heheh']")</f>
        <v>['Diamon', 'MLBB', 'Ride in', 'Heheh']</v>
      </c>
      <c r="D8997" s="3">
        <v>5.0</v>
      </c>
    </row>
    <row r="8998" ht="15.75" customHeight="1">
      <c r="A8998" s="1">
        <v>9671.0</v>
      </c>
      <c r="B8998" s="3" t="s">
        <v>8632</v>
      </c>
      <c r="C8998" s="3" t="str">
        <f>IFERROR(__xludf.DUMMYFUNCTION("GOOGLETRANSLATE(B8998,""id"",""en"")"),"['Easy', 'cheap', 'free', 'roaming']")</f>
        <v>['Easy', 'cheap', 'free', 'roaming']</v>
      </c>
      <c r="D8998" s="3">
        <v>5.0</v>
      </c>
    </row>
    <row r="8999" ht="15.75" customHeight="1">
      <c r="A8999" s="1">
        <v>9672.0</v>
      </c>
      <c r="B8999" s="3" t="s">
        <v>8633</v>
      </c>
      <c r="C8999" s="3" t="str">
        <f>IFERROR(__xludf.DUMMYFUNCTION("GOOGLETRANSLATE(B8999,""id"",""en"")"),"['JRGN', 'TLKMSL', 'Severe', 'PDHL', 'Tower', 'No', 'Prbhn', 'Whatever', 'Didlm', 'Game', 'Ngellag', 'Severe', ' Skli ',' BGNI ',' then ',' binya ',' pngguna ',' tlkmsl ',' smakin ',' brkrng ',' Akn ',' moved ',' JRGN ']")</f>
        <v>['JRGN', 'TLKMSL', 'Severe', 'PDHL', 'Tower', 'No', 'Prbhn', 'Whatever', 'Didlm', 'Game', 'Ngellag', 'Severe', ' Skli ',' BGNI ',' then ',' binya ',' pngguna ',' tlkmsl ',' smakin ',' brkrng ',' Akn ',' moved ',' JRGN ']</v>
      </c>
      <c r="D8999" s="3">
        <v>1.0</v>
      </c>
    </row>
    <row r="9000" ht="15.75" customHeight="1">
      <c r="A9000" s="1">
        <v>9674.0</v>
      </c>
      <c r="B9000" s="3" t="s">
        <v>8634</v>
      </c>
      <c r="C9000" s="3" t="str">
        <f>IFERROR(__xludf.DUMMYFUNCTION("GOOGLETRANSLATE(B9000,""id"",""en"")"),"['Thank you', 'Telkomsel', 'already', 'help', 'transaction', 'home', 'siip', 'application', ""]")</f>
        <v>['Thank you', 'Telkomsel', 'already', 'help', 'transaction', 'home', 'siip', 'application', "]</v>
      </c>
      <c r="D9000" s="3">
        <v>5.0</v>
      </c>
    </row>
    <row r="9001" ht="15.75" customHeight="1">
      <c r="A9001" s="1">
        <v>9675.0</v>
      </c>
      <c r="B9001" s="3" t="s">
        <v>8635</v>
      </c>
      <c r="C9001" s="3" t="str">
        <f>IFERROR(__xludf.DUMMYFUNCTION("GOOGLETRANSLATE(B9001,""id"",""en"")"),"['Change', 'Yukk', 'Bencalii', 'skrggg', 'UDH', 'Package', 'expensive', 'signal', 'ugly', 'UDH', 'subscribe', 'packetan', ' ',' PDHL ',' date ',' environment ',' signal ',' strong ']")</f>
        <v>['Change', 'Yukk', 'Bencalii', 'skrggg', 'UDH', 'Package', 'expensive', 'signal', 'ugly', 'UDH', 'subscribe', 'packetan', ' ',' PDHL ',' date ',' environment ',' signal ',' strong ']</v>
      </c>
      <c r="D9001" s="3">
        <v>1.0</v>
      </c>
    </row>
    <row r="9002" ht="15.75" customHeight="1">
      <c r="A9002" s="1">
        <v>9676.0</v>
      </c>
      <c r="B9002" s="3" t="s">
        <v>8636</v>
      </c>
      <c r="C9002" s="3" t="str">
        <f>IFERROR(__xludf.DUMMYFUNCTION("GOOGLETRANSLATE(B9002,""id"",""en"")"),"['expensive', 'doank', 'quality', 'thumb']")</f>
        <v>['expensive', 'doank', 'quality', 'thumb']</v>
      </c>
      <c r="D9002" s="3">
        <v>1.0</v>
      </c>
    </row>
    <row r="9003" ht="15.75" customHeight="1">
      <c r="A9003" s="1">
        <v>9677.0</v>
      </c>
      <c r="B9003" s="3" t="s">
        <v>8637</v>
      </c>
      <c r="C9003" s="3" t="str">
        <f>IFERROR(__xludf.DUMMYFUNCTION("GOOGLETRANSLATE(B9003,""id"",""en"")"),"['Farm', 'food', 'board']")</f>
        <v>['Farm', 'food', 'board']</v>
      </c>
      <c r="D9003" s="3">
        <v>5.0</v>
      </c>
    </row>
    <row r="9004" ht="15.75" customHeight="1">
      <c r="A9004" s="1">
        <v>9678.0</v>
      </c>
      <c r="B9004" s="3" t="s">
        <v>8638</v>
      </c>
      <c r="C9004" s="3" t="str">
        <f>IFERROR(__xludf.DUMMYFUNCTION("GOOGLETRANSLATE(B9004,""id"",""en"")"),"['Hadeh', 'buy', 'pulse', 'check', 'thousand', 'hour', 'check', 'kog', 'thousands',' pulse ',' loss', 'pulses',' Buy ',' Package ',' Application ',' Pulp ',' Trash ',' Application ',' Telkomsel ',' ']")</f>
        <v>['Hadeh', 'buy', 'pulse', 'check', 'thousand', 'hour', 'check', 'kog', 'thousands',' pulse ',' loss', 'pulses',' Buy ',' Package ',' Application ',' Pulp ',' Trash ',' Application ',' Telkomsel ',' ']</v>
      </c>
      <c r="D9004" s="3">
        <v>1.0</v>
      </c>
    </row>
    <row r="9005" ht="15.75" customHeight="1">
      <c r="A9005" s="1">
        <v>9679.0</v>
      </c>
      <c r="B9005" s="3" t="s">
        <v>8639</v>
      </c>
      <c r="C9005" s="3" t="str">
        <f>IFERROR(__xludf.DUMMYFUNCTION("GOOGLETRANSLATE(B9005,""id"",""en"")"),"['oath', 'disappointed', 'magnitude', 'Telkomsel', 'already', 'expensive', 'warted', 'slow', 'sinya', 'city', 'city', 'pekanbaru', ' Play ',' Game ',' Warter ',' Strong ',' Signal ',' ']")</f>
        <v>['oath', 'disappointed', 'magnitude', 'Telkomsel', 'already', 'expensive', 'warted', 'slow', 'sinya', 'city', 'city', 'pekanbaru', ' Play ',' Game ',' Warter ',' Strong ',' Signal ',' ']</v>
      </c>
      <c r="D9005" s="3">
        <v>1.0</v>
      </c>
    </row>
    <row r="9006" ht="15.75" customHeight="1">
      <c r="A9006" s="1">
        <v>9681.0</v>
      </c>
      <c r="B9006" s="3" t="s">
        <v>8640</v>
      </c>
      <c r="C9006" s="3" t="str">
        <f>IFERROR(__xludf.DUMMYFUNCTION("GOOGLETRANSLATE(B9006,""id"",""en"")"),"['Yesterday', 'complement', 'already', 'kouta', 'pulse', 'sumps', 'please', 'explanation', 'loss', 'rb']")</f>
        <v>['Yesterday', 'complement', 'already', 'kouta', 'pulse', 'sumps', 'please', 'explanation', 'loss', 'rb']</v>
      </c>
      <c r="D9006" s="3">
        <v>2.0</v>
      </c>
    </row>
    <row r="9007" ht="15.75" customHeight="1">
      <c r="A9007" s="1">
        <v>9682.0</v>
      </c>
      <c r="B9007" s="3" t="s">
        <v>8641</v>
      </c>
      <c r="C9007" s="3" t="str">
        <f>IFERROR(__xludf.DUMMYFUNCTION("GOOGLETRANSLATE(B9007,""id"",""en"")"),"['problematic', 'open', 'application', 'Telkomsel']")</f>
        <v>['problematic', 'open', 'application', 'Telkomsel']</v>
      </c>
      <c r="D9007" s="3">
        <v>4.0</v>
      </c>
    </row>
    <row r="9008" ht="15.75" customHeight="1">
      <c r="A9008" s="1">
        <v>9683.0</v>
      </c>
      <c r="B9008" s="3" t="s">
        <v>8642</v>
      </c>
      <c r="C9008" s="3" t="str">
        <f>IFERROR(__xludf.DUMMYFUNCTION("GOOGLETRANSLATE(B9008,""id"",""en"")"),"['package', 'data', 'expensive', 'signal', 'bad', 'a year', 'repair', ""]")</f>
        <v>['package', 'data', 'expensive', 'signal', 'bad', 'a year', 'repair', "]</v>
      </c>
      <c r="D9008" s="3">
        <v>1.0</v>
      </c>
    </row>
    <row r="9009" ht="15.75" customHeight="1">
      <c r="A9009" s="1">
        <v>9684.0</v>
      </c>
      <c r="B9009" s="3" t="s">
        <v>8643</v>
      </c>
      <c r="C9009" s="3" t="str">
        <f>IFERROR(__xludf.DUMMYFUNCTION("GOOGLETRANSLATE(B9009,""id"",""en"")"),"['Child', 'Dajjal', '']")</f>
        <v>['Child', 'Dajjal', '']</v>
      </c>
      <c r="D9009" s="3">
        <v>5.0</v>
      </c>
    </row>
    <row r="9010" ht="15.75" customHeight="1">
      <c r="A9010" s="1">
        <v>9685.0</v>
      </c>
      <c r="B9010" s="3" t="s">
        <v>8644</v>
      </c>
      <c r="C9010" s="3" t="str">
        <f>IFERROR(__xludf.DUMMYFUNCTION("GOOGLETRANSLATE(B9010,""id"",""en"")"),"['Network', 'bad', 'cheats', 'consumers', '']")</f>
        <v>['Network', 'bad', 'cheats', 'consumers', '']</v>
      </c>
      <c r="D9010" s="3">
        <v>1.0</v>
      </c>
    </row>
    <row r="9011" ht="15.75" customHeight="1">
      <c r="A9011" s="1">
        <v>9686.0</v>
      </c>
      <c r="B9011" s="3" t="s">
        <v>8645</v>
      </c>
      <c r="C9011" s="3" t="str">
        <f>IFERROR(__xludf.DUMMYFUNCTION("GOOGLETRANSLATE(B9011,""id"",""en"")"),"['easy', 'package', 'pulse', 'price', 'special']")</f>
        <v>['easy', 'package', 'pulse', 'price', 'special']</v>
      </c>
      <c r="D9011" s="3">
        <v>5.0</v>
      </c>
    </row>
    <row r="9012" ht="15.75" customHeight="1">
      <c r="A9012" s="1">
        <v>9687.0</v>
      </c>
      <c r="B9012" s="3" t="s">
        <v>8646</v>
      </c>
      <c r="C9012" s="3" t="str">
        <f>IFERROR(__xludf.DUMMYFUNCTION("GOOGLETRANSLATE(B9012,""id"",""en"")"),"['Please', 'Developer', 'Hold', 'Purchase', 'Diamond', 'Mobile', 'Legend']")</f>
        <v>['Please', 'Developer', 'Hold', 'Purchase', 'Diamond', 'Mobile', 'Legend']</v>
      </c>
      <c r="D9012" s="3">
        <v>3.0</v>
      </c>
    </row>
    <row r="9013" ht="15.75" customHeight="1">
      <c r="A9013" s="1">
        <v>9688.0</v>
      </c>
      <c r="B9013" s="3" t="s">
        <v>8647</v>
      </c>
      <c r="C9013" s="3" t="str">
        <f>IFERROR(__xludf.DUMMYFUNCTION("GOOGLETRANSLATE(B9013,""id"",""en"")"),"['The network', 'down', 'Please', 'Overlined', 'Maximum', 'Provides', 'Services', 'Internet', 'Thank you']")</f>
        <v>['The network', 'down', 'Please', 'Overlined', 'Maximum', 'Provides', 'Services', 'Internet', 'Thank you']</v>
      </c>
      <c r="D9013" s="3">
        <v>5.0</v>
      </c>
    </row>
    <row r="9014" ht="15.75" customHeight="1">
      <c r="A9014" s="1">
        <v>9689.0</v>
      </c>
      <c r="B9014" s="3" t="s">
        <v>8648</v>
      </c>
      <c r="C9014" s="3" t="str">
        <f>IFERROR(__xludf.DUMMYFUNCTION("GOOGLETRANSLATE(B9014,""id"",""en"")"),"['cool', 'use', 'Telkomsel', 'Network', 'buntau', 'plus', 'Package', 'Telkomsel', 'expensive', 'Lower', 'star', ""]")</f>
        <v>['cool', 'use', 'Telkomsel', 'Network', 'buntau', 'plus', 'Package', 'Telkomsel', 'expensive', 'Lower', 'star', "]</v>
      </c>
      <c r="D9014" s="3">
        <v>1.0</v>
      </c>
    </row>
    <row r="9015" ht="15.75" customHeight="1">
      <c r="A9015" s="1">
        <v>9691.0</v>
      </c>
      <c r="B9015" s="3" t="s">
        <v>8649</v>
      </c>
      <c r="C9015" s="3" t="str">
        <f>IFERROR(__xludf.DUMMYFUNCTION("GOOGLETRANSLATE(B9015,""id"",""en"")"),"['already', 'Telkomsel', 'It seems',' replace ',' cheap ',' price ',' package ',' internet ',' speed ',' give up ',' to you ',' Telkomsel ',' Trouble ',' ']")</f>
        <v>['already', 'Telkomsel', 'It seems',' replace ',' cheap ',' price ',' package ',' internet ',' speed ',' give up ',' to you ',' Telkomsel ',' Trouble ',' ']</v>
      </c>
      <c r="D9015" s="3">
        <v>3.0</v>
      </c>
    </row>
    <row r="9016" ht="15.75" customHeight="1">
      <c r="A9016" s="1">
        <v>9692.0</v>
      </c>
      <c r="B9016" s="3" t="s">
        <v>8650</v>
      </c>
      <c r="C9016" s="3" t="str">
        <f>IFERROR(__xludf.DUMMYFUNCTION("GOOGLETRANSLATE(B9016,""id"",""en"")"),"['use', 'easy', 'thank', 'love', ""]")</f>
        <v>['use', 'easy', 'thank', 'love', "]</v>
      </c>
      <c r="D9016" s="3">
        <v>5.0</v>
      </c>
    </row>
    <row r="9017" ht="15.75" customHeight="1">
      <c r="A9017" s="1">
        <v>9693.0</v>
      </c>
      <c r="B9017" s="3" t="s">
        <v>8651</v>
      </c>
      <c r="C9017" s="3" t="str">
        <f>IFERROR(__xludf.DUMMYFUNCTION("GOOGLETRANSLATE(B9017,""id"",""en"")"),"['Mangkin', 'Mangkin', 'Difficult', 'Network', 'Jdi', 'Ngeleg', 'Severe', 'Min', 'Please', 'Fix', 'Maen', 'Game', ' difficult ',' stay ',' city ',' ngeleg ',' times', 'lahh', 'please', 'fix', 'min', '']")</f>
        <v>['Mangkin', 'Mangkin', 'Difficult', 'Network', 'Jdi', 'Ngeleg', 'Severe', 'Min', 'Please', 'Fix', 'Maen', 'Game', ' difficult ',' stay ',' city ',' ngeleg ',' times', 'lahh', 'please', 'fix', 'min', '']</v>
      </c>
      <c r="D9017" s="3">
        <v>1.0</v>
      </c>
    </row>
    <row r="9018" ht="15.75" customHeight="1">
      <c r="A9018" s="1">
        <v>9694.0</v>
      </c>
      <c r="B9018" s="3" t="s">
        <v>8652</v>
      </c>
      <c r="C9018" s="3" t="str">
        <f>IFERROR(__xludf.DUMMYFUNCTION("GOOGLETRANSLATE(B9018,""id"",""en"")"),"['Package', 'TLP', 'SGT', 'satisfying', 'Customer', '']")</f>
        <v>['Package', 'TLP', 'SGT', 'satisfying', 'Customer', '']</v>
      </c>
      <c r="D9018" s="3">
        <v>5.0</v>
      </c>
    </row>
    <row r="9019" ht="15.75" customHeight="1">
      <c r="A9019" s="1">
        <v>9695.0</v>
      </c>
      <c r="B9019" s="3" t="s">
        <v>8653</v>
      </c>
      <c r="C9019" s="3" t="str">
        <f>IFERROR(__xludf.DUMMYFUNCTION("GOOGLETRANSLATE(B9019,""id"",""en"")"),"['Promo', '']")</f>
        <v>['Promo', '']</v>
      </c>
      <c r="D9019" s="3">
        <v>4.0</v>
      </c>
    </row>
    <row r="9020" ht="15.75" customHeight="1">
      <c r="A9020" s="1">
        <v>9697.0</v>
      </c>
      <c r="B9020" s="3" t="s">
        <v>8654</v>
      </c>
      <c r="C9020" s="3" t="str">
        <f>IFERROR(__xludf.DUMMYFUNCTION("GOOGLETRANSLATE(B9020,""id"",""en"")"),"['mantaf', 'network', 'widespread', '']")</f>
        <v>['mantaf', 'network', 'widespread', '']</v>
      </c>
      <c r="D9020" s="3">
        <v>5.0</v>
      </c>
    </row>
    <row r="9021" ht="15.75" customHeight="1">
      <c r="A9021" s="1">
        <v>9698.0</v>
      </c>
      <c r="B9021" s="3" t="s">
        <v>8655</v>
      </c>
      <c r="C9021" s="3" t="str">
        <f>IFERROR(__xludf.DUMMYFUNCTION("GOOGLETRANSLATE(B9021,""id"",""en"")"),"['easy', 'contents', 'data', 'ribet']")</f>
        <v>['easy', 'contents', 'data', 'ribet']</v>
      </c>
      <c r="D9021" s="3">
        <v>4.0</v>
      </c>
    </row>
    <row r="9022" ht="15.75" customHeight="1">
      <c r="A9022" s="1">
        <v>9699.0</v>
      </c>
      <c r="B9022" s="3" t="s">
        <v>8656</v>
      </c>
      <c r="C9022" s="3" t="str">
        <f>IFERROR(__xludf.DUMMYFUNCTION("GOOGLETRANSLATE(B9022,""id"",""en"")"),"['kerennn', 'bug']")</f>
        <v>['kerennn', 'bug']</v>
      </c>
      <c r="D9022" s="3">
        <v>5.0</v>
      </c>
    </row>
    <row r="9023" ht="15.75" customHeight="1">
      <c r="A9023" s="1">
        <v>9700.0</v>
      </c>
      <c r="B9023" s="3" t="s">
        <v>8657</v>
      </c>
      <c r="C9023" s="3" t="str">
        <f>IFERROR(__xludf.DUMMYFUNCTION("GOOGLETRANSLATE(B9023,""id"",""en"")"),"['Salut', 'Telkomsel']")</f>
        <v>['Salut', 'Telkomsel']</v>
      </c>
      <c r="D9023" s="3">
        <v>5.0</v>
      </c>
    </row>
    <row r="9024" ht="15.75" customHeight="1">
      <c r="A9024" s="1">
        <v>9701.0</v>
      </c>
      <c r="B9024" s="3" t="s">
        <v>8658</v>
      </c>
      <c r="C9024" s="3" t="str">
        <f>IFERROR(__xludf.DUMMYFUNCTION("GOOGLETRANSLATE(B9024,""id"",""en"")"),"['ugly', 'gajls']")</f>
        <v>['ugly', 'gajls']</v>
      </c>
      <c r="D9024" s="3">
        <v>1.0</v>
      </c>
    </row>
    <row r="9025" ht="15.75" customHeight="1">
      <c r="A9025" s="1">
        <v>9703.0</v>
      </c>
      <c r="B9025" s="3" t="s">
        <v>8659</v>
      </c>
      <c r="C9025" s="3" t="str">
        <f>IFERROR(__xludf.DUMMYFUNCTION("GOOGLETRANSLATE(B9025,""id"",""en"")"),"['Saykk', 'Where']")</f>
        <v>['Saykk', 'Where']</v>
      </c>
      <c r="D9025" s="3">
        <v>5.0</v>
      </c>
    </row>
    <row r="9026" ht="15.75" customHeight="1">
      <c r="A9026" s="1">
        <v>9704.0</v>
      </c>
      <c r="B9026" s="3" t="s">
        <v>8660</v>
      </c>
      <c r="C9026" s="3" t="str">
        <f>IFERROR(__xludf.DUMMYFUNCTION("GOOGLETRANSLATE(B9026,""id"",""en"")"),"['quota', 'cheapest']")</f>
        <v>['quota', 'cheapest']</v>
      </c>
      <c r="D9026" s="3">
        <v>5.0</v>
      </c>
    </row>
    <row r="9027" ht="15.75" customHeight="1">
      <c r="A9027" s="1">
        <v>9705.0</v>
      </c>
      <c r="B9027" s="3" t="s">
        <v>8661</v>
      </c>
      <c r="C9027" s="3" t="str">
        <f>IFERROR(__xludf.DUMMYFUNCTION("GOOGLETRANSLATE(B9027,""id"",""en"")"),"['Network', 'Kek', 'Kon', 'Toll']")</f>
        <v>['Network', 'Kek', 'Kon', 'Toll']</v>
      </c>
      <c r="D9027" s="3">
        <v>1.0</v>
      </c>
    </row>
    <row r="9028" ht="15.75" customHeight="1">
      <c r="A9028" s="1">
        <v>9707.0</v>
      </c>
      <c r="B9028" s="3" t="s">
        <v>8662</v>
      </c>
      <c r="C9028" s="3" t="str">
        <f>IFERROR(__xludf.DUMMYFUNCTION("GOOGLETRANSLATE(B9028,""id"",""en"")"),"['Come', 'signal', 'ugly', 'how', 'Telkomsel', 'sucks',' user ',' loyal ',' disappointed ',' disturbing ',' watch ',' quota ',' ']")</f>
        <v>['Come', 'signal', 'ugly', 'how', 'Telkomsel', 'sucks',' user ',' loyal ',' disappointed ',' disturbing ',' watch ',' quota ',' ']</v>
      </c>
      <c r="D9028" s="3">
        <v>1.0</v>
      </c>
    </row>
    <row r="9029" ht="15.75" customHeight="1">
      <c r="A9029" s="1">
        <v>9708.0</v>
      </c>
      <c r="B9029" s="3" t="s">
        <v>8663</v>
      </c>
      <c r="C9029" s="3" t="str">
        <f>IFERROR(__xludf.DUMMYFUNCTION("GOOGLETRANSLATE(B9029,""id"",""en"")"),"['Application', 'Super', 'Lalod', 'Telkomsel', 'Package', 'Super', 'Expensive', 'PKO,' Super ', ""]")</f>
        <v>['Application', 'Super', 'Lalod', 'Telkomsel', 'Package', 'Super', 'Expensive', 'PKO,' Super ', "]</v>
      </c>
      <c r="D9029" s="3">
        <v>1.0</v>
      </c>
    </row>
    <row r="9030" ht="15.75" customHeight="1">
      <c r="A9030" s="1">
        <v>9709.0</v>
      </c>
      <c r="B9030" s="3" t="s">
        <v>8664</v>
      </c>
      <c r="C9030" s="3" t="str">
        <f>IFERROR(__xludf.DUMMYFUNCTION("GOOGLETRANSLATE(B9030,""id"",""en"")"),"['It's easy', 'check', 'info']")</f>
        <v>['It's easy', 'check', 'info']</v>
      </c>
      <c r="D9030" s="3">
        <v>4.0</v>
      </c>
    </row>
    <row r="9031" ht="15.75" customHeight="1">
      <c r="A9031" s="1">
        <v>9711.0</v>
      </c>
      <c r="B9031" s="3" t="s">
        <v>8665</v>
      </c>
      <c r="C9031" s="3" t="str">
        <f>IFERROR(__xludf.DUMMYFUNCTION("GOOGLETRANSLATE(B9031,""id"",""en"")"),"['network', 'Telkomsel', 'bad', 'star', 'gabisa']")</f>
        <v>['network', 'Telkomsel', 'bad', 'star', 'gabisa']</v>
      </c>
      <c r="D9031" s="3">
        <v>2.0</v>
      </c>
    </row>
    <row r="9032" ht="15.75" customHeight="1">
      <c r="A9032" s="1">
        <v>9712.0</v>
      </c>
      <c r="B9032" s="3" t="s">
        <v>8666</v>
      </c>
      <c r="C9032" s="3" t="str">
        <f>IFERROR(__xludf.DUMMYFUNCTION("GOOGLETRANSLATE(B9032,""id"",""en"")"),"['The application', 'requires', 'speed', 'decent', 'heavy', 'compared to', 'application', 'provider', 'Tlong', 'repaired', 'Debender']")</f>
        <v>['The application', 'requires', 'speed', 'decent', 'heavy', 'compared to', 'application', 'provider', 'Tlong', 'repaired', 'Debender']</v>
      </c>
      <c r="D9032" s="3">
        <v>3.0</v>
      </c>
    </row>
    <row r="9033" ht="15.75" customHeight="1">
      <c r="A9033" s="1">
        <v>9713.0</v>
      </c>
      <c r="B9033" s="3" t="s">
        <v>8667</v>
      </c>
      <c r="C9033" s="3" t="str">
        <f>IFERROR(__xludf.DUMMYFUNCTION("GOOGLETRANSLATE(B9033,""id"",""en"")"),"['wih', 'thanks', 'pulse']")</f>
        <v>['wih', 'thanks', 'pulse']</v>
      </c>
      <c r="D9033" s="3">
        <v>5.0</v>
      </c>
    </row>
    <row r="9034" ht="15.75" customHeight="1">
      <c r="A9034" s="1">
        <v>9714.0</v>
      </c>
      <c r="B9034" s="3" t="s">
        <v>8668</v>
      </c>
      <c r="C9034" s="3" t="str">
        <f>IFERROR(__xludf.DUMMYFUNCTION("GOOGLETRANSLATE(B9034,""id"",""en"")"),"['Good', 'please', 'Benerin', 'Network', 'as fast', 'forced', 'gnti', 'card', 'telkom', 'okay']")</f>
        <v>['Good', 'please', 'Benerin', 'Network', 'as fast', 'forced', 'gnti', 'card', 'telkom', 'okay']</v>
      </c>
      <c r="D9034" s="3">
        <v>3.0</v>
      </c>
    </row>
    <row r="9035" ht="15.75" customHeight="1">
      <c r="A9035" s="1">
        <v>9715.0</v>
      </c>
      <c r="B9035" s="3" t="s">
        <v>8669</v>
      </c>
      <c r="C9035" s="3" t="str">
        <f>IFERROR(__xludf.DUMMYFUNCTION("GOOGLETRANSLATE(B9035,""id"",""en"")"),"['Gajelas',' really ',' Packagein ',' data ',' gabisa ',' internet ',' suck ',' open ',' application ',' Telkomsel ',' turn ',' open ',' pulse ',' direct ',' suck ',' rip ',' really ']")</f>
        <v>['Gajelas',' really ',' Packagein ',' data ',' gabisa ',' internet ',' suck ',' open ',' application ',' Telkomsel ',' turn ',' open ',' pulse ',' direct ',' suck ',' rip ',' really ']</v>
      </c>
      <c r="D9035" s="3">
        <v>1.0</v>
      </c>
    </row>
    <row r="9036" ht="15.75" customHeight="1">
      <c r="A9036" s="1">
        <v>9716.0</v>
      </c>
      <c r="B9036" s="3" t="s">
        <v>8670</v>
      </c>
      <c r="C9036" s="3" t="str">
        <f>IFERROR(__xludf.DUMMYFUNCTION("GOOGLETRANSLATE(B9036,""id"",""en"")"),"['package', 'expensive', 'signal', 'gajelas', 'rain', ""]")</f>
        <v>['package', 'expensive', 'signal', 'gajelas', 'rain', "]</v>
      </c>
      <c r="D9036" s="3">
        <v>1.0</v>
      </c>
    </row>
    <row r="9037" ht="15.75" customHeight="1">
      <c r="A9037" s="1">
        <v>9717.0</v>
      </c>
      <c r="B9037" s="3" t="s">
        <v>8671</v>
      </c>
      <c r="C9037" s="3" t="str">
        <f>IFERROR(__xludf.DUMMYFUNCTION("GOOGLETRANSLATE(B9037,""id"",""en"")"),"['woi', 'return', 'pulse', 'thousand', 'cave', 'fill out', 'cut', 'pdhl', 'debt', 'ngapin', 'notif', 'wear', ' pulses', 'thousand', 'access',' internet ',' non ',' package ',' nation ', ""]")</f>
        <v>['woi', 'return', 'pulse', 'thousand', 'cave', 'fill out', 'cut', 'pdhl', 'debt', 'ngapin', 'notif', 'wear', ' pulses', 'thousand', 'access',' internet ',' non ',' package ',' nation ', "]</v>
      </c>
      <c r="D9037" s="3">
        <v>1.0</v>
      </c>
    </row>
    <row r="9038" ht="15.75" customHeight="1">
      <c r="A9038" s="1">
        <v>9718.0</v>
      </c>
      <c r="B9038" s="3" t="s">
        <v>8672</v>
      </c>
      <c r="C9038" s="3" t="str">
        <f>IFERROR(__xludf.DUMMYFUNCTION("GOOGLETRANSLATE(B9038,""id"",""en"")"),"['It seems', 'Fun']")</f>
        <v>['It seems', 'Fun']</v>
      </c>
      <c r="D9038" s="3">
        <v>1.0</v>
      </c>
    </row>
    <row r="9039" ht="15.75" customHeight="1">
      <c r="A9039" s="1">
        <v>9720.0</v>
      </c>
      <c r="B9039" s="3" t="s">
        <v>8673</v>
      </c>
      <c r="C9039" s="3" t="str">
        <f>IFERROR(__xludf.DUMMYFUNCTION("GOOGLETRANSLATE(B9039,""id"",""en"")"),"['Network', 'Indonesia', 'Features',' Application ',' Lost ',' Dengn ',' Application ',' Next to ',' Please ',' Donk ',' Present ',' Feature ',' the key ',' pulse ',' suck ',' automatically ',' pket ',' data ',' hbis', 'hack', 'bang', 'pket', 'quota', 'fi"&amp;"nished', 'sucked' , 'pulse', 'regular', 'permission', 'application', 'next door', 'complete', 'features',' active ',' card ',' package ',' reduce ',' loss', ' Usage ',' user ',' ']")</f>
        <v>['Network', 'Indonesia', 'Features',' Application ',' Lost ',' Dengn ',' Application ',' Next to ',' Please ',' Donk ',' Present ',' Feature ',' the key ',' pulse ',' suck ',' automatically ',' pket ',' data ',' hbis', 'hack', 'bang', 'pket', 'quota', 'finished', 'sucked' , 'pulse', 'regular', 'permission', 'application', 'next door', 'complete', 'features',' active ',' card ',' package ',' reduce ',' loss', ' Usage ',' user ',' ']</v>
      </c>
      <c r="D9039" s="3">
        <v>1.0</v>
      </c>
    </row>
    <row r="9040" ht="15.75" customHeight="1">
      <c r="A9040" s="1">
        <v>9721.0</v>
      </c>
      <c r="B9040" s="3" t="s">
        <v>8674</v>
      </c>
      <c r="C9040" s="3" t="str">
        <f>IFERROR(__xludf.DUMMYFUNCTION("GOOGLETRANSLATE(B9040,""id"",""en"")"),"['signal', 'emotion', 'ugly', 'bangat']")</f>
        <v>['signal', 'emotion', 'ugly', 'bangat']</v>
      </c>
      <c r="D9040" s="3">
        <v>1.0</v>
      </c>
    </row>
    <row r="9041" ht="15.75" customHeight="1">
      <c r="A9041" s="1">
        <v>9722.0</v>
      </c>
      <c r="B9041" s="3" t="s">
        <v>8675</v>
      </c>
      <c r="C9041" s="3" t="str">
        <f>IFERROR(__xludf.DUMMYFUNCTION("GOOGLETRANSLATE(B9041,""id"",""en"")"),"['Help', 'users', 'Telkomsel', 'easy', 'accurate', 'fast']")</f>
        <v>['Help', 'users', 'Telkomsel', 'easy', 'accurate', 'fast']</v>
      </c>
      <c r="D9041" s="3">
        <v>4.0</v>
      </c>
    </row>
    <row r="9042" ht="15.75" customHeight="1">
      <c r="A9042" s="1">
        <v>9723.0</v>
      </c>
      <c r="B9042" s="3" t="s">
        <v>8676</v>
      </c>
      <c r="C9042" s="3" t="str">
        <f>IFERROR(__xludf.DUMMYFUNCTION("GOOGLETRANSLATE(B9042,""id"",""en"")"),"['hard', 'package', 'buy', 'blean', 'notification', 'enter', 'package', 'buy', 'direct', 'notification', 'hard', 'the application', ' Network ',' Bad ',' Morowali ',' Morowali ',' Sulawesi ',' Love ',' Input ',' Rasponya ',' World ',' Use ',' Telatonogi '"&amp;",' Need ',' Network ' , 'Come on', 'Telkomsel', 'Reach', 'Network', 'Sound', 'Indo', 'Kasian', 'Kasian', 'Use', 'Network', 'Browsing', 'Bad', ' The network is', '']")</f>
        <v>['hard', 'package', 'buy', 'blean', 'notification', 'enter', 'package', 'buy', 'direct', 'notification', 'hard', 'the application', ' Network ',' Bad ',' Morowali ',' Morowali ',' Sulawesi ',' Love ',' Input ',' Rasponya ',' World ',' Use ',' Telatonogi ',' Need ',' Network ' , 'Come on', 'Telkomsel', 'Reach', 'Network', 'Sound', 'Indo', 'Kasian', 'Kasian', 'Use', 'Network', 'Browsing', 'Bad', ' The network is', '']</v>
      </c>
      <c r="D9042" s="3">
        <v>1.0</v>
      </c>
    </row>
    <row r="9043" ht="15.75" customHeight="1">
      <c r="A9043" s="1">
        <v>9724.0</v>
      </c>
      <c r="B9043" s="3" t="s">
        <v>8677</v>
      </c>
      <c r="C9043" s="3" t="str">
        <f>IFERROR(__xludf.DUMMYFUNCTION("GOOGLETRANSLATE(B9043,""id"",""en"")"),"['network', 'speed', 'internet', 'stable', 'steady']")</f>
        <v>['network', 'speed', 'internet', 'stable', 'steady']</v>
      </c>
      <c r="D9043" s="3">
        <v>5.0</v>
      </c>
    </row>
    <row r="9044" ht="15.75" customHeight="1">
      <c r="A9044" s="1">
        <v>9725.0</v>
      </c>
      <c r="B9044" s="3" t="s">
        <v>8678</v>
      </c>
      <c r="C9044" s="3" t="str">
        <f>IFERROR(__xludf.DUMMYFUNCTION("GOOGLETRANSLATE(B9044,""id"",""en"")"),"['Buy', 'Package', 'Combo', 'Sakti', 'Telkomsel', 'Credit', 'Sya', 'Doly Hula', 'Sya', 'Content', 'Credit', 'Selap', ' Reduced ',' Reduced ',' Sya ',' Contents', 'Credit', 'Reduced', 'Sya', 'Open', 'APK', 'Telkomsel', 'Please', 'Combo', 'Sakti' , 'printed"&amp;"', 'price', '']")</f>
        <v>['Buy', 'Package', 'Combo', 'Sakti', 'Telkomsel', 'Credit', 'Sya', 'Doly Hula', 'Sya', 'Content', 'Credit', 'Selap', ' Reduced ',' Reduced ',' Sya ',' Contents', 'Credit', 'Reduced', 'Sya', 'Open', 'APK', 'Telkomsel', 'Please', 'Combo', 'Sakti' , 'printed', 'price', '']</v>
      </c>
      <c r="D9044" s="3">
        <v>1.0</v>
      </c>
    </row>
    <row r="9045" ht="15.75" customHeight="1">
      <c r="A9045" s="1">
        <v>9726.0</v>
      </c>
      <c r="B9045" s="3" t="s">
        <v>8679</v>
      </c>
      <c r="C9045" s="3" t="str">
        <f>IFERROR(__xludf.DUMMYFUNCTION("GOOGLETRANSLATE(B9045,""id"",""en"")"),"['Collaped', 'Tlkomsel', 'Klau', 'SDAH', 'Bankrupt', 'Network', 'ugly', 'Severe', 'smakin', 'smakin', 'good', 'TPI', ' smakin ',' ugly ',' if ',' operator ',' cave ',' moved ',' dri ',' gblok ',' ']")</f>
        <v>['Collaped', 'Tlkomsel', 'Klau', 'SDAH', 'Bankrupt', 'Network', 'ugly', 'Severe', 'smakin', 'smakin', 'good', 'TPI', ' smakin ',' ugly ',' if ',' operator ',' cave ',' moved ',' dri ',' gblok ',' ']</v>
      </c>
      <c r="D9045" s="3">
        <v>1.0</v>
      </c>
    </row>
    <row r="9046" ht="15.75" customHeight="1">
      <c r="A9046" s="1">
        <v>9727.0</v>
      </c>
      <c r="B9046" s="3" t="s">
        <v>8680</v>
      </c>
      <c r="C9046" s="3" t="str">
        <f>IFERROR(__xludf.DUMMYFUNCTION("GOOGLETRANSLATE(B9046,""id"",""en"")"),"['Mantep', 'pakenya', 'perman', ""]")</f>
        <v>['Mantep', 'pakenya', 'perman', "]</v>
      </c>
      <c r="D9046" s="3">
        <v>5.0</v>
      </c>
    </row>
    <row r="9047" ht="15.75" customHeight="1">
      <c r="A9047" s="1">
        <v>9728.0</v>
      </c>
      <c r="B9047" s="3" t="s">
        <v>8681</v>
      </c>
      <c r="C9047" s="3" t="str">
        <f>IFERROR(__xludf.DUMMYFUNCTION("GOOGLETRANSLATE(B9047,""id"",""en"")"),"['Application', 'hit', 'Tipu', 'already', 'buy', 'paketan', 'pulse', 'sumps', 'package', 'nggk', 'enter']")</f>
        <v>['Application', 'hit', 'Tipu', 'already', 'buy', 'paketan', 'pulse', 'sumps', 'package', 'nggk', 'enter']</v>
      </c>
      <c r="D9047" s="3">
        <v>2.0</v>
      </c>
    </row>
    <row r="9048" ht="15.75" customHeight="1">
      <c r="A9048" s="1">
        <v>9729.0</v>
      </c>
      <c r="B9048" s="3" t="s">
        <v>8682</v>
      </c>
      <c r="C9048" s="3" t="str">
        <f>IFERROR(__xludf.DUMMYFUNCTION("GOOGLETRANSLATE(B9048,""id"",""en"")"),"['quota', 'expensive', ""]")</f>
        <v>['quota', 'expensive', "]</v>
      </c>
      <c r="D9048" s="3">
        <v>3.0</v>
      </c>
    </row>
    <row r="9049" ht="15.75" customHeight="1">
      <c r="A9049" s="1">
        <v>9731.0</v>
      </c>
      <c r="B9049" s="3" t="s">
        <v>2280</v>
      </c>
      <c r="C9049" s="3" t="str">
        <f>IFERROR(__xludf.DUMMYFUNCTION("GOOGLETRANSLATE(B9049,""id"",""en"")"),"['steady', 'promo', '']")</f>
        <v>['steady', 'promo', '']</v>
      </c>
      <c r="D9049" s="3">
        <v>5.0</v>
      </c>
    </row>
    <row r="9050" ht="15.75" customHeight="1">
      <c r="A9050" s="1">
        <v>9732.0</v>
      </c>
      <c r="B9050" s="3" t="s">
        <v>217</v>
      </c>
      <c r="C9050" s="3" t="str">
        <f>IFERROR(__xludf.DUMMYFUNCTION("GOOGLETRANSLATE(B9050,""id"",""en"")"),"['satisfying', '']")</f>
        <v>['satisfying', '']</v>
      </c>
      <c r="D9050" s="3">
        <v>5.0</v>
      </c>
    </row>
    <row r="9051" ht="15.75" customHeight="1">
      <c r="A9051" s="1">
        <v>9733.0</v>
      </c>
      <c r="B9051" s="3" t="s">
        <v>8683</v>
      </c>
      <c r="C9051" s="3" t="str">
        <f>IFERROR(__xludf.DUMMYFUNCTION("GOOGLETRANSLATE(B9051,""id"",""en"")"),"['easy', 'sophisticated', '']")</f>
        <v>['easy', 'sophisticated', '']</v>
      </c>
      <c r="D9051" s="3">
        <v>5.0</v>
      </c>
    </row>
    <row r="9052" ht="15.75" customHeight="1">
      <c r="A9052" s="1">
        <v>9734.0</v>
      </c>
      <c r="B9052" s="3" t="s">
        <v>2150</v>
      </c>
      <c r="C9052" s="3" t="str">
        <f>IFERROR(__xludf.DUMMYFUNCTION("GOOGLETRANSLATE(B9052,""id"",""en"")"),"['Steady', 'Satisfied']")</f>
        <v>['Steady', 'Satisfied']</v>
      </c>
      <c r="D9052" s="3">
        <v>5.0</v>
      </c>
    </row>
    <row r="9053" ht="15.75" customHeight="1">
      <c r="A9053" s="1">
        <v>9735.0</v>
      </c>
      <c r="B9053" s="3" t="s">
        <v>3616</v>
      </c>
      <c r="C9053" s="3" t="str">
        <f>IFERROR(__xludf.DUMMYFUNCTION("GOOGLETRANSLATE(B9053,""id"",""en"")"),"['application', 'good']")</f>
        <v>['application', 'good']</v>
      </c>
      <c r="D9053" s="3">
        <v>5.0</v>
      </c>
    </row>
    <row r="9054" ht="15.75" customHeight="1">
      <c r="A9054" s="1">
        <v>9736.0</v>
      </c>
      <c r="B9054" s="3" t="s">
        <v>8684</v>
      </c>
      <c r="C9054" s="3" t="str">
        <f>IFERROR(__xludf.DUMMYFUNCTION("GOOGLETRANSLATE(B9054,""id"",""en"")"),"['application', 'bangsk', 'promo', 'cheap', 'me', '']")</f>
        <v>['application', 'bangsk', 'promo', 'cheap', 'me', '']</v>
      </c>
      <c r="D9054" s="3">
        <v>1.0</v>
      </c>
    </row>
    <row r="9055" ht="15.75" customHeight="1">
      <c r="A9055" s="1">
        <v>9737.0</v>
      </c>
      <c r="B9055" s="3" t="s">
        <v>8685</v>
      </c>
      <c r="C9055" s="3" t="str">
        <f>IFERROR(__xludf.DUMMYFUNCTION("GOOGLETRANSLATE(B9055,""id"",""en"")"),"['trash', 'network', 'application']")</f>
        <v>['trash', 'network', 'application']</v>
      </c>
      <c r="D9055" s="3">
        <v>1.0</v>
      </c>
    </row>
    <row r="9056" ht="15.75" customHeight="1">
      <c r="A9056" s="1">
        <v>9738.0</v>
      </c>
      <c r="B9056" s="3" t="s">
        <v>8686</v>
      </c>
      <c r="C9056" s="3" t="str">
        <f>IFERROR(__xludf.DUMMYFUNCTION("GOOGLETRANSLATE(B9056,""id"",""en"")"),"['Missing', 'Khan', 'Pngguna', 'Tlkomsel']")</f>
        <v>['Missing', 'Khan', 'Pngguna', 'Tlkomsel']</v>
      </c>
      <c r="D9056" s="3">
        <v>5.0</v>
      </c>
    </row>
    <row r="9057" ht="15.75" customHeight="1">
      <c r="A9057" s="1">
        <v>9739.0</v>
      </c>
      <c r="B9057" s="3" t="s">
        <v>8687</v>
      </c>
      <c r="C9057" s="3" t="str">
        <f>IFERROR(__xludf.DUMMYFUNCTION("GOOGLETRANSLATE(B9057,""id"",""en"")"),"['Good', 'transaction', 'buy', 'pulse', 'package', 'internet', 'easy']")</f>
        <v>['Good', 'transaction', 'buy', 'pulse', 'package', 'internet', 'easy']</v>
      </c>
      <c r="D9057" s="3">
        <v>5.0</v>
      </c>
    </row>
    <row r="9058" ht="15.75" customHeight="1">
      <c r="A9058" s="1">
        <v>9740.0</v>
      </c>
      <c r="B9058" s="3" t="s">
        <v>8688</v>
      </c>
      <c r="C9058" s="3" t="str">
        <f>IFERROR(__xludf.DUMMYFUNCTION("GOOGLETRANSLATE(B9058,""id"",""en"")"),"['Severe', 'Gada', 'Features',' Key ',' Credit ',' Content ',' Credit ',' Direct ',' Manchester ',' Data ',' Non ',' Package ',' Funny ',' Cut "", 'Gede', 'Chapter', '']")</f>
        <v>['Severe', 'Gada', 'Features',' Key ',' Credit ',' Content ',' Credit ',' Direct ',' Manchester ',' Data ',' Non ',' Package ',' Funny ',' Cut ", 'Gede', 'Chapter', '']</v>
      </c>
      <c r="D9058" s="3">
        <v>1.0</v>
      </c>
    </row>
    <row r="9059" ht="15.75" customHeight="1">
      <c r="A9059" s="1">
        <v>9741.0</v>
      </c>
      <c r="B9059" s="3" t="s">
        <v>8689</v>
      </c>
      <c r="C9059" s="3" t="str">
        <f>IFERROR(__xludf.DUMMYFUNCTION("GOOGLETRANSLATE(B9059,""id"",""en"")"),"['Glad', 'Mengunskan', 'Application', 'Telkomsel', 'Trima', 'Love', 'Telkomsel', ""]")</f>
        <v>['Glad', 'Mengunskan', 'Application', 'Telkomsel', 'Trima', 'Love', 'Telkomsel', "]</v>
      </c>
      <c r="D9059" s="3">
        <v>4.0</v>
      </c>
    </row>
    <row r="9060" ht="15.75" customHeight="1">
      <c r="A9060" s="1">
        <v>9742.0</v>
      </c>
      <c r="B9060" s="3" t="s">
        <v>8690</v>
      </c>
      <c r="C9060" s="3" t="str">
        <f>IFERROR(__xludf.DUMMYFUNCTION("GOOGLETRANSLATE(B9060,""id"",""en"")"),"['yak', 'entry', 'sound', 'loud', 'like', 'ngagetin', 'entry', 'application', 'headset', 'collapsed', 'rating', '']")</f>
        <v>['yak', 'entry', 'sound', 'loud', 'like', 'ngagetin', 'entry', 'application', 'headset', 'collapsed', 'rating', '']</v>
      </c>
      <c r="D9060" s="3">
        <v>2.0</v>
      </c>
    </row>
    <row r="9061" ht="15.75" customHeight="1">
      <c r="A9061" s="1">
        <v>9743.0</v>
      </c>
      <c r="B9061" s="3" t="s">
        <v>8691</v>
      </c>
      <c r="C9061" s="3" t="str">
        <f>IFERROR(__xludf.DUMMYFUNCTION("GOOGLETRANSLATE(B9061,""id"",""en"")"),"['expensive', 'Telkomsel', 'expensive', 'Different', 'Different', 'kdg', 'like', 'pngen', 'move', 'signal', 'ilang', '']")</f>
        <v>['expensive', 'Telkomsel', 'expensive', 'Different', 'Different', 'kdg', 'like', 'pngen', 'move', 'signal', 'ilang', '']</v>
      </c>
      <c r="D9061" s="3">
        <v>4.0</v>
      </c>
    </row>
    <row r="9062" ht="15.75" customHeight="1">
      <c r="A9062" s="1">
        <v>9744.0</v>
      </c>
      <c r="B9062" s="3" t="s">
        <v>8692</v>
      </c>
      <c r="C9062" s="3" t="str">
        <f>IFERROR(__xludf.DUMMYFUNCTION("GOOGLETRANSLATE(B9062,""id"",""en"")"),"['BURIK', 'Credit', 'Sumpot', 'Access', 'APK']")</f>
        <v>['BURIK', 'Credit', 'Sumpot', 'Access', 'APK']</v>
      </c>
      <c r="D9062" s="3">
        <v>1.0</v>
      </c>
    </row>
    <row r="9063" ht="15.75" customHeight="1">
      <c r="A9063" s="1">
        <v>9745.0</v>
      </c>
      <c r="B9063" s="3" t="s">
        <v>8693</v>
      </c>
      <c r="C9063" s="3" t="str">
        <f>IFERROR(__xludf.DUMMYFUNCTION("GOOGLETRANSLATE(B9063,""id"",""en"")"),"['Good', 'service']")</f>
        <v>['Good', 'service']</v>
      </c>
      <c r="D9063" s="3">
        <v>5.0</v>
      </c>
    </row>
    <row r="9064" ht="15.75" customHeight="1">
      <c r="A9064" s="1">
        <v>9746.0</v>
      </c>
      <c r="B9064" s="3" t="s">
        <v>8694</v>
      </c>
      <c r="C9064" s="3" t="str">
        <f>IFERROR(__xludf.DUMMYFUNCTION("GOOGLETRANSLATE(B9064,""id"",""en"")"),"['APK', 'buy', 'quota', 'a month', '']")</f>
        <v>['APK', 'buy', 'quota', 'a month', '']</v>
      </c>
      <c r="D9064" s="3">
        <v>5.0</v>
      </c>
    </row>
    <row r="9065" ht="15.75" customHeight="1">
      <c r="A9065" s="1">
        <v>9747.0</v>
      </c>
      <c r="B9065" s="3" t="s">
        <v>8695</v>
      </c>
      <c r="C9065" s="3" t="str">
        <f>IFERROR(__xludf.DUMMYFUNCTION("GOOGLETRANSLATE(B9065,""id"",""en"")"),"['Telkomsel', 'Please', 'Dismat', 'Employees',' Becus', 'Network', 'Severe', 'Complier', 'Really', 'Embarrassing', 'Move', 'Provider', ' Problematic ']")</f>
        <v>['Telkomsel', 'Please', 'Dismat', 'Employees',' Becus', 'Network', 'Severe', 'Complier', 'Really', 'Embarrassing', 'Move', 'Provider', ' Problematic ']</v>
      </c>
      <c r="D9065" s="3">
        <v>1.0</v>
      </c>
    </row>
    <row r="9066" ht="15.75" customHeight="1">
      <c r="A9066" s="1">
        <v>9748.0</v>
      </c>
      <c r="B9066" s="3" t="s">
        <v>1271</v>
      </c>
      <c r="C9066" s="3" t="str">
        <f>IFERROR(__xludf.DUMMYFUNCTION("GOOGLETRANSLATE(B9066,""id"",""en"")"),"['thank', 'love', 'Telkomsel']")</f>
        <v>['thank', 'love', 'Telkomsel']</v>
      </c>
      <c r="D9066" s="3">
        <v>5.0</v>
      </c>
    </row>
    <row r="9067" ht="15.75" customHeight="1">
      <c r="A9067" s="1">
        <v>9749.0</v>
      </c>
      <c r="B9067" s="3" t="s">
        <v>8696</v>
      </c>
      <c r="C9067" s="3" t="str">
        <f>IFERROR(__xludf.DUMMYFUNCTION("GOOGLETRANSLATE(B9067,""id"",""en"")"),"['People', 'Causes', 'Suitable', 'Wrong']")</f>
        <v>['People', 'Causes', 'Suitable', 'Wrong']</v>
      </c>
      <c r="D9067" s="3">
        <v>5.0</v>
      </c>
    </row>
    <row r="9068" ht="15.75" customHeight="1">
      <c r="A9068" s="1">
        <v>9751.0</v>
      </c>
      <c r="B9068" s="3" t="s">
        <v>8697</v>
      </c>
      <c r="C9068" s="3" t="str">
        <f>IFERROR(__xludf.DUMMYFUNCTION("GOOGLETRANSLATE(B9068,""id"",""en"")"),"['Restore', 'Signal', 'Telkomsel']")</f>
        <v>['Restore', 'Signal', 'Telkomsel']</v>
      </c>
      <c r="D9068" s="3">
        <v>4.0</v>
      </c>
    </row>
    <row r="9069" ht="15.75" customHeight="1">
      <c r="A9069" s="1">
        <v>9752.0</v>
      </c>
      <c r="B9069" s="3" t="s">
        <v>8698</v>
      </c>
      <c r="C9069" s="3" t="str">
        <f>IFERROR(__xludf.DUMMYFUNCTION("GOOGLETRANSLATE(B9069,""id"",""en"")"),"['APK', 'JLS', 'Sya', 'TDI', 'buy', 'pulse', 'list', 'quota', 'enter', 'pulse', 'sya', 'run out', ' Please, 'Acts', 'Continue', 'Discard', 'Thousand', 'Enter', 'Please', ""]")</f>
        <v>['APK', 'JLS', 'Sya', 'TDI', 'buy', 'pulse', 'list', 'quota', 'enter', 'pulse', 'sya', 'run out', ' Please, 'Acts', 'Continue', 'Discard', 'Thousand', 'Enter', 'Please', "]</v>
      </c>
      <c r="D9069" s="3">
        <v>1.0</v>
      </c>
    </row>
    <row r="9070" ht="15.75" customHeight="1">
      <c r="A9070" s="1">
        <v>9753.0</v>
      </c>
      <c r="B9070" s="3" t="s">
        <v>8699</v>
      </c>
      <c r="C9070" s="3" t="str">
        <f>IFERROR(__xludf.DUMMYFUNCTION("GOOGLETRANSLATE(B9070,""id"",""en"")"),"['Package', 'Unlimited', 'Card', 'Telkomsel', 'expensive', 'Package', 'Unlimited', 'Follow', 'Hopefully', 'Card', 'Telkomsel', 'Fix', ' aspects', 'prices',' packages', 'use', 'per month']")</f>
        <v>['Package', 'Unlimited', 'Card', 'Telkomsel', 'expensive', 'Package', 'Unlimited', 'Follow', 'Hopefully', 'Card', 'Telkomsel', 'Fix', ' aspects', 'prices',' packages', 'use', 'per month']</v>
      </c>
      <c r="D9070" s="3">
        <v>3.0</v>
      </c>
    </row>
    <row r="9071" ht="15.75" customHeight="1">
      <c r="A9071" s="1">
        <v>9754.0</v>
      </c>
      <c r="B9071" s="3" t="s">
        <v>8700</v>
      </c>
      <c r="C9071" s="3" t="str">
        <f>IFERROR(__xludf.DUMMYFUNCTION("GOOGLETRANSLATE(B9071,""id"",""en"")"),"['application', 'makes it easy', 'user', 'number', 'Telkomsel', 'gift', 'is exchanged', 'Points', '']")</f>
        <v>['application', 'makes it easy', 'user', 'number', 'Telkomsel', 'gift', 'is exchanged', 'Points', '']</v>
      </c>
      <c r="D9071" s="3">
        <v>5.0</v>
      </c>
    </row>
    <row r="9072" ht="15.75" customHeight="1">
      <c r="A9072" s="1">
        <v>9755.0</v>
      </c>
      <c r="B9072" s="3" t="s">
        <v>4940</v>
      </c>
      <c r="C9072" s="3" t="str">
        <f>IFERROR(__xludf.DUMMYFUNCTION("GOOGLETRANSLATE(B9072,""id"",""en"")"),"['easy', 'help']")</f>
        <v>['easy', 'help']</v>
      </c>
      <c r="D9072" s="3">
        <v>5.0</v>
      </c>
    </row>
    <row r="9073" ht="15.75" customHeight="1">
      <c r="A9073" s="1">
        <v>9756.0</v>
      </c>
      <c r="B9073" s="3" t="s">
        <v>8701</v>
      </c>
      <c r="C9073" s="3" t="str">
        <f>IFERROR(__xludf.DUMMYFUNCTION("GOOGLETRANSLATE(B9073,""id"",""en"")"),"['disappointed', 'really', 'netting', 'Telkomsel', 'season', 'rain', 'signal', 'good', 'speed', 'severe', 'hadeuh', ""]")</f>
        <v>['disappointed', 'really', 'netting', 'Telkomsel', 'season', 'rain', 'signal', 'good', 'speed', 'severe', 'hadeuh', "]</v>
      </c>
      <c r="D9073" s="3">
        <v>2.0</v>
      </c>
    </row>
    <row r="9074" ht="15.75" customHeight="1">
      <c r="A9074" s="1">
        <v>9757.0</v>
      </c>
      <c r="B9074" s="3" t="s">
        <v>8702</v>
      </c>
      <c r="C9074" s="3" t="str">
        <f>IFERROR(__xludf.DUMMYFUNCTION("GOOGLETRANSLATE(B9074,""id"",""en"")"),"['price', 'package', 'data', 'exorbitant', 'quality', 'signal', 'rich', 'live', 'hesitate', 'die', 'eat', 'salary', ' blind', '']")</f>
        <v>['price', 'package', 'data', 'exorbitant', 'quality', 'signal', 'rich', 'live', 'hesitate', 'die', 'eat', 'salary', ' blind', '']</v>
      </c>
      <c r="D9074" s="3">
        <v>1.0</v>
      </c>
    </row>
    <row r="9075" ht="15.75" customHeight="1">
      <c r="A9075" s="1">
        <v>9758.0</v>
      </c>
      <c r="B9075" s="3" t="s">
        <v>8703</v>
      </c>
      <c r="C9075" s="3" t="str">
        <f>IFERROR(__xludf.DUMMYFUNCTION("GOOGLETRANSLATE(B9075,""id"",""en"")"),"['Operator', 'celluler', 'worst', 'Telkomsel', 'comment', 'argues',' bad ',' response ',' song ',' Moman ',' mimin ',' mbok ',' Replace ',' Sarimin ',' ']")</f>
        <v>['Operator', 'celluler', 'worst', 'Telkomsel', 'comment', 'argues',' bad ',' response ',' song ',' Moman ',' mimin ',' mbok ',' Replace ',' Sarimin ',' ']</v>
      </c>
      <c r="D9075" s="3">
        <v>1.0</v>
      </c>
    </row>
    <row r="9076" ht="15.75" customHeight="1">
      <c r="A9076" s="1">
        <v>9759.0</v>
      </c>
      <c r="B9076" s="3" t="s">
        <v>8704</v>
      </c>
      <c r="C9076" s="3" t="str">
        <f>IFERROR(__xludf.DUMMYFUNCTION("GOOGLETRANSLATE(B9076,""id"",""en"")"),"['Telkomsel', 'Please', 'Feature', 'Look', 'Credit', 'Rich', 'Operator', 'Credit', 'Rb', 'Lost', 'Instant', 'Quota', ' GB ']")</f>
        <v>['Telkomsel', 'Please', 'Feature', 'Look', 'Credit', 'Rich', 'Operator', 'Credit', 'Rb', 'Lost', 'Instant', 'Quota', ' GB ']</v>
      </c>
      <c r="D9076" s="3">
        <v>2.0</v>
      </c>
    </row>
    <row r="9077" ht="15.75" customHeight="1">
      <c r="A9077" s="1">
        <v>9760.0</v>
      </c>
      <c r="B9077" s="3" t="s">
        <v>8705</v>
      </c>
      <c r="C9077" s="3" t="str">
        <f>IFERROR(__xludf.DUMMYFUNCTION("GOOGLETRANSLATE(B9077,""id"",""en"")"),"['Like', 'really', 'MyTelkosel', 'Points', 'Exchange', 'Lottery', 'get']")</f>
        <v>['Like', 'really', 'MyTelkosel', 'Points', 'Exchange', 'Lottery', 'get']</v>
      </c>
      <c r="D9077" s="3">
        <v>5.0</v>
      </c>
    </row>
    <row r="9078" ht="15.75" customHeight="1">
      <c r="A9078" s="1">
        <v>9761.0</v>
      </c>
      <c r="B9078" s="3" t="s">
        <v>4547</v>
      </c>
      <c r="C9078" s="3" t="str">
        <f>IFERROR(__xludf.DUMMYFUNCTION("GOOGLETRANSLATE(B9078,""id"",""en"")"),"['Application', 'Help']")</f>
        <v>['Application', 'Help']</v>
      </c>
      <c r="D9078" s="3">
        <v>5.0</v>
      </c>
    </row>
    <row r="9079" ht="15.75" customHeight="1">
      <c r="A9079" s="1">
        <v>9762.0</v>
      </c>
      <c r="B9079" s="3" t="s">
        <v>8706</v>
      </c>
      <c r="C9079" s="3" t="str">
        <f>IFERROR(__xludf.DUMMYFUNCTION("GOOGLETRANSLATE(B9079,""id"",""en"")"),"['Most', 'Notif']")</f>
        <v>['Most', 'Notif']</v>
      </c>
      <c r="D9079" s="3">
        <v>1.0</v>
      </c>
    </row>
    <row r="9080" ht="15.75" customHeight="1">
      <c r="A9080" s="1">
        <v>9763.0</v>
      </c>
      <c r="B9080" s="3" t="s">
        <v>8707</v>
      </c>
      <c r="C9080" s="3" t="str">
        <f>IFERROR(__xludf.DUMMYFUNCTION("GOOGLETRANSLATE(B9080,""id"",""en"")"),"['Telkom', 'in demand', 'because', 'signal', 'good', 'fastres',' skrg ',' slow ',' pulse ',' filled ',' full ',' ttp ',' buy ',' promo ',' ugly ',' skli ',' skrg ',' telkom ',' ']")</f>
        <v>['Telkom', 'in demand', 'because', 'signal', 'good', 'fastres',' skrg ',' slow ',' pulse ',' filled ',' full ',' ttp ',' buy ',' promo ',' ugly ',' skli ',' skrg ',' telkom ',' ']</v>
      </c>
      <c r="D9080" s="3">
        <v>1.0</v>
      </c>
    </row>
    <row r="9081" ht="15.75" customHeight="1">
      <c r="A9081" s="1">
        <v>9764.0</v>
      </c>
      <c r="B9081" s="3" t="s">
        <v>5097</v>
      </c>
      <c r="C9081" s="3" t="str">
        <f>IFERROR(__xludf.DUMMYFUNCTION("GOOGLETRANSLATE(B9081,""id"",""en"")"),"['cool']")</f>
        <v>['cool']</v>
      </c>
      <c r="D9081" s="3">
        <v>5.0</v>
      </c>
    </row>
    <row r="9082" ht="15.75" customHeight="1">
      <c r="A9082" s="1">
        <v>9766.0</v>
      </c>
      <c r="B9082" s="3" t="s">
        <v>8708</v>
      </c>
      <c r="C9082" s="3" t="str">
        <f>IFERROR(__xludf.DUMMYFUNCTION("GOOGLETRANSLATE(B9082,""id"",""en"")"),"['The application', 'opened', 'alternating', 'Install', 'reset', 'Tetep', 'open']")</f>
        <v>['The application', 'opened', 'alternating', 'Install', 'reset', 'Tetep', 'open']</v>
      </c>
      <c r="D9082" s="3">
        <v>1.0</v>
      </c>
    </row>
    <row r="9083" ht="15.75" customHeight="1">
      <c r="A9083" s="1">
        <v>9767.0</v>
      </c>
      <c r="B9083" s="3" t="s">
        <v>8709</v>
      </c>
      <c r="C9083" s="3" t="str">
        <f>IFERROR(__xludf.DUMMYFUNCTION("GOOGLETRANSLATE(B9083,""id"",""en"")"),"['wooooooooooo', 'login', 'satisfying', '']")</f>
        <v>['wooooooooooo', 'login', 'satisfying', '']</v>
      </c>
      <c r="D9083" s="3">
        <v>5.0</v>
      </c>
    </row>
    <row r="9084" ht="15.75" customHeight="1">
      <c r="A9084" s="1">
        <v>9768.0</v>
      </c>
      <c r="B9084" s="3" t="s">
        <v>8710</v>
      </c>
      <c r="C9084" s="3" t="str">
        <f>IFERROR(__xludf.DUMMYFUNCTION("GOOGLETRANSLATE(B9084,""id"",""en"")"),"['Telkomsel', 'delicious', 'used', 'network', 'slow', 'play', 'game', 'lost', 'the network', '']")</f>
        <v>['Telkomsel', 'delicious', 'used', 'network', 'slow', 'play', 'game', 'lost', 'the network', '']</v>
      </c>
      <c r="D9084" s="3">
        <v>1.0</v>
      </c>
    </row>
    <row r="9085" ht="15.75" customHeight="1">
      <c r="A9085" s="1">
        <v>9769.0</v>
      </c>
      <c r="B9085" s="3" t="s">
        <v>8711</v>
      </c>
      <c r="C9085" s="3" t="str">
        <f>IFERROR(__xludf.DUMMYFUNCTION("GOOGLETRANSLATE(B9085,""id"",""en"")"),"['UDH', 'go bankrupt', 'like', 'Neh', 'Tsel', 'Network', 'taste', 'rich', 'use', 'Esia', 'Bagusan', 'Esia', ' Expensive ',' Doank ',' Quality ',' Network ',' Lose ',' Provider ',' Auto ',' Change ',' Operator ', ""]")</f>
        <v>['UDH', 'go bankrupt', 'like', 'Neh', 'Tsel', 'Network', 'taste', 'rich', 'use', 'Esia', 'Bagusan', 'Esia', ' Expensive ',' Doank ',' Quality ',' Network ',' Lose ',' Provider ',' Auto ',' Change ',' Operator ', "]</v>
      </c>
      <c r="D9085" s="3">
        <v>1.0</v>
      </c>
    </row>
    <row r="9086" ht="15.75" customHeight="1">
      <c r="A9086" s="1">
        <v>9771.0</v>
      </c>
      <c r="B9086" s="3" t="s">
        <v>8712</v>
      </c>
      <c r="C9086" s="3" t="str">
        <f>IFERROR(__xludf.DUMMYFUNCTION("GOOGLETRANSLATE(B9086,""id"",""en"")"),"['TELKOM', 'DPT', 'PROMO', 'Data', '']")</f>
        <v>['TELKOM', 'DPT', 'PROMO', 'Data', '']</v>
      </c>
      <c r="D9086" s="3">
        <v>2.0</v>
      </c>
    </row>
    <row r="9087" ht="15.75" customHeight="1">
      <c r="A9087" s="1">
        <v>9772.0</v>
      </c>
      <c r="B9087" s="3" t="s">
        <v>8713</v>
      </c>
      <c r="C9087" s="3" t="str">
        <f>IFERROR(__xludf.DUMMYFUNCTION("GOOGLETRANSLATE(B9087,""id"",""en"")"),"['Please', 'Sampein', 'Telkom', 'Please', 'Benerin', 'Signal', 'Region', 'Tangsel', 'Special', 'Region', 'Village', 'Ciater', ' Udh ',' cost ',' expensive ',' signal ',' weak ',' pay ',' free ']")</f>
        <v>['Please', 'Sampein', 'Telkom', 'Please', 'Benerin', 'Signal', 'Region', 'Tangsel', 'Special', 'Region', 'Village', 'Ciater', ' Udh ',' cost ',' expensive ',' signal ',' weak ',' pay ',' free ']</v>
      </c>
      <c r="D9087" s="3">
        <v>2.0</v>
      </c>
    </row>
    <row r="9088" ht="15.75" customHeight="1">
      <c r="A9088" s="1">
        <v>9773.0</v>
      </c>
      <c r="B9088" s="3" t="s">
        <v>764</v>
      </c>
      <c r="C9088" s="3" t="str">
        <f>IFERROR(__xludf.DUMMYFUNCTION("GOOGLETRANSLATE(B9088,""id"",""en"")"),"['Network', 'steady', '']")</f>
        <v>['Network', 'steady', '']</v>
      </c>
      <c r="D9088" s="3">
        <v>5.0</v>
      </c>
    </row>
    <row r="9089" ht="15.75" customHeight="1">
      <c r="A9089" s="1">
        <v>9774.0</v>
      </c>
      <c r="B9089" s="3" t="s">
        <v>8714</v>
      </c>
      <c r="C9089" s="3" t="str">
        <f>IFERROR(__xludf.DUMMYFUNCTION("GOOGLETRANSLATE(B9089,""id"",""en"")"),"['Cool', 'Sya', 'like']")</f>
        <v>['Cool', 'Sya', 'like']</v>
      </c>
      <c r="D9089" s="3">
        <v>5.0</v>
      </c>
    </row>
    <row r="9090" ht="15.75" customHeight="1">
      <c r="A9090" s="1">
        <v>9775.0</v>
      </c>
      <c r="B9090" s="3" t="s">
        <v>8715</v>
      </c>
      <c r="C9090" s="3" t="str">
        <f>IFERROR(__xludf.DUMMYFUNCTION("GOOGLETRANSLATE(B9090,""id"",""en"")"),"['Package', 'Internet', 'Enter', 'Enter', 'Cutting', 'Costs', 'Purchase', 'Untung', 'nominal', ""]")</f>
        <v>['Package', 'Internet', 'Enter', 'Enter', 'Cutting', 'Costs', 'Purchase', 'Untung', 'nominal', "]</v>
      </c>
      <c r="D9090" s="3">
        <v>1.0</v>
      </c>
    </row>
    <row r="9091" ht="15.75" customHeight="1">
      <c r="A9091" s="1">
        <v>9776.0</v>
      </c>
      <c r="B9091" s="3" t="s">
        <v>8716</v>
      </c>
      <c r="C9091" s="3" t="str">
        <f>IFERROR(__xludf.DUMMYFUNCTION("GOOGLETRANSLATE(B9091,""id"",""en"")"),"['Please', 'Package', 'MyTelkomsel']")</f>
        <v>['Please', 'Package', 'MyTelkomsel']</v>
      </c>
      <c r="D9091" s="3">
        <v>5.0</v>
      </c>
    </row>
    <row r="9092" ht="15.75" customHeight="1">
      <c r="A9092" s="1">
        <v>9777.0</v>
      </c>
      <c r="B9092" s="3" t="s">
        <v>8717</v>
      </c>
      <c r="C9092" s="3" t="str">
        <f>IFERROR(__xludf.DUMMYFUNCTION("GOOGLETRANSLATE(B9092,""id"",""en"")"),"['buy', 'package', 'internet', 'application', 'package', 'late', 'entry', 'turn', 'uda', 'package', 'internet', 'sumps',' Pulsely ',' ']")</f>
        <v>['buy', 'package', 'internet', 'application', 'package', 'late', 'entry', 'turn', 'uda', 'package', 'internet', 'sumps',' Pulsely ',' ']</v>
      </c>
      <c r="D9092" s="3">
        <v>1.0</v>
      </c>
    </row>
    <row r="9093" ht="15.75" customHeight="1">
      <c r="A9093" s="1">
        <v>9778.0</v>
      </c>
      <c r="B9093" s="3" t="s">
        <v>8718</v>
      </c>
      <c r="C9093" s="3" t="str">
        <f>IFERROR(__xludf.DUMMYFUNCTION("GOOGLETRANSLATE(B9093,""id"",""en"")"),"['morning', 'signal', 'ugly', 'use', 'play', 'game']")</f>
        <v>['morning', 'signal', 'ugly', 'use', 'play', 'game']</v>
      </c>
      <c r="D9093" s="3">
        <v>2.0</v>
      </c>
    </row>
    <row r="9094" ht="15.75" customHeight="1">
      <c r="A9094" s="1">
        <v>9779.0</v>
      </c>
      <c r="B9094" s="3" t="s">
        <v>8719</v>
      </c>
      <c r="C9094" s="3" t="str">
        <f>IFERROR(__xludf.DUMMYFUNCTION("GOOGLETRANSLATE(B9094,""id"",""en"")"),"['Telkomsel', 'Gajelas',' Fill ',' Credit ',' Wait ',' Minutes', 'Gamunkun', 'Enter', 'Gabisa', 'Meet', 'Request', 'Customer', ' It's hard, 'open', 'service', 'sorry', 'scolded', 'gini', 'urgent', 'task', 'buy', 'quota', 'ehh', 'right', 'fill' , 'Credit',"&amp;" 'Gamukun', 'enter', 'how', '']")</f>
        <v>['Telkomsel', 'Gajelas',' Fill ',' Credit ',' Wait ',' Minutes', 'Gamunkun', 'Enter', 'Gabisa', 'Meet', 'Request', 'Customer', ' It's hard, 'open', 'service', 'sorry', 'scolded', 'gini', 'urgent', 'task', 'buy', 'quota', 'ehh', 'right', 'fill' , 'Credit', 'Gamukun', 'enter', 'how', '']</v>
      </c>
      <c r="D9094" s="3">
        <v>1.0</v>
      </c>
    </row>
    <row r="9095" ht="15.75" customHeight="1">
      <c r="A9095" s="1">
        <v>9781.0</v>
      </c>
      <c r="B9095" s="3" t="s">
        <v>8720</v>
      </c>
      <c r="C9095" s="3" t="str">
        <f>IFERROR(__xludf.DUMMYFUNCTION("GOOGLETRANSLATE(B9095,""id"",""en"")"),"['Gymna', 'Operator', 'Package', 'Data', 'Credit', 'Reduced', 'Males', 'Telkomsel', 'Kek', 'Gini']")</f>
        <v>['Gymna', 'Operator', 'Package', 'Data', 'Credit', 'Reduced', 'Males', 'Telkomsel', 'Kek', 'Gini']</v>
      </c>
      <c r="D9095" s="3">
        <v>1.0</v>
      </c>
    </row>
    <row r="9096" ht="15.75" customHeight="1">
      <c r="A9096" s="1">
        <v>9782.0</v>
      </c>
      <c r="B9096" s="3" t="s">
        <v>8721</v>
      </c>
      <c r="C9096" s="3" t="str">
        <f>IFERROR(__xludf.DUMMYFUNCTION("GOOGLETRANSLATE(B9096,""id"",""en"")"),"['signal', 'Ngelag', 'really', 'right', 'play', 'Try', 'Region', 'Madukara', 'Banjarnegara', 'Java', 'Laag', 'Severe', ' Orng ',' feel ',' comfortable ',' really ',' because 'signal', 'down', 'Try', 'fix', 'signal', 'buy', 'signal', 'jelk' , 'buy', 'expen"&amp;"sive', 'slow', 'really', 'please', 'fix', 'go', 'madukara', 'banjarnegara', 'Java', 'city', 'doank', ' Bgs', '']")</f>
        <v>['signal', 'Ngelag', 'really', 'right', 'play', 'Try', 'Region', 'Madukara', 'Banjarnegara', 'Java', 'Laag', 'Severe', ' Orng ',' feel ',' comfortable ',' really ',' because 'signal', 'down', 'Try', 'fix', 'signal', 'buy', 'signal', 'jelk' , 'buy', 'expensive', 'slow', 'really', 'please', 'fix', 'go', 'madukara', 'banjarnegara', 'Java', 'city', 'doank', ' Bgs', '']</v>
      </c>
      <c r="D9096" s="3">
        <v>1.0</v>
      </c>
    </row>
    <row r="9097" ht="15.75" customHeight="1">
      <c r="A9097" s="1">
        <v>9783.0</v>
      </c>
      <c r="B9097" s="3" t="s">
        <v>8722</v>
      </c>
      <c r="C9097" s="3" t="str">
        <f>IFERROR(__xludf.DUMMYFUNCTION("GOOGLETRANSLATE(B9097,""id"",""en"")"),"['The application', 'slow', 'Loading', 'wifi', 'stable', 'blame', 'wifi']")</f>
        <v>['The application', 'slow', 'Loading', 'wifi', 'stable', 'blame', 'wifi']</v>
      </c>
      <c r="D9097" s="3">
        <v>1.0</v>
      </c>
    </row>
    <row r="9098" ht="15.75" customHeight="1">
      <c r="A9098" s="1">
        <v>9785.0</v>
      </c>
      <c r="B9098" s="3" t="s">
        <v>8723</v>
      </c>
      <c r="C9098" s="3" t="str">
        <f>IFERROR(__xludf.DUMMYFUNCTION("GOOGLETRANSLATE(B9098,""id"",""en"")"),"['LBH', 'Delete', 'Application', 'Krna', 'Lotsin', 'Sin', 'Lemot', 'Khilaf', ""]")</f>
        <v>['LBH', 'Delete', 'Application', 'Krna', 'Lotsin', 'Sin', 'Lemot', 'Khilaf', "]</v>
      </c>
      <c r="D9098" s="3">
        <v>1.0</v>
      </c>
    </row>
    <row r="9099" ht="15.75" customHeight="1">
      <c r="A9099" s="1">
        <v>9786.0</v>
      </c>
      <c r="B9099" s="3" t="s">
        <v>8724</v>
      </c>
      <c r="C9099" s="3" t="str">
        <f>IFERROR(__xludf.DUMMYFUNCTION("GOOGLETRANSLATE(B9099,""id"",""en"")"),"['signal', 'furrowed', 'history']")</f>
        <v>['signal', 'furrowed', 'history']</v>
      </c>
      <c r="D9099" s="3">
        <v>1.0</v>
      </c>
    </row>
    <row r="9100" ht="15.75" customHeight="1">
      <c r="A9100" s="1">
        <v>9787.0</v>
      </c>
      <c r="B9100" s="3" t="s">
        <v>8725</v>
      </c>
      <c r="C9100" s="3" t="str">
        <f>IFERROR(__xludf.DUMMYFUNCTION("GOOGLETRANSLATE(B9100,""id"",""en"")"),"['Telkomsel', 'The network', 'ugly', 'ugly']")</f>
        <v>['Telkomsel', 'The network', 'ugly', 'ugly']</v>
      </c>
      <c r="D9100" s="3">
        <v>1.0</v>
      </c>
    </row>
    <row r="9101" ht="15.75" customHeight="1">
      <c r="A9101" s="1">
        <v>9788.0</v>
      </c>
      <c r="B9101" s="3" t="s">
        <v>8726</v>
      </c>
      <c r="C9101" s="3" t="str">
        <f>IFERROR(__xludf.DUMMYFUNCTION("GOOGLETRANSLATE(B9101,""id"",""en"")"),"['Karna', 'easy']")</f>
        <v>['Karna', 'easy']</v>
      </c>
      <c r="D9101" s="3">
        <v>5.0</v>
      </c>
    </row>
    <row r="9102" ht="15.75" customHeight="1">
      <c r="A9102" s="1">
        <v>9789.0</v>
      </c>
      <c r="B9102" s="3" t="s">
        <v>8727</v>
      </c>
      <c r="C9102" s="3" t="str">
        <f>IFERROR(__xludf.DUMMYFUNCTION("GOOGLETRANSLATE(B9102,""id"",""en"")"),"['Package', 'Change']")</f>
        <v>['Package', 'Change']</v>
      </c>
      <c r="D9102" s="3">
        <v>4.0</v>
      </c>
    </row>
    <row r="9103" ht="15.75" customHeight="1">
      <c r="A9103" s="1">
        <v>9790.0</v>
      </c>
      <c r="B9103" s="3" t="s">
        <v>8728</v>
      </c>
      <c r="C9103" s="3" t="str">
        <f>IFERROR(__xludf.DUMMYFUNCTION("GOOGLETRANSLATE(B9103,""id"",""en"")"),"['Application', 'bad']")</f>
        <v>['Application', 'bad']</v>
      </c>
      <c r="D9103" s="3">
        <v>1.0</v>
      </c>
    </row>
    <row r="9104" ht="15.75" customHeight="1">
      <c r="A9104" s="1">
        <v>9791.0</v>
      </c>
      <c r="B9104" s="3" t="s">
        <v>8729</v>
      </c>
      <c r="C9104" s="3" t="str">
        <f>IFERROR(__xludf.DUMMYFUNCTION("GOOGLETRANSLATE(B9104,""id"",""en"")"),"['Mbetettt', 'signal', 'Celeh']")</f>
        <v>['Mbetettt', 'signal', 'Celeh']</v>
      </c>
      <c r="D9104" s="3">
        <v>1.0</v>
      </c>
    </row>
    <row r="9105" ht="15.75" customHeight="1">
      <c r="A9105" s="1">
        <v>9792.0</v>
      </c>
      <c r="B9105" s="3" t="s">
        <v>8730</v>
      </c>
      <c r="C9105" s="3" t="str">
        <f>IFERROR(__xludf.DUMMYFUNCTION("GOOGLETRANSLATE(B9105,""id"",""en"")"),"['Kasi', 'promo', 'circles', 'economy', 'weak']")</f>
        <v>['Kasi', 'promo', 'circles', 'economy', 'weak']</v>
      </c>
      <c r="D9105" s="3">
        <v>5.0</v>
      </c>
    </row>
    <row r="9106" ht="15.75" customHeight="1">
      <c r="A9106" s="1">
        <v>9793.0</v>
      </c>
      <c r="B9106" s="3" t="s">
        <v>8731</v>
      </c>
      <c r="C9106" s="3" t="str">
        <f>IFERROR(__xludf.DUMMYFUNCTION("GOOGLETRANSLATE(B9106,""id"",""en"")"),"['Kessel', 'application', 'MyTelkomsel', 'really', 'Errr', 'check', 'quota', 'etc.', 'please', 'repaired', ""]")</f>
        <v>['Kessel', 'application', 'MyTelkomsel', 'really', 'Errr', 'check', 'quota', 'etc.', 'please', 'repaired', "]</v>
      </c>
      <c r="D9106" s="3">
        <v>2.0</v>
      </c>
    </row>
    <row r="9107" ht="15.75" customHeight="1">
      <c r="A9107" s="1">
        <v>9794.0</v>
      </c>
      <c r="B9107" s="3" t="s">
        <v>8732</v>
      </c>
      <c r="C9107" s="3" t="str">
        <f>IFERROR(__xludf.DUMMYFUNCTION("GOOGLETRANSLATE(B9107,""id"",""en"")"),"['Males',' Telkomsel ',' Package ',' Buy ',' HPUS ',' Package ',' Unlimited ',' Max ',' GTU ',' Krang ',' MAH ',' Down ',' Signal ',' ']")</f>
        <v>['Males',' Telkomsel ',' Package ',' Buy ',' HPUS ',' Package ',' Unlimited ',' Max ',' GTU ',' Krang ',' MAH ',' Down ',' Signal ',' ']</v>
      </c>
      <c r="D9107" s="3">
        <v>2.0</v>
      </c>
    </row>
    <row r="9108" ht="15.75" customHeight="1">
      <c r="A9108" s="1">
        <v>9795.0</v>
      </c>
      <c r="B9108" s="3" t="s">
        <v>8733</v>
      </c>
      <c r="C9108" s="3" t="str">
        <f>IFERROR(__xludf.DUMMYFUNCTION("GOOGLETRANSLATE(B9108,""id"",""en"")"),"['easy', 'app', 'Telkomsel', 'buy', 'package', 'contents',' reset ',' pulse ',' tasty ',' point ',' gift ',' lottery ',' smg ',' fortune ',' thank you ',' Telkomsel ',' ']")</f>
        <v>['easy', 'app', 'Telkomsel', 'buy', 'package', 'contents',' reset ',' pulse ',' tasty ',' point ',' gift ',' lottery ',' smg ',' fortune ',' thank you ',' Telkomsel ',' ']</v>
      </c>
      <c r="D9108" s="3">
        <v>4.0</v>
      </c>
    </row>
    <row r="9109" ht="15.75" customHeight="1">
      <c r="A9109" s="1">
        <v>9796.0</v>
      </c>
      <c r="B9109" s="3" t="s">
        <v>8734</v>
      </c>
      <c r="C9109" s="3" t="str">
        <f>IFERROR(__xludf.DUMMYFUNCTION("GOOGLETRANSLATE(B9109,""id"",""en"")"),"['Blank', 'Spot']")</f>
        <v>['Blank', 'Spot']</v>
      </c>
      <c r="D9109" s="3">
        <v>4.0</v>
      </c>
    </row>
    <row r="9110" ht="15.75" customHeight="1">
      <c r="A9110" s="1">
        <v>9797.0</v>
      </c>
      <c r="B9110" s="3" t="s">
        <v>8735</v>
      </c>
      <c r="C9110" s="3" t="str">
        <f>IFERROR(__xludf.DUMMYFUNCTION("GOOGLETRANSLATE(B9110,""id"",""en"")"),"['waaa', 'signal', 'slow', 'expensive', 'mending', 'three', 'cheap', 'discount', 'nga', 'kek', 'telokomtod', 'play', ' slow ',' really ',' sad ',' udh ',' expensive ',' expensive ',' hamdeh ']")</f>
        <v>['waaa', 'signal', 'slow', 'expensive', 'mending', 'three', 'cheap', 'discount', 'nga', 'kek', 'telokomtod', 'play', ' slow ',' really ',' sad ',' udh ',' expensive ',' expensive ',' hamdeh ']</v>
      </c>
      <c r="D9110" s="3">
        <v>2.0</v>
      </c>
    </row>
    <row r="9111" ht="15.75" customHeight="1">
      <c r="A9111" s="1">
        <v>9798.0</v>
      </c>
      <c r="B9111" s="3" t="s">
        <v>8736</v>
      </c>
      <c r="C9111" s="3" t="str">
        <f>IFERROR(__xludf.DUMMYFUNCTION("GOOGLETRANSLATE(B9111,""id"",""en"")"),"['steady', 'process', 'easy', 'fast']")</f>
        <v>['steady', 'process', 'easy', 'fast']</v>
      </c>
      <c r="D9111" s="3">
        <v>5.0</v>
      </c>
    </row>
    <row r="9112" ht="15.75" customHeight="1">
      <c r="A9112" s="1">
        <v>9799.0</v>
      </c>
      <c r="B9112" s="3" t="s">
        <v>8737</v>
      </c>
      <c r="C9112" s="3" t="str">
        <f>IFERROR(__xludf.DUMMYFUNCTION("GOOGLETRANSLATE(B9112,""id"",""en"")"),"['expensive', 'slow', 'in place', 'network', 'Disney', 'hotstar', ""]")</f>
        <v>['expensive', 'slow', 'in place', 'network', 'Disney', 'hotstar', "]</v>
      </c>
      <c r="D9112" s="3">
        <v>1.0</v>
      </c>
    </row>
    <row r="9113" ht="15.75" customHeight="1">
      <c r="A9113" s="1">
        <v>9800.0</v>
      </c>
      <c r="B9113" s="3" t="s">
        <v>8738</v>
      </c>
      <c r="C9113" s="3" t="str">
        <f>IFERROR(__xludf.DUMMYFUNCTION("GOOGLETRANSLATE(B9113,""id"",""en"")"),"['hope', 'application', 'best']")</f>
        <v>['hope', 'application', 'best']</v>
      </c>
      <c r="D9113" s="3">
        <v>5.0</v>
      </c>
    </row>
    <row r="9114" ht="15.75" customHeight="1">
      <c r="A9114" s="1">
        <v>9801.0</v>
      </c>
      <c r="B9114" s="3" t="s">
        <v>8739</v>
      </c>
      <c r="C9114" s="3" t="str">
        <f>IFERROR(__xludf.DUMMYFUNCTION("GOOGLETRANSLATE(B9114,""id"",""en"")"),"['thank', 'love', 'comfort']")</f>
        <v>['thank', 'love', 'comfort']</v>
      </c>
      <c r="D9114" s="3">
        <v>4.0</v>
      </c>
    </row>
    <row r="9115" ht="15.75" customHeight="1">
      <c r="A9115" s="1">
        <v>9802.0</v>
      </c>
      <c r="B9115" s="3" t="s">
        <v>8740</v>
      </c>
      <c r="C9115" s="3" t="str">
        <f>IFERROR(__xludf.DUMMYFUNCTION("GOOGLETRANSLATE(B9115,""id"",""en"")"),"['It's easy', 'transaction', 'Telkomsel']")</f>
        <v>['It's easy', 'transaction', 'Telkomsel']</v>
      </c>
      <c r="D9115" s="3">
        <v>5.0</v>
      </c>
    </row>
    <row r="9116" ht="15.75" customHeight="1">
      <c r="A9116" s="1">
        <v>9803.0</v>
      </c>
      <c r="B9116" s="3" t="s">
        <v>8741</v>
      </c>
      <c r="C9116" s="3" t="str">
        <f>IFERROR(__xludf.DUMMYFUNCTION("GOOGLETRANSLATE(B9116,""id"",""en"")"),"['Customer', 'card', 'telecom', 'cell', 'hold', 'cellphone', 'until', 'this is', 'telekomsel', 'signal', 'steady']")</f>
        <v>['Customer', 'card', 'telecom', 'cell', 'hold', 'cellphone', 'until', 'this is', 'telekomsel', 'signal', 'steady']</v>
      </c>
      <c r="D9116" s="3">
        <v>5.0</v>
      </c>
    </row>
    <row r="9117" ht="15.75" customHeight="1">
      <c r="A9117" s="1">
        <v>9804.0</v>
      </c>
      <c r="B9117" s="3" t="s">
        <v>8742</v>
      </c>
      <c r="C9117" s="3" t="str">
        <f>IFERROR(__xludf.DUMMYFUNCTION("GOOGLETRANSLATE(B9117,""id"",""en"")"),"['signal', 'weak', 'daera', 'remote']")</f>
        <v>['signal', 'weak', 'daera', 'remote']</v>
      </c>
      <c r="D9117" s="3">
        <v>2.0</v>
      </c>
    </row>
    <row r="9118" ht="15.75" customHeight="1">
      <c r="A9118" s="1">
        <v>9805.0</v>
      </c>
      <c r="B9118" s="3" t="s">
        <v>8743</v>
      </c>
      <c r="C9118" s="3" t="str">
        <f>IFERROR(__xludf.DUMMYFUNCTION("GOOGLETRANSLATE(B9118,""id"",""en"")"),"['hope', 'promo', '']")</f>
        <v>['hope', 'promo', '']</v>
      </c>
      <c r="D9118" s="3">
        <v>5.0</v>
      </c>
    </row>
    <row r="9119" ht="15.75" customHeight="1">
      <c r="A9119" s="1">
        <v>9806.0</v>
      </c>
      <c r="B9119" s="3" t="s">
        <v>8744</v>
      </c>
      <c r="C9119" s="3" t="str">
        <f>IFERROR(__xludf.DUMMYFUNCTION("GOOGLETRANSLATE(B9119,""id"",""en"")"),"['regretting', 'apply', 'speed', 'internet', 'medsos', 'slow', 'run out', 'active', 'package', 'tks', 'Telkomsel', ""]")</f>
        <v>['regretting', 'apply', 'speed', 'internet', 'medsos', 'slow', 'run out', 'active', 'package', 'tks', 'Telkomsel', "]</v>
      </c>
      <c r="D9119" s="3">
        <v>4.0</v>
      </c>
    </row>
    <row r="9120" ht="15.75" customHeight="1">
      <c r="A9120" s="1">
        <v>9807.0</v>
      </c>
      <c r="B9120" s="3" t="s">
        <v>8745</v>
      </c>
      <c r="C9120" s="3" t="str">
        <f>IFERROR(__xludf.DUMMYFUNCTION("GOOGLETRANSLATE(B9120,""id"",""en"")"),"['Good', 'serves']")</f>
        <v>['Good', 'serves']</v>
      </c>
      <c r="D9120" s="3">
        <v>4.0</v>
      </c>
    </row>
    <row r="9121" ht="15.75" customHeight="1">
      <c r="A9121" s="1">
        <v>9808.0</v>
      </c>
      <c r="B9121" s="3" t="s">
        <v>8746</v>
      </c>
      <c r="C9121" s="3" t="str">
        <f>IFERROR(__xludf.DUMMYFUNCTION("GOOGLETRANSLATE(B9121,""id"",""en"")"),"['transaction', 'failed', 'pulse', 'chick', 'thousand', 'great']")</f>
        <v>['transaction', 'failed', 'pulse', 'chick', 'thousand', 'great']</v>
      </c>
      <c r="D9121" s="3">
        <v>1.0</v>
      </c>
    </row>
    <row r="9122" ht="15.75" customHeight="1">
      <c r="A9122" s="1">
        <v>9809.0</v>
      </c>
      <c r="B9122" s="3" t="s">
        <v>8747</v>
      </c>
      <c r="C9122" s="3" t="str">
        <f>IFERROR(__xludf.DUMMYFUNCTION("GOOGLETRANSLATE(B9122,""id"",""en"")"),"['edit', 'review', 'right', 'clock', 'active', 'package', 'run out', 'knp', 'play', 'cut', 'sja', 'pulse', ' PDHL ',' Jedah ',' Non ',' Activate ',' Mobile ',' Data ',' a minute ',' MOTHING ',' Horrified ',' Network ',' Internet ',' mmg ',' msh ' , 'Hold'"&amp;", 'Control', 'City', 'My Birth', 'Package', 'Internet', 'MSH', 'BNYK', 'Promo', 'Affordable', 'Wallet', 'Teacher', ' contract ',' Try ',' Review ',' Customer ',' DIXED ',' TOLOP ',' Measure ',' Greetings', 'Healthy', ""]")</f>
        <v>['edit', 'review', 'right', 'clock', 'active', 'package', 'run out', 'knp', 'play', 'cut', 'sja', 'pulse', ' PDHL ',' Jedah ',' Non ',' Activate ',' Mobile ',' Data ',' a minute ',' MOTHING ',' Horrified ',' Network ',' Internet ',' mmg ',' msh ' , 'Hold', 'Control', 'City', 'My Birth', 'Package', 'Internet', 'MSH', 'BNYK', 'Promo', 'Affordable', 'Wallet', 'Teacher', ' contract ',' Try ',' Review ',' Customer ',' DIXED ',' TOLOP ',' Measure ',' Greetings', 'Healthy', "]</v>
      </c>
      <c r="D9122" s="3">
        <v>4.0</v>
      </c>
    </row>
    <row r="9123" ht="15.75" customHeight="1">
      <c r="A9123" s="1">
        <v>9810.0</v>
      </c>
      <c r="B9123" s="3" t="s">
        <v>8748</v>
      </c>
      <c r="C9123" s="3" t="str">
        <f>IFERROR(__xludf.DUMMYFUNCTION("GOOGLETRANSLATE(B9123,""id"",""en"")"),"['Recommended', 'Package', 'Cheap', 'Cheap', 'Compared', 'Waruoeng', 'Credit']")</f>
        <v>['Recommended', 'Package', 'Cheap', 'Cheap', 'Compared', 'Waruoeng', 'Credit']</v>
      </c>
      <c r="D9123" s="3">
        <v>5.0</v>
      </c>
    </row>
    <row r="9124" ht="15.75" customHeight="1">
      <c r="A9124" s="1">
        <v>9811.0</v>
      </c>
      <c r="B9124" s="3" t="s">
        <v>8749</v>
      </c>
      <c r="C9124" s="3" t="str">
        <f>IFERROR(__xludf.DUMMYFUNCTION("GOOGLETRANSLATE(B9124,""id"",""en"")"),"['Pope', 'easy']")</f>
        <v>['Pope', 'easy']</v>
      </c>
      <c r="D9124" s="3">
        <v>5.0</v>
      </c>
    </row>
    <row r="9125" ht="15.75" customHeight="1">
      <c r="A9125" s="1">
        <v>9812.0</v>
      </c>
      <c r="B9125" s="3" t="s">
        <v>8750</v>
      </c>
      <c r="C9125" s="3" t="str">
        <f>IFERROR(__xludf.DUMMYFUNCTION("GOOGLETRANSLATE(B9125,""id"",""en"")"),"['error', 'ugly']")</f>
        <v>['error', 'ugly']</v>
      </c>
      <c r="D9125" s="3">
        <v>1.0</v>
      </c>
    </row>
    <row r="9126" ht="15.75" customHeight="1">
      <c r="A9126" s="1">
        <v>9814.0</v>
      </c>
      <c r="B9126" s="3" t="s">
        <v>8751</v>
      </c>
      <c r="C9126" s="3" t="str">
        <f>IFERROR(__xludf.DUMMYFUNCTION("GOOGLETRANSLATE(B9126,""id"",""en"")"),"['The application', 'Help', 'really', 'Top', 'Markotop', 'Anyway', ""]")</f>
        <v>['The application', 'Help', 'really', 'Top', 'Markotop', 'Anyway', "]</v>
      </c>
      <c r="D9126" s="3">
        <v>5.0</v>
      </c>
    </row>
    <row r="9127" ht="15.75" customHeight="1">
      <c r="A9127" s="1">
        <v>9815.0</v>
      </c>
      <c r="B9127" s="3" t="s">
        <v>8752</v>
      </c>
      <c r="C9127" s="3" t="str">
        <f>IFERROR(__xludf.DUMMYFUNCTION("GOOGLETRANSLATE(B9127,""id"",""en"")"),"['Package', 'Combo', 'Sakti', 'Unlimited', 'Special', 'Social', 'Used', 'Wait', 'Quota', 'Main', 'Out', 'DLU', ' used ',' detrimental ']")</f>
        <v>['Package', 'Combo', 'Sakti', 'Unlimited', 'Special', 'Social', 'Used', 'Wait', 'Quota', 'Main', 'Out', 'DLU', ' used ',' detrimental ']</v>
      </c>
      <c r="D9127" s="3">
        <v>2.0</v>
      </c>
    </row>
    <row r="9128" ht="15.75" customHeight="1">
      <c r="A9128" s="1">
        <v>9816.0</v>
      </c>
      <c r="B9128" s="3" t="s">
        <v>8753</v>
      </c>
      <c r="C9128" s="3" t="str">
        <f>IFERROR(__xludf.DUMMYFUNCTION("GOOGLETRANSLATE(B9128,""id"",""en"")"),"['buy', 'package', 'Kouta', 'application', 'check', 'connection', 'network', 'smooth', 'smooth', 'application', 'no', 'update', ' ']")</f>
        <v>['buy', 'package', 'Kouta', 'application', 'check', 'connection', 'network', 'smooth', 'smooth', 'application', 'no', 'update', ' ']</v>
      </c>
      <c r="D9128" s="3">
        <v>1.0</v>
      </c>
    </row>
    <row r="9129" ht="15.75" customHeight="1">
      <c r="A9129" s="1">
        <v>9817.0</v>
      </c>
      <c r="B9129" s="3" t="s">
        <v>4884</v>
      </c>
      <c r="C9129" s="3" t="str">
        <f>IFERROR(__xludf.DUMMYFUNCTION("GOOGLETRANSLATE(B9129,""id"",""en"")"),"['Paketan', 'expensive']")</f>
        <v>['Paketan', 'expensive']</v>
      </c>
      <c r="D9129" s="3">
        <v>5.0</v>
      </c>
    </row>
    <row r="9130" ht="15.75" customHeight="1">
      <c r="A9130" s="1">
        <v>9818.0</v>
      </c>
      <c r="B9130" s="3" t="s">
        <v>8754</v>
      </c>
      <c r="C9130" s="3" t="str">
        <f>IFERROR(__xludf.DUMMYFUNCTION("GOOGLETRANSLATE(B9130,""id"",""en"")"),"['hope', 'cheap', 'price']")</f>
        <v>['hope', 'cheap', 'price']</v>
      </c>
      <c r="D9130" s="3">
        <v>5.0</v>
      </c>
    </row>
    <row r="9131" ht="15.75" customHeight="1">
      <c r="A9131" s="1">
        <v>9819.0</v>
      </c>
      <c r="B9131" s="3" t="s">
        <v>8755</v>
      </c>
      <c r="C9131" s="3" t="str">
        <f>IFERROR(__xludf.DUMMYFUNCTION("GOOGLETRANSLATE(B9131,""id"",""en"")"),"['Package', 'Abis',' BSA ',' Open ',' Application ',' Hmmm ',' Ribet ',' Ngeselin ',' Want ',' Open ',' BLI ',' Application ',' Schedar ',' mentions', 'face', 'Telkomsel', 'bright', 'good', 'cool', 'raise', 'star', 'deh', 'please', 'tuk', 'package' , 'Out"&amp;"', 'Please', 'The application', 'BSA', 'Open', 'Package', 'Aahh', 'Application', 'Telkom', 'Bener', 'Error', 'SMLM', ' Package ',' combo ',' unlimitid ',' morning ',' package ',' udh ',' run out ',' ilang ',' bgtu ',' stay ',' doang ', ""]")</f>
        <v>['Package', 'Abis',' BSA ',' Open ',' Application ',' Hmmm ',' Ribet ',' Ngeselin ',' Want ',' Open ',' BLI ',' Application ',' Schedar ',' mentions', 'face', 'Telkomsel', 'bright', 'good', 'cool', 'raise', 'star', 'deh', 'please', 'tuk', 'package' , 'Out', 'Please', 'The application', 'BSA', 'Open', 'Package', 'Aahh', 'Application', 'Telkom', 'Bener', 'Error', 'SMLM', ' Package ',' combo ',' unlimitid ',' morning ',' package ',' udh ',' run out ',' ilang ',' bgtu ',' stay ',' doang ', "]</v>
      </c>
      <c r="D9131" s="3">
        <v>1.0</v>
      </c>
    </row>
    <row r="9132" ht="15.75" customHeight="1">
      <c r="A9132" s="1">
        <v>9820.0</v>
      </c>
      <c r="B9132" s="3" t="s">
        <v>8756</v>
      </c>
      <c r="C9132" s="3" t="str">
        <f>IFERROR(__xludf.DUMMYFUNCTION("GOOGLETRANSLATE(B9132,""id"",""en"")"),"['bad', 'performance', 'since' IndiHome ',' entry ',' Installation ',' Indihome ',' around ',' home ',' fix ',' tsel ',' pulp ',' Move ',' home ',' Mending ',' told ',' Unplug ',' Indihome ', ""]")</f>
        <v>['bad', 'performance', 'since' IndiHome ',' entry ',' Installation ',' Indihome ',' around ',' home ',' fix ',' tsel ',' pulp ',' Move ',' home ',' Mending ',' told ',' Unplug ',' Indihome ', "]</v>
      </c>
      <c r="D9132" s="3">
        <v>1.0</v>
      </c>
    </row>
    <row r="9133" ht="15.75" customHeight="1">
      <c r="A9133" s="1">
        <v>9821.0</v>
      </c>
      <c r="B9133" s="3" t="s">
        <v>8757</v>
      </c>
      <c r="C9133" s="3" t="str">
        <f>IFERROR(__xludf.DUMMYFUNCTION("GOOGLETRANSLATE(B9133,""id"",""en"")"),"['Promo', 'Phone', 'Network', 'Benerin', 'Network', 'Beneficial', 'People', 'Village', 'Provider', 'Communication', 'Telkomsel', 'Slogan', ' Best ',' Indonesia ',' Country ',' Country ',' Rates', 'Expensive', 'Lho', 'Rates',' Economical ',' Provider ', """&amp;"]")</f>
        <v>['Promo', 'Phone', 'Network', 'Benerin', 'Network', 'Beneficial', 'People', 'Village', 'Provider', 'Communication', 'Telkomsel', 'Slogan', ' Best ',' Indonesia ',' Country ',' Country ',' Rates', 'Expensive', 'Lho', 'Rates',' Economical ',' Provider ', "]</v>
      </c>
      <c r="D9133" s="3">
        <v>1.0</v>
      </c>
    </row>
    <row r="9134" ht="15.75" customHeight="1">
      <c r="A9134" s="1">
        <v>9822.0</v>
      </c>
      <c r="B9134" s="3" t="s">
        <v>8758</v>
      </c>
      <c r="C9134" s="3" t="str">
        <f>IFERROR(__xludf.DUMMYFUNCTION("GOOGLETRANSLATE(B9134,""id"",""en"")"),"['Kenpa', 'Credit', 'Cut', 'Data', 'Look']")</f>
        <v>['Kenpa', 'Credit', 'Cut', 'Data', 'Look']</v>
      </c>
      <c r="D9134" s="3">
        <v>1.0</v>
      </c>
    </row>
    <row r="9135" ht="15.75" customHeight="1">
      <c r="A9135" s="1">
        <v>9823.0</v>
      </c>
      <c r="B9135" s="3" t="s">
        <v>1840</v>
      </c>
      <c r="C9135" s="3" t="str">
        <f>IFERROR(__xludf.DUMMYFUNCTION("GOOGLETRANSLATE(B9135,""id"",""en"")"),"['bonus']")</f>
        <v>['bonus']</v>
      </c>
      <c r="D9135" s="3">
        <v>5.0</v>
      </c>
    </row>
    <row r="9136" ht="15.75" customHeight="1">
      <c r="A9136" s="1">
        <v>9824.0</v>
      </c>
      <c r="B9136" s="3" t="s">
        <v>8759</v>
      </c>
      <c r="C9136" s="3" t="str">
        <f>IFERROR(__xludf.DUMMYFUNCTION("GOOGLETRANSLATE(B9136,""id"",""en"")"),"['Wear', 'card', 'Telkomsel', 'automatic', 'data', 'use', 'Telkomsel', 'sometimes', 'move', 'network', 'weak', 'noticed']")</f>
        <v>['Wear', 'card', 'Telkomsel', 'automatic', 'data', 'use', 'Telkomsel', 'sometimes', 'move', 'network', 'weak', 'noticed']</v>
      </c>
      <c r="D9136" s="3">
        <v>3.0</v>
      </c>
    </row>
    <row r="9137" ht="15.75" customHeight="1">
      <c r="A9137" s="1">
        <v>9825.0</v>
      </c>
      <c r="B9137" s="3" t="s">
        <v>8760</v>
      </c>
      <c r="C9137" s="3" t="str">
        <f>IFERROR(__xludf.DUMMYFUNCTION("GOOGLETRANSLATE(B9137,""id"",""en"")"),"['quota', 'separated', 'user', 'comfortable', '']")</f>
        <v>['quota', 'separated', 'user', 'comfortable', '']</v>
      </c>
      <c r="D9137" s="3">
        <v>3.0</v>
      </c>
    </row>
    <row r="9138" ht="15.75" customHeight="1">
      <c r="A9138" s="1">
        <v>9826.0</v>
      </c>
      <c r="B9138" s="3" t="s">
        <v>8761</v>
      </c>
      <c r="C9138" s="3" t="str">
        <f>IFERROR(__xludf.DUMMYFUNCTION("GOOGLETRANSLATE(B9138,""id"",""en"")"),"['Telkomsel', 'mantaaap', 'thank', 'love', 'Telkomsel']")</f>
        <v>['Telkomsel', 'mantaaap', 'thank', 'love', 'Telkomsel']</v>
      </c>
      <c r="D9138" s="3">
        <v>5.0</v>
      </c>
    </row>
    <row r="9139" ht="15.75" customHeight="1">
      <c r="A9139" s="1">
        <v>9827.0</v>
      </c>
      <c r="B9139" s="3" t="s">
        <v>8762</v>
      </c>
      <c r="C9139" s="3" t="str">
        <f>IFERROR(__xludf.DUMMYFUNCTION("GOOGLETRANSLATE(B9139,""id"",""en"")"),"['application', 'cunning', 'open', 'application', 'Telkomsel', 'data', 'cellular', 'quota', 'direct', 'walk', 'stop', 'MB', ' MB ',' drained ',' runs', 'stop', 'drain', 'quota', 'Diama', 'cunning', '']")</f>
        <v>['application', 'cunning', 'open', 'application', 'Telkomsel', 'data', 'cellular', 'quota', 'direct', 'walk', 'stop', 'MB', ' MB ',' drained ',' runs', 'stop', 'drain', 'quota', 'Diama', 'cunning', '']</v>
      </c>
      <c r="D9139" s="3">
        <v>1.0</v>
      </c>
    </row>
    <row r="9140" ht="15.75" customHeight="1">
      <c r="A9140" s="1">
        <v>9828.0</v>
      </c>
      <c r="B9140" s="3" t="s">
        <v>8763</v>
      </c>
      <c r="C9140" s="3" t="str">
        <f>IFERROR(__xludf.DUMMYFUNCTION("GOOGLETRANSLATE(B9140,""id"",""en"")"),"['cleaned', 'garbage', 'cellphone', 'use', 'application', 'default', 'Samsung', '']")</f>
        <v>['cleaned', 'garbage', 'cellphone', 'use', 'application', 'default', 'Samsung', '']</v>
      </c>
      <c r="D9140" s="3">
        <v>1.0</v>
      </c>
    </row>
    <row r="9141" ht="15.75" customHeight="1">
      <c r="A9141" s="1">
        <v>9829.0</v>
      </c>
      <c r="B9141" s="3" t="s">
        <v>8764</v>
      </c>
      <c r="C9141" s="3" t="str">
        <f>IFERROR(__xludf.DUMMYFUNCTION("GOOGLETRANSLATE(B9141,""id"",""en"")"),"['Telkomsel', 'promo', '']")</f>
        <v>['Telkomsel', 'promo', '']</v>
      </c>
      <c r="D9141" s="3">
        <v>5.0</v>
      </c>
    </row>
    <row r="9142" ht="15.75" customHeight="1">
      <c r="A9142" s="1">
        <v>9830.0</v>
      </c>
      <c r="B9142" s="3" t="s">
        <v>8765</v>
      </c>
      <c r="C9142" s="3" t="str">
        <f>IFERROR(__xludf.DUMMYFUNCTION("GOOGLETRANSLATE(B9142,""id"",""en"")"),"['like', 'buy', 'package', 'internet', 'GB', 'application', 'sometimes', 'buy', 'Sometimes', '']")</f>
        <v>['like', 'buy', 'package', 'internet', 'GB', 'application', 'sometimes', 'buy', 'Sometimes', '']</v>
      </c>
      <c r="D9142" s="3">
        <v>2.0</v>
      </c>
    </row>
    <row r="9143" ht="15.75" customHeight="1">
      <c r="A9143" s="1">
        <v>9831.0</v>
      </c>
      <c r="B9143" s="3" t="s">
        <v>8766</v>
      </c>
      <c r="C9143" s="3" t="str">
        <f>IFERROR(__xludf.DUMMYFUNCTION("GOOGLETRANSLATE(B9143,""id"",""en"")"),"['Telkomsel', 'anti', 'slow', 'card', 'Sakti', 'buy', 'package', 'expensive', 'begit', 'please', 'body', 'network', ' Internet ',' Jagan ',' Results', 'already', 'Geresal', 'cave', 'buy', 'card', 'all-round', 'slow', 'run', 'package', 'run out' , 'Where',"&amp;" 'run', 'GIFT', 'Pending', 'SERBA', 'Pending', 'Dlm', 'Access',' Network ',' Business', 'Abandoned', 'Bls',' ulansan ',' fast ',' action ',' continued ',' Telkomsel ',' slow ',' jagan ',' bayzi ',' community ',' boss', 'try', 'release', 'fix' , 'Emotion',"&amp;" 'Cave', 'accomodated', 'Gara', 'Jaringgan', 'Lemot']")</f>
        <v>['Telkomsel', 'anti', 'slow', 'card', 'Sakti', 'buy', 'package', 'expensive', 'begit', 'please', 'body', 'network', ' Internet ',' Jagan ',' Results', 'already', 'Geresal', 'cave', 'buy', 'card', 'all-round', 'slow', 'run', 'package', 'run out' , 'Where', 'run', 'GIFT', 'Pending', 'SERBA', 'Pending', 'Dlm', 'Access',' Network ',' Business', 'Abandoned', 'Bls',' ulansan ',' fast ',' action ',' continued ',' Telkomsel ',' slow ',' jagan ',' bayzi ',' community ',' boss', 'try', 'release', 'fix' , 'Emotion', 'Cave', 'accomodated', 'Gara', 'Jaringgan', 'Lemot']</v>
      </c>
      <c r="D9143" s="3">
        <v>1.0</v>
      </c>
    </row>
    <row r="9144" ht="15.75" customHeight="1">
      <c r="A9144" s="1">
        <v>9832.0</v>
      </c>
      <c r="B9144" s="3" t="s">
        <v>8767</v>
      </c>
      <c r="C9144" s="3" t="str">
        <f>IFERROR(__xludf.DUMMYFUNCTION("GOOGLETRANSLATE(B9144,""id"",""en"")"),"['Meng', 'Update', 'Telkomsel', 'Use', 'Android', 'MMG', 'Kopetibele', 'Android', 'Version', 'Latest', ""]")</f>
        <v>['Meng', 'Update', 'Telkomsel', 'Use', 'Android', 'MMG', 'Kopetibele', 'Android', 'Version', 'Latest', "]</v>
      </c>
      <c r="D9144" s="3">
        <v>2.0</v>
      </c>
    </row>
    <row r="9145" ht="15.75" customHeight="1">
      <c r="A9145" s="1">
        <v>9833.0</v>
      </c>
      <c r="B9145" s="3" t="s">
        <v>8768</v>
      </c>
      <c r="C9145" s="3" t="str">
        <f>IFERROR(__xludf.DUMMYFUNCTION("GOOGLETRANSLATE(B9145,""id"",""en"")"),"['price', 'expensive', 'comparable', 'quality', 'network', 'bad', '']")</f>
        <v>['price', 'expensive', 'comparable', 'quality', 'network', 'bad', '']</v>
      </c>
      <c r="D9145" s="3">
        <v>1.0</v>
      </c>
    </row>
    <row r="9146" ht="15.75" customHeight="1">
      <c r="A9146" s="1">
        <v>9834.0</v>
      </c>
      <c r="B9146" s="3" t="s">
        <v>8769</v>
      </c>
      <c r="C9146" s="3" t="str">
        <f>IFERROR(__xludf.DUMMYFUNCTION("GOOGLETRANSLATE(B9146,""id"",""en"")"),"['Telkomsel', 'in the area', 'good', 'application', 'expensive', 'price', 'pulses', 'bad', 'reception', 'signal']")</f>
        <v>['Telkomsel', 'in the area', 'good', 'application', 'expensive', 'price', 'pulses', 'bad', 'reception', 'signal']</v>
      </c>
      <c r="D9146" s="3">
        <v>2.0</v>
      </c>
    </row>
    <row r="9147" ht="15.75" customHeight="1">
      <c r="A9147" s="1">
        <v>9835.0</v>
      </c>
      <c r="B9147" s="3" t="s">
        <v>8770</v>
      </c>
      <c r="C9147" s="3" t="str">
        <f>IFERROR(__xludf.DUMMYFUNCTION("GOOGLETRANSLATE(B9147,""id"",""en"")"),"['Promo', 'Addin']")</f>
        <v>['Promo', 'Addin']</v>
      </c>
      <c r="D9147" s="3">
        <v>5.0</v>
      </c>
    </row>
    <row r="9148" ht="15.75" customHeight="1">
      <c r="A9148" s="1">
        <v>9836.0</v>
      </c>
      <c r="B9148" s="3" t="s">
        <v>8771</v>
      </c>
      <c r="C9148" s="3" t="str">
        <f>IFERROR(__xludf.DUMMYFUNCTION("GOOGLETRANSLATE(B9148,""id"",""en"")"),"['Service', 'makes it easy', 'TOP']")</f>
        <v>['Service', 'makes it easy', 'TOP']</v>
      </c>
      <c r="D9148" s="3">
        <v>5.0</v>
      </c>
    </row>
    <row r="9149" ht="15.75" customHeight="1">
      <c r="A9149" s="1">
        <v>9837.0</v>
      </c>
      <c r="B9149" s="3" t="s">
        <v>8772</v>
      </c>
      <c r="C9149" s="3" t="str">
        <f>IFERROR(__xludf.DUMMYFUNCTION("GOOGLETRANSLATE(B9149,""id"",""en"")"),"['Alhamdulillah', 'in', 'city', 'slow', 'signal', 'ugly', 'brought', 'village', 'sick', 'weak', 'signal', 'given', ' medicine ',' strong ',' convinced ',' hardss', 'kenceng', 'rich', 'pactor', 'old', 'times',' costumer ',' complement ',' ignited ', ""]")</f>
        <v>['Alhamdulillah', 'in', 'city', 'slow', 'signal', 'ugly', 'brought', 'village', 'sick', 'weak', 'signal', 'given', ' medicine ',' strong ',' convinced ',' hardss', 'kenceng', 'rich', 'pactor', 'old', 'times',' costumer ',' complement ',' ignited ', "]</v>
      </c>
      <c r="D9149" s="3">
        <v>2.0</v>
      </c>
    </row>
    <row r="9150" ht="15.75" customHeight="1">
      <c r="A9150" s="1">
        <v>9838.0</v>
      </c>
      <c r="B9150" s="3" t="s">
        <v>8773</v>
      </c>
      <c r="C9150" s="3" t="str">
        <f>IFERROR(__xludf.DUMMYFUNCTION("GOOGLETRANSLATE(B9150,""id"",""en"")"),"['signal', 'good', 'price', 'package', 'expensive', 'program', 'minutes', 'talk', 'bonus', 'minute', 'Adin', ""]")</f>
        <v>['signal', 'good', 'price', 'package', 'expensive', 'program', 'minutes', 'talk', 'bonus', 'minute', 'Adin', "]</v>
      </c>
      <c r="D9150" s="3">
        <v>5.0</v>
      </c>
    </row>
    <row r="9151" ht="15.75" customHeight="1">
      <c r="A9151" s="1">
        <v>9839.0</v>
      </c>
      <c r="B9151" s="3" t="s">
        <v>8774</v>
      </c>
      <c r="C9151" s="3" t="str">
        <f>IFERROR(__xludf.DUMMYFUNCTION("GOOGLETRANSLATE(B9151,""id"",""en"")"),"['udh', 'cave', 'boycott', 'drift', 'pulse', 'cave', 'ilang', 'pulse', 'silent', 'corrupt', 'pulse', 'rb', ' Cave ',' ilang ',' ditallanted ',' can ',' sue ',' make ',' telkom ',' already ',' network ',' ampes', 'pdhl', 'cave', 'lived' , 'City', 'Thanks',"&amp;" 'Drift', 'Credit', 'Guaranteed', 'Slime', 'Haram']")</f>
        <v>['udh', 'cave', 'boycott', 'drift', 'pulse', 'cave', 'ilang', 'pulse', 'silent', 'corrupt', 'pulse', 'rb', ' Cave ',' ilang ',' ditallanted ',' can ',' sue ',' make ',' telkom ',' already ',' network ',' ampes', 'pdhl', 'cave', 'lived' , 'City', 'Thanks', 'Drift', 'Credit', 'Guaranteed', 'Slime', 'Haram']</v>
      </c>
      <c r="D9151" s="3">
        <v>2.0</v>
      </c>
    </row>
    <row r="9152" ht="15.75" customHeight="1">
      <c r="A9152" s="1">
        <v>9840.0</v>
      </c>
      <c r="B9152" s="3" t="s">
        <v>8775</v>
      </c>
      <c r="C9152" s="3" t="str">
        <f>IFERROR(__xludf.DUMMYFUNCTION("GOOGLETRANSLATE(B9152,""id"",""en"")"),"['Alhamdulillah', 'the application', 'useful', 'student', 'buy', 'pulse', 'package', 'data', 'etc.', 'application', 'thank', ' MyTelkomsel ']")</f>
        <v>['Alhamdulillah', 'the application', 'useful', 'student', 'buy', 'pulse', 'package', 'data', 'etc.', 'application', 'thank', ' MyTelkomsel ']</v>
      </c>
      <c r="D9152" s="3">
        <v>5.0</v>
      </c>
    </row>
    <row r="9153" ht="15.75" customHeight="1">
      <c r="A9153" s="1">
        <v>9842.0</v>
      </c>
      <c r="B9153" s="3" t="s">
        <v>8776</v>
      </c>
      <c r="C9153" s="3" t="str">
        <f>IFERROR(__xludf.DUMMYFUNCTION("GOOGLETRANSLATE(B9153,""id"",""en"")"),"['fast', 'transparent']")</f>
        <v>['fast', 'transparent']</v>
      </c>
      <c r="D9153" s="3">
        <v>5.0</v>
      </c>
    </row>
    <row r="9154" ht="15.75" customHeight="1">
      <c r="A9154" s="1">
        <v>9843.0</v>
      </c>
      <c r="B9154" s="3" t="s">
        <v>8777</v>
      </c>
      <c r="C9154" s="3" t="str">
        <f>IFERROR(__xludf.DUMMYFUNCTION("GOOGLETRANSLATE(B9154,""id"",""en"")"),"['Please', 'Telkomsel', 'Network', 'Fix', 'Main', 'Game', 'Network', 'Telkomsel', 'Ngelag', ""]")</f>
        <v>['Please', 'Telkomsel', 'Network', 'Fix', 'Main', 'Game', 'Network', 'Telkomsel', 'Ngelag', "]</v>
      </c>
      <c r="D9154" s="3">
        <v>1.0</v>
      </c>
    </row>
    <row r="9155" ht="15.75" customHeight="1">
      <c r="A9155" s="1">
        <v>9844.0</v>
      </c>
      <c r="B9155" s="3" t="s">
        <v>8778</v>
      </c>
      <c r="C9155" s="3" t="str">
        <f>IFERROR(__xludf.DUMMYFUNCTION("GOOGLETRANSLATE(B9155,""id"",""en"")"),"['Class',' Telkomsel ',' Application ',' Telkomsel ',' Delicious', 'Used', 'Try', 'Love', 'Menu', 'Search', 'Gampang', 'Search', ' list ',' quota ',' search ',' package ',' night ',' difficult ',' really ',' change ',' menu ']")</f>
        <v>['Class',' Telkomsel ',' Application ',' Telkomsel ',' Delicious', 'Used', 'Try', 'Love', 'Menu', 'Search', 'Gampang', 'Search', ' list ',' quota ',' search ',' package ',' night ',' difficult ',' really ',' change ',' menu ']</v>
      </c>
      <c r="D9155" s="3">
        <v>3.0</v>
      </c>
    </row>
    <row r="9156" ht="15.75" customHeight="1">
      <c r="A9156" s="1">
        <v>9846.0</v>
      </c>
      <c r="B9156" s="3" t="s">
        <v>8779</v>
      </c>
      <c r="C9156" s="3" t="str">
        <f>IFERROR(__xludf.DUMMYFUNCTION("GOOGLETRANSLATE(B9156,""id"",""en"")"),"['Buy', 'Package', 'Difficult', 'Lemoooot', 'Application', 'Pay', 'Shoope', 'Pay', 'Pulse', 'Sumpot', 'Continations']")</f>
        <v>['Buy', 'Package', 'Difficult', 'Lemoooot', 'Application', 'Pay', 'Shoope', 'Pay', 'Pulse', 'Sumpot', 'Continations']</v>
      </c>
      <c r="D9156" s="3">
        <v>1.0</v>
      </c>
    </row>
    <row r="9157" ht="15.75" customHeight="1">
      <c r="A9157" s="1">
        <v>9847.0</v>
      </c>
      <c r="B9157" s="3" t="s">
        <v>8780</v>
      </c>
      <c r="C9157" s="3" t="str">
        <f>IFERROR(__xludf.DUMMYFUNCTION("GOOGLETRANSLATE(B9157,""id"",""en"")"),"['Good', 'steady', '']")</f>
        <v>['Good', 'steady', '']</v>
      </c>
      <c r="D9157" s="3">
        <v>5.0</v>
      </c>
    </row>
    <row r="9158" ht="15.75" customHeight="1">
      <c r="A9158" s="1">
        <v>9848.0</v>
      </c>
      <c r="B9158" s="3" t="s">
        <v>8781</v>
      </c>
      <c r="C9158" s="3" t="str">
        <f>IFERROR(__xludf.DUMMYFUNCTION("GOOGLETRANSLATE(B9158,""id"",""en"")"),"['expensive', 'yes',' good ',' quality ',' dubic ',' stable ',' run out ',' release ',' nda ',' reach ',' signal ',' daki ',' horses', 'nil', 'gwa', 'tower', 'km', 'looks',' tower ',' ']")</f>
        <v>['expensive', 'yes',' good ',' quality ',' dubic ',' stable ',' run out ',' release ',' nda ',' reach ',' signal ',' daki ',' horses', 'nil', 'gwa', 'tower', 'km', 'looks',' tower ',' ']</v>
      </c>
      <c r="D9158" s="3">
        <v>1.0</v>
      </c>
    </row>
    <row r="9159" ht="15.75" customHeight="1">
      <c r="A9159" s="1">
        <v>9849.0</v>
      </c>
      <c r="B9159" s="3" t="s">
        <v>8782</v>
      </c>
      <c r="C9159" s="3" t="str">
        <f>IFERROR(__xludf.DUMMYFUNCTION("GOOGLETRANSLATE(B9159,""id"",""en"")"),"['Sangant', 'pampering', 'Customer']")</f>
        <v>['Sangant', 'pampering', 'Customer']</v>
      </c>
      <c r="D9159" s="3">
        <v>5.0</v>
      </c>
    </row>
    <row r="9160" ht="15.75" customHeight="1">
      <c r="A9160" s="1">
        <v>9850.0</v>
      </c>
      <c r="B9160" s="3" t="s">
        <v>8783</v>
      </c>
      <c r="C9160" s="3" t="str">
        <f>IFERROR(__xludf.DUMMYFUNCTION("GOOGLETRANSLATE(B9160,""id"",""en"")"),"['Thank you', 'visit', 'Congratulations', '']")</f>
        <v>['Thank you', 'visit', 'Congratulations', '']</v>
      </c>
      <c r="D9160" s="3">
        <v>5.0</v>
      </c>
    </row>
    <row r="9161" ht="15.75" customHeight="1">
      <c r="A9161" s="1">
        <v>9851.0</v>
      </c>
      <c r="B9161" s="3" t="s">
        <v>2914</v>
      </c>
      <c r="C9161" s="3" t="str">
        <f>IFERROR(__xludf.DUMMYFUNCTION("GOOGLETRANSLATE(B9161,""id"",""en"")"),"['Good', 'help']")</f>
        <v>['Good', 'help']</v>
      </c>
      <c r="D9161" s="3">
        <v>5.0</v>
      </c>
    </row>
    <row r="9162" ht="15.75" customHeight="1">
      <c r="A9162" s="1">
        <v>9852.0</v>
      </c>
      <c r="B9162" s="3" t="s">
        <v>8784</v>
      </c>
      <c r="C9162" s="3" t="str">
        <f>IFERROR(__xludf.DUMMYFUNCTION("GOOGLETRANSLATE(B9162,""id"",""en"")"),"['easy', 'communicative']")</f>
        <v>['easy', 'communicative']</v>
      </c>
      <c r="D9162" s="3">
        <v>5.0</v>
      </c>
    </row>
    <row r="9163" ht="15.75" customHeight="1">
      <c r="A9163" s="1">
        <v>9853.0</v>
      </c>
      <c r="B9163" s="3" t="s">
        <v>8785</v>
      </c>
      <c r="C9163" s="3" t="str">
        <f>IFERROR(__xludf.DUMMYFUNCTION("GOOGLETRANSLATE(B9163,""id"",""en"")"),"['quality', 'decreases', 'stable', 'sucked', 'quota', 'tetep', 'kenceng', ""]")</f>
        <v>['quality', 'decreases', 'stable', 'sucked', 'quota', 'tetep', 'kenceng', "]</v>
      </c>
      <c r="D9163" s="3">
        <v>2.0</v>
      </c>
    </row>
    <row r="9164" ht="15.75" customHeight="1">
      <c r="A9164" s="1">
        <v>9854.0</v>
      </c>
      <c r="B9164" s="3" t="s">
        <v>8786</v>
      </c>
      <c r="C9164" s="3" t="str">
        <f>IFERROR(__xludf.DUMMYFUNCTION("GOOGLETRANSLATE(B9164,""id"",""en"")"),"['bsa', 'fill', 'pulse']")</f>
        <v>['bsa', 'fill', 'pulse']</v>
      </c>
      <c r="D9164" s="3">
        <v>5.0</v>
      </c>
    </row>
    <row r="9165" ht="15.75" customHeight="1">
      <c r="A9165" s="1">
        <v>9855.0</v>
      </c>
      <c r="B9165" s="3" t="s">
        <v>8787</v>
      </c>
      <c r="C9165" s="3" t="str">
        <f>IFERROR(__xludf.DUMMYFUNCTION("GOOGLETRANSLATE(B9165,""id"",""en"")"),"['Good', 'good', 'internet', 'registered', 'network', 'already', 'awaited', 'tetep', 'network']")</f>
        <v>['Good', 'good', 'internet', 'registered', 'network', 'already', 'awaited', 'tetep', 'network']</v>
      </c>
      <c r="D9165" s="3">
        <v>4.0</v>
      </c>
    </row>
    <row r="9166" ht="15.75" customHeight="1">
      <c r="A9166" s="1">
        <v>9856.0</v>
      </c>
      <c r="B9166" s="3" t="s">
        <v>8788</v>
      </c>
      <c r="C9166" s="3" t="str">
        <f>IFERROR(__xludf.DUMMYFUNCTION("GOOGLETRANSLATE(B9166,""id"",""en"")"),"['signal', 'NJR', 'use', 'Gede', 'really', 'open', 'smooth', 'TPI', 'turn', 'Ngegame', 'codm', 'ilang', ' Sometimes', 'empty', 'repay', 'napa']")</f>
        <v>['signal', 'NJR', 'use', 'Gede', 'really', 'open', 'smooth', 'TPI', 'turn', 'Ngegame', 'codm', 'ilang', ' Sometimes', 'empty', 'repay', 'napa']</v>
      </c>
      <c r="D9166" s="3">
        <v>1.0</v>
      </c>
    </row>
    <row r="9167" ht="15.75" customHeight="1">
      <c r="A9167" s="1">
        <v>9859.0</v>
      </c>
      <c r="B9167" s="3" t="s">
        <v>8789</v>
      </c>
      <c r="C9167" s="3" t="str">
        <f>IFERROR(__xludf.DUMMYFUNCTION("GOOGLETRANSLATE(B9167,""id"",""en"")"),"['application', 'fraudsters', 'sucked', 'pulse', 'call', 'sms', 'mobile', 'data', 'pulse', 'sumps', '']")</f>
        <v>['application', 'fraudsters', 'sucked', 'pulse', 'call', 'sms', 'mobile', 'data', 'pulse', 'sumps', '']</v>
      </c>
      <c r="D9167" s="3">
        <v>1.0</v>
      </c>
    </row>
    <row r="9168" ht="15.75" customHeight="1">
      <c r="A9168" s="1">
        <v>9860.0</v>
      </c>
      <c r="B9168" s="3" t="s">
        <v>8790</v>
      </c>
      <c r="C9168" s="3" t="str">
        <f>IFERROR(__xludf.DUMMYFUNCTION("GOOGLETRANSLATE(B9168,""id"",""en"")"),"['Network', 'ugly', 'Player', 'Game', 'Upset', 'Karna', 'Network', 'Telkomsel']")</f>
        <v>['Network', 'ugly', 'Player', 'Game', 'Upset', 'Karna', 'Network', 'Telkomsel']</v>
      </c>
      <c r="D9168" s="3">
        <v>1.0</v>
      </c>
    </row>
    <row r="9169" ht="15.75" customHeight="1">
      <c r="A9169" s="1">
        <v>9861.0</v>
      </c>
      <c r="B9169" s="3" t="s">
        <v>8791</v>
      </c>
      <c r="C9169" s="3" t="str">
        <f>IFERROR(__xludf.DUMMYFUNCTION("GOOGLETRANSLATE(B9169,""id"",""en"")"),"['Open', 'Application', 'Soon', 'Slalu', 'ilang', 'The application', 'ugly', 'buy', 'package', 'quota', 'difficult', '']")</f>
        <v>['Open', 'Application', 'Soon', 'Slalu', 'ilang', 'The application', 'ugly', 'buy', 'package', 'quota', 'difficult', '']</v>
      </c>
      <c r="D9169" s="3">
        <v>4.0</v>
      </c>
    </row>
    <row r="9170" ht="15.75" customHeight="1">
      <c r="A9170" s="1">
        <v>9862.0</v>
      </c>
      <c r="B9170" s="3" t="s">
        <v>8792</v>
      </c>
      <c r="C9170" s="3" t="str">
        <f>IFERROR(__xludf.DUMMYFUNCTION("GOOGLETRANSLATE(B9170,""id"",""en"")"),"['love', 'price', 'promo', 'cheapest']")</f>
        <v>['love', 'price', 'promo', 'cheapest']</v>
      </c>
      <c r="D9170" s="3">
        <v>4.0</v>
      </c>
    </row>
    <row r="9171" ht="15.75" customHeight="1">
      <c r="A9171" s="1">
        <v>9863.0</v>
      </c>
      <c r="B9171" s="3" t="s">
        <v>8793</v>
      </c>
      <c r="C9171" s="3" t="str">
        <f>IFERROR(__xludf.DUMMYFUNCTION("GOOGLETRANSLATE(B9171,""id"",""en"")"),"['Membantu']")</f>
        <v>['Membantu']</v>
      </c>
      <c r="D9171" s="3">
        <v>5.0</v>
      </c>
    </row>
    <row r="9172" ht="15.75" customHeight="1">
      <c r="A9172" s="1">
        <v>9864.0</v>
      </c>
      <c r="B9172" s="3" t="s">
        <v>8794</v>
      </c>
      <c r="C9172" s="3" t="str">
        <f>IFERROR(__xludf.DUMMYFUNCTION("GOOGLETRANSLATE(B9172,""id"",""en"")"),"['berikami', 'quality', 'network']")</f>
        <v>['berikami', 'quality', 'network']</v>
      </c>
      <c r="D9172" s="3">
        <v>3.0</v>
      </c>
    </row>
    <row r="9173" ht="15.75" customHeight="1">
      <c r="A9173" s="1">
        <v>9865.0</v>
      </c>
      <c r="B9173" s="3" t="s">
        <v>8795</v>
      </c>
      <c r="C9173" s="3" t="str">
        <f>IFERROR(__xludf.DUMMYFUNCTION("GOOGLETRANSLATE(B9173,""id"",""en"")"),"['The application', 'good', 'Telkomsel', 'good', 'network', 'want', 'ask', 'buy', 'quota', 'buy', 'subscribe', 'buy', ' Internet packages', '']")</f>
        <v>['The application', 'good', 'Telkomsel', 'good', 'network', 'want', 'ask', 'buy', 'quota', 'buy', 'subscribe', 'buy', ' Internet packages', '']</v>
      </c>
      <c r="D9173" s="3">
        <v>4.0</v>
      </c>
    </row>
    <row r="9174" ht="15.75" customHeight="1">
      <c r="A9174" s="1">
        <v>9866.0</v>
      </c>
      <c r="B9174" s="3" t="s">
        <v>8796</v>
      </c>
      <c r="C9174" s="3" t="str">
        <f>IFERROR(__xludf.DUMMYFUNCTION("GOOGLETRANSLATE(B9174,""id"",""en"")"),"['easy', 'consistent', 'advanced']")</f>
        <v>['easy', 'consistent', 'advanced']</v>
      </c>
      <c r="D9174" s="3">
        <v>5.0</v>
      </c>
    </row>
    <row r="9175" ht="15.75" customHeight="1">
      <c r="A9175" s="1">
        <v>9867.0</v>
      </c>
      <c r="B9175" s="3" t="s">
        <v>8797</v>
      </c>
      <c r="C9175" s="3" t="str">
        <f>IFERROR(__xludf.DUMMYFUNCTION("GOOGLETRANSLATE(B9175,""id"",""en"")"),"['Box', 'rice', 'porridge']")</f>
        <v>['Box', 'rice', 'porridge']</v>
      </c>
      <c r="D9175" s="3">
        <v>5.0</v>
      </c>
    </row>
    <row r="9176" ht="15.75" customHeight="1">
      <c r="A9176" s="1">
        <v>9868.0</v>
      </c>
      <c r="B9176" s="3" t="s">
        <v>8798</v>
      </c>
      <c r="C9176" s="3" t="str">
        <f>IFERROR(__xludf.DUMMYFUNCTION("GOOGLETRANSLATE(B9176,""id"",""en"")"),"['Limitation', 'Quota', 'Unlimited', 'Apps',' Severe ',' YouTube ',' Cheap ',' Pas', 'Launching', 'Want', 'Change', 'Card', ' ']")</f>
        <v>['Limitation', 'Quota', 'Unlimited', 'Apps',' Severe ',' YouTube ',' Cheap ',' Pas', 'Launching', 'Want', 'Change', 'Card', ' ']</v>
      </c>
      <c r="D9176" s="3">
        <v>1.0</v>
      </c>
    </row>
    <row r="9177" ht="15.75" customHeight="1">
      <c r="A9177" s="1">
        <v>9869.0</v>
      </c>
      <c r="B9177" s="3" t="s">
        <v>8799</v>
      </c>
      <c r="C9177" s="3" t="str">
        <f>IFERROR(__xludf.DUMMYFUNCTION("GOOGLETRANSLATE(B9177,""id"",""en"")"),"['Package', 'unlimited', 'game', 'sosmed', 'music', 'sad', 'really', 'here', 'kaga', 'slow', 'really', 'open', ' Facebook ',' Doang ',' Adin ',' No "", 'Shame', 'Customer', 'Kasian', 'Customer', 'Faithful',""]")</f>
        <v>['Package', 'unlimited', 'game', 'sosmed', 'music', 'sad', 'really', 'here', 'kaga', 'slow', 'really', 'open', ' Facebook ',' Doang ',' Adin ',' No ", 'Shame', 'Customer', 'Kasian', 'Customer', 'Faithful',"]</v>
      </c>
      <c r="D9177" s="3">
        <v>2.0</v>
      </c>
    </row>
    <row r="9178" ht="15.75" customHeight="1">
      <c r="A9178" s="1">
        <v>9870.0</v>
      </c>
      <c r="B9178" s="3" t="s">
        <v>8800</v>
      </c>
      <c r="C9178" s="3" t="str">
        <f>IFERROR(__xludf.DUMMYFUNCTION("GOOGLETRANSLATE(B9178,""id"",""en"")"),"['It's easy', 'purchase', 'quota', 'check', 'quota']")</f>
        <v>['It's easy', 'purchase', 'quota', 'check', 'quota']</v>
      </c>
      <c r="D9178" s="3">
        <v>5.0</v>
      </c>
    </row>
    <row r="9179" ht="15.75" customHeight="1">
      <c r="A9179" s="1">
        <v>9871.0</v>
      </c>
      <c r="B9179" s="3" t="s">
        <v>8801</v>
      </c>
      <c r="C9179" s="3" t="str">
        <f>IFERROR(__xludf.DUMMYFUNCTION("GOOGLETRANSLATE(B9179,""id"",""en"")"),"['Not bad', 'help', 'selection', 'package', 'internet']")</f>
        <v>['Not bad', 'help', 'selection', 'package', 'internet']</v>
      </c>
      <c r="D9179" s="3">
        <v>5.0</v>
      </c>
    </row>
    <row r="9180" ht="15.75" customHeight="1">
      <c r="A9180" s="1">
        <v>9872.0</v>
      </c>
      <c r="B9180" s="3" t="s">
        <v>8802</v>
      </c>
      <c r="C9180" s="3" t="str">
        <f>IFERROR(__xludf.DUMMYFUNCTION("GOOGLETRANSLATE(B9180,""id"",""en"")"),"['price', 'package', 'expensive', 'quality', 'signal', 'ugly']")</f>
        <v>['price', 'package', 'expensive', 'quality', 'signal', 'ugly']</v>
      </c>
      <c r="D9180" s="3">
        <v>1.0</v>
      </c>
    </row>
    <row r="9181" ht="15.75" customHeight="1">
      <c r="A9181" s="1">
        <v>9873.0</v>
      </c>
      <c r="B9181" s="3" t="s">
        <v>8803</v>
      </c>
      <c r="C9181" s="3" t="str">
        <f>IFERROR(__xludf.DUMMYFUNCTION("GOOGLETRANSLATE(B9181,""id"",""en"")"),"['Telkomsel', 'missing', 'signal']")</f>
        <v>['Telkomsel', 'missing', 'signal']</v>
      </c>
      <c r="D9181" s="3">
        <v>2.0</v>
      </c>
    </row>
    <row r="9182" ht="15.75" customHeight="1">
      <c r="A9182" s="1">
        <v>9875.0</v>
      </c>
      <c r="B9182" s="3" t="s">
        <v>8804</v>
      </c>
      <c r="C9182" s="3" t="str">
        <f>IFERROR(__xludf.DUMMYFUNCTION("GOOGLETRANSLATE(B9182,""id"",""en"")"),"['Network', 'ugly', 'severe']")</f>
        <v>['Network', 'ugly', 'severe']</v>
      </c>
      <c r="D9182" s="3">
        <v>1.0</v>
      </c>
    </row>
    <row r="9183" ht="15.75" customHeight="1">
      <c r="A9183" s="1">
        <v>9876.0</v>
      </c>
      <c r="B9183" s="3" t="s">
        <v>8805</v>
      </c>
      <c r="C9183" s="3" t="str">
        <f>IFERROR(__xludf.DUMMYFUNCTION("GOOGLETRANSLATE(B9183,""id"",""en"")"),"['credit', 'reduced', 'access',' internet ',' quota ',' use ',' data ',' provider ',' jai ',' price ',' package ',' expensive ',' Telkomsel ',' Fun ',' really ']")</f>
        <v>['credit', 'reduced', 'access',' internet ',' quota ',' use ',' data ',' provider ',' jai ',' price ',' package ',' expensive ',' Telkomsel ',' Fun ',' really ']</v>
      </c>
      <c r="D9183" s="3">
        <v>1.0</v>
      </c>
    </row>
    <row r="9184" ht="15.75" customHeight="1">
      <c r="A9184" s="1">
        <v>9877.0</v>
      </c>
      <c r="B9184" s="3" t="s">
        <v>779</v>
      </c>
      <c r="C9184" s="3" t="str">
        <f>IFERROR(__xludf.DUMMYFUNCTION("GOOGLETRANSLATE(B9184,""id"",""en"")"),"['Good', 'easy']")</f>
        <v>['Good', 'easy']</v>
      </c>
      <c r="D9184" s="3">
        <v>5.0</v>
      </c>
    </row>
    <row r="9185" ht="15.75" customHeight="1">
      <c r="A9185" s="1">
        <v>9878.0</v>
      </c>
      <c r="B9185" s="3" t="s">
        <v>8806</v>
      </c>
      <c r="C9185" s="3" t="str">
        <f>IFERROR(__xludf.DUMMYFUNCTION("GOOGLETRANSLATE(B9185,""id"",""en"")"),"['original', 'network', 'Telkomsel', 'ugly', 'cok', 'Sumpa', 'emotion', 'play', 'game', 'ilang', 'the network', 'original', ' Mending ',' moved ',' provider ',' next door ',' already ',' fed up ',' Telkomsel ',' Anjirr ',' parahh ']")</f>
        <v>['original', 'network', 'Telkomsel', 'ugly', 'cok', 'Sumpa', 'emotion', 'play', 'game', 'ilang', 'the network', 'original', ' Mending ',' moved ',' provider ',' next door ',' already ',' fed up ',' Telkomsel ',' Anjirr ',' parahh ']</v>
      </c>
      <c r="D9185" s="3">
        <v>1.0</v>
      </c>
    </row>
    <row r="9186" ht="15.75" customHeight="1">
      <c r="A9186" s="1">
        <v>9879.0</v>
      </c>
      <c r="B9186" s="3" t="s">
        <v>8807</v>
      </c>
      <c r="C9186" s="3" t="str">
        <f>IFERROR(__xludf.DUMMYFUNCTION("GOOGLETRANSLATE(B9186,""id"",""en"")"),"['enter', 'Telkomsel', 'number', 'made', 'complicated', 'taik']")</f>
        <v>['enter', 'Telkomsel', 'number', 'made', 'complicated', 'taik']</v>
      </c>
      <c r="D9186" s="3">
        <v>1.0</v>
      </c>
    </row>
    <row r="9187" ht="15.75" customHeight="1">
      <c r="A9187" s="1">
        <v>9880.0</v>
      </c>
      <c r="B9187" s="3" t="s">
        <v>8808</v>
      </c>
      <c r="C9187" s="3" t="str">
        <f>IFERROR(__xludf.DUMMYFUNCTION("GOOGLETRANSLATE(B9187,""id"",""en"")"),"['Like', 'MyTelkomsel', 'Sangant', 'Help']")</f>
        <v>['Like', 'MyTelkomsel', 'Sangant', 'Help']</v>
      </c>
      <c r="D9187" s="3">
        <v>5.0</v>
      </c>
    </row>
    <row r="9188" ht="15.75" customHeight="1">
      <c r="A9188" s="1">
        <v>9881.0</v>
      </c>
      <c r="B9188" s="3" t="s">
        <v>8809</v>
      </c>
      <c r="C9188" s="3" t="str">
        <f>IFERROR(__xludf.DUMMYFUNCTION("GOOGLETRANSLATE(B9188,""id"",""en"")"),"['NGK', 'Groundness', 'MMEPERPANJNG', 'Massa', 'Aktof', 'Litu']")</f>
        <v>['NGK', 'Groundness', 'MMEPERPANJNG', 'Massa', 'Aktof', 'Litu']</v>
      </c>
      <c r="D9188" s="3">
        <v>2.0</v>
      </c>
    </row>
    <row r="9189" ht="15.75" customHeight="1">
      <c r="A9189" s="1">
        <v>9882.0</v>
      </c>
      <c r="B9189" s="3" t="s">
        <v>8810</v>
      </c>
      <c r="C9189" s="3" t="str">
        <f>IFERROR(__xludf.DUMMYFUNCTION("GOOGLETRANSLATE(B9189,""id"",""en"")"),"['application', 'difficult', 'open', 'network', 'full', 'display', 'network', 'error', ""]")</f>
        <v>['application', 'difficult', 'open', 'network', 'full', 'display', 'network', 'error', "]</v>
      </c>
      <c r="D9189" s="3">
        <v>5.0</v>
      </c>
    </row>
    <row r="9190" ht="15.75" customHeight="1">
      <c r="A9190" s="1">
        <v>9883.0</v>
      </c>
      <c r="B9190" s="3" t="s">
        <v>8811</v>
      </c>
      <c r="C9190" s="3" t="str">
        <f>IFERROR(__xludf.DUMMYFUNCTION("GOOGLETRANSLATE(B9190,""id"",""en"")"),"['Sngt', 'help']")</f>
        <v>['Sngt', 'help']</v>
      </c>
      <c r="D9190" s="3">
        <v>5.0</v>
      </c>
    </row>
    <row r="9191" ht="15.75" customHeight="1">
      <c r="A9191" s="1">
        <v>9884.0</v>
      </c>
      <c r="B9191" s="3" t="s">
        <v>8812</v>
      </c>
      <c r="C9191" s="3" t="str">
        <f>IFERROR(__xludf.DUMMYFUNCTION("GOOGLETRANSLATE(B9191,""id"",""en"")"),"['improve', 'service', 'good']")</f>
        <v>['improve', 'service', 'good']</v>
      </c>
      <c r="D9191" s="3">
        <v>5.0</v>
      </c>
    </row>
    <row r="9192" ht="15.75" customHeight="1">
      <c r="A9192" s="1">
        <v>9885.0</v>
      </c>
      <c r="B9192" s="3" t="s">
        <v>8813</v>
      </c>
      <c r="C9192" s="3" t="str">
        <f>IFERROR(__xludf.DUMMYFUNCTION("GOOGLETRANSLATE(B9192,""id"",""en"")"),"['Provider', 'expensive', 'slow', 'morning', 'noon', 'afternoon', 'night', 'network', 'disconnect', 'quota', 'quota', 'filled', ' expensive ',' Rb ',' quality ',' can ',' according to ',' value ',' pay ',' loss', 'deh', 'mending', 'blue', 'quota', 'expens"&amp;"ive' , 'Quality', 'The network', 'stable', '']")</f>
        <v>['Provider', 'expensive', 'slow', 'morning', 'noon', 'afternoon', 'night', 'network', 'disconnect', 'quota', 'quota', 'filled', ' expensive ',' Rb ',' quality ',' can ',' according to ',' value ',' pay ',' loss', 'deh', 'mending', 'blue', 'quota', 'expensive' , 'Quality', 'The network', 'stable', '']</v>
      </c>
      <c r="D9192" s="3">
        <v>1.0</v>
      </c>
    </row>
    <row r="9193" ht="15.75" customHeight="1">
      <c r="A9193" s="1">
        <v>9886.0</v>
      </c>
      <c r="B9193" s="3" t="s">
        <v>8814</v>
      </c>
      <c r="C9193" s="3" t="str">
        <f>IFERROR(__xludf.DUMMYFUNCTION("GOOGLETRANSLATE(B9193,""id"",""en"")"),"['Help', 'really', 'purchase', 'package', 'kouta', '']")</f>
        <v>['Help', 'really', 'purchase', 'package', 'kouta', '']</v>
      </c>
      <c r="D9193" s="3">
        <v>5.0</v>
      </c>
    </row>
    <row r="9194" ht="15.75" customHeight="1">
      <c r="A9194" s="1">
        <v>9887.0</v>
      </c>
      <c r="B9194" s="3" t="s">
        <v>8815</v>
      </c>
      <c r="C9194" s="3" t="str">
        <f>IFERROR(__xludf.DUMMYFUNCTION("GOOGLETRANSLATE(B9194,""id"",""en"")"),"['Credit', 'Reduced']")</f>
        <v>['Credit', 'Reduced']</v>
      </c>
      <c r="D9194" s="3">
        <v>1.0</v>
      </c>
    </row>
    <row r="9195" ht="15.75" customHeight="1">
      <c r="A9195" s="1">
        <v>9888.0</v>
      </c>
      <c r="B9195" s="3" t="s">
        <v>8816</v>
      </c>
      <c r="C9195" s="3" t="str">
        <f>IFERROR(__xludf.DUMMYFUNCTION("GOOGLETRANSLATE(B9195,""id"",""en"")"),"['Min', 'Curhat', ""]")</f>
        <v>['Min', 'Curhat', "]</v>
      </c>
      <c r="D9195" s="3">
        <v>3.0</v>
      </c>
    </row>
    <row r="9196" ht="15.75" customHeight="1">
      <c r="A9196" s="1">
        <v>9889.0</v>
      </c>
      <c r="B9196" s="3" t="s">
        <v>8817</v>
      </c>
      <c r="C9196" s="3" t="str">
        <f>IFERROR(__xludf.DUMMYFUNCTION("GOOGLETRANSLATE(B9196,""id"",""en"")"),"['APK', 'Helpful', 'suggested', 'troubled', 'buy', 'quota', 'pulse', 'ketokok', 'at home', 'transact', 'spirit', 'Telkomsel', ' Satisfied ',' service ']")</f>
        <v>['APK', 'Helpful', 'suggested', 'troubled', 'buy', 'quota', 'pulse', 'ketokok', 'at home', 'transact', 'spirit', 'Telkomsel', ' Satisfied ',' service ']</v>
      </c>
      <c r="D9196" s="3">
        <v>5.0</v>
      </c>
    </row>
    <row r="9197" ht="15.75" customHeight="1">
      <c r="A9197" s="1">
        <v>9890.0</v>
      </c>
      <c r="B9197" s="3" t="s">
        <v>8818</v>
      </c>
      <c r="C9197" s="3" t="str">
        <f>IFERROR(__xludf.DUMMYFUNCTION("GOOGLETRANSLATE(B9197,""id"",""en"")"),"['Help', 'purchase', 'quota']")</f>
        <v>['Help', 'purchase', 'quota']</v>
      </c>
      <c r="D9197" s="3">
        <v>5.0</v>
      </c>
    </row>
    <row r="9198" ht="15.75" customHeight="1">
      <c r="A9198" s="1">
        <v>9891.0</v>
      </c>
      <c r="B9198" s="3" t="s">
        <v>8819</v>
      </c>
      <c r="C9198" s="3" t="str">
        <f>IFERROR(__xludf.DUMMYFUNCTION("GOOGLETRANSLATE(B9198,""id"",""en"")"),"['Telkomsel', 'Network', 'ugly', 'disappointed', '']")</f>
        <v>['Telkomsel', 'Network', 'ugly', 'disappointed', '']</v>
      </c>
      <c r="D9198" s="3">
        <v>1.0</v>
      </c>
    </row>
    <row r="9199" ht="15.75" customHeight="1">
      <c r="A9199" s="1">
        <v>9892.0</v>
      </c>
      <c r="B9199" s="3" t="s">
        <v>8820</v>
      </c>
      <c r="C9199" s="3" t="str">
        <f>IFERROR(__xludf.DUMMYFUNCTION("GOOGLETRANSLATE(B9199,""id"",""en"")"),"['It's easy', 'buy', 'pulse', 'check', 'point', 'etc.']")</f>
        <v>['It's easy', 'buy', 'pulse', 'check', 'point', 'etc.']</v>
      </c>
      <c r="D9199" s="3">
        <v>5.0</v>
      </c>
    </row>
    <row r="9200" ht="15.75" customHeight="1">
      <c r="A9200" s="1">
        <v>9893.0</v>
      </c>
      <c r="B9200" s="3" t="s">
        <v>8821</v>
      </c>
      <c r="C9200" s="3" t="str">
        <f>IFERROR(__xludf.DUMMYFUNCTION("GOOGLETRANSLATE(B9200,""id"",""en"")"),"['smpai', 'kelen', 'belik', 'card', 'sympathy', 'download', 'apk', 'signal', 'ugly', 'download', 'apk', 'jga', ' Useful ',' influence ',' SMA ',' Network ',' TTEP ',' JLK ',' MCEM ',' Taik ',' Network ',' Telkomsel ',' Liat ',' Use ',' Network ' , 'good',"&amp;" 'mcem', 'anjng', 'regret', 'use', 'telkomsel', 'untk', 'skrang', 'network', 'sorted', 'disruption', 'network', ' signal ',' then ',' stable ',' skrang ',' patahin ',' card ',' sympathy ',' good ',' good ',' signal ',' kelen ',' bujang ',' ']")</f>
        <v>['smpai', 'kelen', 'belik', 'card', 'sympathy', 'download', 'apk', 'signal', 'ugly', 'download', 'apk', 'jga', ' Useful ',' influence ',' SMA ',' Network ',' TTEP ',' JLK ',' MCEM ',' Taik ',' Network ',' Telkomsel ',' Liat ',' Use ',' Network ' , 'good', 'mcem', 'anjng', 'regret', 'use', 'telkomsel', 'untk', 'skrang', 'network', 'sorted', 'disruption', 'network', ' signal ',' then ',' stable ',' skrang ',' patahin ',' card ',' sympathy ',' good ',' good ',' signal ',' kelen ',' bujang ',' ']</v>
      </c>
      <c r="D9200" s="3">
        <v>1.0</v>
      </c>
    </row>
    <row r="9201" ht="15.75" customHeight="1">
      <c r="A9201" s="1">
        <v>9895.0</v>
      </c>
      <c r="B9201" s="3" t="s">
        <v>8822</v>
      </c>
      <c r="C9201" s="3" t="str">
        <f>IFERROR(__xludf.DUMMYFUNCTION("GOOGLETRANSLATE(B9201,""id"",""en"")"),"['Signal', 'Strong']")</f>
        <v>['Signal', 'Strong']</v>
      </c>
      <c r="D9201" s="3">
        <v>5.0</v>
      </c>
    </row>
    <row r="9202" ht="15.75" customHeight="1">
      <c r="A9202" s="1">
        <v>9896.0</v>
      </c>
      <c r="B9202" s="3" t="s">
        <v>8823</v>
      </c>
      <c r="C9202" s="3" t="str">
        <f>IFERROR(__xludf.DUMMYFUNCTION("GOOGLETRANSLATE(B9202,""id"",""en"")"),"['', 'Telkomsel', 'tasty', 'needs', 'access', 'siiiiip', 'increase', 'service', 'community', 'broad', '']")</f>
        <v>['', 'Telkomsel', 'tasty', 'needs', 'access', 'siiiiip', 'increase', 'service', 'community', 'broad', '']</v>
      </c>
      <c r="D9202" s="3">
        <v>5.0</v>
      </c>
    </row>
    <row r="9203" ht="15.75" customHeight="1">
      <c r="A9203" s="1">
        <v>9897.0</v>
      </c>
      <c r="B9203" s="3" t="s">
        <v>8824</v>
      </c>
      <c r="C9203" s="3" t="str">
        <f>IFERROR(__xludf.DUMMYFUNCTION("GOOGLETRANSLATE(B9203,""id"",""en"")"),"['', 'BNGET', 'MANTAP', 'APLIKASINY', 'BUY', 'Quota', 'Easy', 'BNGET', 'TGGAL', 'Select', 'pressing', 'pressing', 'Good ',' very ',' good ', ""]")</f>
        <v>['', 'BNGET', 'MANTAP', 'APLIKASINY', 'BUY', 'Quota', 'Easy', 'BNGET', 'TGGAL', 'Select', 'pressing', 'pressing', 'Good ',' very ',' good ', "]</v>
      </c>
      <c r="D9203" s="3">
        <v>5.0</v>
      </c>
    </row>
    <row r="9204" ht="15.75" customHeight="1">
      <c r="A9204" s="1">
        <v>9898.0</v>
      </c>
      <c r="B9204" s="3" t="s">
        <v>8825</v>
      </c>
      <c r="C9204" s="3" t="str">
        <f>IFERROR(__xludf.DUMMYFUNCTION("GOOGLETRANSLATE(B9204,""id"",""en"")"),"['Telkomsel', 'signal', 'good']")</f>
        <v>['Telkomsel', 'signal', 'good']</v>
      </c>
      <c r="D9204" s="3">
        <v>4.0</v>
      </c>
    </row>
    <row r="9205" ht="15.75" customHeight="1">
      <c r="A9205" s="1">
        <v>9899.0</v>
      </c>
      <c r="B9205" s="3" t="s">
        <v>8826</v>
      </c>
      <c r="C9205" s="3" t="str">
        <f>IFERROR(__xludf.DUMMYFUNCTION("GOOGLETRANSLATE(B9205,""id"",""en"")"),"['loyal', 'use', 'Telkomsel', 'Telkomsel', 'slow', 'network', 'down', 'play', 'game', 'difficult', 'pingin', 'move', ' Cellular ']")</f>
        <v>['loyal', 'use', 'Telkomsel', 'Telkomsel', 'slow', 'network', 'down', 'play', 'game', 'difficult', 'pingin', 'move', ' Cellular ']</v>
      </c>
      <c r="D9205" s="3">
        <v>2.0</v>
      </c>
    </row>
    <row r="9206" ht="15.75" customHeight="1">
      <c r="A9206" s="1">
        <v>9900.0</v>
      </c>
      <c r="B9206" s="3" t="s">
        <v>8827</v>
      </c>
      <c r="C9206" s="3" t="str">
        <f>IFERROR(__xludf.DUMMYFUNCTION("GOOGLETRANSLATE(B9206,""id"",""en"")"),"['Pay', 'expensive', 'dpat', 'network', 'good', 'bad', 'Telkomsel', 'win', 'number', 'quality', 'network', 'bad' ']")</f>
        <v>['Pay', 'expensive', 'dpat', 'network', 'good', 'bad', 'Telkomsel', 'win', 'number', 'quality', 'network', 'bad' ']</v>
      </c>
      <c r="D9206" s="3">
        <v>1.0</v>
      </c>
    </row>
    <row r="9207" ht="15.75" customHeight="1">
      <c r="A9207" s="1">
        <v>9901.0</v>
      </c>
      <c r="B9207" s="3" t="s">
        <v>8828</v>
      </c>
      <c r="C9207" s="3" t="str">
        <f>IFERROR(__xludf.DUMMYFUNCTION("GOOGLETRANSLATE(B9207,""id"",""en"")"),"['steady', 'network', 'tasty', 'unfortunately', 'package', 'run out', 'direct', 'nelan', 'balance', 'pulse']")</f>
        <v>['steady', 'network', 'tasty', 'unfortunately', 'package', 'run out', 'direct', 'nelan', 'balance', 'pulse']</v>
      </c>
      <c r="D9207" s="3">
        <v>5.0</v>
      </c>
    </row>
    <row r="9208" ht="15.75" customHeight="1">
      <c r="A9208" s="1">
        <v>9902.0</v>
      </c>
      <c r="B9208" s="3" t="s">
        <v>8829</v>
      </c>
      <c r="C9208" s="3" t="str">
        <f>IFERROR(__xludf.DUMMYFUNCTION("GOOGLETRANSLATE(B9208,""id"",""en"")"),"['Update', 'Android', 'Instant', 'MyTelkomsel', 'Lost', 'Try', 'Install', 'Via', 'Playstore', ""]")</f>
        <v>['Update', 'Android', 'Instant', 'MyTelkomsel', 'Lost', 'Try', 'Install', 'Via', 'Playstore', "]</v>
      </c>
      <c r="D9208" s="3">
        <v>3.0</v>
      </c>
    </row>
    <row r="9209" ht="15.75" customHeight="1">
      <c r="A9209" s="1">
        <v>9903.0</v>
      </c>
      <c r="B9209" s="3" t="s">
        <v>8830</v>
      </c>
      <c r="C9209" s="3" t="str">
        <f>IFERROR(__xludf.DUMMYFUNCTION("GOOGLETRANSLATE(B9209,""id"",""en"")"),"['short']")</f>
        <v>['short']</v>
      </c>
      <c r="D9209" s="3">
        <v>3.0</v>
      </c>
    </row>
    <row r="9210" ht="15.75" customHeight="1">
      <c r="A9210" s="1">
        <v>9904.0</v>
      </c>
      <c r="B9210" s="3" t="s">
        <v>8831</v>
      </c>
      <c r="C9210" s="3" t="str">
        <f>IFERROR(__xludf.DUMMYFUNCTION("GOOGLETRANSLATE(B9210,""id"",""en"")"),"['apk', 'kern', 'please', 'kasi', 'cheap', 'promo', 'gede', 'little', '']")</f>
        <v>['apk', 'kern', 'please', 'kasi', 'cheap', 'promo', 'gede', 'little', '']</v>
      </c>
      <c r="D9210" s="3">
        <v>5.0</v>
      </c>
    </row>
    <row r="9211" ht="15.75" customHeight="1">
      <c r="A9211" s="1">
        <v>9905.0</v>
      </c>
      <c r="B9211" s="3" t="s">
        <v>8832</v>
      </c>
      <c r="C9211" s="3" t="str">
        <f>IFERROR(__xludf.DUMMYFUNCTION("GOOGLETRANSLATE(B9211,""id"",""en"")"),"['Telkomsel', 'Maki', 'Severe', 'Jaringa', 'Rich', 'Taik']")</f>
        <v>['Telkomsel', 'Maki', 'Severe', 'Jaringa', 'Rich', 'Taik']</v>
      </c>
      <c r="D9211" s="3">
        <v>1.0</v>
      </c>
    </row>
    <row r="9212" ht="15.75" customHeight="1">
      <c r="A9212" s="1">
        <v>9906.0</v>
      </c>
      <c r="B9212" s="3" t="s">
        <v>8833</v>
      </c>
      <c r="C9212" s="3" t="str">
        <f>IFERROR(__xludf.DUMMYFUNCTION("GOOGLETRANSLATE(B9212,""id"",""en"")"),"['Disappointed', 'harmed', 'Daritelkomsel', 'use', 'Telkomsel', 'many years', 'package', 'internet', 'cheap']")</f>
        <v>['Disappointed', 'harmed', 'Daritelkomsel', 'use', 'Telkomsel', 'many years', 'package', 'internet', 'cheap']</v>
      </c>
      <c r="D9212" s="3">
        <v>1.0</v>
      </c>
    </row>
    <row r="9213" ht="15.75" customHeight="1">
      <c r="A9213" s="1">
        <v>9907.0</v>
      </c>
      <c r="B9213" s="3" t="s">
        <v>8834</v>
      </c>
      <c r="C9213" s="3" t="str">
        <f>IFERROR(__xludf.DUMMYFUNCTION("GOOGLETRANSLATE(B9213,""id"",""en"")"),"['Please', 'please', 'repaired', 'as soon as possible', 'system', 'buy', 'quota', 'enter', 'pulse', 'sucked']")</f>
        <v>['Please', 'please', 'repaired', 'as soon as possible', 'system', 'buy', 'quota', 'enter', 'pulse', 'sucked']</v>
      </c>
      <c r="D9213" s="3">
        <v>1.0</v>
      </c>
    </row>
    <row r="9214" ht="15.75" customHeight="1">
      <c r="A9214" s="1">
        <v>9908.0</v>
      </c>
      <c r="B9214" s="3" t="s">
        <v>8835</v>
      </c>
      <c r="C9214" s="3" t="str">
        <f>IFERROR(__xludf.DUMMYFUNCTION("GOOGLETRANSLATE(B9214,""id"",""en"")"),"['Bagua', 'Bangat', 'my APK']")</f>
        <v>['Bagua', 'Bangat', 'my APK']</v>
      </c>
      <c r="D9214" s="3">
        <v>5.0</v>
      </c>
    </row>
    <row r="9215" ht="15.75" customHeight="1">
      <c r="A9215" s="1">
        <v>9909.0</v>
      </c>
      <c r="B9215" s="3" t="s">
        <v>8836</v>
      </c>
      <c r="C9215" s="3" t="str">
        <f>IFERROR(__xludf.DUMMYFUNCTION("GOOGLETRANSLATE(B9215,""id"",""en"")"),"['PKE', 'Telkomsel', 'mah', 'fill in', 'Vocer', 'complicated', 'signal', 'yellow', ""]")</f>
        <v>['PKE', 'Telkomsel', 'mah', 'fill in', 'Vocer', 'complicated', 'signal', 'yellow', "]</v>
      </c>
      <c r="D9215" s="3">
        <v>1.0</v>
      </c>
    </row>
    <row r="9216" ht="15.75" customHeight="1">
      <c r="A9216" s="1">
        <v>9910.0</v>
      </c>
      <c r="B9216" s="3" t="s">
        <v>8837</v>
      </c>
      <c r="C9216" s="3" t="str">
        <f>IFERROR(__xludf.DUMMYFUNCTION("GOOGLETRANSLATE(B9216,""id"",""en"")"),"['kmana', 'application', 'TOP', '']")</f>
        <v>['kmana', 'application', 'TOP', '']</v>
      </c>
      <c r="D9216" s="3">
        <v>1.0</v>
      </c>
    </row>
    <row r="9217" ht="15.75" customHeight="1">
      <c r="A9217" s="1">
        <v>9911.0</v>
      </c>
      <c r="B9217" s="3" t="s">
        <v>8838</v>
      </c>
      <c r="C9217" s="3" t="str">
        <f>IFERROR(__xludf.DUMMYFUNCTION("GOOGLETRANSLATE(B9217,""id"",""en"")"),"['woi', 'network', 'fix', 'cave', 'play', 'game', 'leg', 'hurry', 'noon', 'night', ""]")</f>
        <v>['woi', 'network', 'fix', 'cave', 'play', 'game', 'leg', 'hurry', 'noon', 'night', "]</v>
      </c>
      <c r="D9217" s="3">
        <v>1.0</v>
      </c>
    </row>
    <row r="9218" ht="15.75" customHeight="1">
      <c r="A9218" s="1">
        <v>9912.0</v>
      </c>
      <c r="B9218" s="3" t="s">
        <v>298</v>
      </c>
      <c r="C9218" s="3" t="str">
        <f>IFERROR(__xludf.DUMMYFUNCTION("GOOGLETRANSLATE(B9218,""id"",""en"")"),"['APK', 'good', 'help']")</f>
        <v>['APK', 'good', 'help']</v>
      </c>
      <c r="D9218" s="3">
        <v>5.0</v>
      </c>
    </row>
    <row r="9219" ht="15.75" customHeight="1">
      <c r="A9219" s="1">
        <v>9913.0</v>
      </c>
      <c r="B9219" s="3" t="s">
        <v>8839</v>
      </c>
      <c r="C9219" s="3" t="str">
        <f>IFERROR(__xludf.DUMMYFUNCTION("GOOGLETRANSLATE(B9219,""id"",""en"")"),"['The network', 'broken', 'good', 'product', 'im', 'msh', 'stable', 'Telkomsel', 'weak']")</f>
        <v>['The network', 'broken', 'good', 'product', 'im', 'msh', 'stable', 'Telkomsel', 'weak']</v>
      </c>
      <c r="D9219" s="3">
        <v>1.0</v>
      </c>
    </row>
    <row r="9220" ht="15.75" customHeight="1">
      <c r="A9220" s="1">
        <v>9914.0</v>
      </c>
      <c r="B9220" s="3" t="s">
        <v>8840</v>
      </c>
      <c r="C9220" s="3" t="str">
        <f>IFERROR(__xludf.DUMMYFUNCTION("GOOGLETRANSLATE(B9220,""id"",""en"")"),"['Good', 'transaction', 'darling', 'debt', 'pulse', 'please', 'increase', 'member', 'Telkomsel', 'success', ""]")</f>
        <v>['Good', 'transaction', 'darling', 'debt', 'pulse', 'please', 'increase', 'member', 'Telkomsel', 'success', "]</v>
      </c>
      <c r="D9220" s="3">
        <v>3.0</v>
      </c>
    </row>
    <row r="9221" ht="15.75" customHeight="1">
      <c r="A9221" s="1">
        <v>9915.0</v>
      </c>
      <c r="B9221" s="3" t="s">
        <v>8841</v>
      </c>
      <c r="C9221" s="3" t="str">
        <f>IFERROR(__xludf.DUMMYFUNCTION("GOOGLETRANSLATE(B9221,""id"",""en"")"),"['Nukar', 'Package', 'Points', 'Credit', 'Take', 'GGWP']")</f>
        <v>['Nukar', 'Package', 'Points', 'Credit', 'Take', 'GGWP']</v>
      </c>
      <c r="D9221" s="3">
        <v>1.0</v>
      </c>
    </row>
    <row r="9222" ht="15.75" customHeight="1">
      <c r="A9222" s="1">
        <v>9916.0</v>
      </c>
      <c r="B9222" s="3" t="s">
        <v>8842</v>
      </c>
      <c r="C9222" s="3" t="str">
        <f>IFERROR(__xludf.DUMMYFUNCTION("GOOGLETRANSLATE(B9222,""id"",""en"")"),"['Package', 'ulimited', 'boundary', 'quota', 'provider', 'regret', 'Sinst']")</f>
        <v>['Package', 'ulimited', 'boundary', 'quota', 'provider', 'regret', 'Sinst']</v>
      </c>
      <c r="D9222" s="3">
        <v>1.0</v>
      </c>
    </row>
    <row r="9223" ht="15.75" customHeight="1">
      <c r="A9223" s="1">
        <v>9917.0</v>
      </c>
      <c r="B9223" s="3" t="s">
        <v>8843</v>
      </c>
      <c r="C9223" s="3" t="str">
        <f>IFERROR(__xludf.DUMMYFUNCTION("GOOGLETRANSLATE(B9223,""id"",""en"")"),"['JELEKK', 'how', 'Delete', 'quota', 'subscribe', 'Telkomsel']")</f>
        <v>['JELEKK', 'how', 'Delete', 'quota', 'subscribe', 'Telkomsel']</v>
      </c>
      <c r="D9223" s="3">
        <v>1.0</v>
      </c>
    </row>
    <row r="9224" ht="15.75" customHeight="1">
      <c r="A9224" s="1">
        <v>9918.0</v>
      </c>
      <c r="B9224" s="3" t="s">
        <v>8844</v>
      </c>
      <c r="C9224" s="3" t="str">
        <f>IFERROR(__xludf.DUMMYFUNCTION("GOOGLETRANSLATE(B9224,""id"",""en"")"),"['', 'his web', 'kuenceng', 'stable']")</f>
        <v>['', 'his web', 'kuenceng', 'stable']</v>
      </c>
      <c r="D9224" s="3">
        <v>3.0</v>
      </c>
    </row>
    <row r="9225" ht="15.75" customHeight="1">
      <c r="A9225" s="1">
        <v>9919.0</v>
      </c>
      <c r="B9225" s="3" t="s">
        <v>8845</v>
      </c>
      <c r="C9225" s="3" t="str">
        <f>IFERROR(__xludf.DUMMYFUNCTION("GOOGLETRANSLATE(B9225,""id"",""en"")"),"['No', 'cheap', 'Mahalll', '']")</f>
        <v>['No', 'cheap', 'Mahalll', '']</v>
      </c>
      <c r="D9225" s="3">
        <v>1.0</v>
      </c>
    </row>
    <row r="9226" ht="15.75" customHeight="1">
      <c r="A9226" s="1">
        <v>9920.0</v>
      </c>
      <c r="B9226" s="3" t="s">
        <v>8846</v>
      </c>
      <c r="C9226" s="3" t="str">
        <f>IFERROR(__xludf.DUMMYFUNCTION("GOOGLETRANSLATE(B9226,""id"",""en"")"),"['update', 'ssh', 'gmn', 'msk', 'telkomsel', 'slow', 'telkomsel', 'bkn', 'kenceng', 'network', 'Telkomsel', '']")</f>
        <v>['update', 'ssh', 'gmn', 'msk', 'telkomsel', 'slow', 'telkomsel', 'bkn', 'kenceng', 'network', 'Telkomsel', '']</v>
      </c>
      <c r="D9226" s="3">
        <v>3.0</v>
      </c>
    </row>
    <row r="9227" ht="15.75" customHeight="1">
      <c r="A9227" s="1">
        <v>9921.0</v>
      </c>
      <c r="B9227" s="3" t="s">
        <v>8847</v>
      </c>
      <c r="C9227" s="3" t="str">
        <f>IFERROR(__xludf.DUMMYFUNCTION("GOOGLETRANSLATE(B9227,""id"",""en"")"),"['Telkomsel', 'TELKOMSEL', 'Difficult', 'Dieeview', 'Telkomsel', 'Easy', 'Signal', 'Bad', 'friend', 'River', 'told', 'Move', ' Providers', 'because', 'customers',' loyal ',' Telkomsel ',' signal ',' bad ',' move ',' please ',' see ',' related ',' fix ',' "&amp;"no ' , 'move']")</f>
        <v>['Telkomsel', 'TELKOMSEL', 'Difficult', 'Dieeview', 'Telkomsel', 'Easy', 'Signal', 'Bad', 'friend', 'River', 'told', 'Move', ' Providers', 'because', 'customers',' loyal ',' Telkomsel ',' signal ',' bad ',' move ',' please ',' see ',' related ',' fix ',' no ' , 'move']</v>
      </c>
      <c r="D9227" s="3">
        <v>2.0</v>
      </c>
    </row>
    <row r="9228" ht="15.75" customHeight="1">
      <c r="A9228" s="1">
        <v>9922.0</v>
      </c>
      <c r="B9228" s="3" t="s">
        <v>8848</v>
      </c>
      <c r="C9228" s="3" t="str">
        <f>IFERROR(__xludf.DUMMYFUNCTION("GOOGLETRANSLATE(B9228,""id"",""en"")"),"['Suggestion', 'quota', 'roaming', 'Roamax', 'GB', 'Speed', 'Limit', 'Mending', 'quota', 'less',' GB ',' Kek ',' kek ',' price ',' COK ',' quota ',' speed ',' lose ',' road ',' snail ',' ']")</f>
        <v>['Suggestion', 'quota', 'roaming', 'Roamax', 'GB', 'Speed', 'Limit', 'Mending', 'quota', 'less',' GB ',' Kek ',' kek ',' price ',' COK ',' quota ',' speed ',' lose ',' road ',' snail ',' ']</v>
      </c>
      <c r="D9228" s="3">
        <v>1.0</v>
      </c>
    </row>
    <row r="9229" ht="15.75" customHeight="1">
      <c r="A9229" s="1">
        <v>9923.0</v>
      </c>
      <c r="B9229" s="3" t="s">
        <v>8849</v>
      </c>
      <c r="C9229" s="3" t="str">
        <f>IFERROR(__xludf.DUMMYFUNCTION("GOOGLETRANSLATE(B9229,""id"",""en"")"),"['Gift', 'MyTelkomsel', 'Win']")</f>
        <v>['Gift', 'MyTelkomsel', 'Win']</v>
      </c>
      <c r="D9229" s="3">
        <v>5.0</v>
      </c>
    </row>
    <row r="9230" ht="15.75" customHeight="1">
      <c r="A9230" s="1">
        <v>9925.0</v>
      </c>
      <c r="B9230" s="3" t="s">
        <v>8850</v>
      </c>
      <c r="C9230" s="3" t="str">
        <f>IFERROR(__xludf.DUMMYFUNCTION("GOOGLETRANSLATE(B9230,""id"",""en"")"),"['Mlam', 'difficult', 'buy', 'quota']")</f>
        <v>['Mlam', 'difficult', 'buy', 'quota']</v>
      </c>
      <c r="D9230" s="3">
        <v>3.0</v>
      </c>
    </row>
    <row r="9231" ht="15.75" customHeight="1">
      <c r="A9231" s="1">
        <v>9926.0</v>
      </c>
      <c r="B9231" s="3" t="s">
        <v>8851</v>
      </c>
      <c r="C9231" s="3" t="str">
        <f>IFERROR(__xludf.DUMMYFUNCTION("GOOGLETRANSLATE(B9231,""id"",""en"")"),"['expensive', 'signal', 'quality', '']")</f>
        <v>['expensive', 'signal', 'quality', '']</v>
      </c>
      <c r="D9231" s="3">
        <v>1.0</v>
      </c>
    </row>
    <row r="9232" ht="15.75" customHeight="1">
      <c r="A9232" s="1">
        <v>9927.0</v>
      </c>
      <c r="B9232" s="3" t="s">
        <v>8852</v>
      </c>
      <c r="C9232" s="3" t="str">
        <f>IFERROR(__xludf.DUMMYFUNCTION("GOOGLETRANSLATE(B9232,""id"",""en"")"),"['Telkomsel', 'skarang', 'signal', 'stable', 'down', 'please', 'action', 'continue', 'AGR', 'pelangan', 'disappointed']")</f>
        <v>['Telkomsel', 'skarang', 'signal', 'stable', 'down', 'please', 'action', 'continue', 'AGR', 'pelangan', 'disappointed']</v>
      </c>
      <c r="D9232" s="3">
        <v>5.0</v>
      </c>
    </row>
    <row r="9233" ht="15.75" customHeight="1">
      <c r="A9233" s="1">
        <v>9928.0</v>
      </c>
      <c r="B9233" s="3" t="s">
        <v>8853</v>
      </c>
      <c r="C9233" s="3" t="str">
        <f>IFERROR(__xludf.DUMMYFUNCTION("GOOGLETRANSLATE(B9233,""id"",""en"")"),"['The application', 'good', 'buy', 'package', 'data', 'choice', 'select', 'according to', 'need', 'buy', 'package', 'data', ' Paketan ',' Open ',' Application ',' Open ',' Door ',' Home ',' Key ',' Dlm ',' home ', ""]")</f>
        <v>['The application', 'good', 'buy', 'package', 'data', 'choice', 'select', 'according to', 'need', 'buy', 'package', 'data', ' Paketan ',' Open ',' Application ',' Open ',' Door ',' Home ',' Key ',' Dlm ',' home ', "]</v>
      </c>
      <c r="D9233" s="3">
        <v>4.0</v>
      </c>
    </row>
    <row r="9234" ht="15.75" customHeight="1">
      <c r="A9234" s="1">
        <v>9929.0</v>
      </c>
      <c r="B9234" s="3" t="s">
        <v>8854</v>
      </c>
      <c r="C9234" s="3" t="str">
        <f>IFERROR(__xludf.DUMMYFUNCTION("GOOGLETRANSLATE(B9234,""id"",""en"")"),"['Application', 'Mangnadi', 'Disturbed']")</f>
        <v>['Application', 'Mangnadi', 'Disturbed']</v>
      </c>
      <c r="D9234" s="3">
        <v>1.0</v>
      </c>
    </row>
    <row r="9235" ht="15.75" customHeight="1">
      <c r="A9235" s="1">
        <v>9930.0</v>
      </c>
      <c r="B9235" s="3" t="s">
        <v>8855</v>
      </c>
      <c r="C9235" s="3" t="str">
        <f>IFERROR(__xludf.DUMMYFUNCTION("GOOGLETRANSLATE(B9235,""id"",""en"")"),"['Quality', 'signal', 'KARANGANYAR', 'Demak', 'bad', 'price', 'quota', 'expensive', 'other', 'quality', 'signal', ""]")</f>
        <v>['Quality', 'signal', 'KARANGANYAR', 'Demak', 'bad', 'price', 'quota', 'expensive', 'other', 'quality', 'signal', "]</v>
      </c>
      <c r="D9235" s="3">
        <v>1.0</v>
      </c>
    </row>
    <row r="9236" ht="15.75" customHeight="1">
      <c r="A9236" s="1">
        <v>9931.0</v>
      </c>
      <c r="B9236" s="3" t="s">
        <v>8856</v>
      </c>
      <c r="C9236" s="3" t="str">
        <f>IFERROR(__xludf.DUMMYFUNCTION("GOOGLETRANSLATE(B9236,""id"",""en"")"),"['', 'PLISS', 'Partelkom', 'Kuranggi', 'Price', 'Package', 'Jagan', 'Expensive', 'Expensive', 'Uda', 'Network', 'Lemot', 'Price ',' package ',' expensive ']")</f>
        <v>['', 'PLISS', 'Partelkom', 'Kuranggi', 'Price', 'Package', 'Jagan', 'Expensive', 'Expensive', 'Uda', 'Network', 'Lemot', 'Price ',' package ',' expensive ']</v>
      </c>
      <c r="D9236" s="3">
        <v>1.0</v>
      </c>
    </row>
    <row r="9237" ht="15.75" customHeight="1">
      <c r="A9237" s="1">
        <v>9932.0</v>
      </c>
      <c r="B9237" s="3" t="s">
        <v>8857</v>
      </c>
      <c r="C9237" s="3" t="str">
        <f>IFERROR(__xludf.DUMMYFUNCTION("GOOGLETRANSLATE(B9237,""id"",""en"")"),"['Karna', 'already', 'provider', 'colleague', 'business', 'Ntah', 'disappointing']")</f>
        <v>['Karna', 'already', 'provider', 'colleague', 'business', 'Ntah', 'disappointing']</v>
      </c>
      <c r="D9237" s="3">
        <v>1.0</v>
      </c>
    </row>
    <row r="9238" ht="15.75" customHeight="1">
      <c r="A9238" s="1">
        <v>9933.0</v>
      </c>
      <c r="B9238" s="3" t="s">
        <v>8858</v>
      </c>
      <c r="C9238" s="3" t="str">
        <f>IFERROR(__xludf.DUMMYFUNCTION("GOOGLETRANSLATE(B9238,""id"",""en"")"),"['Sya', 'love', 'star', 'update', 'mulu']")</f>
        <v>['Sya', 'love', 'star', 'update', 'mulu']</v>
      </c>
      <c r="D9238" s="3">
        <v>1.0</v>
      </c>
    </row>
    <row r="9239" ht="15.75" customHeight="1">
      <c r="A9239" s="1">
        <v>9934.0</v>
      </c>
      <c r="B9239" s="3" t="s">
        <v>8859</v>
      </c>
      <c r="C9239" s="3" t="str">
        <f>IFERROR(__xludf.DUMMYFUNCTION("GOOGLETRANSLATE(B9239,""id"",""en"")"),"['Ribet', 'login']")</f>
        <v>['Ribet', 'login']</v>
      </c>
      <c r="D9239" s="3">
        <v>1.0</v>
      </c>
    </row>
    <row r="9240" ht="15.75" customHeight="1">
      <c r="A9240" s="1">
        <v>9935.0</v>
      </c>
      <c r="B9240" s="3" t="s">
        <v>8860</v>
      </c>
      <c r="C9240" s="3" t="str">
        <f>IFERROR(__xludf.DUMMYFUNCTION("GOOGLETRANSLATE(B9240,""id"",""en"")"),"['BANGJE', 'Package', 'Data', 'Abis',' Direct ',' sucked ',' Credit ',' Different ',' Provider ',' Take ',' Pulse ',' Package ',' the data ',' run out ',' make ',' card ',' delicious']")</f>
        <v>['BANGJE', 'Package', 'Data', 'Abis',' Direct ',' sucked ',' Credit ',' Different ',' Provider ',' Take ',' Pulse ',' Package ',' the data ',' run out ',' make ',' card ',' delicious']</v>
      </c>
      <c r="D9240" s="3">
        <v>1.0</v>
      </c>
    </row>
    <row r="9241" ht="15.75" customHeight="1">
      <c r="A9241" s="1">
        <v>9936.0</v>
      </c>
      <c r="B9241" s="3" t="s">
        <v>8861</v>
      </c>
      <c r="C9241" s="3" t="str">
        <f>IFERROR(__xludf.DUMMYFUNCTION("GOOGLETRANSLATE(B9241,""id"",""en"")"),"['Telkomsel', 'Jaya', 'Mantap', 'Pokonya', 'Telkomsel', 'SLLU', 'Comfortable']")</f>
        <v>['Telkomsel', 'Jaya', 'Mantap', 'Pokonya', 'Telkomsel', 'SLLU', 'Comfortable']</v>
      </c>
      <c r="D9241" s="3">
        <v>3.0</v>
      </c>
    </row>
    <row r="9242" ht="15.75" customHeight="1">
      <c r="A9242" s="1">
        <v>9937.0</v>
      </c>
      <c r="B9242" s="3" t="s">
        <v>8862</v>
      </c>
      <c r="C9242" s="3" t="str">
        <f>IFERROR(__xludf.DUMMYFUNCTION("GOOGLETRANSLATE(B9242,""id"",""en"")"),"['', 'Mantap', 'promo', 'interesting', 'Telkomsel']")</f>
        <v>['', 'Mantap', 'promo', 'interesting', 'Telkomsel']</v>
      </c>
      <c r="D9242" s="3">
        <v>5.0</v>
      </c>
    </row>
    <row r="9243" ht="15.75" customHeight="1">
      <c r="A9243" s="1">
        <v>9938.0</v>
      </c>
      <c r="B9243" s="3" t="s">
        <v>8863</v>
      </c>
      <c r="C9243" s="3" t="str">
        <f>IFERROR(__xludf.DUMMYFUNCTION("GOOGLETRANSLATE(B9243,""id"",""en"")"),"['satisfying', 'service', '']")</f>
        <v>['satisfying', 'service', '']</v>
      </c>
      <c r="D9243" s="3">
        <v>2.0</v>
      </c>
    </row>
    <row r="9244" ht="15.75" customHeight="1">
      <c r="A9244" s="1">
        <v>9939.0</v>
      </c>
      <c r="B9244" s="3" t="s">
        <v>8864</v>
      </c>
      <c r="C9244" s="3" t="str">
        <f>IFERROR(__xludf.DUMMYFUNCTION("GOOGLETRANSLATE(B9244,""id"",""en"")"),"['Semogga', 'fortune', 'untk', 'Krna', 'Suda', 'download', 'application', 'Telkomsel', ""]")</f>
        <v>['Semogga', 'fortune', 'untk', 'Krna', 'Suda', 'download', 'application', 'Telkomsel', "]</v>
      </c>
      <c r="D9244" s="3">
        <v>5.0</v>
      </c>
    </row>
    <row r="9245" ht="15.75" customHeight="1">
      <c r="A9245" s="1">
        <v>9940.0</v>
      </c>
      <c r="B9245" s="3" t="s">
        <v>8865</v>
      </c>
      <c r="C9245" s="3" t="str">
        <f>IFERROR(__xludf.DUMMYFUNCTION("GOOGLETRANSLATE(B9245,""id"",""en"")"),"['SGT', 'Help', 'Dlam', 'subscribe', 'package', 'internen']")</f>
        <v>['SGT', 'Help', 'Dlam', 'subscribe', 'package', 'internen']</v>
      </c>
      <c r="D9245" s="3">
        <v>5.0</v>
      </c>
    </row>
    <row r="9246" ht="15.75" customHeight="1">
      <c r="A9246" s="1">
        <v>9941.0</v>
      </c>
      <c r="B9246" s="3" t="s">
        <v>8866</v>
      </c>
      <c r="C9246" s="3" t="str">
        <f>IFERROR(__xludf.DUMMYFUNCTION("GOOGLETRANSLATE(B9246,""id"",""en"")"),"['easy', 'Telkomsel', 'stealing', 'credit', 'customer', 'run out', 'transfer', 'pulse', 'because' because 'success',' transfer ',' sms', ' Premium ',' Trash ',' Scratch ',' People ',' Watch Out ',' Severe ',' Rich ',' Begal ']")</f>
        <v>['easy', 'Telkomsel', 'stealing', 'credit', 'customer', 'run out', 'transfer', 'pulse', 'because' because 'success',' transfer ',' sms', ' Premium ',' Trash ',' Scratch ',' People ',' Watch Out ',' Severe ',' Rich ',' Begal ']</v>
      </c>
      <c r="D9246" s="3">
        <v>1.0</v>
      </c>
    </row>
    <row r="9247" ht="15.75" customHeight="1">
      <c r="A9247" s="1">
        <v>9942.0</v>
      </c>
      <c r="B9247" s="3" t="s">
        <v>8867</v>
      </c>
      <c r="C9247" s="3" t="str">
        <f>IFERROR(__xludf.DUMMYFUNCTION("GOOGLETRANSLATE(B9247,""id"",""en"")"),"['Help', 'purchase', 'package', 'internet', 'win', 'gift', 'exchange', 'coin']")</f>
        <v>['Help', 'purchase', 'package', 'internet', 'win', 'gift', 'exchange', 'coin']</v>
      </c>
      <c r="D9247" s="3">
        <v>5.0</v>
      </c>
    </row>
    <row r="9248" ht="15.75" customHeight="1">
      <c r="A9248" s="1">
        <v>9945.0</v>
      </c>
      <c r="B9248" s="3" t="s">
        <v>8868</v>
      </c>
      <c r="C9248" s="3" t="str">
        <f>IFERROR(__xludf.DUMMYFUNCTION("GOOGLETRANSLATE(B9248,""id"",""en"")"),"['Kasi', 'star', 'Solar', 'Times', 'Pakex', 'Appsi']")</f>
        <v>['Kasi', 'star', 'Solar', 'Times', 'Pakex', 'Appsi']</v>
      </c>
      <c r="D9248" s="3">
        <v>4.0</v>
      </c>
    </row>
    <row r="9249" ht="15.75" customHeight="1">
      <c r="A9249" s="1">
        <v>9946.0</v>
      </c>
      <c r="B9249" s="3" t="s">
        <v>8869</v>
      </c>
      <c r="C9249" s="3" t="str">
        <f>IFERROR(__xludf.DUMMYFUNCTION("GOOGLETRANSLATE(B9249,""id"",""en"")"),"['signal', 'internet', 'severe', 'rich', 'pole', 'expensive', 'doang', '']")</f>
        <v>['signal', 'internet', 'severe', 'rich', 'pole', 'expensive', 'doang', '']</v>
      </c>
      <c r="D9249" s="3">
        <v>1.0</v>
      </c>
    </row>
    <row r="9250" ht="15.75" customHeight="1">
      <c r="A9250" s="1">
        <v>9947.0</v>
      </c>
      <c r="B9250" s="3" t="s">
        <v>8870</v>
      </c>
      <c r="C9250" s="3" t="str">
        <f>IFERROR(__xludf.DUMMYFUNCTION("GOOGLETRANSLATE(B9250,""id"",""en"")"),"['expensive', 'slow', 'otw', 'moved', 'indosat']")</f>
        <v>['expensive', 'slow', 'otw', 'moved', 'indosat']</v>
      </c>
      <c r="D9250" s="3">
        <v>1.0</v>
      </c>
    </row>
    <row r="9251" ht="15.75" customHeight="1">
      <c r="A9251" s="1">
        <v>9948.0</v>
      </c>
      <c r="B9251" s="3" t="s">
        <v>8871</v>
      </c>
      <c r="C9251" s="3" t="str">
        <f>IFERROR(__xludf.DUMMYFUNCTION("GOOGLETRANSLATE(B9251,""id"",""en"")"),"['PHP']")</f>
        <v>['PHP']</v>
      </c>
      <c r="D9251" s="3">
        <v>5.0</v>
      </c>
    </row>
    <row r="9252" ht="15.75" customHeight="1">
      <c r="A9252" s="1">
        <v>9949.0</v>
      </c>
      <c r="B9252" s="3" t="s">
        <v>8872</v>
      </c>
      <c r="C9252" s="3" t="str">
        <f>IFERROR(__xludf.DUMMYFUNCTION("GOOGLETRANSLATE(B9252,""id"",""en"")"),"['Please', 'Network', 'Benerin', 'Expensive', 'Network', 'Severe', 'already', 'Try', 'suggestion', 'zero', 'BESA']")</f>
        <v>['Please', 'Network', 'Benerin', 'Expensive', 'Network', 'Severe', 'already', 'Try', 'suggestion', 'zero', 'BESA']</v>
      </c>
      <c r="D9252" s="3">
        <v>1.0</v>
      </c>
    </row>
    <row r="9253" ht="15.75" customHeight="1">
      <c r="A9253" s="1">
        <v>9950.0</v>
      </c>
      <c r="B9253" s="3" t="s">
        <v>8873</v>
      </c>
      <c r="C9253" s="3" t="str">
        <f>IFERROR(__xludf.DUMMYFUNCTION("GOOGLETRANSLATE(B9253,""id"",""en"")"),"['bad', 'update', 'smooth', 'practical', 'complicated', 'signal', 'threat', '']")</f>
        <v>['bad', 'update', 'smooth', 'practical', 'complicated', 'signal', 'threat', '']</v>
      </c>
      <c r="D9253" s="3">
        <v>1.0</v>
      </c>
    </row>
    <row r="9254" ht="15.75" customHeight="1">
      <c r="A9254" s="1">
        <v>9951.0</v>
      </c>
      <c r="B9254" s="3" t="s">
        <v>8874</v>
      </c>
      <c r="C9254" s="3" t="str">
        <f>IFERROR(__xludf.DUMMYFUNCTION("GOOGLETRANSLATE(B9254,""id"",""en"")"),"['Severe', 'Telkomsel', 'already', 'expensive', 'network', 'sring', 'ilang']")</f>
        <v>['Severe', 'Telkomsel', 'already', 'expensive', 'network', 'sring', 'ilang']</v>
      </c>
      <c r="D9254" s="3">
        <v>1.0</v>
      </c>
    </row>
    <row r="9255" ht="15.75" customHeight="1">
      <c r="A9255" s="1">
        <v>9952.0</v>
      </c>
      <c r="B9255" s="3" t="s">
        <v>8875</v>
      </c>
      <c r="C9255" s="3" t="str">
        <f>IFERROR(__xludf.DUMMYFUNCTION("GOOGLETRANSLATE(B9255,""id"",""en"")"),"['Mantullllll', 'Abis', 'Telkomsel', '']")</f>
        <v>['Mantullllll', 'Abis', 'Telkomsel', '']</v>
      </c>
      <c r="D9255" s="3">
        <v>5.0</v>
      </c>
    </row>
    <row r="9256" ht="15.75" customHeight="1">
      <c r="A9256" s="1">
        <v>9953.0</v>
      </c>
      <c r="B9256" s="3" t="s">
        <v>8876</v>
      </c>
      <c r="C9256" s="3" t="str">
        <f>IFERROR(__xludf.DUMMYFUNCTION("GOOGLETRANSLATE(B9256,""id"",""en"")"),"['Matap', 'easy', 'check', 'package']")</f>
        <v>['Matap', 'easy', 'check', 'package']</v>
      </c>
      <c r="D9256" s="3">
        <v>5.0</v>
      </c>
    </row>
    <row r="9257" ht="15.75" customHeight="1">
      <c r="A9257" s="1">
        <v>9954.0</v>
      </c>
      <c r="B9257" s="3" t="s">
        <v>8877</v>
      </c>
      <c r="C9257" s="3" t="str">
        <f>IFERROR(__xludf.DUMMYFUNCTION("GOOGLETRANSLATE(B9257,""id"",""en"")"),"['APK', 'Profitable', 'Success', 'Telkom', 'Hopefully', 'In the future', 'Network', 'Telkom', 'smooth']")</f>
        <v>['APK', 'Profitable', 'Success', 'Telkom', 'Hopefully', 'In the future', 'Network', 'Telkom', 'smooth']</v>
      </c>
      <c r="D9257" s="3">
        <v>5.0</v>
      </c>
    </row>
    <row r="9258" ht="15.75" customHeight="1">
      <c r="A9258" s="1">
        <v>9955.0</v>
      </c>
      <c r="B9258" s="3" t="s">
        <v>8878</v>
      </c>
      <c r="C9258" s="3" t="str">
        <f>IFERROR(__xludf.DUMMYFUNCTION("GOOGLETRANSLATE(B9258,""id"",""en"")"),"['Credit', 'Reduced', 'Open', 'APL', 'Telkomsel', 'Kali', 'Please', 'Enlightenment', 'WOI', '']")</f>
        <v>['Credit', 'Reduced', 'Open', 'APL', 'Telkomsel', 'Kali', 'Please', 'Enlightenment', 'WOI', '']</v>
      </c>
      <c r="D9258" s="3">
        <v>1.0</v>
      </c>
    </row>
    <row r="9259" ht="15.75" customHeight="1">
      <c r="A9259" s="1">
        <v>9956.0</v>
      </c>
      <c r="B9259" s="3" t="s">
        <v>8879</v>
      </c>
      <c r="C9259" s="3" t="str">
        <f>IFERROR(__xludf.DUMMYFUNCTION("GOOGLETRANSLATE(B9259,""id"",""en"")"),"['Ngak', 'bankrupt', 'Telkomsel', 'Hopefully', 'employees',' BKERJAJA ',' GraPARI ',' Telkomsel ',' dpannya ',' get ',' work ',' worth ',' It's easy to ',' sustenance ',' people ',' Dewakiimi ',' ijahin ',' Telkomsel ',' burden ',' customer ',' sincerity "&amp;"',' card ',' use ',' ']")</f>
        <v>['Ngak', 'bankrupt', 'Telkomsel', 'Hopefully', 'employees',' BKERJAJA ',' GraPARI ',' Telkomsel ',' dpannya ',' get ',' work ',' worth ',' It's easy to ',' sustenance ',' people ',' Dewakiimi ',' ijahin ',' Telkomsel ',' burden ',' customer ',' sincerity ',' card ',' use ',' ']</v>
      </c>
      <c r="D9259" s="3">
        <v>1.0</v>
      </c>
    </row>
    <row r="9260" ht="15.75" customHeight="1">
      <c r="A9260" s="1">
        <v>9957.0</v>
      </c>
      <c r="B9260" s="3" t="s">
        <v>8880</v>
      </c>
      <c r="C9260" s="3" t="str">
        <f>IFERROR(__xludf.DUMMYFUNCTION("GOOGLETRANSLATE(B9260,""id"",""en"")"),"['already', 'good', 'hope', 'advanced', 'in the future', '']")</f>
        <v>['already', 'good', 'hope', 'advanced', 'in the future', '']</v>
      </c>
      <c r="D9260" s="3">
        <v>4.0</v>
      </c>
    </row>
    <row r="9261" ht="15.75" customHeight="1">
      <c r="A9261" s="1">
        <v>9958.0</v>
      </c>
      <c r="B9261" s="3" t="s">
        <v>8881</v>
      </c>
      <c r="C9261" s="3" t="str">
        <f>IFERROR(__xludf.DUMMYFUNCTION("GOOGLETRANSLATE(B9261,""id"",""en"")"),"['Telkomsel', 'ugly', 'disorder', 'signal', 'stable', 'lost', 'for days', 'area', 'kalimantan']")</f>
        <v>['Telkomsel', 'ugly', 'disorder', 'signal', 'stable', 'lost', 'for days', 'area', 'kalimantan']</v>
      </c>
      <c r="D9261" s="3">
        <v>2.0</v>
      </c>
    </row>
    <row r="9262" ht="15.75" customHeight="1">
      <c r="A9262" s="1">
        <v>9959.0</v>
      </c>
      <c r="B9262" s="3" t="s">
        <v>8882</v>
      </c>
      <c r="C9262" s="3" t="str">
        <f>IFERROR(__xludf.DUMMYFUNCTION("GOOGLETRANSLATE(B9262,""id"",""en"")"),"['Choice', 'package', 'omg', 'reproduced']")</f>
        <v>['Choice', 'package', 'omg', 'reproduced']</v>
      </c>
      <c r="D9262" s="3">
        <v>4.0</v>
      </c>
    </row>
    <row r="9263" ht="15.75" customHeight="1">
      <c r="A9263" s="1">
        <v>9960.0</v>
      </c>
      <c r="B9263" s="3" t="s">
        <v>8883</v>
      </c>
      <c r="C9263" s="3" t="str">
        <f>IFERROR(__xludf.DUMMYFUNCTION("GOOGLETRANSLATE(B9263,""id"",""en"")"),"['Telkom', 'Sinyal', 'Ouch', 'lag', 'Severe']")</f>
        <v>['Telkom', 'Sinyal', 'Ouch', 'lag', 'Severe']</v>
      </c>
      <c r="D9263" s="3">
        <v>1.0</v>
      </c>
    </row>
    <row r="9264" ht="15.75" customHeight="1">
      <c r="A9264" s="1">
        <v>9961.0</v>
      </c>
      <c r="B9264" s="3" t="s">
        <v>8884</v>
      </c>
      <c r="C9264" s="3" t="str">
        <f>IFERROR(__xludf.DUMMYFUNCTION("GOOGLETRANSLATE(B9264,""id"",""en"")"),"['Telkomsel', 'package', 'expensive', 'network', 'geaking', 'pig', 'weve', 'sarar', 'kabeh', 'bankrupt', 'bankrupt', 'haram', ' aing ',' Meli ',' package ',' expensive ',' dog ',' ngeleg ',' keneh ',' wae ',' vain ',' pussy ', ""]")</f>
        <v>['Telkomsel', 'package', 'expensive', 'network', 'geaking', 'pig', 'weve', 'sarar', 'kabeh', 'bankrupt', 'bankrupt', 'haram', ' aing ',' Meli ',' package ',' expensive ',' dog ',' ngeleg ',' keneh ',' wae ',' vain ',' pussy ', "]</v>
      </c>
      <c r="D9264" s="3">
        <v>1.0</v>
      </c>
    </row>
    <row r="9265" ht="15.75" customHeight="1">
      <c r="A9265" s="1">
        <v>9962.0</v>
      </c>
      <c r="B9265" s="3" t="s">
        <v>8885</v>
      </c>
      <c r="C9265" s="3" t="str">
        <f>IFERROR(__xludf.DUMMYFUNCTION("GOOGLETRANSLATE(B9265,""id"",""en"")"),"['Love', 'Win', 'Donk', 'Lottery']")</f>
        <v>['Love', 'Win', 'Donk', 'Lottery']</v>
      </c>
      <c r="D9265" s="3">
        <v>5.0</v>
      </c>
    </row>
    <row r="9266" ht="15.75" customHeight="1">
      <c r="A9266" s="1">
        <v>9963.0</v>
      </c>
      <c r="B9266" s="3" t="s">
        <v>8886</v>
      </c>
      <c r="C9266" s="3" t="str">
        <f>IFERROR(__xludf.DUMMYFUNCTION("GOOGLETRANSLATE(B9266,""id"",""en"")"),"['Teruntuk', 'Telkomsel', 'Telkomsel', 'expensive', 'really', 'price', 'package', 'customer', 'loyal', 'Telkomsel', 'happen', 'JT', ' Rupiah ',' Credit ',' Telkomsel ',' Doang ',' Ngak ',' Krtu ',' Package ',' Cheap ',' Disappointed ',' Telkomsel ',' Cons"&amp;"ideration ',' Telkomsel ',' Crazy ' , 'package', 'expensive', 'contents', 'PERRH', 'Dri', 'week', 'package', 'expensive', 'consideration', 'operator', ""]")</f>
        <v>['Teruntuk', 'Telkomsel', 'Telkomsel', 'expensive', 'really', 'price', 'package', 'customer', 'loyal', 'Telkomsel', 'happen', 'JT', ' Rupiah ',' Credit ',' Telkomsel ',' Doang ',' Ngak ',' Krtu ',' Package ',' Cheap ',' Disappointed ',' Telkomsel ',' Consideration ',' Telkomsel ',' Crazy ' , 'package', 'expensive', 'contents', 'PERRH', 'Dri', 'week', 'package', 'expensive', 'consideration', 'operator', "]</v>
      </c>
      <c r="D9266" s="3">
        <v>2.0</v>
      </c>
    </row>
    <row r="9267" ht="15.75" customHeight="1">
      <c r="A9267" s="1">
        <v>9964.0</v>
      </c>
      <c r="B9267" s="3" t="s">
        <v>8887</v>
      </c>
      <c r="C9267" s="3" t="str">
        <f>IFERROR(__xludf.DUMMYFUNCTION("GOOGLETRANSLATE(B9267,""id"",""en"")"),"['Subscribe', 'Telkomsel', 'yrs',' Telkomsel ',' dilapidated ',' network ',' kaga ',' stable ',' down ',' fed up ',' here ',' connection ',' bad']")</f>
        <v>['Subscribe', 'Telkomsel', 'yrs',' Telkomsel ',' dilapidated ',' network ',' kaga ',' stable ',' down ',' fed up ',' here ',' connection ',' bad']</v>
      </c>
      <c r="D9267" s="3">
        <v>2.0</v>
      </c>
    </row>
    <row r="9268" ht="15.75" customHeight="1">
      <c r="A9268" s="1">
        <v>9965.0</v>
      </c>
      <c r="B9268" s="3" t="s">
        <v>8888</v>
      </c>
      <c r="C9268" s="3" t="str">
        <f>IFERROR(__xludf.DUMMYFUNCTION("GOOGLETRANSLATE(B9268,""id"",""en"")"),"['slow', 'network', 'here', 'comfortable', 'network', 'slow', 'repair', 'open', 'smooth', 'have', 'right', 'play', ' Game ',' hmmm ',' fix it ',' convenience ',' ']")</f>
        <v>['slow', 'network', 'here', 'comfortable', 'network', 'slow', 'repair', 'open', 'smooth', 'have', 'right', 'play', ' Game ',' hmmm ',' fix it ',' convenience ',' ']</v>
      </c>
      <c r="D9268" s="3">
        <v>1.0</v>
      </c>
    </row>
    <row r="9269" ht="15.75" customHeight="1">
      <c r="A9269" s="1">
        <v>9966.0</v>
      </c>
      <c r="B9269" s="3" t="s">
        <v>8889</v>
      </c>
      <c r="C9269" s="3" t="str">
        <f>IFERROR(__xludf.DUMMYFUNCTION("GOOGLETRANSLATE(B9269,""id"",""en"")"),"['Weh', 'Komsel', 'price', 'package', 'ride', 'signal', 'ugly', 'bariin', 'search', 'luck', 'big', 'gini', ' cell ',' Komselll ',' cave ',' love ',' rating ',' star ',' bli ',' kouta ',' gb ',' muter ',' play ',' game ',' muter ' , 'Open', 'photo', 'Open'"&amp;", 'SOPE', 'LEMOT', 'Signal', 'Bgus', 'Network', 'ElderSS', 'PreeeeeeETtttttt', 'HOAK', 'Tok']")</f>
        <v>['Weh', 'Komsel', 'price', 'package', 'ride', 'signal', 'ugly', 'bariin', 'search', 'luck', 'big', 'gini', ' cell ',' Komselll ',' cave ',' love ',' rating ',' star ',' bli ',' kouta ',' gb ',' muter ',' play ',' game ',' muter ' , 'Open', 'photo', 'Open', 'SOPE', 'LEMOT', 'Signal', 'Bgus', 'Network', 'ElderSS', 'PreeeeeeETtttttt', 'HOAK', 'Tok']</v>
      </c>
      <c r="D9269" s="3">
        <v>1.0</v>
      </c>
    </row>
    <row r="9270" ht="15.75" customHeight="1">
      <c r="A9270" s="1">
        <v>9967.0</v>
      </c>
      <c r="B9270" s="3" t="s">
        <v>409</v>
      </c>
      <c r="C9270" s="3" t="str">
        <f>IFERROR(__xludf.DUMMYFUNCTION("GOOGLETRANSLATE(B9270,""id"",""en"")"),"['easy']")</f>
        <v>['easy']</v>
      </c>
      <c r="D9270" s="3">
        <v>5.0</v>
      </c>
    </row>
    <row r="9271" ht="15.75" customHeight="1">
      <c r="A9271" s="1">
        <v>9969.0</v>
      </c>
      <c r="B9271" s="3" t="s">
        <v>8890</v>
      </c>
      <c r="C9271" s="3" t="str">
        <f>IFERROR(__xludf.DUMMYFUNCTION("GOOGLETRANSLATE(B9271,""id"",""en"")"),"['Quality', 'Network', 'Pekah', 'Application', '']")</f>
        <v>['Quality', 'Network', 'Pekah', 'Application', '']</v>
      </c>
      <c r="D9271" s="3">
        <v>1.0</v>
      </c>
    </row>
    <row r="9272" ht="15.75" customHeight="1">
      <c r="A9272" s="1">
        <v>9971.0</v>
      </c>
      <c r="B9272" s="3" t="s">
        <v>8891</v>
      </c>
      <c r="C9272" s="3" t="str">
        <f>IFERROR(__xludf.DUMMYFUNCTION("GOOGLETRANSLATE(B9272,""id"",""en"")"),"['buy', 'package', 'use', 'get rid of', 'budget', 'darling', 'already', 'that's', 'signal', 'ugly', 'bangettty']")</f>
        <v>['buy', 'package', 'use', 'get rid of', 'budget', 'darling', 'already', 'that's', 'signal', 'ugly', 'bangettty']</v>
      </c>
      <c r="D9272" s="3">
        <v>1.0</v>
      </c>
    </row>
    <row r="9273" ht="15.75" customHeight="1">
      <c r="A9273" s="1">
        <v>9972.0</v>
      </c>
      <c r="B9273" s="3" t="s">
        <v>8892</v>
      </c>
      <c r="C9273" s="3" t="str">
        <f>IFERROR(__xludf.DUMMYFUNCTION("GOOGLETRANSLATE(B9273,""id"",""en"")"),"['Steady', 'Aikasih', 'Buy', 'Package', 'Cheap', 'MyTelkomsel']")</f>
        <v>['Steady', 'Aikasih', 'Buy', 'Package', 'Cheap', 'MyTelkomsel']</v>
      </c>
      <c r="D9273" s="3">
        <v>5.0</v>
      </c>
    </row>
    <row r="9274" ht="15.75" customHeight="1">
      <c r="A9274" s="1">
        <v>9973.0</v>
      </c>
      <c r="B9274" s="3" t="s">
        <v>885</v>
      </c>
      <c r="C9274" s="3" t="str">
        <f>IFERROR(__xludf.DUMMYFUNCTION("GOOGLETRANSLATE(B9274,""id"",""en"")"),"['Good', 'application']")</f>
        <v>['Good', 'application']</v>
      </c>
      <c r="D9274" s="3">
        <v>5.0</v>
      </c>
    </row>
    <row r="9275" ht="15.75" customHeight="1">
      <c r="A9275" s="1">
        <v>9974.0</v>
      </c>
      <c r="B9275" s="3" t="s">
        <v>8893</v>
      </c>
      <c r="C9275" s="3" t="str">
        <f>IFERROR(__xludf.DUMMYFUNCTION("GOOGLETRANSLATE(B9275,""id"",""en"")"),"['Miankan', 'signal', 'package', 'internet', 'murain', 'community', 'medium', 'down', 'steady', 'Telkomsel']")</f>
        <v>['Miankan', 'signal', 'package', 'internet', 'murain', 'community', 'medium', 'down', 'steady', 'Telkomsel']</v>
      </c>
      <c r="D9275" s="3">
        <v>5.0</v>
      </c>
    </row>
    <row r="9276" ht="15.75" customHeight="1">
      <c r="A9276" s="1">
        <v>9975.0</v>
      </c>
      <c r="B9276" s="3" t="s">
        <v>8894</v>
      </c>
      <c r="C9276" s="3" t="str">
        <f>IFERROR(__xludf.DUMMYFUNCTION("GOOGLETRANSLATE(B9276,""id"",""en"")"),"['Provider', 'Fast', 'Extensive', 'Alah', 'EEQ', 'Cat', 'Signal', 'Down', 'Sometimes', 'Lost', 'Disappointed']")</f>
        <v>['Provider', 'Fast', 'Extensive', 'Alah', 'EEQ', 'Cat', 'Signal', 'Down', 'Sometimes', 'Lost', 'Disappointed']</v>
      </c>
      <c r="D9276" s="3">
        <v>1.0</v>
      </c>
    </row>
    <row r="9277" ht="15.75" customHeight="1">
      <c r="A9277" s="1">
        <v>9976.0</v>
      </c>
      <c r="B9277" s="3" t="s">
        <v>4652</v>
      </c>
      <c r="C9277" s="3" t="str">
        <f>IFERROR(__xludf.DUMMYFUNCTION("GOOGLETRANSLATE(B9277,""id"",""en"")"),"['Good', 'Helpful']")</f>
        <v>['Good', 'Helpful']</v>
      </c>
      <c r="D9277" s="3">
        <v>5.0</v>
      </c>
    </row>
    <row r="9278" ht="15.75" customHeight="1">
      <c r="A9278" s="1">
        <v>9977.0</v>
      </c>
      <c r="B9278" s="3" t="s">
        <v>8895</v>
      </c>
      <c r="C9278" s="3" t="str">
        <f>IFERROR(__xludf.DUMMYFUNCTION("GOOGLETRANSLATE(B9278,""id"",""en"")"),"['level', 'network', 'steady']")</f>
        <v>['level', 'network', 'steady']</v>
      </c>
      <c r="D9278" s="3">
        <v>5.0</v>
      </c>
    </row>
    <row r="9279" ht="15.75" customHeight="1">
      <c r="A9279" s="1">
        <v>9978.0</v>
      </c>
      <c r="B9279" s="3" t="s">
        <v>8896</v>
      </c>
      <c r="C9279" s="3" t="str">
        <f>IFERROR(__xludf.DUMMYFUNCTION("GOOGLETRANSLATE(B9279,""id"",""en"")"),"['Steady', 'fast', 'process', 'transaction', 'package', 'data']")</f>
        <v>['Steady', 'fast', 'process', 'transaction', 'package', 'data']</v>
      </c>
      <c r="D9279" s="3">
        <v>5.0</v>
      </c>
    </row>
    <row r="9280" ht="15.75" customHeight="1">
      <c r="A9280" s="1">
        <v>9979.0</v>
      </c>
      <c r="B9280" s="3" t="s">
        <v>8897</v>
      </c>
      <c r="C9280" s="3" t="str">
        <f>IFERROR(__xludf.DUMMYFUNCTION("GOOGLETRANSLATE(B9280,""id"",""en"")"),"['Yuk', 'moved', 'operator', 'Telkomsel', 'The network', 'ugly', 'already', 'expensive', 'expensive', 'quota', 'muter', 'loading', ' Contact ',' admin ',' Telkomsel ',' response ',' KAMPRETLAH ',' OPERATION ',' Next to ',' quota ',' speed ',' satisfying '"&amp;",' prioritizing ',' consumers' , 'Yuk', 'moved', 'operator', 'next door', '']")</f>
        <v>['Yuk', 'moved', 'operator', 'Telkomsel', 'The network', 'ugly', 'already', 'expensive', 'expensive', 'quota', 'muter', 'loading', ' Contact ',' admin ',' Telkomsel ',' response ',' KAMPRETLAH ',' OPERATION ',' Next to ',' quota ',' speed ',' satisfying ',' prioritizing ',' consumers' , 'Yuk', 'moved', 'operator', 'next door', '']</v>
      </c>
      <c r="D9280" s="3">
        <v>1.0</v>
      </c>
    </row>
    <row r="9281" ht="15.75" customHeight="1">
      <c r="A9281" s="1">
        <v>9980.0</v>
      </c>
      <c r="B9281" s="3" t="s">
        <v>8898</v>
      </c>
      <c r="C9281" s="3" t="str">
        <f>IFERROR(__xludf.DUMMYFUNCTION("GOOGLETRANSLATE(B9281,""id"",""en"")"),"['Provider', 'take', 'credit', 'consumer', 'hayang', 'for', 'Buuka', 'WhatsApp', 'package', 'WhatsApp', 'leftover', 'pulses',' Take ',' Consumers', 'Certainly', 'Change', '']")</f>
        <v>['Provider', 'take', 'credit', 'consumer', 'hayang', 'for', 'Buuka', 'WhatsApp', 'package', 'WhatsApp', 'leftover', 'pulses',' Take ',' Consumers', 'Certainly', 'Change', '']</v>
      </c>
      <c r="D9281" s="3">
        <v>1.0</v>
      </c>
    </row>
    <row r="9282" ht="15.75" customHeight="1">
      <c r="A9282" s="1">
        <v>9981.0</v>
      </c>
      <c r="B9282" s="3" t="s">
        <v>8899</v>
      </c>
      <c r="C9282" s="3" t="str">
        <f>IFERROR(__xludf.DUMMYFUNCTION("GOOGLETRANSLATE(B9282,""id"",""en"")"),"['Bagus', 'Price', 'Not bad', 'Affordable']")</f>
        <v>['Bagus', 'Price', 'Not bad', 'Affordable']</v>
      </c>
      <c r="D9282" s="3">
        <v>5.0</v>
      </c>
    </row>
    <row r="9283" ht="15.75" customHeight="1">
      <c r="A9283" s="1">
        <v>9982.0</v>
      </c>
      <c r="B9283" s="3" t="s">
        <v>8900</v>
      </c>
      <c r="C9283" s="3" t="str">
        <f>IFERROR(__xludf.DUMMYFUNCTION("GOOGLETRANSLATE(B9283,""id"",""en"")"),"['How', 'use', 'package', 'gamesmax', 'connected', 'play', 'pub']")</f>
        <v>['How', 'use', 'package', 'gamesmax', 'connected', 'play', 'pub']</v>
      </c>
      <c r="D9283" s="3">
        <v>1.0</v>
      </c>
    </row>
    <row r="9284" ht="15.75" customHeight="1">
      <c r="A9284" s="1">
        <v>9983.0</v>
      </c>
      <c r="B9284" s="3" t="s">
        <v>8901</v>
      </c>
      <c r="C9284" s="3" t="str">
        <f>IFERROR(__xludf.DUMMYFUNCTION("GOOGLETRANSLATE(B9284,""id"",""en"")"),"['Telkomsel', 'Fill', 'Credit', 'Cut', 'Mulu', 'Already', 'Say "",' Cut ',' Credit ',' Non ',' Package ',' PDHAL ',' Quota ',' crazy ',' times', 'TELKOM', 'MOTHING', 'Credit', 'person', 'Mulu', 'Dikata', 'buy', 'Daon', ""]")</f>
        <v>['Telkomsel', 'Fill', 'Credit', 'Cut', 'Mulu', 'Already', 'Say ",' Cut ',' Credit ',' Non ',' Package ',' PDHAL ',' Quota ',' crazy ',' times', 'TELKOM', 'MOTHING', 'Credit', 'person', 'Mulu', 'Dikata', 'buy', 'Daon', "]</v>
      </c>
      <c r="D9284" s="3">
        <v>1.0</v>
      </c>
    </row>
    <row r="9285" ht="15.75" customHeight="1">
      <c r="A9285" s="1">
        <v>9984.0</v>
      </c>
      <c r="B9285" s="3" t="s">
        <v>8902</v>
      </c>
      <c r="C9285" s="3" t="str">
        <f>IFERROR(__xludf.DUMMYFUNCTION("GOOGLETRANSLATE(B9285,""id"",""en"")"),"['Please', 'Change', 'Schedule', 'Clock', 'Use', 'Package', 'Internet', 'Night', 'JM', 'Papa']")</f>
        <v>['Please', 'Change', 'Schedule', 'Clock', 'Use', 'Package', 'Internet', 'Night', 'JM', 'Papa']</v>
      </c>
      <c r="D9285" s="3">
        <v>1.0</v>
      </c>
    </row>
    <row r="9286" ht="15.75" customHeight="1">
      <c r="A9286" s="1">
        <v>9985.0</v>
      </c>
      <c r="B9286" s="3" t="s">
        <v>8903</v>
      </c>
      <c r="C9286" s="3" t="str">
        <f>IFERROR(__xludf.DUMMYFUNCTION("GOOGLETRANSLATE(B9286,""id"",""en"")"),"['crazy', 'network', 'ugly', 'really', 'Jakarta', 'north', 'play', 'game', 'stable', 'lose', 'im', 'very spacing', ' expensive ',' quality ',' ptovider ',' BLI ',' number ',' regret ',' Syng ',' number ', ""]")</f>
        <v>['crazy', 'network', 'ugly', 'really', 'Jakarta', 'north', 'play', 'game', 'stable', 'lose', 'im', 'very spacing', ' expensive ',' quality ',' ptovider ',' BLI ',' number ',' regret ',' Syng ',' number ', "]</v>
      </c>
      <c r="D9286" s="3">
        <v>1.0</v>
      </c>
    </row>
    <row r="9287" ht="15.75" customHeight="1">
      <c r="A9287" s="1">
        <v>9986.0</v>
      </c>
      <c r="B9287" s="3" t="s">
        <v>8904</v>
      </c>
      <c r="C9287" s="3" t="str">
        <f>IFERROR(__xludf.DUMMYFUNCTION("GOOGLETRANSLATE(B9287,""id"",""en"")"),"['Looks', 'Telkomsel', 'Bonus', 'Check', 'Telkomsel', 'Can', 'Quota', 'MB', 'Actually', 'Use', 'Im', ""]")</f>
        <v>['Looks', 'Telkomsel', 'Bonus', 'Check', 'Telkomsel', 'Can', 'Quota', 'MB', 'Actually', 'Use', 'Im', "]</v>
      </c>
      <c r="D9287" s="3">
        <v>1.0</v>
      </c>
    </row>
    <row r="9288" ht="15.75" customHeight="1">
      <c r="A9288" s="1">
        <v>9987.0</v>
      </c>
      <c r="B9288" s="3" t="s">
        <v>8905</v>
      </c>
      <c r="C9288" s="3" t="str">
        <f>IFERROR(__xludf.DUMMYFUNCTION("GOOGLETRANSLATE(B9288,""id"",""en"")"),"['buy', 'expensive', 'Maen', 'game', '']")</f>
        <v>['buy', 'expensive', 'Maen', 'game', '']</v>
      </c>
      <c r="D9288" s="3">
        <v>1.0</v>
      </c>
    </row>
    <row r="9289" ht="15.75" customHeight="1">
      <c r="A9289" s="1">
        <v>9988.0</v>
      </c>
      <c r="B9289" s="3" t="s">
        <v>8906</v>
      </c>
      <c r="C9289" s="3" t="str">
        <f>IFERROR(__xludf.DUMMYFUNCTION("GOOGLETRANSLATE(B9289,""id"",""en"")"),"['Severe', 'sihh', 'already', 'make', 'Telkomsel', 'signal', 'down', 'think', 'a day', 'Player', 'game', 'online', ' disappointed ',' bnget ',' because ',' bnget ',' signal ',' down ',' repeat ',' times', 'deh', 'telkomsel', 'feel', 'feel', 'yuk' ]")</f>
        <v>['Severe', 'sihh', 'already', 'make', 'Telkomsel', 'signal', 'down', 'think', 'a day', 'Player', 'game', 'online', ' disappointed ',' bnget ',' because ',' bnget ',' signal ',' down ',' repeat ',' times', 'deh', 'telkomsel', 'feel', 'feel', 'yuk' ]</v>
      </c>
      <c r="D9289" s="3">
        <v>1.0</v>
      </c>
    </row>
    <row r="9290" ht="15.75" customHeight="1">
      <c r="A9290" s="1">
        <v>9989.0</v>
      </c>
      <c r="B9290" s="3" t="s">
        <v>8907</v>
      </c>
      <c r="C9290" s="3" t="str">
        <f>IFERROR(__xludf.DUMMYFUNCTION("GOOGLETRANSLATE(B9290,""id"",""en"")"),"['sophisticated', 'signal', 'difficult', 'online', 'koq', 'repeat', 'reset', 'off', 'use', 'mode', 'plane', 'koq', ' Gini ',' Times', 'Telkomsel', 'Severe', 'Telkomsel', 'Open', 'Application', 'annoying', ""]")</f>
        <v>['sophisticated', 'signal', 'difficult', 'online', 'koq', 'repeat', 'reset', 'off', 'use', 'mode', 'plane', 'koq', ' Gini ',' Times', 'Telkomsel', 'Severe', 'Telkomsel', 'Open', 'Application', 'annoying', "]</v>
      </c>
      <c r="D9290" s="3">
        <v>1.0</v>
      </c>
    </row>
    <row r="9291" ht="15.75" customHeight="1">
      <c r="A9291" s="1">
        <v>9990.0</v>
      </c>
      <c r="B9291" s="3" t="s">
        <v>8908</v>
      </c>
      <c r="C9291" s="3" t="str">
        <f>IFERROR(__xludf.DUMMYFUNCTION("GOOGLETRANSLATE(B9291,""id"",""en"")"),"['application', 'sampaah', 'buy', 'package', 'tried', 'tens', 'times', 'failed', 'mlulu', 'work']")</f>
        <v>['application', 'sampaah', 'buy', 'package', 'tried', 'tens', 'times', 'failed', 'mlulu', 'work']</v>
      </c>
      <c r="D9291" s="3">
        <v>1.0</v>
      </c>
    </row>
    <row r="9292" ht="15.75" customHeight="1">
      <c r="A9292" s="1">
        <v>9991.0</v>
      </c>
      <c r="B9292" s="3" t="s">
        <v>8909</v>
      </c>
      <c r="C9292" s="3" t="str">
        <f>IFERROR(__xludf.DUMMYFUNCTION("GOOGLETRANSLATE(B9292,""id"",""en"")"),"['Please', 'Network', 'Fix', 'Severe', 'Telkomsel', 'Package', 'Expensive', 'Network', 'Severe', 'Please', 'Telkomsel', 'Play', ' games', 'felt', 'how', 'network', 'good', 'skarang', 'open', 'slow', '']")</f>
        <v>['Please', 'Network', 'Fix', 'Severe', 'Telkomsel', 'Package', 'Expensive', 'Network', 'Severe', 'Please', 'Telkomsel', 'Play', ' games', 'felt', 'how', 'network', 'good', 'skarang', 'open', 'slow', '']</v>
      </c>
      <c r="D9292" s="3">
        <v>1.0</v>
      </c>
    </row>
    <row r="9293" ht="15.75" customHeight="1">
      <c r="A9293" s="1">
        <v>9992.0</v>
      </c>
      <c r="B9293" s="3" t="s">
        <v>8910</v>
      </c>
      <c r="C9293" s="3" t="str">
        <f>IFERROR(__xludf.DUMMYFUNCTION("GOOGLETRANSLATE(B9293,""id"",""en"")"),"['Steady', 'Telkomsel', 'Signal', 'Strong', 'wherever']")</f>
        <v>['Steady', 'Telkomsel', 'Signal', 'Strong', 'wherever']</v>
      </c>
      <c r="D9293" s="3">
        <v>5.0</v>
      </c>
    </row>
    <row r="9294" ht="15.75" customHeight="1">
      <c r="A9294" s="1">
        <v>9993.0</v>
      </c>
      <c r="B9294" s="3" t="s">
        <v>8911</v>
      </c>
      <c r="C9294" s="3" t="str">
        <f>IFERROR(__xludf.DUMMYFUNCTION("GOOGLETRANSLATE(B9294,""id"",""en"")"),"['chaotic', 'buy', 'SIM', 'Card', 'Application', 'Visit', 'Order', 'Date', 'November', 'Date', 'November', 'Blm', ' Phone ',' Email ',' Call ',' Center ',' Many ',' Times', 'Accelerated', 'DIFOLLOW', 'HOTHER', 'System', 'Application', 'MyTelkomsel', 'Disa"&amp;"ppointed' , 'Service', 'purchase', 'SIM', 'Card', 'Application', 'MyTelkomsel', '']")</f>
        <v>['chaotic', 'buy', 'SIM', 'Card', 'Application', 'Visit', 'Order', 'Date', 'November', 'Date', 'November', 'Blm', ' Phone ',' Email ',' Call ',' Center ',' Many ',' Times', 'Accelerated', 'DIFOLLOW', 'HOTHER', 'System', 'Application', 'MyTelkomsel', 'Disappointed' , 'Service', 'purchase', 'SIM', 'Card', 'Application', 'MyTelkomsel', '']</v>
      </c>
      <c r="D9294" s="3">
        <v>1.0</v>
      </c>
    </row>
    <row r="9295" ht="15.75" customHeight="1">
      <c r="A9295" s="1">
        <v>9994.0</v>
      </c>
      <c r="B9295" s="3" t="s">
        <v>8912</v>
      </c>
      <c r="C9295" s="3" t="str">
        <f>IFERROR(__xludf.DUMMYFUNCTION("GOOGLETRANSLATE(B9295,""id"",""en"")"),"['Thank you', 'Telkomsel', 'Service', 'Best']")</f>
        <v>['Thank you', 'Telkomsel', 'Service', 'Best']</v>
      </c>
      <c r="D9295" s="3">
        <v>5.0</v>
      </c>
    </row>
    <row r="9296" ht="15.75" customHeight="1">
      <c r="A9296" s="1">
        <v>9995.0</v>
      </c>
      <c r="B9296" s="3" t="s">
        <v>8913</v>
      </c>
      <c r="C9296" s="3" t="str">
        <f>IFERROR(__xludf.DUMMYFUNCTION("GOOGLETRANSLATE(B9296,""id"",""en"")"),"['Telkom', 'Please', 'The network', 'stable', 'Gini', 'quota', 'expensive', 'Lost', 'Smartfren', 'Telkomsel', 'Ngilak', ""]")</f>
        <v>['Telkom', 'Please', 'The network', 'stable', 'Gini', 'quota', 'expensive', 'Lost', 'Smartfren', 'Telkomsel', 'Ngilak', "]</v>
      </c>
      <c r="D9296" s="3">
        <v>1.0</v>
      </c>
    </row>
    <row r="9297" ht="15.75" customHeight="1">
      <c r="A9297" s="1">
        <v>9996.0</v>
      </c>
      <c r="B9297" s="3" t="s">
        <v>8914</v>
      </c>
      <c r="C9297" s="3" t="str">
        <f>IFERROR(__xludf.DUMMYFUNCTION("GOOGLETRANSLATE(B9297,""id"",""en"")"),"['pulses', 'ilang', 'card', '']")</f>
        <v>['pulses', 'ilang', 'card', '']</v>
      </c>
      <c r="D9297" s="3">
        <v>1.0</v>
      </c>
    </row>
    <row r="9298" ht="15.75" customHeight="1">
      <c r="A9298" s="1">
        <v>9997.0</v>
      </c>
      <c r="B9298" s="3" t="s">
        <v>8915</v>
      </c>
      <c r="C9298" s="3" t="str">
        <f>IFERROR(__xludf.DUMMYFUNCTION("GOOGLETRANSLATE(B9298,""id"",""en"")"),"['Note', 'Kouta', 'internet', 'user', 'send', 'sms',' kouta ',' run out ',' Telkomsel ',' messed up ',' customer ',' ad ',' SMS ',' Quality ']")</f>
        <v>['Note', 'Kouta', 'internet', 'user', 'send', 'sms',' kouta ',' run out ',' Telkomsel ',' messed up ',' customer ',' ad ',' SMS ',' Quality ']</v>
      </c>
      <c r="D9298" s="3">
        <v>1.0</v>
      </c>
    </row>
    <row r="9299" ht="15.75" customHeight="1">
      <c r="A9299" s="1">
        <v>9998.0</v>
      </c>
      <c r="B9299" s="3" t="s">
        <v>8916</v>
      </c>
      <c r="C9299" s="3" t="str">
        <f>IFERROR(__xludf.DUMMYFUNCTION("GOOGLETRANSLATE(B9299,""id"",""en"")"),"['The application', 'please', 'good', 'times',' upset ',' use ',' application ',' because ',' Bukak ',' already ',' &lt;br&gt; ',' slow ',' like ',' Damaring ',' use ',' application ',' please ',' repaired ',' pity ',' customer ',' cook ',' yes', 'lose', 'appli"&amp;"cation', 'network' ]")</f>
        <v>['The application', 'please', 'good', 'times',' upset ',' use ',' application ',' because ',' Bukak ',' already ',' &lt;br&gt; ',' slow ',' like ',' Damaring ',' use ',' application ',' please ',' repaired ',' pity ',' customer ',' cook ',' yes', 'lose', 'application', 'network' ]</v>
      </c>
      <c r="D9299" s="3">
        <v>1.0</v>
      </c>
    </row>
    <row r="9300" ht="15.75" customHeight="1">
      <c r="A9300" s="1">
        <v>9999.0</v>
      </c>
      <c r="B9300" s="3" t="s">
        <v>8917</v>
      </c>
      <c r="C9300" s="3" t="str">
        <f>IFERROR(__xludf.DUMMYFUNCTION("GOOGLETRANSLATE(B9300,""id"",""en"")"),"['signal', 'GBL', 'love', 'Ujan', 'signal', 'Ilangga', 'ugly', 'amatt']")</f>
        <v>['signal', 'GBL', 'love', 'Ujan', 'signal', 'Ilangga', 'ugly', 'amatt']</v>
      </c>
      <c r="D9300" s="3">
        <v>1.0</v>
      </c>
    </row>
    <row r="9301" ht="15.75" customHeight="1">
      <c r="A9301" s="1">
        <v>10000.0</v>
      </c>
      <c r="B9301" s="3" t="s">
        <v>8918</v>
      </c>
      <c r="C9301" s="3" t="str">
        <f>IFERROR(__xludf.DUMMYFUNCTION("GOOGLETRANSLATE(B9301,""id"",""en"")"),"['signal', 'slow', 'report', 'Capaik', 'operator']")</f>
        <v>['signal', 'slow', 'report', 'Capaik', 'operator']</v>
      </c>
      <c r="D9301" s="3">
        <v>1.0</v>
      </c>
    </row>
    <row r="9302" ht="15.75" customHeight="1">
      <c r="A9302" s="1">
        <v>10001.0</v>
      </c>
      <c r="B9302" s="3" t="s">
        <v>7271</v>
      </c>
      <c r="C9302" s="3" t="str">
        <f>IFERROR(__xludf.DUMMYFUNCTION("GOOGLETRANSLATE(B9302,""id"",""en"")"),"['Help', 'users', 'Telkomsel']")</f>
        <v>['Help', 'users', 'Telkomsel']</v>
      </c>
      <c r="D9302" s="3">
        <v>5.0</v>
      </c>
    </row>
    <row r="9303" ht="15.75" customHeight="1">
      <c r="A9303" s="1">
        <v>10002.0</v>
      </c>
      <c r="B9303" s="3" t="s">
        <v>8919</v>
      </c>
      <c r="C9303" s="3" t="str">
        <f>IFERROR(__xludf.DUMMYFUNCTION("GOOGLETRANSLATE(B9303,""id"",""en"")"),"['Get', 'free']")</f>
        <v>['Get', 'free']</v>
      </c>
      <c r="D9303" s="3">
        <v>5.0</v>
      </c>
    </row>
    <row r="9304" ht="15.75" customHeight="1">
      <c r="A9304" s="1">
        <v>10003.0</v>
      </c>
      <c r="B9304" s="3" t="s">
        <v>8920</v>
      </c>
      <c r="C9304" s="3" t="str">
        <f>IFERROR(__xludf.DUMMYFUNCTION("GOOGLETRANSLATE(B9304,""id"",""en"")"),"['leftover', 'pulse', 'package', 'pulses', 'pull']")</f>
        <v>['leftover', 'pulse', 'package', 'pulses', 'pull']</v>
      </c>
      <c r="D9304" s="3">
        <v>1.0</v>
      </c>
    </row>
    <row r="9305" ht="15.75" customHeight="1">
      <c r="A9305" s="1">
        <v>10004.0</v>
      </c>
      <c r="B9305" s="3" t="s">
        <v>8921</v>
      </c>
      <c r="C9305" s="3" t="str">
        <f>IFERROR(__xludf.DUMMYFUNCTION("GOOGLETRANSLATE(B9305,""id"",""en"")"),"['signal', 'Telkomsel', 'BKN', 'destroyed', 'quota', 'expensive', 'signal', 'kayak', 'iiiiiii']")</f>
        <v>['signal', 'Telkomsel', 'BKN', 'destroyed', 'quota', 'expensive', 'signal', 'kayak', 'iiiiiii']</v>
      </c>
      <c r="D9305" s="3">
        <v>1.0</v>
      </c>
    </row>
    <row r="9306" ht="15.75" customHeight="1">
      <c r="A9306" s="1">
        <v>10005.0</v>
      </c>
      <c r="B9306" s="3" t="s">
        <v>8922</v>
      </c>
      <c r="C9306" s="3" t="str">
        <f>IFERROR(__xludf.DUMMYFUNCTION("GOOGLETRANSLATE(B9306,""id"",""en"")"),"['It's', 'yaaaa', 'quota', 'masuh', 'slow', 'nyaaa', 'asm']")</f>
        <v>['It's', 'yaaaa', 'quota', 'masuh', 'slow', 'nyaaa', 'asm']</v>
      </c>
      <c r="D9306" s="3">
        <v>1.0</v>
      </c>
    </row>
    <row r="9307" ht="15.75" customHeight="1">
      <c r="A9307" s="1">
        <v>10006.0</v>
      </c>
      <c r="B9307" s="3" t="s">
        <v>8923</v>
      </c>
      <c r="C9307" s="3" t="str">
        <f>IFERROR(__xludf.DUMMYFUNCTION("GOOGLETRANSLATE(B9307,""id"",""en"")"),"['Want', 'get', 'gift', 'pulse']")</f>
        <v>['Want', 'get', 'gift', 'pulse']</v>
      </c>
      <c r="D9307" s="3">
        <v>5.0</v>
      </c>
    </row>
    <row r="9308" ht="15.75" customHeight="1">
      <c r="A9308" s="1">
        <v>10007.0</v>
      </c>
      <c r="B9308" s="3" t="s">
        <v>8924</v>
      </c>
      <c r="C9308" s="3" t="str">
        <f>IFERROR(__xludf.DUMMYFUNCTION("GOOGLETRANSLATE(B9308,""id"",""en"")"),"['Good', 'cheap', 'festive']")</f>
        <v>['Good', 'cheap', 'festive']</v>
      </c>
      <c r="D9308" s="3">
        <v>3.0</v>
      </c>
    </row>
    <row r="9309" ht="15.75" customHeight="1">
      <c r="A9309" s="1">
        <v>10010.0</v>
      </c>
      <c r="B9309" s="3" t="s">
        <v>8925</v>
      </c>
      <c r="C9309" s="3" t="str">
        <f>IFERROR(__xludf.DUMMYFUNCTION("GOOGLETRANSLATE(B9309,""id"",""en"")"),"['Telkomsel', 'collapsed', 'price', 'balanced', 'quality', 'ugly', 'ngeleg', 'morning', 'clock', 'doang', 'exhaust', 'ngeeleg', ' Colently ',' Price ',' ']")</f>
        <v>['Telkomsel', 'collapsed', 'price', 'balanced', 'quality', 'ugly', 'ngeleg', 'morning', 'clock', 'doang', 'exhaust', 'ngeeleg', ' Colently ',' Price ',' ']</v>
      </c>
      <c r="D9309" s="3">
        <v>1.0</v>
      </c>
    </row>
    <row r="9310" ht="15.75" customHeight="1">
      <c r="A9310" s="1">
        <v>10011.0</v>
      </c>
      <c r="B9310" s="3" t="s">
        <v>8926</v>
      </c>
      <c r="C9310" s="3" t="str">
        <f>IFERROR(__xludf.DUMMYFUNCTION("GOOGLETRANSLATE(B9310,""id"",""en"")"),"['Mhon', 'sharpen', 'signal', 'complaints', '']")</f>
        <v>['Mhon', 'sharpen', 'signal', 'complaints', '']</v>
      </c>
      <c r="D9310" s="3">
        <v>5.0</v>
      </c>
    </row>
    <row r="9311" ht="15.75" customHeight="1">
      <c r="A9311" s="1">
        <v>10013.0</v>
      </c>
      <c r="B9311" s="3" t="s">
        <v>8927</v>
      </c>
      <c r="C9311" s="3" t="str">
        <f>IFERROR(__xludf.DUMMYFUNCTION("GOOGLETRANSLATE(B9311,""id"",""en"")"),"['Gmpng', 'Packagein', 'Telkomsel', 'Thank you']")</f>
        <v>['Gmpng', 'Packagein', 'Telkomsel', 'Thank you']</v>
      </c>
      <c r="D9311" s="3">
        <v>3.0</v>
      </c>
    </row>
    <row r="9312" ht="15.75" customHeight="1">
      <c r="A9312" s="1">
        <v>10014.0</v>
      </c>
      <c r="B9312" s="3" t="s">
        <v>8928</v>
      </c>
      <c r="C9312" s="3" t="str">
        <f>IFERROR(__xludf.DUMMYFUNCTION("GOOGLETRANSLATE(B9312,""id"",""en"")"),"['my cellphone', 'Poco', 'Pro', 'RAM', 'pub', 'lag', 'down', 'signal', 'disappointed']")</f>
        <v>['my cellphone', 'Poco', 'Pro', 'RAM', 'pub', 'lag', 'down', 'signal', 'disappointed']</v>
      </c>
      <c r="D9312" s="3">
        <v>1.0</v>
      </c>
    </row>
    <row r="9313" ht="15.75" customHeight="1">
      <c r="A9313" s="1">
        <v>10015.0</v>
      </c>
      <c r="B9313" s="3" t="s">
        <v>8929</v>
      </c>
      <c r="C9313" s="3" t="str">
        <f>IFERROR(__xludf.DUMMYFUNCTION("GOOGLETRANSLATE(B9313,""id"",""en"")"),"['Ngellag', 'then', 'pig', 'price', 'official', 'Speed', 'rich', 'kacung']")</f>
        <v>['Ngellag', 'then', 'pig', 'price', 'official', 'Speed', 'rich', 'kacung']</v>
      </c>
      <c r="D9313" s="3">
        <v>1.0</v>
      </c>
    </row>
    <row r="9314" ht="15.75" customHeight="1">
      <c r="A9314" s="1">
        <v>10016.0</v>
      </c>
      <c r="B9314" s="3" t="s">
        <v>8930</v>
      </c>
      <c r="C9314" s="3" t="str">
        <f>IFERROR(__xludf.DUMMYFUNCTION("GOOGLETRANSLATE(B9314,""id"",""en"")"),"['Sousiny', 'deteriorating', 'quality', 'signal', 'ugly', 'shame', 'price', ""]")</f>
        <v>['Sousiny', 'deteriorating', 'quality', 'signal', 'ugly', 'shame', 'price', "]</v>
      </c>
      <c r="D9314" s="3">
        <v>1.0</v>
      </c>
    </row>
    <row r="9315" ht="15.75" customHeight="1">
      <c r="A9315" s="1">
        <v>10017.0</v>
      </c>
      <c r="B9315" s="3" t="s">
        <v>8931</v>
      </c>
      <c r="C9315" s="3" t="str">
        <f>IFERROR(__xludf.DUMMYFUNCTION("GOOGLETRANSLATE(B9315,""id"",""en"")"),"['disruption', 'system', 'buy', 'package', 'Telkomsel', 'please', 'increase', 'customer', 'loyal']")</f>
        <v>['disruption', 'system', 'buy', 'package', 'Telkomsel', 'please', 'increase', 'customer', 'loyal']</v>
      </c>
      <c r="D9315" s="3">
        <v>1.0</v>
      </c>
    </row>
    <row r="9316" ht="15.75" customHeight="1">
      <c r="A9316" s="1">
        <v>10018.0</v>
      </c>
      <c r="B9316" s="3" t="s">
        <v>8932</v>
      </c>
      <c r="C9316" s="3" t="str">
        <f>IFERROR(__xludf.DUMMYFUNCTION("GOOGLETRANSLATE(B9316,""id"",""en"")"),"['Woe', 'Login', 'Telkomsel', 'Divert', 'SMS', 'Magic', 'Link', 'Negri', 'The application', 'Woeee', 'idiot', 'really']")</f>
        <v>['Woe', 'Login', 'Telkomsel', 'Divert', 'SMS', 'Magic', 'Link', 'Negri', 'The application', 'Woeee', 'idiot', 'really']</v>
      </c>
      <c r="D9316" s="3">
        <v>1.0</v>
      </c>
    </row>
    <row r="9317" ht="15.75" customHeight="1">
      <c r="A9317" s="1">
        <v>10019.0</v>
      </c>
      <c r="B9317" s="3" t="s">
        <v>8933</v>
      </c>
      <c r="C9317" s="3" t="str">
        <f>IFERROR(__xludf.DUMMYFUNCTION("GOOGLETRANSLATE(B9317,""id"",""en"")"),"['Yesterday', 'Combo', 'Sakti', 'Uda', 'Eliminated', 'Strange', 'really', '']")</f>
        <v>['Yesterday', 'Combo', 'Sakti', 'Uda', 'Eliminated', 'Strange', 'really', '']</v>
      </c>
      <c r="D9317" s="3">
        <v>1.0</v>
      </c>
    </row>
    <row r="9318" ht="15.75" customHeight="1">
      <c r="A9318" s="1">
        <v>10020.0</v>
      </c>
      <c r="B9318" s="3" t="s">
        <v>8934</v>
      </c>
      <c r="C9318" s="3" t="str">
        <f>IFERROR(__xludf.DUMMYFUNCTION("GOOGLETRANSLATE(B9318,""id"",""en"")"),"['Mabok', 'spend it', '']")</f>
        <v>['Mabok', 'spend it', '']</v>
      </c>
      <c r="D9318" s="3">
        <v>5.0</v>
      </c>
    </row>
    <row r="9319" ht="15.75" customHeight="1">
      <c r="A9319" s="1">
        <v>10021.0</v>
      </c>
      <c r="B9319" s="3" t="s">
        <v>4830</v>
      </c>
      <c r="C9319" s="3" t="str">
        <f>IFERROR(__xludf.DUMMYFUNCTION("GOOGLETRANSLATE(B9319,""id"",""en"")"),"['beneficial', '']")</f>
        <v>['beneficial', '']</v>
      </c>
      <c r="D9319" s="3">
        <v>5.0</v>
      </c>
    </row>
    <row r="9320" ht="15.75" customHeight="1">
      <c r="A9320" s="1">
        <v>10022.0</v>
      </c>
      <c r="B9320" s="3" t="s">
        <v>8935</v>
      </c>
      <c r="C9320" s="3" t="str">
        <f>IFERROR(__xludf.DUMMYFUNCTION("GOOGLETRANSLATE(B9320,""id"",""en"")"),"['Optimize', 'service', 'Masalh', 'Network', 'users', 'Telkomsel', 'love']")</f>
        <v>['Optimize', 'service', 'Masalh', 'Network', 'users', 'Telkomsel', 'love']</v>
      </c>
      <c r="D9320" s="3">
        <v>5.0</v>
      </c>
    </row>
    <row r="9321" ht="15.75" customHeight="1">
      <c r="A9321" s="1">
        <v>10023.0</v>
      </c>
      <c r="B9321" s="3" t="s">
        <v>8936</v>
      </c>
      <c r="C9321" s="3" t="str">
        <f>IFERROR(__xludf.DUMMYFUNCTION("GOOGLETRANSLATE(B9321,""id"",""en"")"),"['ugly', 'times', 'Telkomsel', 'network']")</f>
        <v>['ugly', 'times', 'Telkomsel', 'network']</v>
      </c>
      <c r="D9321" s="3">
        <v>1.0</v>
      </c>
    </row>
    <row r="9322" ht="15.75" customHeight="1">
      <c r="A9322" s="1">
        <v>10024.0</v>
      </c>
      <c r="B9322" s="3" t="s">
        <v>8937</v>
      </c>
      <c r="C9322" s="3" t="str">
        <f>IFERROR(__xludf.DUMMYFUNCTION("GOOGLETRANSLATE(B9322,""id"",""en"")"),"['Disappointed', 'Telkomsel', 'fast', 'send', 'Telkomsel', 'Sometimes', 'Send', 'Sometimes', 'ngak', 'please', 'fix', ""]")</f>
        <v>['Disappointed', 'Telkomsel', 'fast', 'send', 'Telkomsel', 'Sometimes', 'Send', 'Sometimes', 'ngak', 'please', 'fix', "]</v>
      </c>
      <c r="D9322" s="3">
        <v>1.0</v>
      </c>
    </row>
    <row r="9323" ht="15.75" customHeight="1">
      <c r="A9323" s="1">
        <v>10025.0</v>
      </c>
      <c r="B9323" s="3" t="s">
        <v>8938</v>
      </c>
      <c r="C9323" s="3" t="str">
        <f>IFERROR(__xludf.DUMMYFUNCTION("GOOGLETRANSLATE(B9323,""id"",""en"")"),"['Saakasoh', 'Darling', 'Signal', 'Good']")</f>
        <v>['Saakasoh', 'Darling', 'Signal', 'Good']</v>
      </c>
      <c r="D9323" s="3">
        <v>5.0</v>
      </c>
    </row>
    <row r="9324" ht="15.75" customHeight="1">
      <c r="A9324" s="1">
        <v>10026.0</v>
      </c>
      <c r="B9324" s="3" t="s">
        <v>8939</v>
      </c>
      <c r="C9324" s="3" t="str">
        <f>IFERROR(__xludf.DUMMYFUNCTION("GOOGLETRANSLATE(B9324,""id"",""en"")"),"['Credit', 'Reduced', 'Program', 'Understand', 'Content', 'Credit', 'RB', 'Purchase', 'Activate', 'Package', 'Sydah', 'Susa', ' Chat ',' Veronika ',' Difficult ']")</f>
        <v>['Credit', 'Reduced', 'Program', 'Understand', 'Content', 'Credit', 'RB', 'Purchase', 'Activate', 'Package', 'Sydah', 'Susa', ' Chat ',' Veronika ',' Difficult ']</v>
      </c>
      <c r="D9324" s="3">
        <v>3.0</v>
      </c>
    </row>
    <row r="9325" ht="15.75" customHeight="1">
      <c r="A9325" s="1">
        <v>10027.0</v>
      </c>
      <c r="B9325" s="3" t="s">
        <v>8940</v>
      </c>
      <c r="C9325" s="3" t="str">
        <f>IFERROR(__xludf.DUMMYFUNCTION("GOOGLETRANSLATE(B9325,""id"",""en"")"),"['Level', 'Jaringn', '']")</f>
        <v>['Level', 'Jaringn', '']</v>
      </c>
      <c r="D9325" s="3">
        <v>4.0</v>
      </c>
    </row>
    <row r="9326" ht="15.75" customHeight="1">
      <c r="A9326" s="1">
        <v>10028.0</v>
      </c>
      <c r="B9326" s="3" t="s">
        <v>8941</v>
      </c>
      <c r="C9326" s="3" t="str">
        <f>IFERROR(__xludf.DUMMYFUNCTION("GOOGLETRANSLATE(B9326,""id"",""en"")"),"['Package', 'cheap', 'affordable', 'min']")</f>
        <v>['Package', 'cheap', 'affordable', 'min']</v>
      </c>
      <c r="D9326" s="3">
        <v>5.0</v>
      </c>
    </row>
    <row r="9327" ht="15.75" customHeight="1">
      <c r="A9327" s="1">
        <v>10030.0</v>
      </c>
      <c r="B9327" s="3" t="s">
        <v>8942</v>
      </c>
      <c r="C9327" s="3" t="str">
        <f>IFERROR(__xludf.DUMMYFUNCTION("GOOGLETRANSLATE(B9327,""id"",""en"")"),"['Severe', 'Maketin', 'Telkomsel', 'Alesan', 'disorder', 'system', 'already', 'kya', 'so', 'please', 'fix', 'shy', ' The slogan is', '']")</f>
        <v>['Severe', 'Maketin', 'Telkomsel', 'Alesan', 'disorder', 'system', 'already', 'kya', 'so', 'please', 'fix', 'shy', ' The slogan is', '']</v>
      </c>
      <c r="D9327" s="3">
        <v>1.0</v>
      </c>
    </row>
    <row r="9328" ht="15.75" customHeight="1">
      <c r="A9328" s="1">
        <v>10031.0</v>
      </c>
      <c r="B9328" s="3" t="s">
        <v>8943</v>
      </c>
      <c r="C9328" s="3" t="str">
        <f>IFERROR(__xludf.DUMMYFUNCTION("GOOGLETRANSLATE(B9328,""id"",""en"")"),"['Package', 'Telkomsel', 'crazy', 'package', 'expensive', 'expensive', 'right', 'price', 'package', 'internet', 'quality', 'network', ' bad']")</f>
        <v>['Package', 'Telkomsel', 'crazy', 'package', 'expensive', 'expensive', 'right', 'price', 'package', 'internet', 'quality', 'network', ' bad']</v>
      </c>
      <c r="D9328" s="3">
        <v>1.0</v>
      </c>
    </row>
    <row r="9329" ht="15.75" customHeight="1">
      <c r="A9329" s="1">
        <v>10032.0</v>
      </c>
      <c r="B9329" s="3" t="s">
        <v>8944</v>
      </c>
      <c r="C9329" s="3" t="str">
        <f>IFERROR(__xludf.DUMMYFUNCTION("GOOGLETRANSLATE(B9329,""id"",""en"")"),"['Hold', 'Package', 'Combonya', '']")</f>
        <v>['Hold', 'Package', 'Combonya', '']</v>
      </c>
      <c r="D9329" s="3">
        <v>5.0</v>
      </c>
    </row>
    <row r="9330" ht="15.75" customHeight="1">
      <c r="A9330" s="1">
        <v>10033.0</v>
      </c>
      <c r="B9330" s="3" t="s">
        <v>8945</v>
      </c>
      <c r="C9330" s="3" t="str">
        <f>IFERROR(__xludf.DUMMYFUNCTION("GOOGLETRANSLATE(B9330,""id"",""en"")"),"['Quality', 'Come', 'Show', 'ugly', 'Very', 'Region', 'Cibiuk', 'Pameungpeuk', 'Banjaran', 'Change', 'Signal', 'Loud', ' severe ',' season ',' rain ']")</f>
        <v>['Quality', 'Come', 'Show', 'ugly', 'Very', 'Region', 'Cibiuk', 'Pameungpeuk', 'Banjaran', 'Change', 'Signal', 'Loud', ' severe ',' season ',' rain ']</v>
      </c>
      <c r="D9330" s="3">
        <v>2.0</v>
      </c>
    </row>
    <row r="9331" ht="15.75" customHeight="1">
      <c r="A9331" s="1">
        <v>10035.0</v>
      </c>
      <c r="B9331" s="3" t="s">
        <v>2620</v>
      </c>
      <c r="C9331" s="3" t="str">
        <f>IFERROR(__xludf.DUMMYFUNCTION("GOOGLETRANSLATE(B9331,""id"",""en"")"),"Of course")</f>
        <v>Of course</v>
      </c>
      <c r="D9331" s="3">
        <v>5.0</v>
      </c>
    </row>
    <row r="9332" ht="15.75" customHeight="1">
      <c r="A9332" s="1">
        <v>10036.0</v>
      </c>
      <c r="B9332" s="3" t="s">
        <v>8946</v>
      </c>
      <c r="C9332" s="3" t="str">
        <f>IFERROR(__xludf.DUMMYFUNCTION("GOOGLETRANSLATE(B9332,""id"",""en"")"),"['Register', 'Faham', 'Please', 'Intruksinya', '']")</f>
        <v>['Register', 'Faham', 'Please', 'Intruksinya', '']</v>
      </c>
      <c r="D9332" s="3">
        <v>4.0</v>
      </c>
    </row>
    <row r="9333" ht="15.75" customHeight="1">
      <c r="A9333" s="1">
        <v>10037.0</v>
      </c>
      <c r="B9333" s="3" t="s">
        <v>8947</v>
      </c>
      <c r="C9333" s="3" t="str">
        <f>IFERROR(__xludf.DUMMYFUNCTION("GOOGLETRANSLATE(B9333,""id"",""en"")"),"['satisfying', 'customer']")</f>
        <v>['satisfying', 'customer']</v>
      </c>
      <c r="D9333" s="3">
        <v>5.0</v>
      </c>
    </row>
    <row r="9334" ht="15.75" customHeight="1">
      <c r="A9334" s="1">
        <v>10038.0</v>
      </c>
      <c r="B9334" s="3" t="s">
        <v>8948</v>
      </c>
      <c r="C9334" s="3" t="str">
        <f>IFERROR(__xludf.DUMMYFUNCTION("GOOGLETRANSLATE(B9334,""id"",""en"")"),"['Lally', 'donk', 'promo']")</f>
        <v>['Lally', 'donk', 'promo']</v>
      </c>
      <c r="D9334" s="3">
        <v>5.0</v>
      </c>
    </row>
    <row r="9335" ht="15.75" customHeight="1">
      <c r="A9335" s="1">
        <v>10039.0</v>
      </c>
      <c r="B9335" s="3" t="s">
        <v>8949</v>
      </c>
      <c r="C9335" s="3" t="str">
        <f>IFERROR(__xludf.DUMMYFUNCTION("GOOGLETRANSLATE(B9335,""id"",""en"")"),"['Good', 'My family', 'Download', 'Good', 'really', '']")</f>
        <v>['Good', 'My family', 'Download', 'Good', 'really', '']</v>
      </c>
      <c r="D9335" s="3">
        <v>5.0</v>
      </c>
    </row>
    <row r="9336" ht="15.75" customHeight="1">
      <c r="A9336" s="1">
        <v>10040.0</v>
      </c>
      <c r="B9336" s="3" t="s">
        <v>8950</v>
      </c>
      <c r="C9336" s="3" t="str">
        <f>IFERROR(__xludf.DUMMYFUNCTION("GOOGLETRANSLATE(B9336,""id"",""en"")"),"['suda', 'contents',' pulse ',' description ',' grace ',' until ',' date ',' TLP ',' said ',' phone ',' entry ',' grank ',' Muter ',' Talk ',' Telkomsel ']")</f>
        <v>['suda', 'contents',' pulse ',' description ',' grace ',' until ',' date ',' TLP ',' said ',' phone ',' entry ',' grank ',' Muter ',' Talk ',' Telkomsel ']</v>
      </c>
      <c r="D9336" s="3">
        <v>1.0</v>
      </c>
    </row>
    <row r="9337" ht="15.75" customHeight="1">
      <c r="A9337" s="1">
        <v>10041.0</v>
      </c>
      <c r="B9337" s="3" t="s">
        <v>8951</v>
      </c>
      <c r="C9337" s="3" t="str">
        <f>IFERROR(__xludf.DUMMYFUNCTION("GOOGLETRANSLATE(B9337,""id"",""en"")"),"['Lemot', 'Parahhhhh', 'City', 'Surabaya', 'Parawhhhhhh', 'Doly Hula', 'Cash', 'Default', 'Parahhh', 'Lemooottttt']")</f>
        <v>['Lemot', 'Parahhhhh', 'City', 'Surabaya', 'Parawhhhhhh', 'Doly Hula', 'Cash', 'Default', 'Parahhh', 'Lemooottttt']</v>
      </c>
      <c r="D9337" s="3">
        <v>2.0</v>
      </c>
    </row>
    <row r="9338" ht="15.75" customHeight="1">
      <c r="A9338" s="1">
        <v>10042.0</v>
      </c>
      <c r="B9338" s="3" t="s">
        <v>8952</v>
      </c>
      <c r="C9338" s="3" t="str">
        <f>IFERROR(__xludf.DUMMYFUNCTION("GOOGLETRANSLATE(B9338,""id"",""en"")"),"['boss', 'for me', 'expensive', 'signal', 'sometimes', 'please', 'that's', ""]")</f>
        <v>['boss', 'for me', 'expensive', 'signal', 'sometimes', 'please', 'that's', "]</v>
      </c>
      <c r="D9338" s="3">
        <v>1.0</v>
      </c>
    </row>
    <row r="9339" ht="15.75" customHeight="1">
      <c r="A9339" s="1">
        <v>10043.0</v>
      </c>
      <c r="B9339" s="3" t="s">
        <v>8953</v>
      </c>
      <c r="C9339" s="3" t="str">
        <f>IFERROR(__xludf.DUMMYFUNCTION("GOOGLETRANSLATE(B9339,""id"",""en"")"),"['Disruption', 'CUY', 'User', 'Loss', 'User', 'CUY', '']")</f>
        <v>['Disruption', 'CUY', 'User', 'Loss', 'User', 'CUY', '']</v>
      </c>
      <c r="D9339" s="3">
        <v>1.0</v>
      </c>
    </row>
    <row r="9340" ht="15.75" customHeight="1">
      <c r="A9340" s="1">
        <v>10044.0</v>
      </c>
      <c r="B9340" s="3" t="s">
        <v>8954</v>
      </c>
      <c r="C9340" s="3" t="str">
        <f>IFERROR(__xludf.DUMMYFUNCTION("GOOGLETRANSLATE(B9340,""id"",""en"")"),"['difficult', 'signal', 'signal', 'missing', 'missing']")</f>
        <v>['difficult', 'signal', 'signal', 'missing', 'missing']</v>
      </c>
      <c r="D9340" s="3">
        <v>2.0</v>
      </c>
    </row>
    <row r="9341" ht="15.75" customHeight="1">
      <c r="A9341" s="1">
        <v>10045.0</v>
      </c>
      <c r="B9341" s="3" t="s">
        <v>8955</v>
      </c>
      <c r="C9341" s="3" t="str">
        <f>IFERROR(__xludf.DUMMYFUNCTION("GOOGLETRANSLATE(B9341,""id"",""en"")"),"['steady', 'the application', 'buy', 'quota', 'tasty', 'see', 'leftover', 'brpa', 'quota', 'tasty', 'steady', 'deh', ' basicnyq ']")</f>
        <v>['steady', 'the application', 'buy', 'quota', 'tasty', 'see', 'leftover', 'brpa', 'quota', 'tasty', 'steady', 'deh', ' basicnyq ']</v>
      </c>
      <c r="D9341" s="3">
        <v>5.0</v>
      </c>
    </row>
    <row r="9342" ht="15.75" customHeight="1">
      <c r="A9342" s="1">
        <v>10046.0</v>
      </c>
      <c r="B9342" s="3" t="s">
        <v>8956</v>
      </c>
      <c r="C9342" s="3" t="str">
        <f>IFERROR(__xludf.DUMMYFUNCTION("GOOGLETRANSLATE(B9342,""id"",""en"")"),"['stingy']")</f>
        <v>['stingy']</v>
      </c>
      <c r="D9342" s="3">
        <v>5.0</v>
      </c>
    </row>
    <row r="9343" ht="15.75" customHeight="1">
      <c r="A9343" s="1">
        <v>10047.0</v>
      </c>
      <c r="B9343" s="3" t="s">
        <v>8957</v>
      </c>
      <c r="C9343" s="3" t="str">
        <f>IFERROR(__xludf.DUMMYFUNCTION("GOOGLETRANSLATE(B9343,""id"",""en"")"),"['happy', 'service', 'Telkomsel']")</f>
        <v>['happy', 'service', 'Telkomsel']</v>
      </c>
      <c r="D9343" s="3">
        <v>5.0</v>
      </c>
    </row>
    <row r="9344" ht="15.75" customHeight="1">
      <c r="A9344" s="1">
        <v>10048.0</v>
      </c>
      <c r="B9344" s="3" t="s">
        <v>2594</v>
      </c>
      <c r="C9344" s="3" t="str">
        <f>IFERROR(__xludf.DUMMYFUNCTION("GOOGLETRANSLATE(B9344,""id"",""en"")"),"['easy', 'use']")</f>
        <v>['easy', 'use']</v>
      </c>
      <c r="D9344" s="3">
        <v>5.0</v>
      </c>
    </row>
    <row r="9345" ht="15.75" customHeight="1">
      <c r="A9345" s="1">
        <v>10049.0</v>
      </c>
      <c r="B9345" s="3" t="s">
        <v>8958</v>
      </c>
      <c r="C9345" s="3" t="str">
        <f>IFERROR(__xludf.DUMMYFUNCTION("GOOGLETRANSLATE(B9345,""id"",""en"")"),"['signal', 'good', 'increase', 'service']")</f>
        <v>['signal', 'good', 'increase', 'service']</v>
      </c>
      <c r="D9345" s="3">
        <v>5.0</v>
      </c>
    </row>
    <row r="9346" ht="15.75" customHeight="1">
      <c r="A9346" s="1">
        <v>10050.0</v>
      </c>
      <c r="B9346" s="3" t="s">
        <v>8959</v>
      </c>
      <c r="C9346" s="3" t="str">
        <f>IFERROR(__xludf.DUMMYFUNCTION("GOOGLETRANSLATE(B9346,""id"",""en"")"),"['Star', 'yng', 'determines']")</f>
        <v>['Star', 'yng', 'determines']</v>
      </c>
      <c r="D9346" s="3">
        <v>4.0</v>
      </c>
    </row>
    <row r="9347" ht="15.75" customHeight="1">
      <c r="A9347" s="1">
        <v>10051.0</v>
      </c>
      <c r="B9347" s="3" t="s">
        <v>8960</v>
      </c>
      <c r="C9347" s="3" t="str">
        <f>IFERROR(__xludf.DUMMYFUNCTION("GOOGLETRANSLATE(B9347,""id"",""en"")"),"['APK', 'provider', 'ugly', 'pulse', 'disappear', 'fill in', 'network', 'signal', 'ugly', 'support', 'application', 'Terb', ' Believe ',' Heart ',' Heart ',' Money ',' Out ',' Policy ',' Satisfied ', ""]")</f>
        <v>['APK', 'provider', 'ugly', 'pulse', 'disappear', 'fill in', 'network', 'signal', 'ugly', 'support', 'application', 'Terb', ' Believe ',' Heart ',' Heart ',' Money ',' Out ',' Policy ',' Satisfied ', "]</v>
      </c>
      <c r="D9347" s="3">
        <v>1.0</v>
      </c>
    </row>
    <row r="9348" ht="15.75" customHeight="1">
      <c r="A9348" s="1">
        <v>10052.0</v>
      </c>
      <c r="B9348" s="3" t="s">
        <v>8961</v>
      </c>
      <c r="C9348" s="3" t="str">
        <f>IFERROR(__xludf.DUMMYFUNCTION("GOOGLETRANSLATE(B9348,""id"",""en"")"),"['expensive', 'bought', 'Jellekkkk', 'The network', 'broke', 'Haduuuhh', 'Lossi', ""]")</f>
        <v>['expensive', 'bought', 'Jellekkkk', 'The network', 'broke', 'Haduuuhh', 'Lossi', "]</v>
      </c>
      <c r="D9348" s="3">
        <v>1.0</v>
      </c>
    </row>
    <row r="9349" ht="15.75" customHeight="1">
      <c r="A9349" s="1">
        <v>10053.0</v>
      </c>
      <c r="B9349" s="3" t="s">
        <v>8962</v>
      </c>
      <c r="C9349" s="3" t="str">
        <f>IFERROR(__xludf.DUMMYFUNCTION("GOOGLETRANSLATE(B9349,""id"",""en"")"),"['Watch out', 'internet', 'expensive', 'kasi', 'star', '']")</f>
        <v>['Watch out', 'internet', 'expensive', 'kasi', 'star', '']</v>
      </c>
      <c r="D9349" s="3">
        <v>5.0</v>
      </c>
    </row>
    <row r="9350" ht="15.75" customHeight="1">
      <c r="A9350" s="1">
        <v>10054.0</v>
      </c>
      <c r="B9350" s="3" t="s">
        <v>8963</v>
      </c>
      <c r="C9350" s="3" t="str">
        <f>IFERROR(__xludf.DUMMYFUNCTION("GOOGLETRANSLATE(B9350,""id"",""en"")"),"['Helpful', 'satisfying']")</f>
        <v>['Helpful', 'satisfying']</v>
      </c>
      <c r="D9350" s="3">
        <v>5.0</v>
      </c>
    </row>
    <row r="9351" ht="15.75" customHeight="1">
      <c r="A9351" s="1">
        <v>10055.0</v>
      </c>
      <c r="B9351" s="3" t="s">
        <v>8964</v>
      </c>
      <c r="C9351" s="3" t="str">
        <f>IFERROR(__xludf.DUMMYFUNCTION("GOOGLETRANSLATE(B9351,""id"",""en"")"),"['use', 'Telkomsel', 'already', 'years',' price ',' promo ',' Telkomsel ',' friend ',' price ',' cheap ',' folding ',' I ',' Try ',' equalized ',' price ',' distinguished ',' user ',' expensive ',' user ',' cheap ',' really ',' times', 'folding', 'the dif"&amp;"ference' , 'Cheap', 'strangehhhhhhhhhh']")</f>
        <v>['use', 'Telkomsel', 'already', 'years',' price ',' promo ',' Telkomsel ',' friend ',' price ',' cheap ',' folding ',' I ',' Try ',' equalized ',' price ',' distinguished ',' user ',' expensive ',' user ',' cheap ',' really ',' times', 'folding', 'the difference' , 'Cheap', 'strangehhhhhhhhhh']</v>
      </c>
      <c r="D9351" s="3">
        <v>1.0</v>
      </c>
    </row>
    <row r="9352" ht="15.75" customHeight="1">
      <c r="A9352" s="1">
        <v>10056.0</v>
      </c>
      <c r="B9352" s="3" t="s">
        <v>8965</v>
      </c>
      <c r="C9352" s="3" t="str">
        <f>IFERROR(__xludf.DUMMYFUNCTION("GOOGLETRANSLATE(B9352,""id"",""en"")"),"['Move', 'Yuk', 'package', 'expensive', 'equivalent', 'purchase', 'wifi', 'quality', 'service', 'ugly', 'disappointed', 'customer', ' Years', 'loyal', 'Dilapidated', 'System', 'Service', 'Moving', 'Three', 'Congratulations',' Live ',' Telkomsel ',' Disapp"&amp;"ointed ',' Measons', 'With You' , '']")</f>
        <v>['Move', 'Yuk', 'package', 'expensive', 'equivalent', 'purchase', 'wifi', 'quality', 'service', 'ugly', 'disappointed', 'customer', ' Years', 'loyal', 'Dilapidated', 'System', 'Service', 'Moving', 'Three', 'Congratulations',' Live ',' Telkomsel ',' Disappointed ',' Measons', 'With You' , '']</v>
      </c>
      <c r="D9352" s="3">
        <v>1.0</v>
      </c>
    </row>
    <row r="9353" ht="15.75" customHeight="1">
      <c r="A9353" s="1">
        <v>10057.0</v>
      </c>
      <c r="B9353" s="3" t="s">
        <v>8966</v>
      </c>
      <c r="C9353" s="3" t="str">
        <f>IFERROR(__xludf.DUMMYFUNCTION("GOOGLETRANSLATE(B9353,""id"",""en"")"),"['Not bad', 'credit', 'emergency', 'cave', 'gift', 'telkomsel', 'exchange', 'point', 'cave', 'already', 'users',' Telkomsel ',' Hmmm']")</f>
        <v>['Not bad', 'credit', 'emergency', 'cave', 'gift', 'telkomsel', 'exchange', 'point', 'cave', 'already', 'users',' Telkomsel ',' Hmmm']</v>
      </c>
      <c r="D9353" s="3">
        <v>2.0</v>
      </c>
    </row>
    <row r="9354" ht="15.75" customHeight="1">
      <c r="A9354" s="1">
        <v>10058.0</v>
      </c>
      <c r="B9354" s="3" t="s">
        <v>8967</v>
      </c>
      <c r="C9354" s="3" t="str">
        <f>IFERROR(__xludf.DUMMYFUNCTION("GOOGLETRANSLATE(B9354,""id"",""en"")"),"['Good', 'love', ""]")</f>
        <v>['Good', 'love', "]</v>
      </c>
      <c r="D9354" s="3">
        <v>5.0</v>
      </c>
    </row>
    <row r="9355" ht="15.75" customHeight="1">
      <c r="A9355" s="1">
        <v>10059.0</v>
      </c>
      <c r="B9355" s="3" t="s">
        <v>8968</v>
      </c>
      <c r="C9355" s="3" t="str">
        <f>IFERROR(__xludf.DUMMYFUNCTION("GOOGLETRANSLATE(B9355,""id"",""en"")"),"['in the area', 'South Sulawesi', 'on', 'coast', 'Beach', 'Telkomsel', 'Lost', 'Indosat', 'Often', 'Experience', 'Lost', 'Network', ' Please, 'Enhanced', 'Service', 'Shy', 'Operator', 'Cheap', 'Quality', 'Good', '']")</f>
        <v>['in the area', 'South Sulawesi', 'on', 'coast', 'Beach', 'Telkomsel', 'Lost', 'Indosat', 'Often', 'Experience', 'Lost', 'Network', ' Please, 'Enhanced', 'Service', 'Shy', 'Operator', 'Cheap', 'Quality', 'Good', '']</v>
      </c>
      <c r="D9355" s="3">
        <v>2.0</v>
      </c>
    </row>
    <row r="9356" ht="15.75" customHeight="1">
      <c r="A9356" s="1">
        <v>10061.0</v>
      </c>
      <c r="B9356" s="3" t="s">
        <v>8969</v>
      </c>
      <c r="C9356" s="3" t="str">
        <f>IFERROR(__xludf.DUMMYFUNCTION("GOOGLETRANSLATE(B9356,""id"",""en"")"),"['Method', 'Login', 'Send', 'Link', 'SMS', 'Link', 'Cauntuars',' Expired ',' Method ',' Email ',' Error ',' Dine ',' The application ',' Error ']")</f>
        <v>['Method', 'Login', 'Send', 'Link', 'SMS', 'Link', 'Cauntuars',' Expired ',' Method ',' Email ',' Error ',' Dine ',' The application ',' Error ']</v>
      </c>
      <c r="D9356" s="3">
        <v>1.0</v>
      </c>
    </row>
    <row r="9357" ht="15.75" customHeight="1">
      <c r="A9357" s="1">
        <v>10062.0</v>
      </c>
      <c r="B9357" s="3" t="s">
        <v>8970</v>
      </c>
      <c r="C9357" s="3" t="str">
        <f>IFERROR(__xludf.DUMMYFUNCTION("GOOGLETRANSLATE(B9357,""id"",""en"")"),"['Current', 'Where']")</f>
        <v>['Current', 'Where']</v>
      </c>
      <c r="D9357" s="3">
        <v>5.0</v>
      </c>
    </row>
    <row r="9358" ht="15.75" customHeight="1">
      <c r="A9358" s="1">
        <v>10063.0</v>
      </c>
      <c r="B9358" s="3" t="s">
        <v>8971</v>
      </c>
      <c r="C9358" s="3" t="str">
        <f>IFERROR(__xludf.DUMMYFUNCTION("GOOGLETRANSLATE(B9358,""id"",""en"")"),"['Good', 'signal', 'strong', 'remote', 'kampung', 'just', 'acts', 'continue', 'run out', 'rain', 'signal', 'sometimes' Like ',' shame ',' shy ',' appears', '']")</f>
        <v>['Good', 'signal', 'strong', 'remote', 'kampung', 'just', 'acts', 'continue', 'run out', 'rain', 'signal', 'sometimes' Like ',' shame ',' shy ',' appears', '']</v>
      </c>
      <c r="D9358" s="3">
        <v>4.0</v>
      </c>
    </row>
    <row r="9359" ht="15.75" customHeight="1">
      <c r="A9359" s="1">
        <v>10064.0</v>
      </c>
      <c r="B9359" s="3" t="s">
        <v>8972</v>
      </c>
      <c r="C9359" s="3" t="str">
        <f>IFERROR(__xludf.DUMMYFUNCTION("GOOGLETRANSLATE(B9359,""id"",""en"")"),"['Boong', 'Hayuk', 'palpale']")</f>
        <v>['Boong', 'Hayuk', 'palpale']</v>
      </c>
      <c r="D9359" s="3">
        <v>5.0</v>
      </c>
    </row>
    <row r="9360" ht="15.75" customHeight="1">
      <c r="A9360" s="1">
        <v>10065.0</v>
      </c>
      <c r="B9360" s="3" t="s">
        <v>8973</v>
      </c>
      <c r="C9360" s="3" t="str">
        <f>IFERROR(__xludf.DUMMYFUNCTION("GOOGLETRANSLATE(B9360,""id"",""en"")"),"['Telkom', 'how', 'Cape', 'network', 'repair']")</f>
        <v>['Telkom', 'how', 'Cape', 'network', 'repair']</v>
      </c>
      <c r="D9360" s="3">
        <v>1.0</v>
      </c>
    </row>
    <row r="9361" ht="15.75" customHeight="1">
      <c r="A9361" s="1">
        <v>10066.0</v>
      </c>
      <c r="B9361" s="3" t="s">
        <v>8974</v>
      </c>
      <c r="C9361" s="3" t="str">
        <f>IFERROR(__xludf.DUMMYFUNCTION("GOOGLETRANSLATE(B9361,""id"",""en"")"),"['Signal', 'Telkomsel', 'bad', 'tariff', 'expensive']")</f>
        <v>['Signal', 'Telkomsel', 'bad', 'tariff', 'expensive']</v>
      </c>
      <c r="D9361" s="3">
        <v>3.0</v>
      </c>
    </row>
    <row r="9362" ht="15.75" customHeight="1">
      <c r="A9362" s="1">
        <v>10067.0</v>
      </c>
      <c r="B9362" s="3" t="s">
        <v>8975</v>
      </c>
      <c r="C9362" s="3" t="str">
        <f>IFERROR(__xludf.DUMMYFUNCTION("GOOGLETRANSLATE(B9362,""id"",""en"")"),"['Not bad', 'Display', 'Home']")</f>
        <v>['Not bad', 'Display', 'Home']</v>
      </c>
      <c r="D9362" s="3">
        <v>3.0</v>
      </c>
    </row>
    <row r="9363" ht="15.75" customHeight="1">
      <c r="A9363" s="1">
        <v>10068.0</v>
      </c>
      <c r="B9363" s="3" t="s">
        <v>800</v>
      </c>
      <c r="C9363" s="3" t="str">
        <f>IFERROR(__xludf.DUMMYFUNCTION("GOOGLETRANSLATE(B9363,""id"",""en"")"),"['Promo']")</f>
        <v>['Promo']</v>
      </c>
      <c r="D9363" s="3">
        <v>1.0</v>
      </c>
    </row>
    <row r="9364" ht="15.75" customHeight="1">
      <c r="A9364" s="1">
        <v>10069.0</v>
      </c>
      <c r="B9364" s="3" t="s">
        <v>8976</v>
      </c>
      <c r="C9364" s="3" t="str">
        <f>IFERROR(__xludf.DUMMYFUNCTION("GOOGLETRANSLATE(B9364,""id"",""en"")"),"['Paketan', 'a month']")</f>
        <v>['Paketan', 'a month']</v>
      </c>
      <c r="D9364" s="3">
        <v>3.0</v>
      </c>
    </row>
    <row r="9365" ht="15.75" customHeight="1">
      <c r="A9365" s="1">
        <v>10070.0</v>
      </c>
      <c r="B9365" s="3" t="s">
        <v>8977</v>
      </c>
      <c r="C9365" s="3" t="str">
        <f>IFERROR(__xludf.DUMMYFUNCTION("GOOGLETRANSLATE(B9365,""id"",""en"")"),"['', 'info', 'pulse', 'stay']")</f>
        <v>['', 'info', 'pulse', 'stay']</v>
      </c>
      <c r="D9365" s="3">
        <v>3.0</v>
      </c>
    </row>
    <row r="9366" ht="15.75" customHeight="1">
      <c r="A9366" s="1">
        <v>10071.0</v>
      </c>
      <c r="B9366" s="3" t="s">
        <v>8978</v>
      </c>
      <c r="C9366" s="3" t="str">
        <f>IFERROR(__xludf.DUMMYFUNCTION("GOOGLETRANSLATE(B9366,""id"",""en"")"),"['price', 'quata', 'pulses', 'expensive', 'network', 'sometimes', 'slow']")</f>
        <v>['price', 'quata', 'pulses', 'expensive', 'network', 'sometimes', 'slow']</v>
      </c>
      <c r="D9366" s="3">
        <v>5.0</v>
      </c>
    </row>
    <row r="9367" ht="15.75" customHeight="1">
      <c r="A9367" s="1">
        <v>10072.0</v>
      </c>
      <c r="B9367" s="3" t="s">
        <v>8979</v>
      </c>
      <c r="C9367" s="3" t="str">
        <f>IFERROR(__xludf.DUMMYFUNCTION("GOOGLETRANSLATE(B9367,""id"",""en"")"),"['comfortable', 'Telkomsel', 'package', 'internet', 'expensive', 'jing', 'lazy', 'cave', 'padaha', 'customer', 'loyal', 'customer', ' Tetep ',' AJH ',' Removed ',' Rates', 'Package', 'Internet', '']")</f>
        <v>['comfortable', 'Telkomsel', 'package', 'internet', 'expensive', 'jing', 'lazy', 'cave', 'padaha', 'customer', 'loyal', 'customer', ' Tetep ',' AJH ',' Removed ',' Rates', 'Package', 'Internet', '']</v>
      </c>
      <c r="D9367" s="3">
        <v>1.0</v>
      </c>
    </row>
    <row r="9368" ht="15.75" customHeight="1">
      <c r="A9368" s="1">
        <v>10074.0</v>
      </c>
      <c r="B9368" s="3" t="s">
        <v>8980</v>
      </c>
      <c r="C9368" s="3" t="str">
        <f>IFERROR(__xludf.DUMMYFUNCTION("GOOGLETRANSLATE(B9368,""id"",""en"")"),"['Mantap', 'Application']")</f>
        <v>['Mantap', 'Application']</v>
      </c>
      <c r="D9368" s="3">
        <v>5.0</v>
      </c>
    </row>
    <row r="9369" ht="15.75" customHeight="1">
      <c r="A9369" s="1">
        <v>10075.0</v>
      </c>
      <c r="B9369" s="3" t="s">
        <v>8981</v>
      </c>
      <c r="C9369" s="3" t="str">
        <f>IFERROR(__xludf.DUMMYFUNCTION("GOOGLETRANSLATE(B9369,""id"",""en"")"),"['Good', 'Application', 'Add', 'Lock', 'Lock', 'Credit', 'Cutting', 'Quota', 'Internet', 'Out', 'Provide', 'Credit', ' Calls', 'sucked', 'right', 'quota', 'run out', 'thankful', 'work', 'good', 'develop', ""]")</f>
        <v>['Good', 'Application', 'Add', 'Lock', 'Lock', 'Credit', 'Cutting', 'Quota', 'Internet', 'Out', 'Provide', 'Credit', ' Calls', 'sucked', 'right', 'quota', 'run out', 'thankful', 'work', 'good', 'develop', "]</v>
      </c>
      <c r="D9369" s="3">
        <v>5.0</v>
      </c>
    </row>
    <row r="9370" ht="15.75" customHeight="1">
      <c r="A9370" s="1">
        <v>10076.0</v>
      </c>
      <c r="B9370" s="3" t="s">
        <v>8982</v>
      </c>
      <c r="C9370" s="3" t="str">
        <f>IFERROR(__xludf.DUMMYFUNCTION("GOOGLETRANSLATE(B9370,""id"",""en"")"),"['MyTelkomsel', 'Good', 'Baget']")</f>
        <v>['MyTelkomsel', 'Good', 'Baget']</v>
      </c>
      <c r="D9370" s="3">
        <v>5.0</v>
      </c>
    </row>
    <row r="9371" ht="15.75" customHeight="1">
      <c r="A9371" s="1">
        <v>10077.0</v>
      </c>
      <c r="B9371" s="3" t="s">
        <v>8983</v>
      </c>
      <c r="C9371" s="3" t="str">
        <f>IFERROR(__xludf.DUMMYFUNCTION("GOOGLETRANSLATE(B9371,""id"",""en"")"),"['Addin', 'menu', 'unlock', 'pulse', 'right', 'quota', 'out', 'reduce', 'pulse', 'approval']")</f>
        <v>['Addin', 'menu', 'unlock', 'pulse', 'right', 'quota', 'out', 'reduce', 'pulse', 'approval']</v>
      </c>
      <c r="D9371" s="3">
        <v>4.0</v>
      </c>
    </row>
    <row r="9372" ht="15.75" customHeight="1">
      <c r="A9372" s="1">
        <v>10078.0</v>
      </c>
      <c r="B9372" s="3" t="s">
        <v>8984</v>
      </c>
      <c r="C9372" s="3" t="str">
        <f>IFERROR(__xludf.DUMMYFUNCTION("GOOGLETRANSLATE(B9372,""id"",""en"")"),"['Satisfied', 'Feature']")</f>
        <v>['Satisfied', 'Feature']</v>
      </c>
      <c r="D9372" s="3">
        <v>3.0</v>
      </c>
    </row>
    <row r="9373" ht="15.75" customHeight="1">
      <c r="A9373" s="1">
        <v>10079.0</v>
      </c>
      <c r="B9373" s="3" t="s">
        <v>8985</v>
      </c>
      <c r="C9373" s="3" t="str">
        <f>IFERROR(__xludf.DUMMYFUNCTION("GOOGLETRANSLATE(B9373,""id"",""en"")"),"['Good', 'good', 'the application', 'smooth']")</f>
        <v>['Good', 'good', 'the application', 'smooth']</v>
      </c>
      <c r="D9373" s="3">
        <v>5.0</v>
      </c>
    </row>
    <row r="9374" ht="15.75" customHeight="1">
      <c r="A9374" s="1">
        <v>10080.0</v>
      </c>
      <c r="B9374" s="3" t="s">
        <v>8986</v>
      </c>
      <c r="C9374" s="3" t="str">
        <f>IFERROR(__xludf.DUMMYFUNCTION("GOOGLETRANSLATE(B9374,""id"",""en"")"),"['Anu', 'The application', 'Good', 'Eeee', 'Etto', 'Emmmm', 'Like', 'Kyaaa']")</f>
        <v>['Anu', 'The application', 'Good', 'Eeee', 'Etto', 'Emmmm', 'Like', 'Kyaaa']</v>
      </c>
      <c r="D9374" s="3">
        <v>4.0</v>
      </c>
    </row>
    <row r="9375" ht="15.75" customHeight="1">
      <c r="A9375" s="1">
        <v>10081.0</v>
      </c>
      <c r="B9375" s="3" t="s">
        <v>8987</v>
      </c>
      <c r="C9375" s="3" t="str">
        <f>IFERROR(__xludf.DUMMYFUNCTION("GOOGLETRANSLATE(B9375,""id"",""en"")"),"['Telkomsel', 'Disruption', 'Students', 'Online', 'Difficulties', 'Tasks', 'Move', 'Card', 'Expensive', 'Package', 'Sousal', ""]")</f>
        <v>['Telkomsel', 'Disruption', 'Students', 'Online', 'Difficulties', 'Tasks', 'Move', 'Card', 'Expensive', 'Package', 'Sousal', "]</v>
      </c>
      <c r="D9375" s="3">
        <v>1.0</v>
      </c>
    </row>
    <row r="9376" ht="15.75" customHeight="1">
      <c r="A9376" s="1">
        <v>10082.0</v>
      </c>
      <c r="B9376" s="3" t="s">
        <v>8988</v>
      </c>
      <c r="C9376" s="3" t="str">
        <f>IFERROR(__xludf.DUMMYFUNCTION("GOOGLETRANSLATE(B9376,""id"",""en"")"),"['card', 'Tsel', 'Lost', 'connection', 'bar', 'signal', 'full', 'price', 'doang', 'expensive', 'quality', 'lowly', ' Already ',' contact ',' Discard ']")</f>
        <v>['card', 'Tsel', 'Lost', 'connection', 'bar', 'signal', 'full', 'price', 'doang', 'expensive', 'quality', 'lowly', ' Already ',' contact ',' Discard ']</v>
      </c>
      <c r="D9376" s="3">
        <v>1.0</v>
      </c>
    </row>
    <row r="9377" ht="15.75" customHeight="1">
      <c r="A9377" s="1">
        <v>10083.0</v>
      </c>
      <c r="B9377" s="3" t="s">
        <v>8989</v>
      </c>
      <c r="C9377" s="3" t="str">
        <f>IFERROR(__xludf.DUMMYFUNCTION("GOOGLETRANSLATE(B9377,""id"",""en"")"),"['steady', 'buy', 'package', 'easy', 'easy']")</f>
        <v>['steady', 'buy', 'package', 'easy', 'easy']</v>
      </c>
      <c r="D9377" s="3">
        <v>5.0</v>
      </c>
    </row>
    <row r="9378" ht="15.75" customHeight="1">
      <c r="A9378" s="1">
        <v>10084.0</v>
      </c>
      <c r="B9378" s="3" t="s">
        <v>8990</v>
      </c>
      <c r="C9378" s="3" t="str">
        <f>IFERROR(__xludf.DUMMYFUNCTION("GOOGLETRANSLATE(B9378,""id"",""en"")"),"['Disappointed', 'credit', 'reduced', 'just', 'right', 'check', 'already', 'lost', 'rb', 'contents',' last night ',' turn on ',' Data ',' Telkomsel ',' Data ',' Indosat ',' What ',' Nyolong ',' style ', ""]")</f>
        <v>['Disappointed', 'credit', 'reduced', 'just', 'right', 'check', 'already', 'lost', 'rb', 'contents',' last night ',' turn on ',' Data ',' Telkomsel ',' Data ',' Indosat ',' What ',' Nyolong ',' style ', "]</v>
      </c>
      <c r="D9378" s="3">
        <v>1.0</v>
      </c>
    </row>
    <row r="9379" ht="15.75" customHeight="1">
      <c r="A9379" s="1">
        <v>10085.0</v>
      </c>
      <c r="B9379" s="3" t="s">
        <v>8991</v>
      </c>
      <c r="C9379" s="3" t="str">
        <f>IFERROR(__xludf.DUMMYFUNCTION("GOOGLETRANSLATE(B9379,""id"",""en"")"),"['Submission', 'Companse', 'Bad', 'Trying', '']")</f>
        <v>['Submission', 'Companse', 'Bad', 'Trying', '']</v>
      </c>
      <c r="D9379" s="3">
        <v>1.0</v>
      </c>
    </row>
    <row r="9380" ht="15.75" customHeight="1">
      <c r="A9380" s="1">
        <v>10086.0</v>
      </c>
      <c r="B9380" s="3" t="s">
        <v>8992</v>
      </c>
      <c r="C9380" s="3" t="str">
        <f>IFERROR(__xludf.DUMMYFUNCTION("GOOGLETRANSLATE(B9380,""id"",""en"")"),"['provaider', 'quality', 'help', 'negotiations', 'business', 'success', 'can', 'can', '']")</f>
        <v>['provaider', 'quality', 'help', 'negotiations', 'business', 'success', 'can', 'can', '']</v>
      </c>
      <c r="D9380" s="3">
        <v>5.0</v>
      </c>
    </row>
    <row r="9381" ht="15.75" customHeight="1">
      <c r="A9381" s="1">
        <v>10087.0</v>
      </c>
      <c r="B9381" s="3" t="s">
        <v>3932</v>
      </c>
      <c r="C9381" s="3" t="str">
        <f>IFERROR(__xludf.DUMMYFUNCTION("GOOGLETRANSLATE(B9381,""id"",""en"")"),"['It's easy', 'transaction']")</f>
        <v>['It's easy', 'transaction']</v>
      </c>
      <c r="D9381" s="3">
        <v>5.0</v>
      </c>
    </row>
    <row r="9382" ht="15.75" customHeight="1">
      <c r="A9382" s="1">
        <v>10088.0</v>
      </c>
      <c r="B9382" s="3" t="s">
        <v>2423</v>
      </c>
      <c r="C9382" s="3" t="str">
        <f>IFERROR(__xludf.DUMMYFUNCTION("GOOGLETRANSLATE(B9382,""id"",""en"")"),"['Steady', 'help']")</f>
        <v>['Steady', 'help']</v>
      </c>
      <c r="D9382" s="3">
        <v>5.0</v>
      </c>
    </row>
    <row r="9383" ht="15.75" customHeight="1">
      <c r="A9383" s="1">
        <v>10090.0</v>
      </c>
      <c r="B9383" s="3" t="s">
        <v>8993</v>
      </c>
      <c r="C9383" s="3" t="str">
        <f>IFERROR(__xludf.DUMMYFUNCTION("GOOGLETRANSLATE(B9383,""id"",""en"")"),"['already', 'price', 'expensive', 'quota', 'stingy', 'signal', 'stingy', 'bnerin', 'signal']")</f>
        <v>['already', 'price', 'expensive', 'quota', 'stingy', 'signal', 'stingy', 'bnerin', 'signal']</v>
      </c>
      <c r="D9383" s="3">
        <v>1.0</v>
      </c>
    </row>
    <row r="9384" ht="15.75" customHeight="1">
      <c r="A9384" s="1">
        <v>10091.0</v>
      </c>
      <c r="B9384" s="3" t="s">
        <v>8994</v>
      </c>
      <c r="C9384" s="3" t="str">
        <f>IFERROR(__xludf.DUMMYFUNCTION("GOOGLETRANSLATE(B9384,""id"",""en"")"),"['easy', 'network', 'cheap']")</f>
        <v>['easy', 'network', 'cheap']</v>
      </c>
      <c r="D9384" s="3">
        <v>5.0</v>
      </c>
    </row>
    <row r="9385" ht="15.75" customHeight="1">
      <c r="A9385" s="1">
        <v>10092.0</v>
      </c>
      <c r="B9385" s="3" t="s">
        <v>8995</v>
      </c>
      <c r="C9385" s="3" t="str">
        <f>IFERROR(__xludf.DUMMYFUNCTION("GOOGLETRANSLATE(B9385,""id"",""en"")"),"['Help', 'promo', '']")</f>
        <v>['Help', 'promo', '']</v>
      </c>
      <c r="D9385" s="3">
        <v>4.0</v>
      </c>
    </row>
    <row r="9386" ht="15.75" customHeight="1">
      <c r="A9386" s="1">
        <v>10093.0</v>
      </c>
      <c r="B9386" s="3" t="s">
        <v>8996</v>
      </c>
      <c r="C9386" s="3" t="str">
        <f>IFERROR(__xludf.DUMMYFUNCTION("GOOGLETRANSLATE(B9386,""id"",""en"")"),"['Network', 'stable', 'according to', 'price', 'package', 'decent', 'expensive', 'price', 'package', 'beloved', 'thousand', 'quota']")</f>
        <v>['Network', 'stable', 'according to', 'price', 'package', 'decent', 'expensive', 'price', 'package', 'beloved', 'thousand', 'quota']</v>
      </c>
      <c r="D9386" s="3">
        <v>2.0</v>
      </c>
    </row>
    <row r="9387" ht="15.75" customHeight="1">
      <c r="A9387" s="1">
        <v>10094.0</v>
      </c>
      <c r="B9387" s="3" t="s">
        <v>8997</v>
      </c>
      <c r="C9387" s="3" t="str">
        <f>IFERROR(__xludf.DUMMYFUNCTION("GOOGLETRANSLATE(B9387,""id"",""en"")"),"['Cherangan', 'profitable', 'users']")</f>
        <v>['Cherangan', 'profitable', 'users']</v>
      </c>
      <c r="D9387" s="3">
        <v>4.0</v>
      </c>
    </row>
    <row r="9388" ht="15.75" customHeight="1">
      <c r="A9388" s="1">
        <v>10095.0</v>
      </c>
      <c r="B9388" s="3" t="s">
        <v>8998</v>
      </c>
      <c r="C9388" s="3" t="str">
        <f>IFERROR(__xludf.DUMMYFUNCTION("GOOGLETRANSLATE(B9388,""id"",""en"")"),"['Congratulations',' Afternoon ',' Play ',' Store ',' Telkomsel ',' Easily ',' Customer ',' Dlm ',' Menu ',' Need ',' Gift ',' Increase ',' Ratting ',' Telkomsel ',' ']")</f>
        <v>['Congratulations',' Afternoon ',' Play ',' Store ',' Telkomsel ',' Easily ',' Customer ',' Dlm ',' Menu ',' Need ',' Gift ',' Increase ',' Ratting ',' Telkomsel ',' ']</v>
      </c>
      <c r="D9388" s="3">
        <v>5.0</v>
      </c>
    </row>
    <row r="9389" ht="15.75" customHeight="1">
      <c r="A9389" s="1">
        <v>10096.0</v>
      </c>
      <c r="B9389" s="3" t="s">
        <v>8999</v>
      </c>
      <c r="C9389" s="3" t="str">
        <f>IFERROR(__xludf.DUMMYFUNCTION("GOOGLETRANSLATE(B9389,""id"",""en"")"),"['signal', 'strong', 'stable', 'communication', 'browsing', 'smooth']")</f>
        <v>['signal', 'strong', 'stable', 'communication', 'browsing', 'smooth']</v>
      </c>
      <c r="D9389" s="3">
        <v>5.0</v>
      </c>
    </row>
    <row r="9390" ht="15.75" customHeight="1">
      <c r="A9390" s="1">
        <v>10097.0</v>
      </c>
      <c r="B9390" s="3" t="s">
        <v>9000</v>
      </c>
      <c r="C9390" s="3" t="str">
        <f>IFERROR(__xludf.DUMMYFUNCTION("GOOGLETRANSLATE(B9390,""id"",""en"")"),"['Link', 'Pay', 'Gopay', 'Application', 'Error', 'Difficult', 'Link']")</f>
        <v>['Link', 'Pay', 'Gopay', 'Application', 'Error', 'Difficult', 'Link']</v>
      </c>
      <c r="D9390" s="3">
        <v>3.0</v>
      </c>
    </row>
    <row r="9391" ht="15.75" customHeight="1">
      <c r="A9391" s="1">
        <v>10098.0</v>
      </c>
      <c r="B9391" s="3" t="s">
        <v>9001</v>
      </c>
      <c r="C9391" s="3" t="str">
        <f>IFERROR(__xludf.DUMMYFUNCTION("GOOGLETRANSLATE(B9391,""id"",""en"")"),"['It's easy', 'users', 'loyal', 'Telkomsel', 'innovation', 'Telkomsel', '']")</f>
        <v>['It's easy', 'users', 'loyal', 'Telkomsel', 'innovation', 'Telkomsel', '']</v>
      </c>
      <c r="D9391" s="3">
        <v>5.0</v>
      </c>
    </row>
    <row r="9392" ht="15.75" customHeight="1">
      <c r="A9392" s="1">
        <v>10100.0</v>
      </c>
      <c r="B9392" s="3" t="s">
        <v>9002</v>
      </c>
      <c r="C9392" s="3" t="str">
        <f>IFERROR(__xludf.DUMMYFUNCTION("GOOGLETRANSLATE(B9392,""id"",""en"")"),"['Luka', 'MyTelkomsel']")</f>
        <v>['Luka', 'MyTelkomsel']</v>
      </c>
      <c r="D9392" s="3">
        <v>3.0</v>
      </c>
    </row>
    <row r="9393" ht="15.75" customHeight="1">
      <c r="A9393" s="1">
        <v>10101.0</v>
      </c>
      <c r="B9393" s="3" t="s">
        <v>9003</v>
      </c>
      <c r="C9393" s="3" t="str">
        <f>IFERROR(__xludf.DUMMYFUNCTION("GOOGLETRANSLATE(B9393,""id"",""en"")"),"['signal', 'bad', 'price', 'package', 'expensive', 'compared to', 'operator', 'bangse', 'win', 'reach', 'extensive', ' See ',' Noh ',' Desert ',' Sahara ',' Wide ', ""]")</f>
        <v>['signal', 'bad', 'price', 'package', 'expensive', 'compared to', 'operator', 'bangse', 'win', 'reach', 'extensive', ' See ',' Noh ',' Desert ',' Sahara ',' Wide ', "]</v>
      </c>
      <c r="D9393" s="3">
        <v>1.0</v>
      </c>
    </row>
    <row r="9394" ht="15.75" customHeight="1">
      <c r="A9394" s="1">
        <v>10102.0</v>
      </c>
      <c r="B9394" s="3" t="s">
        <v>9004</v>
      </c>
      <c r="C9394" s="3" t="str">
        <f>IFERROR(__xludf.DUMMYFUNCTION("GOOGLETRANSLATE(B9394,""id"",""en"")"),"['Help', 'service', 'convenience', 'world', 'digital', 'recommendation', 'network', 'best']")</f>
        <v>['Help', 'service', 'convenience', 'world', 'digital', 'recommendation', 'network', 'best']</v>
      </c>
      <c r="D9394" s="3">
        <v>5.0</v>
      </c>
    </row>
    <row r="9395" ht="15.75" customHeight="1">
      <c r="A9395" s="1">
        <v>10103.0</v>
      </c>
      <c r="B9395" s="3" t="s">
        <v>9005</v>
      </c>
      <c r="C9395" s="3" t="str">
        <f>IFERROR(__xludf.DUMMYFUNCTION("GOOGLETRANSLATE(B9395,""id"",""en"")"),"['signal', 'UDH', 'rich', 'card', 'cheap', '']")</f>
        <v>['signal', 'UDH', 'rich', 'card', 'cheap', '']</v>
      </c>
      <c r="D9395" s="3">
        <v>5.0</v>
      </c>
    </row>
    <row r="9396" ht="15.75" customHeight="1">
      <c r="A9396" s="1">
        <v>10104.0</v>
      </c>
      <c r="B9396" s="3" t="s">
        <v>9006</v>
      </c>
      <c r="C9396" s="3" t="str">
        <f>IFERROR(__xludf.DUMMYFUNCTION("GOOGLETRANSLATE(B9396,""id"",""en"")"),"['Bonus',' discount ',' IDR ',' Cutting ',' Purchase ',' Package ',' System ',' Application ',' Bug ',' Kali ',' Claim ',' Quota ',' Allnet ',' bonus', 'usage', 'finished', 'quota', 'regular', 'buy', 'quota', 'bonus',' used ',' out ',' apply ']")</f>
        <v>['Bonus',' discount ',' IDR ',' Cutting ',' Purchase ',' Package ',' System ',' Application ',' Bug ',' Kali ',' Claim ',' Quota ',' Allnet ',' bonus', 'usage', 'finished', 'quota', 'regular', 'buy', 'quota', 'bonus',' used ',' out ',' apply ']</v>
      </c>
      <c r="D9396" s="3">
        <v>1.0</v>
      </c>
    </row>
    <row r="9397" ht="15.75" customHeight="1">
      <c r="A9397" s="1">
        <v>10105.0</v>
      </c>
      <c r="B9397" s="3" t="s">
        <v>9007</v>
      </c>
      <c r="C9397" s="3" t="str">
        <f>IFERROR(__xludf.DUMMYFUNCTION("GOOGLETRANSLATE(B9397,""id"",""en"")"),"['satisfying', 'thank you']")</f>
        <v>['satisfying', 'thank you']</v>
      </c>
      <c r="D9397" s="3">
        <v>5.0</v>
      </c>
    </row>
    <row r="9398" ht="15.75" customHeight="1">
      <c r="A9398" s="1">
        <v>10106.0</v>
      </c>
      <c r="B9398" s="3" t="s">
        <v>5265</v>
      </c>
      <c r="C9398" s="3" t="str">
        <f>IFERROR(__xludf.DUMMYFUNCTION("GOOGLETRANSLATE(B9398,""id"",""en"")"),"['Help', 'makes it easy']")</f>
        <v>['Help', 'makes it easy']</v>
      </c>
      <c r="D9398" s="3">
        <v>3.0</v>
      </c>
    </row>
    <row r="9399" ht="15.75" customHeight="1">
      <c r="A9399" s="1">
        <v>10107.0</v>
      </c>
      <c r="B9399" s="3" t="s">
        <v>9008</v>
      </c>
      <c r="C9399" s="3" t="str">
        <f>IFERROR(__xludf.DUMMYFUNCTION("GOOGLETRANSLATE(B9399,""id"",""en"")"),"['network', 'Telkomsel', 'bad', 'like', 'stable', 'network', 'already', 'Bukak', 'application', 'sometimes', 'until']")</f>
        <v>['network', 'Telkomsel', 'bad', 'like', 'stable', 'network', 'already', 'Bukak', 'application', 'sometimes', 'until']</v>
      </c>
      <c r="D9399" s="3">
        <v>1.0</v>
      </c>
    </row>
    <row r="9400" ht="15.75" customHeight="1">
      <c r="A9400" s="1">
        <v>10108.0</v>
      </c>
      <c r="B9400" s="3" t="s">
        <v>9009</v>
      </c>
      <c r="C9400" s="3" t="str">
        <f>IFERROR(__xludf.DUMMYFUNCTION("GOOGLETRANSLATE(B9400,""id"",""en"")"),"['satisfying', 'min']")</f>
        <v>['satisfying', 'min']</v>
      </c>
      <c r="D9400" s="3">
        <v>5.0</v>
      </c>
    </row>
    <row r="9401" ht="15.75" customHeight="1">
      <c r="A9401" s="1">
        <v>10109.0</v>
      </c>
      <c r="B9401" s="3" t="s">
        <v>9010</v>
      </c>
      <c r="C9401" s="3" t="str">
        <f>IFERROR(__xludf.DUMMYFUNCTION("GOOGLETRANSLATE(B9401,""id"",""en"")"),"['Contents',' pulse ',' right ',' pakek ',' pulse ',' check ',' pulse ',' stay ',' udh ',' pulse ',' masok ',' please ',' Telkom ',' purpose ', ""]")</f>
        <v>['Contents',' pulse ',' right ',' pakek ',' pulse ',' check ',' pulse ',' stay ',' udh ',' pulse ',' masok ',' please ',' Telkom ',' purpose ', "]</v>
      </c>
      <c r="D9401" s="3">
        <v>1.0</v>
      </c>
    </row>
    <row r="9402" ht="15.75" customHeight="1">
      <c r="A9402" s="1">
        <v>10110.0</v>
      </c>
      <c r="B9402" s="3" t="s">
        <v>9011</v>
      </c>
      <c r="C9402" s="3" t="str">
        <f>IFERROR(__xludf.DUMMYFUNCTION("GOOGLETRANSLATE(B9402,""id"",""en"")"),"['Increase', 'Point', '']")</f>
        <v>['Increase', 'Point', '']</v>
      </c>
      <c r="D9402" s="3">
        <v>5.0</v>
      </c>
    </row>
    <row r="9403" ht="15.75" customHeight="1">
      <c r="A9403" s="1">
        <v>10111.0</v>
      </c>
      <c r="B9403" s="3" t="s">
        <v>9012</v>
      </c>
      <c r="C9403" s="3" t="str">
        <f>IFERROR(__xludf.DUMMYFUNCTION("GOOGLETRANSLATE(B9403,""id"",""en"")"),"['Bgs', 'Network']")</f>
        <v>['Bgs', 'Network']</v>
      </c>
      <c r="D9403" s="3">
        <v>1.0</v>
      </c>
    </row>
    <row r="9404" ht="15.75" customHeight="1">
      <c r="A9404" s="1">
        <v>10112.0</v>
      </c>
      <c r="B9404" s="3" t="s">
        <v>9013</v>
      </c>
      <c r="C9404" s="3" t="str">
        <f>IFERROR(__xludf.DUMMYFUNCTION("GOOGLETRANSLATE(B9404,""id"",""en"")"),"['base', 'pig', 'Telkomsel', 'signal', 'kayak', 'tail']")</f>
        <v>['base', 'pig', 'Telkomsel', 'signal', 'kayak', 'tail']</v>
      </c>
      <c r="D9404" s="3">
        <v>1.0</v>
      </c>
    </row>
    <row r="9405" ht="15.75" customHeight="1">
      <c r="A9405" s="1">
        <v>10113.0</v>
      </c>
      <c r="B9405" s="3" t="s">
        <v>9014</v>
      </c>
      <c r="C9405" s="3" t="str">
        <f>IFERROR(__xludf.DUMMYFUNCTION("GOOGLETRANSLATE(B9405,""id"",""en"")"),"['Quality', 'Network', 'Bad']")</f>
        <v>['Quality', 'Network', 'Bad']</v>
      </c>
      <c r="D9405" s="3">
        <v>2.0</v>
      </c>
    </row>
    <row r="9406" ht="15.75" customHeight="1">
      <c r="A9406" s="1">
        <v>10114.0</v>
      </c>
      <c r="B9406" s="3" t="s">
        <v>9015</v>
      </c>
      <c r="C9406" s="3" t="str">
        <f>IFERROR(__xludf.DUMMYFUNCTION("GOOGLETRANSLATE(B9406,""id"",""en"")"),"['Satisfied', 'Performance', 'Telkomsel', 'Performance', 'Decreases',' Uda ',' Game ',' Ngelag ',' Ngelag ',' Signal ',' Stable ',' Duration ',' Uda ',' connected ',' friend ',' forced ',' inj ',' hope ',' in the future ',' aamiin ']")</f>
        <v>['Satisfied', 'Performance', 'Telkomsel', 'Performance', 'Decreases',' Uda ',' Game ',' Ngelag ',' Ngelag ',' Signal ',' Stable ',' Duration ',' Uda ',' connected ',' friend ',' forced ',' inj ',' hope ',' in the future ',' aamiin ']</v>
      </c>
      <c r="D9406" s="3">
        <v>2.0</v>
      </c>
    </row>
    <row r="9407" ht="15.75" customHeight="1">
      <c r="A9407" s="1">
        <v>10115.0</v>
      </c>
      <c r="B9407" s="3" t="s">
        <v>2973</v>
      </c>
      <c r="C9407" s="3" t="str">
        <f>IFERROR(__xludf.DUMMYFUNCTION("GOOGLETRANSLATE(B9407,""id"",""en"")"),"['easy', '']")</f>
        <v>['easy', '']</v>
      </c>
      <c r="D9407" s="3">
        <v>5.0</v>
      </c>
    </row>
    <row r="9408" ht="15.75" customHeight="1">
      <c r="A9408" s="1">
        <v>10116.0</v>
      </c>
      <c r="B9408" s="3" t="s">
        <v>9016</v>
      </c>
      <c r="C9408" s="3" t="str">
        <f>IFERROR(__xludf.DUMMYFUNCTION("GOOGLETRANSLATE(B9408,""id"",""en"")"),"['help', 'really', 'save']")</f>
        <v>['help', 'really', 'save']</v>
      </c>
      <c r="D9408" s="3">
        <v>5.0</v>
      </c>
    </row>
    <row r="9409" ht="15.75" customHeight="1">
      <c r="A9409" s="1">
        <v>10117.0</v>
      </c>
      <c r="B9409" s="3" t="s">
        <v>9017</v>
      </c>
      <c r="C9409" s="3" t="str">
        <f>IFERROR(__xludf.DUMMYFUNCTION("GOOGLETRANSLATE(B9409,""id"",""en"")"),"['Please', 'signal', 'reinforced', 'Telkomsel', '']")</f>
        <v>['Please', 'signal', 'reinforced', 'Telkomsel', '']</v>
      </c>
      <c r="D9409" s="3">
        <v>1.0</v>
      </c>
    </row>
    <row r="9410" ht="15.75" customHeight="1">
      <c r="A9410" s="1">
        <v>10118.0</v>
      </c>
      <c r="B9410" s="3" t="s">
        <v>9018</v>
      </c>
      <c r="C9410" s="3" t="str">
        <f>IFERROR(__xludf.DUMMYFUNCTION("GOOGLETRANSLATE(B9410,""id"",""en"")"),"['easy', 'informative']")</f>
        <v>['easy', 'informative']</v>
      </c>
      <c r="D9410" s="3">
        <v>5.0</v>
      </c>
    </row>
    <row r="9411" ht="15.75" customHeight="1">
      <c r="A9411" s="1">
        <v>10119.0</v>
      </c>
      <c r="B9411" s="3" t="s">
        <v>9019</v>
      </c>
      <c r="C9411" s="3" t="str">
        <f>IFERROR(__xludf.DUMMYFUNCTION("GOOGLETRANSLATE(B9411,""id"",""en"")"),"['Center', 'Banti', 'Robot', 'Veronika', 'finish', 'annoyed', 'ask', ""]")</f>
        <v>['Center', 'Banti', 'Robot', 'Veronika', 'finish', 'annoyed', 'ask', "]</v>
      </c>
      <c r="D9411" s="3">
        <v>1.0</v>
      </c>
    </row>
    <row r="9412" ht="15.75" customHeight="1">
      <c r="A9412" s="1">
        <v>10120.0</v>
      </c>
      <c r="B9412" s="3" t="s">
        <v>9020</v>
      </c>
      <c r="C9412" s="3" t="str">
        <f>IFERROR(__xludf.DUMMYFUNCTION("GOOGLETRANSLATE(B9412,""id"",""en"")"),"['like', 'suck', 'pulse']")</f>
        <v>['like', 'suck', 'pulse']</v>
      </c>
      <c r="D9412" s="3">
        <v>3.0</v>
      </c>
    </row>
    <row r="9413" ht="15.75" customHeight="1">
      <c r="A9413" s="1">
        <v>10122.0</v>
      </c>
      <c r="B9413" s="3" t="s">
        <v>9021</v>
      </c>
      <c r="C9413" s="3" t="str">
        <f>IFERROR(__xludf.DUMMYFUNCTION("GOOGLETRANSLATE(B9413,""id"",""en"")"),"['Please', 'Updated', 'Signal', 'Bad', 'Didesa', 'County', 'Trenggalek', 'Village', 'Sumberbening', 'District', 'Dongko']")</f>
        <v>['Please', 'Updated', 'Signal', 'Bad', 'Didesa', 'County', 'Trenggalek', 'Village', 'Sumberbening', 'District', 'Dongko']</v>
      </c>
      <c r="D9413" s="3">
        <v>3.0</v>
      </c>
    </row>
    <row r="9414" ht="15.75" customHeight="1">
      <c r="A9414" s="1">
        <v>10123.0</v>
      </c>
      <c r="B9414" s="3" t="s">
        <v>9022</v>
      </c>
      <c r="C9414" s="3" t="str">
        <f>IFERROR(__xludf.DUMMYFUNCTION("GOOGLETRANSLATE(B9414,""id"",""en"")"),"['Fix', 'signal', '']")</f>
        <v>['Fix', 'signal', '']</v>
      </c>
      <c r="D9414" s="3">
        <v>2.0</v>
      </c>
    </row>
    <row r="9415" ht="15.75" customHeight="1">
      <c r="A9415" s="1">
        <v>10124.0</v>
      </c>
      <c r="B9415" s="3" t="s">
        <v>9023</v>
      </c>
      <c r="C9415" s="3" t="str">
        <f>IFERROR(__xludf.DUMMYFUNCTION("GOOGLETRANSLATE(B9415,""id"",""en"")"),"['Simple', 'service', 'satisfying']")</f>
        <v>['Simple', 'service', 'satisfying']</v>
      </c>
      <c r="D9415" s="3">
        <v>5.0</v>
      </c>
    </row>
    <row r="9416" ht="15.75" customHeight="1">
      <c r="A9416" s="1">
        <v>10125.0</v>
      </c>
      <c r="B9416" s="3" t="s">
        <v>9024</v>
      </c>
      <c r="C9416" s="3" t="str">
        <f>IFERROR(__xludf.DUMMYFUNCTION("GOOGLETRANSLATE(B9416,""id"",""en"")"),"['Signal', 'Internet', 'Maximum']")</f>
        <v>['Signal', 'Internet', 'Maximum']</v>
      </c>
      <c r="D9416" s="3">
        <v>4.0</v>
      </c>
    </row>
    <row r="9417" ht="15.75" customHeight="1">
      <c r="A9417" s="1">
        <v>10126.0</v>
      </c>
      <c r="B9417" s="3" t="s">
        <v>9025</v>
      </c>
      <c r="C9417" s="3" t="str">
        <f>IFERROR(__xludf.DUMMYFUNCTION("GOOGLETRANSLATE(B9417,""id"",""en"")"),"['Hopefully', 'smooth', 'signal']")</f>
        <v>['Hopefully', 'smooth', 'signal']</v>
      </c>
      <c r="D9417" s="3">
        <v>5.0</v>
      </c>
    </row>
    <row r="9418" ht="15.75" customHeight="1">
      <c r="A9418" s="1">
        <v>10127.0</v>
      </c>
      <c r="B9418" s="3" t="s">
        <v>9026</v>
      </c>
      <c r="C9418" s="3" t="str">
        <f>IFERROR(__xludf.DUMMYFUNCTION("GOOGLETRANSLATE(B9418,""id"",""en"")"),"['Telkomsel', 'Extra', 'ordinary', 'Price', 'Not bad', 'Good', 'Collapin', 'Telkomsel']")</f>
        <v>['Telkomsel', 'Extra', 'ordinary', 'Price', 'Not bad', 'Good', 'Collapin', 'Telkomsel']</v>
      </c>
      <c r="D9418" s="3">
        <v>5.0</v>
      </c>
    </row>
    <row r="9419" ht="15.75" customHeight="1">
      <c r="A9419" s="1">
        <v>10128.0</v>
      </c>
      <c r="B9419" s="3" t="s">
        <v>9027</v>
      </c>
      <c r="C9419" s="3" t="str">
        <f>IFERROR(__xludf.DUMMYFUNCTION("GOOGLETRANSLATE(B9419,""id"",""en"")"),"['Application', 'price', 'internet', 'cheap', 'promo', 'save', 'active', 'card', 'SPRTI', 'Digitih', 'Blue', 'Recommend', ' Friends', 'Download', 'Endorse', 'Facts',' Experience ',' Application ',' ']")</f>
        <v>['Application', 'price', 'internet', 'cheap', 'promo', 'save', 'active', 'card', 'SPRTI', 'Digitih', 'Blue', 'Recommend', ' Friends', 'Download', 'Endorse', 'Facts',' Experience ',' Application ',' ']</v>
      </c>
      <c r="D9419" s="3">
        <v>5.0</v>
      </c>
    </row>
    <row r="9420" ht="15.75" customHeight="1">
      <c r="A9420" s="1">
        <v>10129.0</v>
      </c>
      <c r="B9420" s="3" t="s">
        <v>9028</v>
      </c>
      <c r="C9420" s="3" t="str">
        <f>IFERROR(__xludf.DUMMYFUNCTION("GOOGLETRANSLATE(B9420,""id"",""en"")"),"['', 'electricity', 'dead', 'signal', 'direct', 'missing']")</f>
        <v>['', 'electricity', 'dead', 'signal', 'direct', 'missing']</v>
      </c>
      <c r="D9420" s="3">
        <v>4.0</v>
      </c>
    </row>
    <row r="9421" ht="15.75" customHeight="1">
      <c r="A9421" s="1">
        <v>10130.0</v>
      </c>
      <c r="B9421" s="3" t="s">
        <v>9029</v>
      </c>
      <c r="C9421" s="3" t="str">
        <f>IFERROR(__xludf.DUMMYFUNCTION("GOOGLETRANSLATE(B9421,""id"",""en"")"),"['The application', 'Easy', 'Please', 'Tambahi', 'Bonus', 'Reduce', 'Price', 'Paketan', 'Affordable']")</f>
        <v>['The application', 'Easy', 'Please', 'Tambahi', 'Bonus', 'Reduce', 'Price', 'Paketan', 'Affordable']</v>
      </c>
      <c r="D9421" s="3">
        <v>4.0</v>
      </c>
    </row>
    <row r="9422" ht="15.75" customHeight="1">
      <c r="A9422" s="1">
        <v>10131.0</v>
      </c>
      <c r="B9422" s="3" t="s">
        <v>9030</v>
      </c>
      <c r="C9422" s="3" t="str">
        <f>IFERROR(__xludf.DUMMYFUNCTION("GOOGLETRANSLATE(B9422,""id"",""en"")"),"['Good', 'LEG']")</f>
        <v>['Good', 'LEG']</v>
      </c>
      <c r="D9422" s="3">
        <v>4.0</v>
      </c>
    </row>
    <row r="9423" ht="15.75" customHeight="1">
      <c r="A9423" s="1">
        <v>10132.0</v>
      </c>
      <c r="B9423" s="3" t="s">
        <v>9031</v>
      </c>
      <c r="C9423" s="3" t="str">
        <f>IFERROR(__xludf.DUMMYFUNCTION("GOOGLETRANSLATE(B9423,""id"",""en"")"),"['Pay', 'Pakek', 'Linkaja', 'Yesterday', 'Pay', 'Pakek', 'Shopeepay', 'Pas', 'Buy', 'Credit', 'Application', 'Disappointed']")</f>
        <v>['Pay', 'Pakek', 'Linkaja', 'Yesterday', 'Pay', 'Pakek', 'Shopeepay', 'Pas', 'Buy', 'Credit', 'Application', 'Disappointed']</v>
      </c>
      <c r="D9423" s="3">
        <v>1.0</v>
      </c>
    </row>
    <row r="9424" ht="15.75" customHeight="1">
      <c r="A9424" s="1">
        <v>10133.0</v>
      </c>
      <c r="B9424" s="3" t="s">
        <v>9032</v>
      </c>
      <c r="C9424" s="3" t="str">
        <f>IFERROR(__xludf.DUMMYFUNCTION("GOOGLETRANSLATE(B9424,""id"",""en"")"),"['user', 'easy', 'hopefully', 'good']")</f>
        <v>['user', 'easy', 'hopefully', 'good']</v>
      </c>
      <c r="D9424" s="3">
        <v>5.0</v>
      </c>
    </row>
    <row r="9425" ht="15.75" customHeight="1">
      <c r="A9425" s="1">
        <v>10134.0</v>
      </c>
      <c r="B9425" s="3" t="s">
        <v>9033</v>
      </c>
      <c r="C9425" s="3" t="str">
        <f>IFERROR(__xludf.DUMMYFUNCTION("GOOGLETRANSLATE(B9425,""id"",""en"")"),"['Network', 'disorder']")</f>
        <v>['Network', 'disorder']</v>
      </c>
      <c r="D9425" s="3">
        <v>4.0</v>
      </c>
    </row>
    <row r="9426" ht="15.75" customHeight="1">
      <c r="A9426" s="1">
        <v>10135.0</v>
      </c>
      <c r="B9426" s="3" t="s">
        <v>9034</v>
      </c>
      <c r="C9426" s="3" t="str">
        <f>IFERROR(__xludf.DUMMYFUNCTION("GOOGLETRANSLATE(B9426,""id"",""en"")"),"['Hello', 'Telkomsel', 'Download', 'Application', 'MyTelkomsel', 'Thank', 'Love', ""]")</f>
        <v>['Hello', 'Telkomsel', 'Download', 'Application', 'MyTelkomsel', 'Thank', 'Love', "]</v>
      </c>
      <c r="D9426" s="3">
        <v>2.0</v>
      </c>
    </row>
    <row r="9427" ht="15.75" customHeight="1">
      <c r="A9427" s="1">
        <v>10136.0</v>
      </c>
      <c r="B9427" s="3" t="s">
        <v>9035</v>
      </c>
      <c r="C9427" s="3" t="str">
        <f>IFERROR(__xludf.DUMMYFUNCTION("GOOGLETRANSLATE(B9427,""id"",""en"")"),"['Package', 'data', 'price', 'down']")</f>
        <v>['Package', 'data', 'price', 'down']</v>
      </c>
      <c r="D9427" s="3">
        <v>5.0</v>
      </c>
    </row>
    <row r="9428" ht="15.75" customHeight="1">
      <c r="A9428" s="1">
        <v>10137.0</v>
      </c>
      <c r="B9428" s="3" t="s">
        <v>9036</v>
      </c>
      <c r="C9428" s="3" t="str">
        <f>IFERROR(__xludf.DUMMYFUNCTION("GOOGLETRANSLATE(B9428,""id"",""en"")"),"['', 'Telkomsel', 'best', 'in the world', 'hereafter', '']")</f>
        <v>['', 'Telkomsel', 'best', 'in the world', 'hereafter', '']</v>
      </c>
      <c r="D9428" s="3">
        <v>5.0</v>
      </c>
    </row>
    <row r="9429" ht="15.75" customHeight="1">
      <c r="A9429" s="1">
        <v>10138.0</v>
      </c>
      <c r="B9429" s="3" t="s">
        <v>9037</v>
      </c>
      <c r="C9429" s="3" t="str">
        <f>IFERROR(__xludf.DUMMYFUNCTION("GOOGLETRANSLATE(B9429,""id"",""en"")"),"['Help', 'Cool']")</f>
        <v>['Help', 'Cool']</v>
      </c>
      <c r="D9429" s="3">
        <v>5.0</v>
      </c>
    </row>
    <row r="9430" ht="15.75" customHeight="1">
      <c r="A9430" s="1">
        <v>10139.0</v>
      </c>
      <c r="B9430" s="3" t="s">
        <v>9038</v>
      </c>
      <c r="C9430" s="3" t="str">
        <f>IFERROR(__xludf.DUMMYFUNCTION("GOOGLETRANSLATE(B9430,""id"",""en"")"),"['here', 'slow', 'network', 'Telkomsel']")</f>
        <v>['here', 'slow', 'network', 'Telkomsel']</v>
      </c>
      <c r="D9430" s="3">
        <v>1.0</v>
      </c>
    </row>
    <row r="9431" ht="15.75" customHeight="1">
      <c r="A9431" s="1">
        <v>10140.0</v>
      </c>
      <c r="B9431" s="3" t="s">
        <v>9039</v>
      </c>
      <c r="C9431" s="3" t="str">
        <f>IFERROR(__xludf.DUMMYFUNCTION("GOOGLETRANSLATE(B9431,""id"",""en"")"),"['use', 'Telkomsel', 'easy', 'fast']")</f>
        <v>['use', 'Telkomsel', 'easy', 'fast']</v>
      </c>
      <c r="D9431" s="3">
        <v>5.0</v>
      </c>
    </row>
    <row r="9432" ht="15.75" customHeight="1">
      <c r="A9432" s="1">
        <v>10141.0</v>
      </c>
      <c r="B9432" s="3" t="s">
        <v>9040</v>
      </c>
      <c r="C9432" s="3" t="str">
        <f>IFERROR(__xludf.DUMMYFUNCTION("GOOGLETRANSLATE(B9432,""id"",""en"")"),"['Increase', 'Mantap']")</f>
        <v>['Increase', 'Mantap']</v>
      </c>
      <c r="D9432" s="3">
        <v>5.0</v>
      </c>
    </row>
    <row r="9433" ht="15.75" customHeight="1">
      <c r="A9433" s="1">
        <v>10142.0</v>
      </c>
      <c r="B9433" s="3" t="s">
        <v>9041</v>
      </c>
      <c r="C9433" s="3" t="str">
        <f>IFERROR(__xludf.DUMMYFUNCTION("GOOGLETRANSLATE(B9433,""id"",""en"")"),"['Telkomsel', 'Please', 'Collaboration', 'Update', 'Have', 'Bukak', 'Link', 'Babakt', 'Times', 'Peroses', 'Please']")</f>
        <v>['Telkomsel', 'Please', 'Collaboration', 'Update', 'Have', 'Bukak', 'Link', 'Babakt', 'Times', 'Peroses', 'Please']</v>
      </c>
      <c r="D9433" s="3">
        <v>1.0</v>
      </c>
    </row>
    <row r="9434" ht="15.75" customHeight="1">
      <c r="A9434" s="1">
        <v>10143.0</v>
      </c>
      <c r="B9434" s="3" t="s">
        <v>9042</v>
      </c>
      <c r="C9434" s="3" t="str">
        <f>IFERROR(__xludf.DUMMYFUNCTION("GOOGLETRANSLATE(B9434,""id"",""en"")"),"['veryttttt', 'Bagussss', 'promo', 'item', 'plusin', 'bonus', 'area', 'city', 'just', 'suggestion', 'min']")</f>
        <v>['veryttttt', 'Bagussss', 'promo', 'item', 'plusin', 'bonus', 'area', 'city', 'just', 'suggestion', 'min']</v>
      </c>
      <c r="D9434" s="3">
        <v>5.0</v>
      </c>
    </row>
    <row r="9435" ht="15.75" customHeight="1">
      <c r="A9435" s="1">
        <v>10144.0</v>
      </c>
      <c r="B9435" s="3" t="s">
        <v>9043</v>
      </c>
      <c r="C9435" s="3" t="str">
        <f>IFERROR(__xludf.DUMMYFUNCTION("GOOGLETRANSLATE(B9435,""id"",""en"")"),"['Sucking', 'Package', 'Data', '']")</f>
        <v>['Sucking', 'Package', 'Data', '']</v>
      </c>
      <c r="D9435" s="3">
        <v>2.0</v>
      </c>
    </row>
    <row r="9436" ht="15.75" customHeight="1">
      <c r="A9436" s="1">
        <v>10145.0</v>
      </c>
      <c r="B9436" s="3" t="s">
        <v>9044</v>
      </c>
      <c r="C9436" s="3" t="str">
        <f>IFERROR(__xludf.DUMMYFUNCTION("GOOGLETRANSLATE(B9436,""id"",""en"")"),"['Telkomsel', 'signal', 'stable', 'slow', 'happy', 'development', 'change', 'path', 'fox', 'fox', 'stable', 'ugly', ' The results', 'disappointing', '']")</f>
        <v>['Telkomsel', 'signal', 'stable', 'slow', 'happy', 'development', 'change', 'path', 'fox', 'fox', 'stable', 'ugly', ' The results', 'disappointing', '']</v>
      </c>
      <c r="D9436" s="3">
        <v>2.0</v>
      </c>
    </row>
    <row r="9437" ht="15.75" customHeight="1">
      <c r="A9437" s="1">
        <v>10146.0</v>
      </c>
      <c r="B9437" s="3" t="s">
        <v>9045</v>
      </c>
      <c r="C9437" s="3" t="str">
        <f>IFERROR(__xludf.DUMMYFUNCTION("GOOGLETRANSLATE(B9437,""id"",""en"")"),"['mantaf', 'card']")</f>
        <v>['mantaf', 'card']</v>
      </c>
      <c r="D9437" s="3">
        <v>5.0</v>
      </c>
    </row>
    <row r="9438" ht="15.75" customHeight="1">
      <c r="A9438" s="1">
        <v>10147.0</v>
      </c>
      <c r="B9438" s="3" t="s">
        <v>9046</v>
      </c>
      <c r="C9438" s="3" t="str">
        <f>IFERROR(__xludf.DUMMYFUNCTION("GOOGLETRANSLATE(B9438,""id"",""en"")"),"['fast', 'nimble', 'Cool', 'Anyway']")</f>
        <v>['fast', 'nimble', 'Cool', 'Anyway']</v>
      </c>
      <c r="D9438" s="3">
        <v>4.0</v>
      </c>
    </row>
    <row r="9439" ht="15.75" customHeight="1">
      <c r="A9439" s="1">
        <v>10148.0</v>
      </c>
      <c r="B9439" s="3" t="s">
        <v>9047</v>
      </c>
      <c r="C9439" s="3" t="str">
        <f>IFERROR(__xludf.DUMMYFUNCTION("GOOGLETRANSLATE(B9439,""id"",""en"")"),"['Application', 'okay', 'price', 'package', 'expensive', 'price', 'different', 'customer', '']")</f>
        <v>['Application', 'okay', 'price', 'package', 'expensive', 'price', 'different', 'customer', '']</v>
      </c>
      <c r="D9439" s="3">
        <v>5.0</v>
      </c>
    </row>
    <row r="9440" ht="15.75" customHeight="1">
      <c r="A9440" s="1">
        <v>10149.0</v>
      </c>
      <c r="B9440" s="3" t="s">
        <v>9048</v>
      </c>
      <c r="C9440" s="3" t="str">
        <f>IFERROR(__xludf.DUMMYFUNCTION("GOOGLETRANSLATE(B9440,""id"",""en"")"),"['Please', 'Telkomsel', 'Special', 'Region', 'Batam', 'Dead', 'Lights',' Signal ',' Telkomsel ',' deceased ',' aka ',' Dead ',' Total ',' blas', 'blas',' blas', 'disappointed', 'use', 'Telkomsel', 'tens']")</f>
        <v>['Please', 'Telkomsel', 'Special', 'Region', 'Batam', 'Dead', 'Lights',' Signal ',' Telkomsel ',' deceased ',' aka ',' Dead ',' Total ',' blas', 'blas',' blas', 'disappointed', 'use', 'Telkomsel', 'tens']</v>
      </c>
      <c r="D9440" s="3">
        <v>1.0</v>
      </c>
    </row>
    <row r="9441" ht="15.75" customHeight="1">
      <c r="A9441" s="1">
        <v>10150.0</v>
      </c>
      <c r="B9441" s="3" t="s">
        <v>9049</v>
      </c>
      <c r="C9441" s="3" t="str">
        <f>IFERROR(__xludf.DUMMYFUNCTION("GOOGLETRANSLATE(B9441,""id"",""en"")"),"['Waiter', 'Mimin', 'Telkomsel', 'satisfying']")</f>
        <v>['Waiter', 'Mimin', 'Telkomsel', 'satisfying']</v>
      </c>
      <c r="D9441" s="3">
        <v>5.0</v>
      </c>
    </row>
    <row r="9442" ht="15.75" customHeight="1">
      <c r="A9442" s="1">
        <v>10151.0</v>
      </c>
      <c r="B9442" s="3" t="s">
        <v>9050</v>
      </c>
      <c r="C9442" s="3" t="str">
        <f>IFERROR(__xludf.DUMMYFUNCTION("GOOGLETRANSLATE(B9442,""id"",""en"")"),"['apk', 'good', 'because', 'package', 'all-round', 'cheap', 'gift']")</f>
        <v>['apk', 'good', 'because', 'package', 'all-round', 'cheap', 'gift']</v>
      </c>
      <c r="D9442" s="3">
        <v>5.0</v>
      </c>
    </row>
    <row r="9443" ht="15.75" customHeight="1">
      <c r="A9443" s="1">
        <v>10152.0</v>
      </c>
      <c r="B9443" s="3" t="s">
        <v>9051</v>
      </c>
      <c r="C9443" s="3" t="str">
        <f>IFERROR(__xludf.DUMMYFUNCTION("GOOGLETRANSLATE(B9443,""id"",""en"")"),"['happy', 'take', 'package']")</f>
        <v>['happy', 'take', 'package']</v>
      </c>
      <c r="D9443" s="3">
        <v>1.0</v>
      </c>
    </row>
    <row r="9444" ht="15.75" customHeight="1">
      <c r="A9444" s="1">
        <v>10153.0</v>
      </c>
      <c r="B9444" s="3" t="s">
        <v>1801</v>
      </c>
      <c r="C9444" s="3" t="str">
        <f>IFERROR(__xludf.DUMMYFUNCTION("GOOGLETRANSLATE(B9444,""id"",""en"")"),"['steady', 'application']")</f>
        <v>['steady', 'application']</v>
      </c>
      <c r="D9444" s="3">
        <v>1.0</v>
      </c>
    </row>
    <row r="9445" ht="15.75" customHeight="1">
      <c r="A9445" s="1">
        <v>10154.0</v>
      </c>
      <c r="B9445" s="3" t="s">
        <v>217</v>
      </c>
      <c r="C9445" s="3" t="str">
        <f>IFERROR(__xludf.DUMMYFUNCTION("GOOGLETRANSLATE(B9445,""id"",""en"")"),"['satisfying', '']")</f>
        <v>['satisfying', '']</v>
      </c>
      <c r="D9445" s="3">
        <v>5.0</v>
      </c>
    </row>
    <row r="9446" ht="15.75" customHeight="1">
      <c r="A9446" s="1">
        <v>10155.0</v>
      </c>
      <c r="B9446" s="3" t="s">
        <v>9052</v>
      </c>
      <c r="C9446" s="3" t="str">
        <f>IFERROR(__xludf.DUMMYFUNCTION("GOOGLETRANSLATE(B9446,""id"",""en"")"),"['Help', 'Hopefully', 'Telkomsel', 'advanced', 'acelan', 'Kapada', 'Masyarakt', 'Increases']")</f>
        <v>['Help', 'Hopefully', 'Telkomsel', 'advanced', 'acelan', 'Kapada', 'Masyarakt', 'Increases']</v>
      </c>
      <c r="D9446" s="3">
        <v>5.0</v>
      </c>
    </row>
    <row r="9447" ht="15.75" customHeight="1">
      <c r="A9447" s="1">
        <v>10156.0</v>
      </c>
      <c r="B9447" s="3" t="s">
        <v>9053</v>
      </c>
      <c r="C9447" s="3" t="str">
        <f>IFERROR(__xludf.DUMMYFUNCTION("GOOGLETRANSLATE(B9447,""id"",""en"")"),"['Please', 'Sorry', 'System', 'Please', 'Fix', 'buy', 'quota', 'Telkomsel', 'no', 'buy', 'price', 'expensive', ' solution ',' no ',' how ',' thank ',' love ']")</f>
        <v>['Please', 'Sorry', 'System', 'Please', 'Fix', 'buy', 'quota', 'Telkomsel', 'no', 'buy', 'price', 'expensive', ' solution ',' no ',' how ',' thank ',' love ']</v>
      </c>
      <c r="D9447" s="3">
        <v>3.0</v>
      </c>
    </row>
    <row r="9448" ht="15.75" customHeight="1">
      <c r="A9448" s="1">
        <v>10157.0</v>
      </c>
      <c r="B9448" s="3" t="s">
        <v>9054</v>
      </c>
      <c r="C9448" s="3" t="str">
        <f>IFERROR(__xludf.DUMMYFUNCTION("GOOGLETRANSLATE(B9448,""id"",""en"")"),"['Application', 'checked', 'pulse', 'quota', 'checked', 'promo', 'package', 'cheap', 'Telkomsel', ""]")</f>
        <v>['Application', 'checked', 'pulse', 'quota', 'checked', 'promo', 'package', 'cheap', 'Telkomsel', "]</v>
      </c>
      <c r="D9448" s="3">
        <v>4.0</v>
      </c>
    </row>
    <row r="9449" ht="15.75" customHeight="1">
      <c r="A9449" s="1">
        <v>10158.0</v>
      </c>
      <c r="B9449" s="3" t="s">
        <v>9055</v>
      </c>
      <c r="C9449" s="3" t="str">
        <f>IFERROR(__xludf.DUMMYFUNCTION("GOOGLETRANSLATE(B9449,""id"",""en"")"),"['Telkomsel', 'Dihati', 'Telkomsel', '']")</f>
        <v>['Telkomsel', 'Dihati', 'Telkomsel', '']</v>
      </c>
      <c r="D9449" s="3">
        <v>5.0</v>
      </c>
    </row>
    <row r="9450" ht="15.75" customHeight="1">
      <c r="A9450" s="1">
        <v>10159.0</v>
      </c>
      <c r="B9450" s="3" t="s">
        <v>9056</v>
      </c>
      <c r="C9450" s="3" t="str">
        <f>IFERROR(__xludf.DUMMYFUNCTION("GOOGLETRANSLATE(B9450,""id"",""en"")"),"['thank', 'love', 'the application', 'help']")</f>
        <v>['thank', 'love', 'the application', 'help']</v>
      </c>
      <c r="D9450" s="3">
        <v>5.0</v>
      </c>
    </row>
    <row r="9451" ht="15.75" customHeight="1">
      <c r="A9451" s="1">
        <v>10160.0</v>
      </c>
      <c r="B9451" s="3" t="s">
        <v>9057</v>
      </c>
      <c r="C9451" s="3" t="str">
        <f>IFERROR(__xludf.DUMMYFUNCTION("GOOGLETRANSLATE(B9451,""id"",""en"")"),"['Miskiness', 'Customers', 'Customers', 'Sympathy', 'Until', 'Th', 'Change', 'Operator', 'Reward']")</f>
        <v>['Miskiness', 'Customers', 'Customers', 'Sympathy', 'Until', 'Th', 'Change', 'Operator', 'Reward']</v>
      </c>
      <c r="D9451" s="3">
        <v>5.0</v>
      </c>
    </row>
    <row r="9452" ht="15.75" customHeight="1">
      <c r="A9452" s="1">
        <v>10161.0</v>
      </c>
      <c r="B9452" s="3" t="s">
        <v>9058</v>
      </c>
      <c r="C9452" s="3" t="str">
        <f>IFERROR(__xludf.DUMMYFUNCTION("GOOGLETRANSLATE(B9452,""id"",""en"")"),"['Helpful', 'really', 'just', 'suggestion', 'price', 'quota', 'cheap', 'little', 'donk', ""]")</f>
        <v>['Helpful', 'really', 'just', 'suggestion', 'price', 'quota', 'cheap', 'little', 'donk', "]</v>
      </c>
      <c r="D9452" s="3">
        <v>5.0</v>
      </c>
    </row>
    <row r="9453" ht="15.75" customHeight="1">
      <c r="A9453" s="1">
        <v>10162.0</v>
      </c>
      <c r="B9453" s="3" t="s">
        <v>2400</v>
      </c>
      <c r="C9453" s="3" t="str">
        <f>IFERROR(__xludf.DUMMYFUNCTION("GOOGLETRANSLATE(B9453,""id"",""en"")"),"['hope']")</f>
        <v>['hope']</v>
      </c>
      <c r="D9453" s="3">
        <v>5.0</v>
      </c>
    </row>
    <row r="9454" ht="15.75" customHeight="1">
      <c r="A9454" s="1">
        <v>10163.0</v>
      </c>
      <c r="B9454" s="3" t="s">
        <v>9059</v>
      </c>
      <c r="C9454" s="3" t="str">
        <f>IFERROR(__xludf.DUMMYFUNCTION("GOOGLETRANSLATE(B9454,""id"",""en"")"),"['ilang', 'arising', 'ilang', 'arises', 'kah', 'stable']")</f>
        <v>['ilang', 'arising', 'ilang', 'arises', 'kah', 'stable']</v>
      </c>
      <c r="D9454" s="3">
        <v>2.0</v>
      </c>
    </row>
    <row r="9455" ht="15.75" customHeight="1">
      <c r="A9455" s="1">
        <v>10164.0</v>
      </c>
      <c r="B9455" s="3" t="s">
        <v>9060</v>
      </c>
      <c r="C9455" s="3" t="str">
        <f>IFERROR(__xludf.DUMMYFUNCTION("GOOGLETRANSLATE(B9455,""id"",""en"")"),"['Application', 'Good', 'Cool']")</f>
        <v>['Application', 'Good', 'Cool']</v>
      </c>
      <c r="D9455" s="3">
        <v>5.0</v>
      </c>
    </row>
    <row r="9456" ht="15.75" customHeight="1">
      <c r="A9456" s="1">
        <v>10165.0</v>
      </c>
      <c r="B9456" s="3" t="s">
        <v>9061</v>
      </c>
      <c r="C9456" s="3" t="str">
        <f>IFERROR(__xludf.DUMMYFUNCTION("GOOGLETRANSLATE(B9456,""id"",""en"")"),"['easy', 'practical', 'comfortable']")</f>
        <v>['easy', 'practical', 'comfortable']</v>
      </c>
      <c r="D9456" s="3">
        <v>5.0</v>
      </c>
    </row>
    <row r="9457" ht="15.75" customHeight="1">
      <c r="A9457" s="1">
        <v>10166.0</v>
      </c>
      <c r="B9457" s="3" t="s">
        <v>9062</v>
      </c>
      <c r="C9457" s="3" t="str">
        <f>IFERROR(__xludf.DUMMYFUNCTION("GOOGLETRANSLATE(B9457,""id"",""en"")"),"['Good', 'Signal', 'Good']")</f>
        <v>['Good', 'Signal', 'Good']</v>
      </c>
      <c r="D9457" s="3">
        <v>5.0</v>
      </c>
    </row>
    <row r="9458" ht="15.75" customHeight="1">
      <c r="A9458" s="1">
        <v>10167.0</v>
      </c>
      <c r="B9458" s="3" t="s">
        <v>9063</v>
      </c>
      <c r="C9458" s="3" t="str">
        <f>IFERROR(__xludf.DUMMYFUNCTION("GOOGLETRANSLATE(B9458,""id"",""en"")"),"['Difficult', 'signal', 'on the same way', 'Increase', 'service', 'best', 'Thankyou']")</f>
        <v>['Difficult', 'signal', 'on the same way', 'Increase', 'service', 'best', 'Thankyou']</v>
      </c>
      <c r="D9458" s="3">
        <v>4.0</v>
      </c>
    </row>
    <row r="9459" ht="15.75" customHeight="1">
      <c r="A9459" s="1">
        <v>10168.0</v>
      </c>
      <c r="B9459" s="3" t="s">
        <v>9064</v>
      </c>
      <c r="C9459" s="3" t="str">
        <f>IFERROR(__xludf.DUMMYFUNCTION("GOOGLETRANSLATE(B9459,""id"",""en"")"),"['application', 'good', 'darling', 'package', 'internet', 'cheap']")</f>
        <v>['application', 'good', 'darling', 'package', 'internet', 'cheap']</v>
      </c>
      <c r="D9459" s="3">
        <v>5.0</v>
      </c>
    </row>
    <row r="9460" ht="15.75" customHeight="1">
      <c r="A9460" s="1">
        <v>10169.0</v>
      </c>
      <c r="B9460" s="3" t="s">
        <v>9065</v>
      </c>
      <c r="C9460" s="3" t="str">
        <f>IFERROR(__xludf.DUMMYFUNCTION("GOOGLETRANSLATE(B9460,""id"",""en"")"),"['suggestion', 'package', 'data', 'run out', 'eat', 'pulse', 'main', 'notification', 'via', 'sms',' stop ',' connection ',' internet ',' list ',' package ',' data ',' rich ',' operator ',' next door ',' pulse ',' main ',' telkomsel ',' pending ',' ludesss"&amp;"s', 'people' , 'Medium', 'Reluctant', 'Wear', 'Package', 'Data', 'Telkomsel', '']")</f>
        <v>['suggestion', 'package', 'data', 'run out', 'eat', 'pulse', 'main', 'notification', 'via', 'sms',' stop ',' connection ',' internet ',' list ',' package ',' data ',' rich ',' operator ',' next door ',' pulse ',' main ',' telkomsel ',' pending ',' ludessss', 'people' , 'Medium', 'Reluctant', 'Wear', 'Package', 'Data', 'Telkomsel', '']</v>
      </c>
      <c r="D9460" s="3">
        <v>3.0</v>
      </c>
    </row>
    <row r="9461" ht="15.75" customHeight="1">
      <c r="A9461" s="1">
        <v>10170.0</v>
      </c>
      <c r="B9461" s="3" t="s">
        <v>9066</v>
      </c>
      <c r="C9461" s="3" t="str">
        <f>IFERROR(__xludf.DUMMYFUNCTION("GOOGLETRANSLATE(B9461,""id"",""en"")"),"['chaotic', 'network', 'Telkomsel', 'area', 'please', 'Telkomsel', 'control', 'network', 'area', 'expensive', 'network', 'kayak', ' Gini ',' just ',' open ',' WhatsApp ',' pending ',' pending ',' please ',' fix ',' network ']")</f>
        <v>['chaotic', 'network', 'Telkomsel', 'area', 'please', 'Telkomsel', 'control', 'network', 'area', 'expensive', 'network', 'kayak', ' Gini ',' just ',' open ',' WhatsApp ',' pending ',' pending ',' please ',' fix ',' network ']</v>
      </c>
      <c r="D9461" s="3">
        <v>1.0</v>
      </c>
    </row>
    <row r="9462" ht="15.75" customHeight="1">
      <c r="A9462" s="1">
        <v>10171.0</v>
      </c>
      <c r="B9462" s="3" t="s">
        <v>9067</v>
      </c>
      <c r="C9462" s="3" t="str">
        <f>IFERROR(__xludf.DUMMYFUNCTION("GOOGLETRANSLATE(B9462,""id"",""en"")"),"['', 'slow', 'really', 'sympathy', 'see', 'money', 'need', 'speed']")</f>
        <v>['', 'slow', 'really', 'sympathy', 'see', 'money', 'need', 'speed']</v>
      </c>
      <c r="D9462" s="3">
        <v>3.0</v>
      </c>
    </row>
    <row r="9463" ht="15.75" customHeight="1">
      <c r="A9463" s="1">
        <v>10173.0</v>
      </c>
      <c r="B9463" s="3" t="s">
        <v>9068</v>
      </c>
      <c r="C9463" s="3" t="str">
        <f>IFERROR(__xludf.DUMMYFUNCTION("GOOGLETRANSLATE(B9463,""id"",""en"")"),"['Game']")</f>
        <v>['Game']</v>
      </c>
      <c r="D9463" s="3">
        <v>5.0</v>
      </c>
    </row>
    <row r="9464" ht="15.75" customHeight="1">
      <c r="A9464" s="1">
        <v>10174.0</v>
      </c>
      <c r="B9464" s="3" t="s">
        <v>9069</v>
      </c>
      <c r="C9464" s="3" t="str">
        <f>IFERROR(__xludf.DUMMYFUNCTION("GOOGLETRANSLATE(B9464,""id"",""en"")"),"['signal', 'Geleh', 'then']")</f>
        <v>['signal', 'Geleh', 'then']</v>
      </c>
      <c r="D9464" s="3">
        <v>1.0</v>
      </c>
    </row>
    <row r="9465" ht="15.75" customHeight="1">
      <c r="A9465" s="1">
        <v>10175.0</v>
      </c>
      <c r="B9465" s="3" t="s">
        <v>9070</v>
      </c>
      <c r="C9465" s="3" t="str">
        <f>IFERROR(__xludf.DUMMYFUNCTION("GOOGLETRANSLATE(B9465,""id"",""en"")"),"['satisfying', 'useful']")</f>
        <v>['satisfying', 'useful']</v>
      </c>
      <c r="D9465" s="3">
        <v>5.0</v>
      </c>
    </row>
    <row r="9466" ht="15.75" customHeight="1">
      <c r="A9466" s="1">
        <v>10176.0</v>
      </c>
      <c r="B9466" s="3" t="s">
        <v>9071</v>
      </c>
      <c r="C9466" s="3" t="str">
        <f>IFERROR(__xludf.DUMMYFUNCTION("GOOGLETRANSLATE(B9466,""id"",""en"")"),"['best', 'Telkomsel']")</f>
        <v>['best', 'Telkomsel']</v>
      </c>
      <c r="D9466" s="3">
        <v>5.0</v>
      </c>
    </row>
    <row r="9467" ht="15.75" customHeight="1">
      <c r="A9467" s="1">
        <v>10177.0</v>
      </c>
      <c r="B9467" s="3" t="s">
        <v>1096</v>
      </c>
      <c r="C9467" s="3" t="str">
        <f>IFERROR(__xludf.DUMMYFUNCTION("GOOGLETRANSLATE(B9467,""id"",""en"")"),"['suitable']")</f>
        <v>['suitable']</v>
      </c>
      <c r="D9467" s="3">
        <v>5.0</v>
      </c>
    </row>
    <row r="9468" ht="15.75" customHeight="1">
      <c r="A9468" s="1">
        <v>10178.0</v>
      </c>
      <c r="B9468" s="3" t="s">
        <v>9072</v>
      </c>
      <c r="C9468" s="3" t="str">
        <f>IFERROR(__xludf.DUMMYFUNCTION("GOOGLETRANSLATE(B9468,""id"",""en"")"),"['Selalalu', 'loyal', 'kmi', 'need']")</f>
        <v>['Selalalu', 'loyal', 'kmi', 'need']</v>
      </c>
      <c r="D9468" s="3">
        <v>5.0</v>
      </c>
    </row>
    <row r="9469" ht="15.75" customHeight="1">
      <c r="A9469" s="1">
        <v>10180.0</v>
      </c>
      <c r="B9469" s="3" t="s">
        <v>9073</v>
      </c>
      <c r="C9469" s="3" t="str">
        <f>IFERROR(__xludf.DUMMYFUNCTION("GOOGLETRANSLATE(B9469,""id"",""en"")"),"['Tissue', 'Telkomsel', 'pling', 'setaaaannn', 'pretentious', 'Manage', 'Network', ""]")</f>
        <v>['Tissue', 'Telkomsel', 'pling', 'setaaaannn', 'pretentious', 'Manage', 'Network', "]</v>
      </c>
      <c r="D9469" s="3">
        <v>1.0</v>
      </c>
    </row>
    <row r="9470" ht="15.75" customHeight="1">
      <c r="A9470" s="1">
        <v>10182.0</v>
      </c>
      <c r="B9470" s="3" t="s">
        <v>9074</v>
      </c>
      <c r="C9470" s="3" t="str">
        <f>IFERROR(__xludf.DUMMYFUNCTION("GOOGLETRANSLATE(B9470,""id"",""en"")"),"['Package', 'Mangkin', 'Mangin', 'expensive', 'Cok', ""]")</f>
        <v>['Package', 'Mangkin', 'Mangin', 'expensive', 'Cok', "]</v>
      </c>
      <c r="D9470" s="3">
        <v>1.0</v>
      </c>
    </row>
    <row r="9471" ht="15.75" customHeight="1">
      <c r="A9471" s="1">
        <v>10183.0</v>
      </c>
      <c r="B9471" s="3" t="s">
        <v>9075</v>
      </c>
      <c r="C9471" s="3" t="str">
        <f>IFERROR(__xludf.DUMMYFUNCTION("GOOGLETRANSLATE(B9471,""id"",""en"")"),"['', 'GB', 'GB', 'Love', 'Bintang', 'Deh']")</f>
        <v>['', 'GB', 'GB', 'Love', 'Bintang', 'Deh']</v>
      </c>
      <c r="D9471" s="3">
        <v>1.0</v>
      </c>
    </row>
    <row r="9472" ht="15.75" customHeight="1">
      <c r="A9472" s="1">
        <v>10184.0</v>
      </c>
      <c r="B9472" s="3" t="s">
        <v>9076</v>
      </c>
      <c r="C9472" s="3" t="str">
        <f>IFERROR(__xludf.DUMMYFUNCTION("GOOGLETRANSLATE(B9472,""id"",""en"")"),"['Good', 'signal', 'Sometimes', 'error']")</f>
        <v>['Good', 'signal', 'Sometimes', 'error']</v>
      </c>
      <c r="D9472" s="3">
        <v>4.0</v>
      </c>
    </row>
    <row r="9473" ht="15.75" customHeight="1">
      <c r="A9473" s="1">
        <v>10185.0</v>
      </c>
      <c r="B9473" s="3" t="s">
        <v>9077</v>
      </c>
      <c r="C9473" s="3" t="str">
        <f>IFERROR(__xludf.DUMMYFUNCTION("GOOGLETRANSLATE(B9473,""id"",""en"")"),"['Any', 'Network', 'Telkomsel', 'Card', 'Telkomsel', 'Service', 'Thanks', 'You', 'Telkomsel']")</f>
        <v>['Any', 'Network', 'Telkomsel', 'Card', 'Telkomsel', 'Service', 'Thanks', 'You', 'Telkomsel']</v>
      </c>
      <c r="D9473" s="3">
        <v>5.0</v>
      </c>
    </row>
    <row r="9474" ht="15.75" customHeight="1">
      <c r="A9474" s="1">
        <v>10186.0</v>
      </c>
      <c r="B9474" s="3" t="s">
        <v>8253</v>
      </c>
      <c r="C9474" s="3" t="str">
        <f>IFERROR(__xludf.DUMMYFUNCTION("GOOGLETRANSLATE(B9474,""id"",""en"")"),"['fluent']")</f>
        <v>['fluent']</v>
      </c>
      <c r="D9474" s="3">
        <v>4.0</v>
      </c>
    </row>
    <row r="9475" ht="15.75" customHeight="1">
      <c r="A9475" s="1">
        <v>10187.0</v>
      </c>
      <c r="B9475" s="3" t="s">
        <v>1352</v>
      </c>
      <c r="C9475" s="3" t="str">
        <f>IFERROR(__xludf.DUMMYFUNCTION("GOOGLETRANSLATE(B9475,""id"",""en"")"),"['']")</f>
        <v>['']</v>
      </c>
      <c r="D9475" s="3">
        <v>5.0</v>
      </c>
    </row>
    <row r="9476" ht="15.75" customHeight="1">
      <c r="A9476" s="1">
        <v>10190.0</v>
      </c>
      <c r="B9476" s="3" t="s">
        <v>9078</v>
      </c>
      <c r="C9476" s="3" t="str">
        <f>IFERROR(__xludf.DUMMYFUNCTION("GOOGLETRANSLATE(B9476,""id"",""en"")"),"['TOP', 'Game', 'Credit', 'Take', 'Ludes', 'Diamond', 'Enter', 'Enter', 'Yesterday', 'What', 'Telkomsel']")</f>
        <v>['TOP', 'Game', 'Credit', 'Take', 'Ludes', 'Diamond', 'Enter', 'Enter', 'Yesterday', 'What', 'Telkomsel']</v>
      </c>
      <c r="D9476" s="3">
        <v>1.0</v>
      </c>
    </row>
    <row r="9477" ht="15.75" customHeight="1">
      <c r="A9477" s="1">
        <v>10192.0</v>
      </c>
      <c r="B9477" s="3" t="s">
        <v>9079</v>
      </c>
      <c r="C9477" s="3" t="str">
        <f>IFERROR(__xludf.DUMMYFUNCTION("GOOGLETRANSLATE(B9477,""id"",""en"")"),"['likes', 'Bngt', 'help']")</f>
        <v>['likes', 'Bngt', 'help']</v>
      </c>
      <c r="D9477" s="3">
        <v>5.0</v>
      </c>
    </row>
    <row r="9478" ht="15.75" customHeight="1">
      <c r="A9478" s="1">
        <v>10193.0</v>
      </c>
      <c r="B9478" s="3" t="s">
        <v>9080</v>
      </c>
      <c r="C9478" s="3" t="str">
        <f>IFERROR(__xludf.DUMMYFUNCTION("GOOGLETRANSLATE(B9478,""id"",""en"")"),"['Help', 'practical']")</f>
        <v>['Help', 'practical']</v>
      </c>
      <c r="D9478" s="3">
        <v>4.0</v>
      </c>
    </row>
    <row r="9479" ht="15.75" customHeight="1">
      <c r="A9479" s="1">
        <v>10194.0</v>
      </c>
      <c r="B9479" s="3" t="s">
        <v>9081</v>
      </c>
      <c r="C9479" s="3" t="str">
        <f>IFERROR(__xludf.DUMMYFUNCTION("GOOGLETRANSLATE(B9479,""id"",""en"")"),"['Severe', 'Telkomsel', 'Package', 'Ngakunya', 'Kasi', 'a month', 'On', 'Sampe', 'a month', 'already', 'Package', ' cave ',' already ',' first ',' cave ',' buy ',' active ',' first ',' abis', 'telkomsel', 'different', 'week', 'package', 'cave' , 'Telkomse"&amp;"l', 'written', 'On', 'first', 'run out', 'strange', ""]")</f>
        <v>['Severe', 'Telkomsel', 'Package', 'Ngakunya', 'Kasi', 'a month', 'On', 'Sampe', 'a month', 'already', 'Package', ' cave ',' already ',' first ',' cave ',' buy ',' active ',' first ',' abis', 'telkomsel', 'different', 'week', 'package', 'cave' , 'Telkomsel', 'written', 'On', 'first', 'run out', 'strange', "]</v>
      </c>
      <c r="D9479" s="3">
        <v>1.0</v>
      </c>
    </row>
    <row r="9480" ht="15.75" customHeight="1">
      <c r="A9480" s="1">
        <v>10195.0</v>
      </c>
      <c r="B9480" s="3" t="s">
        <v>9082</v>
      </c>
      <c r="C9480" s="3" t="str">
        <f>IFERROR(__xludf.DUMMYFUNCTION("GOOGLETRANSLATE(B9480,""id"",""en"")"),"['UDH', 'buy', 'Kouta', 'expensive', 'network', 'slow', 'disappointing']")</f>
        <v>['UDH', 'buy', 'Kouta', 'expensive', 'network', 'slow', 'disappointing']</v>
      </c>
      <c r="D9480" s="3">
        <v>1.0</v>
      </c>
    </row>
    <row r="9481" ht="15.75" customHeight="1">
      <c r="A9481" s="1">
        <v>10196.0</v>
      </c>
      <c r="B9481" s="3" t="s">
        <v>1352</v>
      </c>
      <c r="C9481" s="3" t="str">
        <f>IFERROR(__xludf.DUMMYFUNCTION("GOOGLETRANSLATE(B9481,""id"",""en"")"),"['']")</f>
        <v>['']</v>
      </c>
      <c r="D9481" s="3">
        <v>5.0</v>
      </c>
    </row>
    <row r="9482" ht="15.75" customHeight="1">
      <c r="A9482" s="1">
        <v>10197.0</v>
      </c>
      <c r="B9482" s="3" t="s">
        <v>9083</v>
      </c>
      <c r="C9482" s="3" t="str">
        <f>IFERROR(__xludf.DUMMYFUNCTION("GOOGLETRANSLATE(B9482,""id"",""en"")"),"['', 'like', 'Telkomsel', 'Thanks', 'accompany', ""]")</f>
        <v>['', 'like', 'Telkomsel', 'Thanks', 'accompany', "]</v>
      </c>
      <c r="D9482" s="3">
        <v>5.0</v>
      </c>
    </row>
    <row r="9483" ht="15.75" customHeight="1">
      <c r="A9483" s="1">
        <v>10199.0</v>
      </c>
      <c r="B9483" s="3" t="s">
        <v>9084</v>
      </c>
      <c r="C9483" s="3" t="str">
        <f>IFERROR(__xludf.DUMMYFUNCTION("GOOGLETRANSLATE(B9483,""id"",""en"")"),"['Please', 'Sorry', 'please', 'Telkomsel', 'lowering', 'taking', 'pulse', 'non', 'package', 'upset', 'pull', 'pulses',' Really ',' buy ',' package ',' data ',' APK ',' then ',' monitor ',' data ',' pulse ',' directly ',' just ',' just ',' second ' , 'run "&amp;"out', 'please', 'Telkomsel', 'lower', 'take', 'pulse', 'turn on', 'data', 'turn on', 'data', 'buy', 'package', ' Data ',' APK ',' Thank you ', ""]")</f>
        <v>['Please', 'Sorry', 'please', 'Telkomsel', 'lowering', 'taking', 'pulse', 'non', 'package', 'upset', 'pull', 'pulses',' Really ',' buy ',' package ',' data ',' APK ',' then ',' monitor ',' data ',' pulse ',' directly ',' just ',' just ',' second ' , 'run out', 'please', 'Telkomsel', 'lower', 'take', 'pulse', 'turn on', 'data', 'turn on', 'data', 'buy', 'package', ' Data ',' APK ',' Thank you ', "]</v>
      </c>
      <c r="D9483" s="3">
        <v>1.0</v>
      </c>
    </row>
    <row r="9484" ht="15.75" customHeight="1">
      <c r="A9484" s="1">
        <v>10200.0</v>
      </c>
      <c r="B9484" s="3" t="s">
        <v>9085</v>
      </c>
      <c r="C9484" s="3" t="str">
        <f>IFERROR(__xludf.DUMMYFUNCTION("GOOGLETRANSLATE(B9484,""id"",""en"")"),"['Honest', 'Season', 'really', 'buy', 'package', 'applied', 'entry', 'slow', 'right', 'need', 'really', 'quota', ' times', 'buy']")</f>
        <v>['Honest', 'Season', 'really', 'buy', 'package', 'applied', 'entry', 'slow', 'right', 'need', 'really', 'quota', ' times', 'buy']</v>
      </c>
      <c r="D9484" s="3">
        <v>2.0</v>
      </c>
    </row>
    <row r="9485" ht="15.75" customHeight="1">
      <c r="A9485" s="1">
        <v>10201.0</v>
      </c>
      <c r="B9485" s="3" t="s">
        <v>9086</v>
      </c>
      <c r="C9485" s="3" t="str">
        <f>IFERROR(__xludf.DUMMYFUNCTION("GOOGLETRANSLATE(B9485,""id"",""en"")"),"['Leet', 'Package', 'Full', 'Used']")</f>
        <v>['Leet', 'Package', 'Full', 'Used']</v>
      </c>
      <c r="D9485" s="3">
        <v>1.0</v>
      </c>
    </row>
    <row r="9486" ht="15.75" customHeight="1">
      <c r="A9486" s="1">
        <v>10202.0</v>
      </c>
      <c r="B9486" s="3" t="s">
        <v>9087</v>
      </c>
      <c r="C9486" s="3" t="str">
        <f>IFERROR(__xludf.DUMMYFUNCTION("GOOGLETRANSLATE(B9486,""id"",""en"")"),"['Signal', 'Telkomsel', 'sinking', 'lost', 'provider', 'slow', 'Udh', 'snail', 'buy', 'pket', 'expensive', 'loss']")</f>
        <v>['Signal', 'Telkomsel', 'sinking', 'lost', 'provider', 'slow', 'Udh', 'snail', 'buy', 'pket', 'expensive', 'loss']</v>
      </c>
      <c r="D9486" s="3">
        <v>2.0</v>
      </c>
    </row>
    <row r="9487" ht="15.75" customHeight="1">
      <c r="A9487" s="1">
        <v>10203.0</v>
      </c>
      <c r="B9487" s="3" t="s">
        <v>9088</v>
      </c>
      <c r="C9487" s="3" t="str">
        <f>IFERROR(__xludf.DUMMYFUNCTION("GOOGLETRANSLATE(B9487,""id"",""en"")"),"['Please', 'repaired', 'lhaa', 'buy', 'package', 'internet', 'lwt', 'application', 'luemoooooot', 'timryaaaaaaaaaah', 'pollllllllll', 'already', ' Waiting ',' tip ',' failed ',' ']")</f>
        <v>['Please', 'repaired', 'lhaa', 'buy', 'package', 'internet', 'lwt', 'application', 'luemoooooot', 'timryaaaaaaaaaah', 'pollllllllll', 'already', ' Waiting ',' tip ',' failed ',' ']</v>
      </c>
      <c r="D9487" s="3">
        <v>2.0</v>
      </c>
    </row>
    <row r="9488" ht="15.75" customHeight="1">
      <c r="A9488" s="1">
        <v>10204.0</v>
      </c>
      <c r="B9488" s="3" t="s">
        <v>9089</v>
      </c>
      <c r="C9488" s="3" t="str">
        <f>IFERROR(__xludf.DUMMYFUNCTION("GOOGLETRANSLATE(B9488,""id"",""en"")"),"['Contents', 'pulse', 'direct', 'list', 'package']")</f>
        <v>['Contents', 'pulse', 'direct', 'list', 'package']</v>
      </c>
      <c r="D9488" s="3">
        <v>1.0</v>
      </c>
    </row>
    <row r="9489" ht="15.75" customHeight="1">
      <c r="A9489" s="1">
        <v>10205.0</v>
      </c>
      <c r="B9489" s="3" t="s">
        <v>9090</v>
      </c>
      <c r="C9489" s="3" t="str">
        <f>IFERROR(__xludf.DUMMYFUNCTION("GOOGLETRANSLATE(B9489,""id"",""en"")"),"['ganguan', 'signal', 'signal', 'bad', 'sometimes',' network ',' or ',' signal ',' internet ',' or ',' ngegem ',' slow ',' Social ',' Media ',' slow ',' signal ',' Telkomsel ',' Rich ',' Ngapa ',' What's "", 'Current', 'Signal', 'Rich', 'Sinyal', 'already"&amp;"' , 'Different', 'ngeta', 'signal', 'and then', 'smooth', 'signal', 'leg', 'me', 'already', 'use', 'replace', ""]")</f>
        <v>['ganguan', 'signal', 'signal', 'bad', 'sometimes',' network ',' or ',' signal ',' internet ',' or ',' ngegem ',' slow ',' Social ',' Media ',' slow ',' signal ',' Telkomsel ',' Rich ',' Ngapa ',' What's ", 'Current', 'Signal', 'Rich', 'Sinyal', 'already' , 'Different', 'ngeta', 'signal', 'and then', 'smooth', 'signal', 'leg', 'me', 'already', 'use', 'replace', "]</v>
      </c>
      <c r="D9489" s="3">
        <v>1.0</v>
      </c>
    </row>
    <row r="9490" ht="15.75" customHeight="1">
      <c r="A9490" s="1">
        <v>10206.0</v>
      </c>
      <c r="B9490" s="3" t="s">
        <v>9091</v>
      </c>
      <c r="C9490" s="3" t="str">
        <f>IFERROR(__xludf.DUMMYFUNCTION("GOOGLETRANSLATE(B9490,""id"",""en"")"),"['Application', 'MyTelkomsel', 'Stop', 'Network', 'Good', '']")</f>
        <v>['Application', 'MyTelkomsel', 'Stop', 'Network', 'Good', '']</v>
      </c>
      <c r="D9490" s="3">
        <v>3.0</v>
      </c>
    </row>
    <row r="9491" ht="15.75" customHeight="1">
      <c r="A9491" s="1">
        <v>10207.0</v>
      </c>
      <c r="B9491" s="3" t="s">
        <v>9092</v>
      </c>
      <c r="C9491" s="3" t="str">
        <f>IFERROR(__xludf.DUMMYFUNCTION("GOOGLETRANSLATE(B9491,""id"",""en"")"),"['Waiter', 'easy', 'area', 'signal', 'strong', 'Kemah', '']")</f>
        <v>['Waiter', 'easy', 'area', 'signal', 'strong', 'Kemah', '']</v>
      </c>
      <c r="D9491" s="3">
        <v>5.0</v>
      </c>
    </row>
    <row r="9492" ht="15.75" customHeight="1">
      <c r="A9492" s="1">
        <v>10208.0</v>
      </c>
      <c r="B9492" s="3" t="s">
        <v>9093</v>
      </c>
      <c r="C9492" s="3" t="str">
        <f>IFERROR(__xludf.DUMMYFUNCTION("GOOGLETRANSLATE(B9492,""id"",""en"")"),"['Please', 'Network', 'Increase']")</f>
        <v>['Please', 'Network', 'Increase']</v>
      </c>
      <c r="D9492" s="3">
        <v>4.0</v>
      </c>
    </row>
    <row r="9493" ht="15.75" customHeight="1">
      <c r="A9493" s="1">
        <v>10209.0</v>
      </c>
      <c r="B9493" s="3" t="s">
        <v>9094</v>
      </c>
      <c r="C9493" s="3" t="str">
        <f>IFERROR(__xludf.DUMMYFUNCTION("GOOGLETRANSLATE(B9493,""id"",""en"")"),"['App', 'Easy', 'NDA', 'Ribet', 'Help', 'User', 'MyTelkomsel']")</f>
        <v>['App', 'Easy', 'NDA', 'Ribet', 'Help', 'User', 'MyTelkomsel']</v>
      </c>
      <c r="D9493" s="3">
        <v>5.0</v>
      </c>
    </row>
    <row r="9494" ht="15.75" customHeight="1">
      <c r="A9494" s="1">
        <v>10210.0</v>
      </c>
      <c r="B9494" s="3" t="s">
        <v>9095</v>
      </c>
      <c r="C9494" s="3" t="str">
        <f>IFERROR(__xludf.DUMMYFUNCTION("GOOGLETRANSLATE(B9494,""id"",""en"")"),"['Honey', 'no', 'GB', 'RB']")</f>
        <v>['Honey', 'no', 'GB', 'RB']</v>
      </c>
      <c r="D9494" s="3">
        <v>5.0</v>
      </c>
    </row>
    <row r="9495" ht="15.75" customHeight="1">
      <c r="A9495" s="1">
        <v>10211.0</v>
      </c>
      <c r="B9495" s="3" t="s">
        <v>9096</v>
      </c>
      <c r="C9495" s="3" t="str">
        <f>IFERROR(__xludf.DUMMYFUNCTION("GOOGLETRANSLATE(B9495,""id"",""en"")"),"['Package', 'Geratis', 'GB']")</f>
        <v>['Package', 'Geratis', 'GB']</v>
      </c>
      <c r="D9495" s="3">
        <v>1.0</v>
      </c>
    </row>
    <row r="9496" ht="15.75" customHeight="1">
      <c r="A9496" s="1">
        <v>10212.0</v>
      </c>
      <c r="B9496" s="3" t="s">
        <v>9097</v>
      </c>
      <c r="C9496" s="3" t="str">
        <f>IFERROR(__xludf.DUMMYFUNCTION("GOOGLETRANSLATE(B9496,""id"",""en"")"),"['Get', 'star', 'Pantes',' Play ',' Game ',' War ',' Udh ',' That's', 'Get', 'Bonus',' Used ',' Please ',' Realin ',' min ',' torture ',' really ',' NGTD ',' Tanggepin ']")</f>
        <v>['Get', 'star', 'Pantes',' Play ',' Game ',' War ',' Udh ',' That's', 'Get', 'Bonus',' Used ',' Please ',' Realin ',' min ',' torture ',' really ',' NGTD ',' Tanggepin ']</v>
      </c>
      <c r="D9496" s="3">
        <v>1.0</v>
      </c>
    </row>
    <row r="9497" ht="15.75" customHeight="1">
      <c r="A9497" s="1">
        <v>10213.0</v>
      </c>
      <c r="B9497" s="3" t="s">
        <v>9098</v>
      </c>
      <c r="C9497" s="3" t="str">
        <f>IFERROR(__xludf.DUMMYFUNCTION("GOOGLETRANSLATE(B9497,""id"",""en"")"),"['Help', 'apk', 'Telkomsel', 'trimakasih', 'telkomsel']")</f>
        <v>['Help', 'apk', 'Telkomsel', 'trimakasih', 'telkomsel']</v>
      </c>
      <c r="D9497" s="3">
        <v>5.0</v>
      </c>
    </row>
    <row r="9498" ht="15.75" customHeight="1">
      <c r="A9498" s="1">
        <v>10214.0</v>
      </c>
      <c r="B9498" s="3" t="s">
        <v>9099</v>
      </c>
      <c r="C9498" s="3" t="str">
        <f>IFERROR(__xludf.DUMMYFUNCTION("GOOGLETRANSLATE(B9498,""id"",""en"")"),"['Trmksi', 'Kasi', 'Telkomsel', 'PKETX', 'cheap', 'festive', '']")</f>
        <v>['Trmksi', 'Kasi', 'Telkomsel', 'PKETX', 'cheap', 'festive', '']</v>
      </c>
      <c r="D9498" s="3">
        <v>5.0</v>
      </c>
    </row>
    <row r="9499" ht="15.75" customHeight="1">
      <c r="A9499" s="1">
        <v>10215.0</v>
      </c>
      <c r="B9499" s="3" t="s">
        <v>9100</v>
      </c>
      <c r="C9499" s="3" t="str">
        <f>IFERROR(__xludf.DUMMYFUNCTION("GOOGLETRANSLATE(B9499,""id"",""en"")"),"['update', 'enter', 'application', 'uninstall', 'install', 'reset', 'please', 'fix', 'bug', 'need', 'application', 'buy', ' Paketan ',' Telkomsel ']")</f>
        <v>['update', 'enter', 'application', 'uninstall', 'install', 'reset', 'please', 'fix', 'bug', 'need', 'application', 'buy', ' Paketan ',' Telkomsel ']</v>
      </c>
      <c r="D9499" s="3">
        <v>3.0</v>
      </c>
    </row>
    <row r="9500" ht="15.75" customHeight="1">
      <c r="A9500" s="1">
        <v>10216.0</v>
      </c>
      <c r="B9500" s="3" t="s">
        <v>9101</v>
      </c>
      <c r="C9500" s="3" t="str">
        <f>IFERROR(__xludf.DUMMYFUNCTION("GOOGLETRANSLATE(B9500,""id"",""en"")"),"['Switch', 'pulse', 'package', 'data', 'pulses', 'cut', 'package', 'data', 'enter']")</f>
        <v>['Switch', 'pulse', 'package', 'data', 'pulses', 'cut', 'package', 'data', 'enter']</v>
      </c>
      <c r="D9500" s="3">
        <v>1.0</v>
      </c>
    </row>
    <row r="9501" ht="15.75" customHeight="1">
      <c r="A9501" s="1">
        <v>10217.0</v>
      </c>
      <c r="B9501" s="3" t="s">
        <v>9102</v>
      </c>
      <c r="C9501" s="3" t="str">
        <f>IFERROR(__xludf.DUMMYFUNCTION("GOOGLETRANSLATE(B9501,""id"",""en"")"),"['hope', 'help', 'promo', 'quota', 'internet']")</f>
        <v>['hope', 'help', 'promo', 'quota', 'internet']</v>
      </c>
      <c r="D9501" s="3">
        <v>5.0</v>
      </c>
    </row>
    <row r="9502" ht="15.75" customHeight="1">
      <c r="A9502" s="1">
        <v>10218.0</v>
      </c>
      <c r="B9502" s="3" t="s">
        <v>9103</v>
      </c>
      <c r="C9502" s="3" t="str">
        <f>IFERROR(__xludf.DUMMYFUNCTION("GOOGLETRANSLATE(B9502,""id"",""en"")"),"['hope', 'cheating', 'yak', 'aamiinnnn']")</f>
        <v>['hope', 'cheating', 'yak', 'aamiinnnn']</v>
      </c>
      <c r="D9502" s="3">
        <v>5.0</v>
      </c>
    </row>
    <row r="9503" ht="15.75" customHeight="1">
      <c r="A9503" s="1">
        <v>10219.0</v>
      </c>
      <c r="B9503" s="3" t="s">
        <v>9104</v>
      </c>
      <c r="C9503" s="3" t="str">
        <f>IFERROR(__xludf.DUMMYFUNCTION("GOOGLETRANSLATE(B9503,""id"",""en"")"),"['Satisfied', 'service']")</f>
        <v>['Satisfied', 'service']</v>
      </c>
      <c r="D9503" s="3">
        <v>5.0</v>
      </c>
    </row>
    <row r="9504" ht="15.75" customHeight="1">
      <c r="A9504" s="1">
        <v>10220.0</v>
      </c>
      <c r="B9504" s="3" t="s">
        <v>9105</v>
      </c>
      <c r="C9504" s="3" t="str">
        <f>IFERROR(__xludf.DUMMYFUNCTION("GOOGLETRANSLATE(B9504,""id"",""en"")"),"['Filter', 'easy']")</f>
        <v>['Filter', 'easy']</v>
      </c>
      <c r="D9504" s="3">
        <v>5.0</v>
      </c>
    </row>
    <row r="9505" ht="15.75" customHeight="1">
      <c r="A9505" s="1">
        <v>10221.0</v>
      </c>
      <c r="B9505" s="3" t="s">
        <v>9106</v>
      </c>
      <c r="C9505" s="3" t="str">
        <f>IFERROR(__xludf.DUMMYFUNCTION("GOOGLETRANSLATE(B9505,""id"",""en"")"),"['Open', 'told', 'update', 'just']")</f>
        <v>['Open', 'told', 'update', 'just']</v>
      </c>
      <c r="D9505" s="3">
        <v>1.0</v>
      </c>
    </row>
    <row r="9506" ht="15.75" customHeight="1">
      <c r="A9506" s="1">
        <v>10222.0</v>
      </c>
      <c r="B9506" s="3" t="s">
        <v>9107</v>
      </c>
      <c r="C9506" s="3" t="str">
        <f>IFERROR(__xludf.DUMMYFUNCTION("GOOGLETRANSLATE(B9506,""id"",""en"")"),"['Mantaps', 'The network']")</f>
        <v>['Mantaps', 'The network']</v>
      </c>
      <c r="D9506" s="3">
        <v>5.0</v>
      </c>
    </row>
    <row r="9507" ht="15.75" customHeight="1">
      <c r="A9507" s="1">
        <v>10223.0</v>
      </c>
      <c r="B9507" s="3" t="s">
        <v>9108</v>
      </c>
      <c r="C9507" s="3" t="str">
        <f>IFERROR(__xludf.DUMMYFUNCTION("GOOGLETRANSLATE(B9507,""id"",""en"")"),"['Increase', 'Network', 'Region', 'Village']")</f>
        <v>['Increase', 'Network', 'Region', 'Village']</v>
      </c>
      <c r="D9507" s="3">
        <v>5.0</v>
      </c>
    </row>
    <row r="9508" ht="15.75" customHeight="1">
      <c r="A9508" s="1">
        <v>10224.0</v>
      </c>
      <c r="B9508" s="3" t="s">
        <v>9109</v>
      </c>
      <c r="C9508" s="3" t="str">
        <f>IFERROR(__xludf.DUMMYFUNCTION("GOOGLETRANSLATE(B9508,""id"",""en"")"),"['Good', 'Sometimes', 'like', 'disorder', 'buy', 'package', 'internet']")</f>
        <v>['Good', 'Sometimes', 'like', 'disorder', 'buy', 'package', 'internet']</v>
      </c>
      <c r="D9508" s="3">
        <v>5.0</v>
      </c>
    </row>
    <row r="9509" ht="15.75" customHeight="1">
      <c r="A9509" s="1">
        <v>10225.0</v>
      </c>
      <c r="B9509" s="3" t="s">
        <v>9110</v>
      </c>
      <c r="C9509" s="3" t="str">
        <f>IFERROR(__xludf.DUMMYFUNCTION("GOOGLETRANSLATE(B9509,""id"",""en"")"),"['TKSIH', 'Telkomsel', 'Movers', 'Kecamatan', '']")</f>
        <v>['TKSIH', 'Telkomsel', 'Movers', 'Kecamatan', '']</v>
      </c>
      <c r="D9509" s="3">
        <v>4.0</v>
      </c>
    </row>
    <row r="9510" ht="15.75" customHeight="1">
      <c r="A9510" s="1">
        <v>10226.0</v>
      </c>
      <c r="B9510" s="3" t="s">
        <v>9111</v>
      </c>
      <c r="C9510" s="3" t="str">
        <f>IFERROR(__xludf.DUMMYFUNCTION("GOOGLETRANSLATE(B9510,""id"",""en"")"),"['Application', 'stop', ""]")</f>
        <v>['Application', 'stop', "]</v>
      </c>
      <c r="D9510" s="3">
        <v>1.0</v>
      </c>
    </row>
    <row r="9511" ht="15.75" customHeight="1">
      <c r="A9511" s="1">
        <v>10227.0</v>
      </c>
      <c r="B9511" s="3" t="s">
        <v>9112</v>
      </c>
      <c r="C9511" s="3" t="str">
        <f>IFERROR(__xludf.DUMMYFUNCTION("GOOGLETRANSLATE(B9511,""id"",""en"")"),"['Pliss', 'Balikin', 'promo', 'GB', 'Star', 'deh']")</f>
        <v>['Pliss', 'Balikin', 'promo', 'GB', 'Star', 'deh']</v>
      </c>
      <c r="D9511" s="3">
        <v>2.0</v>
      </c>
    </row>
    <row r="9512" ht="15.75" customHeight="1">
      <c r="A9512" s="1">
        <v>10228.0</v>
      </c>
      <c r="B9512" s="3" t="s">
        <v>313</v>
      </c>
      <c r="C9512" s="3" t="str">
        <f>IFERROR(__xludf.DUMMYFUNCTION("GOOGLETRANSLATE(B9512,""id"",""en"")"),"['signal']")</f>
        <v>['signal']</v>
      </c>
      <c r="D9512" s="3">
        <v>5.0</v>
      </c>
    </row>
    <row r="9513" ht="15.75" customHeight="1">
      <c r="A9513" s="1">
        <v>10229.0</v>
      </c>
      <c r="B9513" s="3" t="s">
        <v>9113</v>
      </c>
      <c r="C9513" s="3" t="str">
        <f>IFERROR(__xludf.DUMMYFUNCTION("GOOGLETRANSLATE(B9513,""id"",""en"")"),"['package', 'internet', 'expensive', 'service', 'good']")</f>
        <v>['package', 'internet', 'expensive', 'service', 'good']</v>
      </c>
      <c r="D9513" s="3">
        <v>4.0</v>
      </c>
    </row>
    <row r="9514" ht="15.75" customHeight="1">
      <c r="A9514" s="1">
        <v>10230.0</v>
      </c>
      <c r="B9514" s="3" t="s">
        <v>9114</v>
      </c>
      <c r="C9514" s="3" t="str">
        <f>IFERROR(__xludf.DUMMYFUNCTION("GOOGLETRANSLATE(B9514,""id"",""en"")"),"['Network', 'best', 'Pakopular', 'cheap', 'gini', 'try', 'deh', 'check', 'condition', 'network', 'in the area', 'cave', ' South Kalimantan ',' area ',' Pelaihari ',' village ',' oath ',' slow ',' really ',' unclean ',' cave ',' make ',' mending ',' replac"&amp;"e ',' provider ' , 'cave']")</f>
        <v>['Network', 'best', 'Pakopular', 'cheap', 'gini', 'try', 'deh', 'check', 'condition', 'network', 'in the area', 'cave', ' South Kalimantan ',' area ',' Pelaihari ',' village ',' oath ',' slow ',' really ',' unclean ',' cave ',' make ',' mending ',' replace ',' provider ' , 'cave']</v>
      </c>
      <c r="D9514" s="3">
        <v>1.0</v>
      </c>
    </row>
    <row r="9515" ht="15.75" customHeight="1">
      <c r="A9515" s="1">
        <v>10231.0</v>
      </c>
      <c r="B9515" s="3" t="s">
        <v>9115</v>
      </c>
      <c r="C9515" s="3" t="str">
        <f>IFERROR(__xludf.DUMMYFUNCTION("GOOGLETRANSLATE(B9515,""id"",""en"")"),"['Please', 'signal', 'buy', 'quota', 'Telkomsel', 'signal', 'ugly', 'really', 'plis', 'please', 'repaired', ',' thank you']")</f>
        <v>['Please', 'signal', 'buy', 'quota', 'Telkomsel', 'signal', 'ugly', 'really', 'plis', 'please', 'repaired', ',' thank you']</v>
      </c>
      <c r="D9515" s="3">
        <v>1.0</v>
      </c>
    </row>
    <row r="9516" ht="15.75" customHeight="1">
      <c r="A9516" s="1">
        <v>10232.0</v>
      </c>
      <c r="B9516" s="3" t="s">
        <v>7413</v>
      </c>
      <c r="C9516" s="3" t="str">
        <f>IFERROR(__xludf.DUMMYFUNCTION("GOOGLETRANSLATE(B9516,""id"",""en"")"),"['Steady', 'Success']")</f>
        <v>['Steady', 'Success']</v>
      </c>
      <c r="D9516" s="3">
        <v>5.0</v>
      </c>
    </row>
    <row r="9517" ht="15.75" customHeight="1">
      <c r="A9517" s="1">
        <v>10233.0</v>
      </c>
      <c r="B9517" s="3" t="s">
        <v>9116</v>
      </c>
      <c r="C9517" s="3" t="str">
        <f>IFERROR(__xludf.DUMMYFUNCTION("GOOGLETRANSLATE(B9517,""id"",""en"")"),"['Please', 'Increase', 'Network', 'Telkomsel', 'Lemot', '']")</f>
        <v>['Please', 'Increase', 'Network', 'Telkomsel', 'Lemot', '']</v>
      </c>
      <c r="D9517" s="3">
        <v>5.0</v>
      </c>
    </row>
    <row r="9518" ht="15.75" customHeight="1">
      <c r="A9518" s="1">
        <v>10235.0</v>
      </c>
      <c r="B9518" s="3" t="s">
        <v>9117</v>
      </c>
      <c r="C9518" s="3" t="str">
        <f>IFERROR(__xludf.DUMMYFUNCTION("GOOGLETRANSLATE(B9518,""id"",""en"")"),"['Madura', 'Display', 'Tangguh', 'Open', 'YouTube', 'Direct', 'Changed', 'Support', 'Muter', 'Doang', 'Annoyed', 'Telkomsel']")</f>
        <v>['Madura', 'Display', 'Tangguh', 'Open', 'YouTube', 'Direct', 'Changed', 'Support', 'Muter', 'Doang', 'Annoyed', 'Telkomsel']</v>
      </c>
      <c r="D9518" s="3">
        <v>1.0</v>
      </c>
    </row>
    <row r="9519" ht="15.75" customHeight="1">
      <c r="A9519" s="1">
        <v>10236.0</v>
      </c>
      <c r="B9519" s="3" t="s">
        <v>9118</v>
      </c>
      <c r="C9519" s="3" t="str">
        <f>IFERROR(__xludf.DUMMYFUNCTION("GOOGLETRANSLATE(B9519,""id"",""en"")"),"['Good', 'The application']")</f>
        <v>['Good', 'The application']</v>
      </c>
      <c r="D9519" s="3">
        <v>5.0</v>
      </c>
    </row>
    <row r="9520" ht="15.75" customHeight="1">
      <c r="A9520" s="1">
        <v>10237.0</v>
      </c>
      <c r="B9520" s="3" t="s">
        <v>9119</v>
      </c>
      <c r="C9520" s="3" t="str">
        <f>IFERROR(__xludf.DUMMYFUNCTION("GOOGLETRANSLATE(B9520,""id"",""en"")"),"['voice', 'Notif', 'ngak', 'eliminated', 'open', 'application', 'ugly']")</f>
        <v>['voice', 'Notif', 'ngak', 'eliminated', 'open', 'application', 'ugly']</v>
      </c>
      <c r="D9520" s="3">
        <v>2.0</v>
      </c>
    </row>
    <row r="9521" ht="15.75" customHeight="1">
      <c r="A9521" s="1">
        <v>10239.0</v>
      </c>
      <c r="B9521" s="3" t="s">
        <v>1855</v>
      </c>
      <c r="C9521" s="3" t="str">
        <f>IFERROR(__xludf.DUMMYFUNCTION("GOOGLETRANSLATE(B9521,""id"",""en"")"),"['star']")</f>
        <v>['star']</v>
      </c>
      <c r="D9521" s="3">
        <v>2.0</v>
      </c>
    </row>
    <row r="9522" ht="15.75" customHeight="1">
      <c r="A9522" s="1">
        <v>10240.0</v>
      </c>
      <c r="B9522" s="3" t="s">
        <v>9120</v>
      </c>
      <c r="C9522" s="3" t="str">
        <f>IFERROR(__xludf.DUMMYFUNCTION("GOOGLETRANSLATE(B9522,""id"",""en"")"),"['', 'how', 'sii', 'buy', 'card', 'Telkomsel', 'call', 'gabisaaaa', 'network', 'already', 'set', 'SPIH', 'it's locked ',' TTP ',' Are ',' Gkbisaa ',' Cokkk ',' halaaaah ']")</f>
        <v>['', 'how', 'sii', 'buy', 'card', 'Telkomsel', 'call', 'gabisaaaa', 'network', 'already', 'set', 'SPIH', 'it's locked ',' TTP ',' Are ',' Gkbisaa ',' Cokkk ',' halaaaah ']</v>
      </c>
      <c r="D9522" s="3">
        <v>3.0</v>
      </c>
    </row>
    <row r="9523" ht="15.75" customHeight="1">
      <c r="A9523" s="1">
        <v>10241.0</v>
      </c>
      <c r="B9523" s="3" t="s">
        <v>9121</v>
      </c>
      <c r="C9523" s="3" t="str">
        <f>IFERROR(__xludf.DUMMYFUNCTION("GOOGLETRANSLATE(B9523,""id"",""en"")"),"['It's easy', 'features', 'promo', 'package', 'internet']")</f>
        <v>['It's easy', 'features', 'promo', 'package', 'internet']</v>
      </c>
      <c r="D9523" s="3">
        <v>5.0</v>
      </c>
    </row>
    <row r="9524" ht="15.75" customHeight="1">
      <c r="A9524" s="1">
        <v>10242.0</v>
      </c>
      <c r="B9524" s="3" t="s">
        <v>9122</v>
      </c>
      <c r="C9524" s="3" t="str">
        <f>IFERROR(__xludf.DUMMYFUNCTION("GOOGLETRANSLATE(B9524,""id"",""en"")"),"['', 'maxh', 'like', 'application', 'package', 'cheap']")</f>
        <v>['', 'maxh', 'like', 'application', 'package', 'cheap']</v>
      </c>
      <c r="D9524" s="3">
        <v>5.0</v>
      </c>
    </row>
    <row r="9525" ht="15.75" customHeight="1">
      <c r="A9525" s="1">
        <v>10243.0</v>
      </c>
      <c r="B9525" s="3" t="s">
        <v>9123</v>
      </c>
      <c r="C9525" s="3" t="str">
        <f>IFERROR(__xludf.DUMMYFUNCTION("GOOGLETRANSLATE(B9525,""id"",""en"")"),"['Shield', 'really', 'mantp', 'dehh']")</f>
        <v>['Shield', 'really', 'mantp', 'dehh']</v>
      </c>
      <c r="D9525" s="3">
        <v>5.0</v>
      </c>
    </row>
    <row r="9526" ht="15.75" customHeight="1">
      <c r="A9526" s="1">
        <v>10244.0</v>
      </c>
      <c r="B9526" s="3" t="s">
        <v>9124</v>
      </c>
      <c r="C9526" s="3" t="str">
        <f>IFERROR(__xludf.DUMMYFUNCTION("GOOGLETRANSLATE(B9526,""id"",""en"")"),"['Signal', 'Good', 'Area', 'Cipinang', 'Malay']")</f>
        <v>['Signal', 'Good', 'Area', 'Cipinang', 'Malay']</v>
      </c>
      <c r="D9526" s="3">
        <v>4.0</v>
      </c>
    </row>
    <row r="9527" ht="15.75" customHeight="1">
      <c r="A9527" s="1">
        <v>10245.0</v>
      </c>
      <c r="B9527" s="3" t="s">
        <v>9125</v>
      </c>
      <c r="C9527" s="3" t="str">
        <f>IFERROR(__xludf.DUMMYFUNCTION("GOOGLETRANSLATE(B9527,""id"",""en"")"),"['', 'Network', 'Mabok']")</f>
        <v>['', 'Network', 'Mabok']</v>
      </c>
      <c r="D9527" s="3">
        <v>2.0</v>
      </c>
    </row>
    <row r="9528" ht="15.75" customHeight="1">
      <c r="A9528" s="1">
        <v>10246.0</v>
      </c>
      <c r="B9528" s="3" t="s">
        <v>9126</v>
      </c>
      <c r="C9528" s="3" t="str">
        <f>IFERROR(__xludf.DUMMYFUNCTION("GOOGLETRANSLATE(B9528,""id"",""en"")"),"['Network', 'stable', 'pingbtinggi', 'morning', 'noon', 'night', 'slow', 'ultimate', 'thank you']")</f>
        <v>['Network', 'stable', 'pingbtinggi', 'morning', 'noon', 'night', 'slow', 'ultimate', 'thank you']</v>
      </c>
      <c r="D9528" s="3">
        <v>3.0</v>
      </c>
    </row>
    <row r="9529" ht="15.75" customHeight="1">
      <c r="A9529" s="1">
        <v>10247.0</v>
      </c>
      <c r="B9529" s="3" t="s">
        <v>9127</v>
      </c>
      <c r="C9529" s="3" t="str">
        <f>IFERROR(__xludf.DUMMYFUNCTION("GOOGLETRANSLATE(B9529,""id"",""en"")"),"['Star', 'Try', 'Recommended', 'Bintang', '']")</f>
        <v>['Star', 'Try', 'Recommended', 'Bintang', '']</v>
      </c>
      <c r="D9529" s="3">
        <v>1.0</v>
      </c>
    </row>
    <row r="9530" ht="15.75" customHeight="1">
      <c r="A9530" s="1">
        <v>10249.0</v>
      </c>
      <c r="B9530" s="3" t="s">
        <v>9128</v>
      </c>
      <c r="C9530" s="3" t="str">
        <f>IFERROR(__xludf.DUMMYFUNCTION("GOOGLETRANSLATE(B9530,""id"",""en"")"),"['Signal', 'Severe', 'I think', 'signal', 'hard', 'paper', 'BLI', 'package', 'expensive', 'chat', 'slow', 'response', ' DPR ',' criticism ',' sound ',' ']")</f>
        <v>['Signal', 'Severe', 'I think', 'signal', 'hard', 'paper', 'BLI', 'package', 'expensive', 'chat', 'slow', 'response', ' DPR ',' criticism ',' sound ',' ']</v>
      </c>
      <c r="D9530" s="3">
        <v>1.0</v>
      </c>
    </row>
    <row r="9531" ht="15.75" customHeight="1">
      <c r="A9531" s="1">
        <v>10250.0</v>
      </c>
      <c r="B9531" s="3" t="s">
        <v>9129</v>
      </c>
      <c r="C9531" s="3" t="str">
        <f>IFERROR(__xludf.DUMMYFUNCTION("GOOGLETRANSLATE(B9531,""id"",""en"")"),"['quota', 'watch', 'local', 'used', 'high school', 'try']")</f>
        <v>['quota', 'watch', 'local', 'used', 'high school', 'try']</v>
      </c>
      <c r="D9531" s="3">
        <v>2.0</v>
      </c>
    </row>
    <row r="9532" ht="15.75" customHeight="1">
      <c r="A9532" s="1">
        <v>10251.0</v>
      </c>
      <c r="B9532" s="3" t="s">
        <v>9130</v>
      </c>
      <c r="C9532" s="3" t="str">
        <f>IFERROR(__xludf.DUMMYFUNCTION("GOOGLETRANSLATE(B9532,""id"",""en"")"),"['disappointedaaaaaaaa', 'use', 'combo', 'magic', 'week', 'quota', 'ilang', 'user', '']")</f>
        <v>['disappointedaaaaaaaa', 'use', 'combo', 'magic', 'week', 'quota', 'ilang', 'user', '']</v>
      </c>
      <c r="D9532" s="3">
        <v>1.0</v>
      </c>
    </row>
    <row r="9533" ht="15.75" customHeight="1">
      <c r="A9533" s="1">
        <v>10252.0</v>
      </c>
      <c r="B9533" s="3" t="s">
        <v>9131</v>
      </c>
      <c r="C9533" s="3" t="str">
        <f>IFERROR(__xludf.DUMMYFUNCTION("GOOGLETRANSLATE(B9533,""id"",""en"")"),"['Good', 'Mas', '']")</f>
        <v>['Good', 'Mas', '']</v>
      </c>
      <c r="D9533" s="3">
        <v>5.0</v>
      </c>
    </row>
    <row r="9534" ht="15.75" customHeight="1">
      <c r="A9534" s="1">
        <v>10254.0</v>
      </c>
      <c r="B9534" s="3" t="s">
        <v>9132</v>
      </c>
      <c r="C9534" s="3" t="str">
        <f>IFERROR(__xludf.DUMMYFUNCTION("GOOGLETRANSLATE(B9534,""id"",""en"")"),"['Sorry', 'card', 'sympathy', 'promo', 'cheap', 'adek', 'age', 'card', 'promo', 'cheap', 'interesting', 'please' Reply ',' Customer ']")</f>
        <v>['Sorry', 'card', 'sympathy', 'promo', 'cheap', 'adek', 'age', 'card', 'promo', 'cheap', 'interesting', 'please' Reply ',' Customer ']</v>
      </c>
      <c r="D9534" s="3">
        <v>1.0</v>
      </c>
    </row>
    <row r="9535" ht="15.75" customHeight="1">
      <c r="A9535" s="1">
        <v>10255.0</v>
      </c>
      <c r="B9535" s="3" t="s">
        <v>9133</v>
      </c>
      <c r="C9535" s="3" t="str">
        <f>IFERROR(__xludf.DUMMYFUNCTION("GOOGLETRANSLATE(B9535,""id"",""en"")"),"['oath', 'anything', 'package', 'lapse', 'unlimited', 'youtubeku', 'quota', 'utamaku', 'coakes', 'doglah']")</f>
        <v>['oath', 'anything', 'package', 'lapse', 'unlimited', 'youtubeku', 'quota', 'utamaku', 'coakes', 'doglah']</v>
      </c>
      <c r="D9535" s="3">
        <v>1.0</v>
      </c>
    </row>
    <row r="9536" ht="15.75" customHeight="1">
      <c r="A9536" s="1">
        <v>10257.0</v>
      </c>
      <c r="B9536" s="3" t="s">
        <v>9134</v>
      </c>
      <c r="C9536" s="3" t="str">
        <f>IFERROR(__xludf.DUMMYFUNCTION("GOOGLETRANSLATE(B9536,""id"",""en"")"),"['Steady', 'Markotop']")</f>
        <v>['Steady', 'Markotop']</v>
      </c>
      <c r="D9536" s="3">
        <v>5.0</v>
      </c>
    </row>
    <row r="9537" ht="15.75" customHeight="1">
      <c r="A9537" s="1">
        <v>10258.0</v>
      </c>
      <c r="B9537" s="3" t="s">
        <v>9135</v>
      </c>
      <c r="C9537" s="3" t="str">
        <f>IFERROR(__xludf.DUMMYFUNCTION("GOOGLETRANSLATE(B9537,""id"",""en"")"),"['', 'disappointment', 'transver', 'pulse', 'application', 'Telkomsel', 'entered', 'number', 'purpose', 'pulses',' sudh ',' mortal ',' purchase ',' pulse ',' application ',' gojek ',' enter ',' balance ',' gopay ',' sudh ',' chick ',' please ',' fix ',' t"&amp;"horough ',' Telkomsel ', 'Severe', 'response', '']")</f>
        <v>['', 'disappointment', 'transver', 'pulse', 'application', 'Telkomsel', 'entered', 'number', 'purpose', 'pulses',' sudh ',' mortal ',' purchase ',' pulse ',' application ',' gojek ',' enter ',' balance ',' gopay ',' sudh ',' chick ',' please ',' fix ',' thorough ',' Telkomsel ', 'Severe', 'response', '']</v>
      </c>
      <c r="D9537" s="3">
        <v>1.0</v>
      </c>
    </row>
    <row r="9538" ht="15.75" customHeight="1">
      <c r="A9538" s="1">
        <v>10259.0</v>
      </c>
      <c r="B9538" s="3" t="s">
        <v>181</v>
      </c>
      <c r="C9538" s="3" t="str">
        <f>IFERROR(__xludf.DUMMYFUNCTION("GOOGLETRANSLATE(B9538,""id"",""en"")"),"['help']")</f>
        <v>['help']</v>
      </c>
      <c r="D9538" s="3">
        <v>5.0</v>
      </c>
    </row>
    <row r="9539" ht="15.75" customHeight="1">
      <c r="A9539" s="1">
        <v>10260.0</v>
      </c>
      <c r="B9539" s="3" t="s">
        <v>9136</v>
      </c>
      <c r="C9539" s="3" t="str">
        <f>IFERROR(__xludf.DUMMYFUNCTION("GOOGLETRANSLATE(B9539,""id"",""en"")"),"['Package', 'data', 'run out', 'pulse', 'eroded', 'automatic', 'notification', 'pulse', 'eroded', 'please', 'remove', 'system', ' automatically ',' detrimental ',' customer ',' nickname ',' provider ',' plate ',' red ',' carried ',' price ',' products', '"&amp;"expensive', 'affordable', 'community' , 'poor', 'company', 'vision', 'mission', 'program', 'prosperity', 'poor', 'poor', 'wealth', 'rank', 'directors',' useful ',' community ',' poor ',' difficulty ', ""]")</f>
        <v>['Package', 'data', 'run out', 'pulse', 'eroded', 'automatic', 'notification', 'pulse', 'eroded', 'please', 'remove', 'system', ' automatically ',' detrimental ',' customer ',' nickname ',' provider ',' plate ',' red ',' carried ',' price ',' products', 'expensive', 'affordable', 'community' , 'poor', 'company', 'vision', 'mission', 'program', 'prosperity', 'poor', 'poor', 'wealth', 'rank', 'directors',' useful ',' community ',' poor ',' difficulty ', "]</v>
      </c>
      <c r="D9539" s="3">
        <v>1.0</v>
      </c>
    </row>
    <row r="9540" ht="15.75" customHeight="1">
      <c r="A9540" s="1">
        <v>10261.0</v>
      </c>
      <c r="B9540" s="3" t="s">
        <v>9137</v>
      </c>
      <c r="C9540" s="3" t="str">
        <f>IFERROR(__xludf.DUMMYFUNCTION("GOOGLETRANSLATE(B9540,""id"",""en"")"),"['Please', 'App', 'KOQ', 'Loading', 'How', 'Install', 'Package', 'Loading', 'appears', 'picture', 'anything']")</f>
        <v>['Please', 'App', 'KOQ', 'Loading', 'How', 'Install', 'Package', 'Loading', 'appears', 'picture', 'anything']</v>
      </c>
      <c r="D9540" s="3">
        <v>1.0</v>
      </c>
    </row>
    <row r="9541" ht="15.75" customHeight="1">
      <c r="A9541" s="1">
        <v>10262.0</v>
      </c>
      <c r="B9541" s="3" t="s">
        <v>9138</v>
      </c>
      <c r="C9541" s="3" t="str">
        <f>IFERROR(__xludf.DUMMYFUNCTION("GOOGLETRANSLATE(B9541,""id"",""en"")"),"['Telkomsel', 'service', 'bad', 'already', 'buy', 'package', 'expensive', 'internet', 'slow', 'slow', 'really', 'please', ' Telkomsel ',' Star ',' Love ',' Bintang ',' Geram ', ""]")</f>
        <v>['Telkomsel', 'service', 'bad', 'already', 'buy', 'package', 'expensive', 'internet', 'slow', 'slow', 'really', 'please', ' Telkomsel ',' Star ',' Love ',' Bintang ',' Geram ', "]</v>
      </c>
      <c r="D9541" s="3">
        <v>1.0</v>
      </c>
    </row>
    <row r="9542" ht="15.75" customHeight="1">
      <c r="A9542" s="1">
        <v>10263.0</v>
      </c>
      <c r="B9542" s="3" t="s">
        <v>9139</v>
      </c>
      <c r="C9542" s="3" t="str">
        <f>IFERROR(__xludf.DUMMYFUNCTION("GOOGLETRANSLATE(B9542,""id"",""en"")"),"['CashBac', 'Ngeprank', 'Jancoklah', ""]")</f>
        <v>['CashBac', 'Ngeprank', 'Jancoklah', "]</v>
      </c>
      <c r="D9542" s="3">
        <v>1.0</v>
      </c>
    </row>
    <row r="9543" ht="15.75" customHeight="1">
      <c r="A9543" s="1">
        <v>10264.0</v>
      </c>
      <c r="B9543" s="3" t="s">
        <v>9140</v>
      </c>
      <c r="C9543" s="3" t="str">
        <f>IFERROR(__xludf.DUMMYFUNCTION("GOOGLETRANSLATE(B9543,""id"",""en"")"),"['Young', 'buy', 'package', 'data']")</f>
        <v>['Young', 'buy', 'package', 'data']</v>
      </c>
      <c r="D9543" s="3">
        <v>5.0</v>
      </c>
    </row>
    <row r="9544" ht="15.75" customHeight="1">
      <c r="A9544" s="1">
        <v>10265.0</v>
      </c>
      <c r="B9544" s="3" t="s">
        <v>9141</v>
      </c>
      <c r="C9544" s="3" t="str">
        <f>IFERROR(__xludf.DUMMYFUNCTION("GOOGLETRANSLATE(B9544,""id"",""en"")"),"['Santuy', 'Telkomsel']")</f>
        <v>['Santuy', 'Telkomsel']</v>
      </c>
      <c r="D9544" s="3">
        <v>5.0</v>
      </c>
    </row>
    <row r="9545" ht="15.75" customHeight="1">
      <c r="A9545" s="1">
        <v>10266.0</v>
      </c>
      <c r="B9545" s="3" t="s">
        <v>9142</v>
      </c>
      <c r="C9545" s="3" t="str">
        <f>IFERROR(__xludf.DUMMYFUNCTION("GOOGLETRANSLATE(B9545,""id"",""en"")"),"['Service', 'good', 'fast']")</f>
        <v>['Service', 'good', 'fast']</v>
      </c>
      <c r="D9545" s="3">
        <v>5.0</v>
      </c>
    </row>
    <row r="9546" ht="15.75" customHeight="1">
      <c r="A9546" s="1">
        <v>10267.0</v>
      </c>
      <c r="B9546" s="3" t="s">
        <v>9143</v>
      </c>
      <c r="C9546" s="3" t="str">
        <f>IFERROR(__xludf.DUMMYFUNCTION("GOOGLETRANSLATE(B9546,""id"",""en"")"),"['It's easy', 'transaction', '']")</f>
        <v>['It's easy', 'transaction', '']</v>
      </c>
      <c r="D9546" s="3">
        <v>4.0</v>
      </c>
    </row>
    <row r="9547" ht="15.75" customHeight="1">
      <c r="A9547" s="1">
        <v>10268.0</v>
      </c>
      <c r="B9547" s="3" t="s">
        <v>9144</v>
      </c>
      <c r="C9547" s="3" t="str">
        <f>IFERROR(__xludf.DUMMYFUNCTION("GOOGLETRANSLATE(B9547,""id"",""en"")"),"['Promo', 'Save']")</f>
        <v>['Promo', 'Save']</v>
      </c>
      <c r="D9547" s="3">
        <v>5.0</v>
      </c>
    </row>
    <row r="9548" ht="15.75" customHeight="1">
      <c r="A9548" s="1">
        <v>10269.0</v>
      </c>
      <c r="B9548" s="3" t="s">
        <v>9145</v>
      </c>
      <c r="C9548" s="3" t="str">
        <f>IFERROR(__xludf.DUMMYFUNCTION("GOOGLETRANSLATE(B9548,""id"",""en"")"),"['signal', 'Murah', 'Maen', 'Ngelag']")</f>
        <v>['signal', 'Murah', 'Maen', 'Ngelag']</v>
      </c>
      <c r="D9548" s="3">
        <v>1.0</v>
      </c>
    </row>
    <row r="9549" ht="15.75" customHeight="1">
      <c r="A9549" s="1">
        <v>10270.0</v>
      </c>
      <c r="B9549" s="3" t="s">
        <v>9146</v>
      </c>
      <c r="C9549" s="3" t="str">
        <f>IFERROR(__xludf.DUMMYFUNCTION("GOOGLETRANSLATE(B9549,""id"",""en"")"),"['yrs',' Telkomsel ',' replace ',' number ',' fraud ',' ttap ',' change ',' number ',' Telkomsel ',' easy ',' remember ',' network ',' strong', '']")</f>
        <v>['yrs',' Telkomsel ',' replace ',' number ',' fraud ',' ttap ',' change ',' number ',' Telkomsel ',' easy ',' remember ',' network ',' strong', '']</v>
      </c>
      <c r="D9549" s="3">
        <v>5.0</v>
      </c>
    </row>
    <row r="9550" ht="15.75" customHeight="1">
      <c r="A9550" s="1">
        <v>10271.0</v>
      </c>
      <c r="B9550" s="3" t="s">
        <v>9147</v>
      </c>
      <c r="C9550" s="3" t="str">
        <f>IFERROR(__xludf.DUMMYFUNCTION("GOOGLETRANSLATE(B9550,""id"",""en"")"),"['boss', '']")</f>
        <v>['boss', '']</v>
      </c>
      <c r="D9550" s="3">
        <v>4.0</v>
      </c>
    </row>
    <row r="9551" ht="15.75" customHeight="1">
      <c r="A9551" s="1">
        <v>10272.0</v>
      </c>
      <c r="B9551" s="3" t="s">
        <v>9148</v>
      </c>
      <c r="C9551" s="3" t="str">
        <f>IFERROR(__xludf.DUMMYFUNCTION("GOOGLETRANSLATE(B9551,""id"",""en"")"),"['Sync', 'email', 'Billing', 'Please', 'Assisted', 'Activation', 'Feature', 'Moor', '']")</f>
        <v>['Sync', 'email', 'Billing', 'Please', 'Assisted', 'Activation', 'Feature', 'Moor', '']</v>
      </c>
      <c r="D9551" s="3">
        <v>2.0</v>
      </c>
    </row>
    <row r="9552" ht="15.75" customHeight="1">
      <c r="A9552" s="1">
        <v>10273.0</v>
      </c>
      <c r="B9552" s="3" t="s">
        <v>9149</v>
      </c>
      <c r="C9552" s="3" t="str">
        <f>IFERROR(__xludf.DUMMYFUNCTION("GOOGLETRANSLATE(B9552,""id"",""en"")"),"['Quality', 'Please', 'Enhanced', '']")</f>
        <v>['Quality', 'Please', 'Enhanced', '']</v>
      </c>
      <c r="D9552" s="3">
        <v>4.0</v>
      </c>
    </row>
    <row r="9553" ht="15.75" customHeight="1">
      <c r="A9553" s="1">
        <v>10276.0</v>
      </c>
      <c r="B9553" s="3" t="s">
        <v>9150</v>
      </c>
      <c r="C9553" s="3" t="str">
        <f>IFERROR(__xludf.DUMMYFUNCTION("GOOGLETRANSLATE(B9553,""id"",""en"")"),"['Credit', 'ilang', 'Package', 'Unlimited', 'You', 'Tube', 'Gunain', 'Already', 'Change', 'Number']")</f>
        <v>['Credit', 'ilang', 'Package', 'Unlimited', 'You', 'Tube', 'Gunain', 'Already', 'Change', 'Number']</v>
      </c>
      <c r="D9553" s="3">
        <v>1.0</v>
      </c>
    </row>
    <row r="9554" ht="15.75" customHeight="1">
      <c r="A9554" s="1">
        <v>10277.0</v>
      </c>
      <c r="B9554" s="3" t="s">
        <v>5991</v>
      </c>
      <c r="C9554" s="3" t="str">
        <f>IFERROR(__xludf.DUMMYFUNCTION("GOOGLETRANSLATE(B9554,""id"",""en"")"),"['signal', 'missing']")</f>
        <v>['signal', 'missing']</v>
      </c>
      <c r="D9554" s="3">
        <v>5.0</v>
      </c>
    </row>
    <row r="9555" ht="15.75" customHeight="1">
      <c r="A9555" s="1">
        <v>10278.0</v>
      </c>
      <c r="B9555" s="3" t="s">
        <v>9151</v>
      </c>
      <c r="C9555" s="3" t="str">
        <f>IFERROR(__xludf.DUMMYFUNCTION("GOOGLETRANSLATE(B9555,""id"",""en"")"),"['Not bad', 'Blom', 'best']")</f>
        <v>['Not bad', 'Blom', 'best']</v>
      </c>
      <c r="D9555" s="3">
        <v>4.0</v>
      </c>
    </row>
    <row r="9556" ht="15.75" customHeight="1">
      <c r="A9556" s="1">
        <v>10279.0</v>
      </c>
      <c r="B9556" s="3" t="s">
        <v>9152</v>
      </c>
      <c r="C9556" s="3" t="str">
        <f>IFERROR(__xludf.DUMMYFUNCTION("GOOGLETRANSLATE(B9556,""id"",""en"")"),"['thank', 'love', 'Telkomsel', 'hope', 'network', 'rich', 'animal', 'yaaaa', 'Telkomsel', 'pigiiii']")</f>
        <v>['thank', 'love', 'Telkomsel', 'hope', 'network', 'rich', 'animal', 'yaaaa', 'Telkomsel', 'pigiiii']</v>
      </c>
      <c r="D9556" s="3">
        <v>1.0</v>
      </c>
    </row>
    <row r="9557" ht="15.75" customHeight="1">
      <c r="A9557" s="1">
        <v>10280.0</v>
      </c>
      <c r="B9557" s="3" t="s">
        <v>9153</v>
      </c>
      <c r="C9557" s="3" t="str">
        <f>IFERROR(__xludf.DUMMYFUNCTION("GOOGLETRANSLATE(B9557,""id"",""en"")"),"['Network', 'Telkomsel', 'Place', 'Current', 'Jaya', 'Pelian', 'Package', 'Data', 'expensive', ""]")</f>
        <v>['Network', 'Telkomsel', 'Place', 'Current', 'Jaya', 'Pelian', 'Package', 'Data', 'expensive', "]</v>
      </c>
      <c r="D9557" s="3">
        <v>3.0</v>
      </c>
    </row>
    <row r="9558" ht="15.75" customHeight="1">
      <c r="A9558" s="1">
        <v>10281.0</v>
      </c>
      <c r="B9558" s="3" t="s">
        <v>9154</v>
      </c>
      <c r="C9558" s="3" t="str">
        <f>IFERROR(__xludf.DUMMYFUNCTION("GOOGLETRANSLATE(B9558,""id"",""en"")"),"['Telkomsel', 'Kenyahan', 'Pelangement', 'Thanks']")</f>
        <v>['Telkomsel', 'Kenyahan', 'Pelangement', 'Thanks']</v>
      </c>
      <c r="D9558" s="3">
        <v>4.0</v>
      </c>
    </row>
    <row r="9559" ht="15.75" customHeight="1">
      <c r="A9559" s="1">
        <v>10283.0</v>
      </c>
      <c r="B9559" s="3" t="s">
        <v>9155</v>
      </c>
      <c r="C9559" s="3" t="str">
        <f>IFERROR(__xludf.DUMMYFUNCTION("GOOGLETRANSLATE(B9559,""id"",""en"")"),"['Bug', 'Live', 'Agent', 'Veronika', 'Slow', 'Response', 'Response', 'disgust', 'Service']")</f>
        <v>['Bug', 'Live', 'Agent', 'Veronika', 'Slow', 'Response', 'Response', 'disgust', 'Service']</v>
      </c>
      <c r="D9559" s="3">
        <v>1.0</v>
      </c>
    </row>
    <row r="9560" ht="15.75" customHeight="1">
      <c r="A9560" s="1">
        <v>10284.0</v>
      </c>
      <c r="B9560" s="3" t="s">
        <v>9156</v>
      </c>
      <c r="C9560" s="3" t="str">
        <f>IFERROR(__xludf.DUMMYFUNCTION("GOOGLETRANSLATE(B9560,""id"",""en"")"),"['Help', 'promo', 'according to', 'situation', 'pandemic', 'hope', 'in the future', 'cheap', 'promo', ""]")</f>
        <v>['Help', 'promo', 'according to', 'situation', 'pandemic', 'hope', 'in the future', 'cheap', 'promo', "]</v>
      </c>
      <c r="D9560" s="3">
        <v>5.0</v>
      </c>
    </row>
    <row r="9561" ht="15.75" customHeight="1">
      <c r="A9561" s="1">
        <v>10286.0</v>
      </c>
      <c r="B9561" s="3" t="s">
        <v>9157</v>
      </c>
      <c r="C9561" s="3" t="str">
        <f>IFERROR(__xludf.DUMMYFUNCTION("GOOGLETRANSLATE(B9561,""id"",""en"")"),"['Easy', 'Access', 'Increase']")</f>
        <v>['Easy', 'Access', 'Increase']</v>
      </c>
      <c r="D9561" s="3">
        <v>5.0</v>
      </c>
    </row>
    <row r="9562" ht="15.75" customHeight="1">
      <c r="A9562" s="1">
        <v>10288.0</v>
      </c>
      <c r="B9562" s="3" t="s">
        <v>2462</v>
      </c>
      <c r="C9562" s="3" t="str">
        <f>IFERROR(__xludf.DUMMYFUNCTION("GOOGLETRANSLATE(B9562,""id"",""en"")"),"['useful']")</f>
        <v>['useful']</v>
      </c>
      <c r="D9562" s="3">
        <v>5.0</v>
      </c>
    </row>
    <row r="9563" ht="15.75" customHeight="1">
      <c r="A9563" s="1">
        <v>10289.0</v>
      </c>
      <c r="B9563" s="3" t="s">
        <v>9158</v>
      </c>
      <c r="C9563" s="3" t="str">
        <f>IFERROR(__xludf.DUMMYFUNCTION("GOOGLETRANSLATE(B9563,""id"",""en"")"),"['My APK', 'Ntah', 'Login', 'Difficult', 'Times', 'SMS', 'Verifikasi', 'Please', 'Repair']")</f>
        <v>['My APK', 'Ntah', 'Login', 'Difficult', 'Times', 'SMS', 'Verifikasi', 'Please', 'Repair']</v>
      </c>
      <c r="D9563" s="3">
        <v>2.0</v>
      </c>
    </row>
    <row r="9564" ht="15.75" customHeight="1">
      <c r="A9564" s="1">
        <v>10290.0</v>
      </c>
      <c r="B9564" s="3" t="s">
        <v>2914</v>
      </c>
      <c r="C9564" s="3" t="str">
        <f>IFERROR(__xludf.DUMMYFUNCTION("GOOGLETRANSLATE(B9564,""id"",""en"")"),"['Good', 'help']")</f>
        <v>['Good', 'help']</v>
      </c>
      <c r="D9564" s="3">
        <v>5.0</v>
      </c>
    </row>
    <row r="9565" ht="15.75" customHeight="1">
      <c r="A9565" s="1">
        <v>10291.0</v>
      </c>
      <c r="B9565" s="3" t="s">
        <v>9159</v>
      </c>
      <c r="C9565" s="3" t="str">
        <f>IFERROR(__xludf.DUMMYFUNCTION("GOOGLETRANSLATE(B9565,""id"",""en"")"),"['', 'thousand', 'Install', 'Plus', 'Install', 'Roli', 'Package', 'Data', 'Free']")</f>
        <v>['', 'thousand', 'Install', 'Plus', 'Install', 'Roli', 'Package', 'Data', 'Free']</v>
      </c>
      <c r="D9565" s="3">
        <v>5.0</v>
      </c>
    </row>
    <row r="9566" ht="15.75" customHeight="1">
      <c r="A9566" s="1">
        <v>10292.0</v>
      </c>
      <c r="B9566" s="3" t="s">
        <v>9160</v>
      </c>
      <c r="C9566" s="3" t="str">
        <f>IFERROR(__xludf.DUMMYFUNCTION("GOOGLETRANSLATE(B9566,""id"",""en"")"),"['Please', 'Telkomsel', 'Please', 'Love', 'How', 'Check', 'History', 'Transaction', 'Love', 'Menu', 'History', 'Screen', ' Credit ',' Kotongan ',' Where ',' Veronica ',' Learning ',' Please ',' Definition ',' Customer ',' Setia ',' Thank you ']")</f>
        <v>['Please', 'Telkomsel', 'Please', 'Love', 'How', 'Check', 'History', 'Transaction', 'Love', 'Menu', 'History', 'Screen', ' Credit ',' Kotongan ',' Where ',' Veronica ',' Learning ',' Please ',' Definition ',' Customer ',' Setia ',' Thank you ']</v>
      </c>
      <c r="D9566" s="3">
        <v>5.0</v>
      </c>
    </row>
    <row r="9567" ht="15.75" customHeight="1">
      <c r="A9567" s="1">
        <v>10293.0</v>
      </c>
      <c r="B9567" s="3" t="s">
        <v>9161</v>
      </c>
      <c r="C9567" s="3" t="str">
        <f>IFERROR(__xludf.DUMMYFUNCTION("GOOGLETRANSLATE(B9567,""id"",""en"")"),"['Price', 'Package', 'murahh']")</f>
        <v>['Price', 'Package', 'murahh']</v>
      </c>
      <c r="D9567" s="3">
        <v>2.0</v>
      </c>
    </row>
    <row r="9568" ht="15.75" customHeight="1">
      <c r="A9568" s="1">
        <v>10294.0</v>
      </c>
      <c r="B9568" s="3" t="s">
        <v>9162</v>
      </c>
      <c r="C9568" s="3" t="str">
        <f>IFERROR(__xludf.DUMMYFUNCTION("GOOGLETRANSLATE(B9568,""id"",""en"")"),"['learn']")</f>
        <v>['learn']</v>
      </c>
      <c r="D9568" s="3">
        <v>2.0</v>
      </c>
    </row>
    <row r="9569" ht="15.75" customHeight="1">
      <c r="A9569" s="1">
        <v>10295.0</v>
      </c>
      <c r="B9569" s="3" t="s">
        <v>9163</v>
      </c>
      <c r="C9569" s="3" t="str">
        <f>IFERROR(__xludf.DUMMYFUNCTION("GOOGLETRANSLATE(B9569,""id"",""en"")"),"['Help', 'promo']")</f>
        <v>['Help', 'promo']</v>
      </c>
      <c r="D9569" s="3">
        <v>4.0</v>
      </c>
    </row>
    <row r="9570" ht="15.75" customHeight="1">
      <c r="A9570" s="1">
        <v>10296.0</v>
      </c>
      <c r="B9570" s="3" t="s">
        <v>9164</v>
      </c>
      <c r="C9570" s="3" t="str">
        <f>IFERROR(__xludf.DUMMYFUNCTION("GOOGLETRANSLATE(B9570,""id"",""en"")"),"['Security', 'pulse']")</f>
        <v>['Security', 'pulse']</v>
      </c>
      <c r="D9570" s="3">
        <v>1.0</v>
      </c>
    </row>
    <row r="9571" ht="15.75" customHeight="1">
      <c r="A9571" s="1">
        <v>10297.0</v>
      </c>
      <c r="B9571" s="3" t="s">
        <v>9165</v>
      </c>
      <c r="C9571" s="3" t="str">
        <f>IFERROR(__xludf.DUMMYFUNCTION("GOOGLETRANSLATE(B9571,""id"",""en"")"),"['according to', 'price', 'steady']")</f>
        <v>['according to', 'price', 'steady']</v>
      </c>
      <c r="D9571" s="3">
        <v>5.0</v>
      </c>
    </row>
    <row r="9572" ht="15.75" customHeight="1">
      <c r="A9572" s="1">
        <v>10299.0</v>
      </c>
      <c r="B9572" s="3" t="s">
        <v>9166</v>
      </c>
      <c r="C9572" s="3" t="str">
        <f>IFERROR(__xludf.DUMMYFUNCTION("GOOGLETRANSLATE(B9572,""id"",""en"")"),"['Telkomsel', 'Skrg', 'SLL', 'accompany', 'ist', 'The', 'Best']")</f>
        <v>['Telkomsel', 'Skrg', 'SLL', 'accompany', 'ist', 'The', 'Best']</v>
      </c>
      <c r="D9572" s="3">
        <v>5.0</v>
      </c>
    </row>
    <row r="9573" ht="15.75" customHeight="1">
      <c r="A9573" s="1">
        <v>10301.0</v>
      </c>
      <c r="B9573" s="3" t="s">
        <v>9167</v>
      </c>
      <c r="C9573" s="3" t="str">
        <f>IFERROR(__xludf.DUMMYFUNCTION("GOOGLETRANSLATE(B9573,""id"",""en"")"),"['', 'Daera', 'Klau', 'Electricity', 'Network', 'Lost', 'Electricity', 'Wait', 'Wait', 'MNT', 'Network', 'Normal', 'Please ', 'maximum']")</f>
        <v>['', 'Daera', 'Klau', 'Electricity', 'Network', 'Lost', 'Electricity', 'Wait', 'Wait', 'MNT', 'Network', 'Normal', 'Please ', 'maximum']</v>
      </c>
      <c r="D9573" s="3">
        <v>5.0</v>
      </c>
    </row>
    <row r="9574" ht="15.75" customHeight="1">
      <c r="A9574" s="1">
        <v>10303.0</v>
      </c>
      <c r="B9574" s="3" t="s">
        <v>9168</v>
      </c>
      <c r="C9574" s="3" t="str">
        <f>IFERROR(__xludf.DUMMYFUNCTION("GOOGLETRANSLATE(B9574,""id"",""en"")"),"['', 'Android', 'BLM', 'Install']")</f>
        <v>['', 'Android', 'BLM', 'Install']</v>
      </c>
      <c r="D9574" s="3">
        <v>3.0</v>
      </c>
    </row>
    <row r="9575" ht="15.75" customHeight="1">
      <c r="A9575" s="1">
        <v>10304.0</v>
      </c>
      <c r="B9575" s="3" t="s">
        <v>9169</v>
      </c>
      <c r="C9575" s="3" t="str">
        <f>IFERROR(__xludf.DUMMYFUNCTION("GOOGLETRANSLATE(B9575,""id"",""en"")"),"['min', 'love', 'cheap', 'donk', 'promo', 'biyar', 'rakya', 'poor', 'possessed', 'emak', 'jga']")</f>
        <v>['min', 'love', 'cheap', 'donk', 'promo', 'biyar', 'rakya', 'poor', 'possessed', 'emak', 'jga']</v>
      </c>
      <c r="D9575" s="3">
        <v>5.0</v>
      </c>
    </row>
    <row r="9576" ht="15.75" customHeight="1">
      <c r="A9576" s="1">
        <v>10305.0</v>
      </c>
      <c r="B9576" s="3" t="s">
        <v>9170</v>
      </c>
      <c r="C9576" s="3" t="str">
        <f>IFERROR(__xludf.DUMMYFUNCTION("GOOGLETRANSLATE(B9576,""id"",""en"")"),"['Not bad', 'help', 'help', 'counter', 'closest', 'Telkomsel', 'center']")</f>
        <v>['Not bad', 'help', 'help', 'counter', 'closest', 'Telkomsel', 'center']</v>
      </c>
      <c r="D9576" s="3">
        <v>4.0</v>
      </c>
    </row>
    <row r="9577" ht="15.75" customHeight="1">
      <c r="A9577" s="1">
        <v>10306.0</v>
      </c>
      <c r="B9577" s="3" t="s">
        <v>9171</v>
      </c>
      <c r="C9577" s="3" t="str">
        <f>IFERROR(__xludf.DUMMYFUNCTION("GOOGLETRANSLATE(B9577,""id"",""en"")"),"['area', 'Sulawesi', 'north', 'user', 'number', 'sympathy', 'combo', 'sakti', 'package', 'unlimited', 'omg', 'use', ' iptain ',' apk ',' whispered ',' apk ',' telkom ',' area ',' ']")</f>
        <v>['area', 'Sulawesi', 'north', 'user', 'number', 'sympathy', 'combo', 'sakti', 'package', 'unlimited', 'omg', 'use', ' iptain ',' apk ',' whispered ',' apk ',' telkom ',' area ',' ']</v>
      </c>
      <c r="D9577" s="3">
        <v>1.0</v>
      </c>
    </row>
    <row r="9578" ht="15.75" customHeight="1">
      <c r="A9578" s="1">
        <v>10307.0</v>
      </c>
      <c r="B9578" s="3" t="s">
        <v>9172</v>
      </c>
      <c r="C9578" s="3" t="str">
        <f>IFERROR(__xludf.DUMMYFUNCTION("GOOGLETRANSLATE(B9578,""id"",""en"")"),"['Send', 'number']")</f>
        <v>['Send', 'number']</v>
      </c>
      <c r="D9578" s="3">
        <v>5.0</v>
      </c>
    </row>
    <row r="9579" ht="15.75" customHeight="1">
      <c r="A9579" s="1">
        <v>10308.0</v>
      </c>
      <c r="B9579" s="3" t="s">
        <v>9173</v>
      </c>
      <c r="C9579" s="3" t="str">
        <f>IFERROR(__xludf.DUMMYFUNCTION("GOOGLETRANSLATE(B9579,""id"",""en"")"),"['according to', 'star']")</f>
        <v>['according to', 'star']</v>
      </c>
      <c r="D9579" s="3">
        <v>5.0</v>
      </c>
    </row>
    <row r="9580" ht="15.75" customHeight="1">
      <c r="A9580" s="1">
        <v>10309.0</v>
      </c>
      <c r="B9580" s="3" t="s">
        <v>9174</v>
      </c>
      <c r="C9580" s="3" t="str">
        <f>IFERROR(__xludf.DUMMYFUNCTION("GOOGLETRANSLATE(B9580,""id"",""en"")"),"['Kouta', 'run out', 'pulse', 'run out', 'severe', 'kouta', 'run out', 'jngn', 'run', 'pulse', 'setting', 'key', ' pulse', '']")</f>
        <v>['Kouta', 'run out', 'pulse', 'run out', 'severe', 'kouta', 'run out', 'jngn', 'run', 'pulse', 'setting', 'key', ' pulse', '']</v>
      </c>
      <c r="D9580" s="3">
        <v>2.0</v>
      </c>
    </row>
    <row r="9581" ht="15.75" customHeight="1">
      <c r="A9581" s="1">
        <v>10310.0</v>
      </c>
      <c r="B9581" s="3" t="s">
        <v>9175</v>
      </c>
      <c r="C9581" s="3" t="str">
        <f>IFERROR(__xludf.DUMMYFUNCTION("GOOGLETRANSLATE(B9581,""id"",""en"")"),"['Package', 'buy', 'disappointed', 'Bngt', ""]")</f>
        <v>['Package', 'buy', 'disappointed', 'Bngt', "]</v>
      </c>
      <c r="D9581" s="3">
        <v>3.0</v>
      </c>
    </row>
    <row r="9582" ht="15.75" customHeight="1">
      <c r="A9582" s="1">
        <v>10311.0</v>
      </c>
      <c r="B9582" s="3" t="s">
        <v>9176</v>
      </c>
      <c r="C9582" s="3" t="str">
        <f>IFERROR(__xludf.DUMMYFUNCTION("GOOGLETRANSLATE(B9582,""id"",""en"")"),"['Steady', 'Useful', 'Useful']")</f>
        <v>['Steady', 'Useful', 'Useful']</v>
      </c>
      <c r="D9582" s="3">
        <v>5.0</v>
      </c>
    </row>
    <row r="9583" ht="15.75" customHeight="1">
      <c r="A9583" s="1">
        <v>10312.0</v>
      </c>
      <c r="B9583" s="3" t="s">
        <v>9177</v>
      </c>
      <c r="C9583" s="3" t="str">
        <f>IFERROR(__xludf.DUMMYFUNCTION("GOOGLETRANSLATE(B9583,""id"",""en"")"),"['fast', 'purchase', 'cheap', 'festive']")</f>
        <v>['fast', 'purchase', 'cheap', 'festive']</v>
      </c>
      <c r="D9583" s="3">
        <v>3.0</v>
      </c>
    </row>
    <row r="9584" ht="15.75" customHeight="1">
      <c r="A9584" s="1">
        <v>10313.0</v>
      </c>
      <c r="B9584" s="3" t="s">
        <v>9178</v>
      </c>
      <c r="C9584" s="3" t="str">
        <f>IFERROR(__xludf.DUMMYFUNCTION("GOOGLETRANSLATE(B9584,""id"",""en"")"),"['conscious', 'data', 'expired', 'pulse', 'sumps', 'rb', 'really', 'pain', 'tuch', '']")</f>
        <v>['conscious', 'data', 'expired', 'pulse', 'sumps', 'rb', 'really', 'pain', 'tuch', '']</v>
      </c>
      <c r="D9584" s="3">
        <v>4.0</v>
      </c>
    </row>
    <row r="9585" ht="15.75" customHeight="1">
      <c r="A9585" s="1">
        <v>10314.0</v>
      </c>
      <c r="B9585" s="3" t="s">
        <v>9179</v>
      </c>
      <c r="C9585" s="3" t="str">
        <f>IFERROR(__xludf.DUMMYFUNCTION("GOOGLETRANSLATE(B9585,""id"",""en"")"),"['Application', '']")</f>
        <v>['Application', '']</v>
      </c>
      <c r="D9585" s="3">
        <v>5.0</v>
      </c>
    </row>
    <row r="9586" ht="15.75" customHeight="1">
      <c r="A9586" s="1">
        <v>10315.0</v>
      </c>
      <c r="B9586" s="3" t="s">
        <v>9180</v>
      </c>
      <c r="C9586" s="3" t="str">
        <f>IFERROR(__xludf.DUMMYFUNCTION("GOOGLETRANSLATE(B9586,""id"",""en"")"),"['Pait', 'bonus']")</f>
        <v>['Pait', 'bonus']</v>
      </c>
      <c r="D9586" s="3">
        <v>1.0</v>
      </c>
    </row>
    <row r="9587" ht="15.75" customHeight="1">
      <c r="A9587" s="1">
        <v>10316.0</v>
      </c>
      <c r="B9587" s="3" t="s">
        <v>9181</v>
      </c>
      <c r="C9587" s="3" t="str">
        <f>IFERROR(__xludf.DUMMYFUNCTION("GOOGLETRANSLATE(B9587,""id"",""en"")"),"['Help', 'Trima', 'Love']")</f>
        <v>['Help', 'Trima', 'Love']</v>
      </c>
      <c r="D9587" s="3">
        <v>5.0</v>
      </c>
    </row>
    <row r="9588" ht="15.75" customHeight="1">
      <c r="A9588" s="1">
        <v>10317.0</v>
      </c>
      <c r="B9588" s="3" t="s">
        <v>9182</v>
      </c>
      <c r="C9588" s="3" t="str">
        <f>IFERROR(__xludf.DUMMYFUNCTION("GOOGLETRANSLATE(B9588,""id"",""en"")"),"['', 'min', 'pulse', 'sumps', 'ampe', 'pie', 'quota', 'top', 'game', 'no', 'iso', 'sumps', "" ]")</f>
        <v>['', 'min', 'pulse', 'sumps', 'ampe', 'pie', 'quota', 'top', 'game', 'no', 'iso', 'sumps', " ]</v>
      </c>
      <c r="D9588" s="3">
        <v>2.0</v>
      </c>
    </row>
    <row r="9589" ht="15.75" customHeight="1">
      <c r="A9589" s="1">
        <v>10318.0</v>
      </c>
      <c r="B9589" s="3" t="s">
        <v>9183</v>
      </c>
      <c r="C9589" s="3" t="str">
        <f>IFERROR(__xludf.DUMMYFUNCTION("GOOGLETRANSLATE(B9589,""id"",""en"")"),"['smga', 'bid', 'package', 'lbh', 'cheap', 'interesting']")</f>
        <v>['smga', 'bid', 'package', 'lbh', 'cheap', 'interesting']</v>
      </c>
      <c r="D9589" s="3">
        <v>5.0</v>
      </c>
    </row>
    <row r="9590" ht="15.75" customHeight="1">
      <c r="A9590" s="1">
        <v>10319.0</v>
      </c>
      <c r="B9590" s="3" t="s">
        <v>9184</v>
      </c>
      <c r="C9590" s="3" t="str">
        <f>IFERROR(__xludf.DUMMYFUNCTION("GOOGLETRANSLATE(B9590,""id"",""en"")"),"['Terbimah', 'Love', 'Telkomsel', 'Wait', 'Prizes', '']")</f>
        <v>['Terbimah', 'Love', 'Telkomsel', 'Wait', 'Prizes', '']</v>
      </c>
      <c r="D9590" s="3">
        <v>5.0</v>
      </c>
    </row>
    <row r="9591" ht="15.75" customHeight="1">
      <c r="A9591" s="1">
        <v>10320.0</v>
      </c>
      <c r="B9591" s="3" t="s">
        <v>9185</v>
      </c>
      <c r="C9591" s="3" t="str">
        <f>IFERROR(__xludf.DUMMYFUNCTION("GOOGLETRANSLATE(B9591,""id"",""en"")"),"['told', 'update', 'UDH', 'updated', 'slow', 'open', 'told', 'update', 'cape', 'deh']")</f>
        <v>['told', 'update', 'UDH', 'updated', 'slow', 'open', 'told', 'update', 'cape', 'deh']</v>
      </c>
      <c r="D9591" s="3">
        <v>1.0</v>
      </c>
    </row>
    <row r="9592" ht="15.75" customHeight="1">
      <c r="A9592" s="1">
        <v>10321.0</v>
      </c>
      <c r="B9592" s="3" t="s">
        <v>9186</v>
      </c>
      <c r="C9592" s="3" t="str">
        <f>IFERROR(__xludf.DUMMYFUNCTION("GOOGLETRANSLATE(B9592,""id"",""en"")"),"['signal', 'disorder', 'kayak', 'gini', ""]")</f>
        <v>['signal', 'disorder', 'kayak', 'gini', "]</v>
      </c>
      <c r="D9592" s="3">
        <v>1.0</v>
      </c>
    </row>
    <row r="9593" ht="15.75" customHeight="1">
      <c r="A9593" s="1">
        <v>10322.0</v>
      </c>
      <c r="B9593" s="3" t="s">
        <v>9187</v>
      </c>
      <c r="C9593" s="3" t="str">
        <f>IFERROR(__xludf.DUMMYFUNCTION("GOOGLETRANSLATE(B9593,""id"",""en"")"),"['', 'Login', 'Facebook', 'APP', 'BUG']")</f>
        <v>['', 'Login', 'Facebook', 'APP', 'BUG']</v>
      </c>
      <c r="D9593" s="3">
        <v>2.0</v>
      </c>
    </row>
    <row r="9594" ht="15.75" customHeight="1">
      <c r="A9594" s="1">
        <v>10323.0</v>
      </c>
      <c r="B9594" s="3" t="s">
        <v>9188</v>
      </c>
      <c r="C9594" s="3" t="str">
        <f>IFERROR(__xludf.DUMMYFUNCTION("GOOGLETRANSLATE(B9594,""id"",""en"")"),"['Thank you', 'Application', 'Nice']")</f>
        <v>['Thank you', 'Application', 'Nice']</v>
      </c>
      <c r="D9594" s="3">
        <v>4.0</v>
      </c>
    </row>
    <row r="9595" ht="15.75" customHeight="1">
      <c r="A9595" s="1">
        <v>10324.0</v>
      </c>
      <c r="B9595" s="3" t="s">
        <v>9189</v>
      </c>
      <c r="C9595" s="3" t="str">
        <f>IFERROR(__xludf.DUMMYFUNCTION("GOOGLETRANSLATE(B9595,""id"",""en"")"),"['Bosoook', 'card', 'expensive', 'signal', 'Ancurr', 'provider', 'next door', 'improvement', 'malem', 'malem', 'anger', 'Rank', ' Cave ',' Down ',' Gara ',' Gara ',' Network ',' ']")</f>
        <v>['Bosoook', 'card', 'expensive', 'signal', 'Ancurr', 'provider', 'next door', 'improvement', 'malem', 'malem', 'anger', 'Rank', ' Cave ',' Down ',' Gara ',' Gara ',' Network ',' ']</v>
      </c>
      <c r="D9595" s="3">
        <v>1.0</v>
      </c>
    </row>
    <row r="9596" ht="15.75" customHeight="1">
      <c r="A9596" s="1">
        <v>10325.0</v>
      </c>
      <c r="B9596" s="3" t="s">
        <v>9190</v>
      </c>
      <c r="C9596" s="3" t="str">
        <f>IFERROR(__xludf.DUMMYFUNCTION("GOOGLETRANSLATE(B9596,""id"",""en"")"),"['spirit', 'broke', 'Asa', 'Wani']")</f>
        <v>['spirit', 'broke', 'Asa', 'Wani']</v>
      </c>
      <c r="D9596" s="3">
        <v>5.0</v>
      </c>
    </row>
    <row r="9597" ht="15.75" customHeight="1">
      <c r="A9597" s="1">
        <v>10326.0</v>
      </c>
      <c r="B9597" s="3" t="s">
        <v>9191</v>
      </c>
      <c r="C9597" s="3" t="str">
        <f>IFERROR(__xludf.DUMMYFUNCTION("GOOGLETRANSLATE(B9597,""id"",""en"")"),"['Disappointed', 'BNGT', 'already', 'Telkomsel', 'Place', 'The network', 'ugly', 'bang', 'malem', 'noon', 'morning', 'sahshhh', ' Disappointed ',' Paketan ',' no ',' ngbar ',' pkok ',' ugly ',' really ',' move ',' TPI ',' already ',' make ',' network ',' "&amp;"dizziness' , 'ugly', 'Luu']")</f>
        <v>['Disappointed', 'BNGT', 'already', 'Telkomsel', 'Place', 'The network', 'ugly', 'bang', 'malem', 'noon', 'morning', 'sahshhh', ' Disappointed ',' Paketan ',' no ',' ngbar ',' pkok ',' ugly ',' really ',' move ',' TPI ',' already ',' make ',' network ',' dizziness' , 'ugly', 'Luu']</v>
      </c>
      <c r="D9597" s="3">
        <v>1.0</v>
      </c>
    </row>
    <row r="9598" ht="15.75" customHeight="1">
      <c r="A9598" s="1">
        <v>10327.0</v>
      </c>
      <c r="B9598" s="3" t="s">
        <v>9192</v>
      </c>
      <c r="C9598" s="3" t="str">
        <f>IFERROR(__xludf.DUMMYFUNCTION("GOOGLETRANSLATE(B9598,""id"",""en"")"),"['thank you', '']")</f>
        <v>['thank you', '']</v>
      </c>
      <c r="D9598" s="3">
        <v>5.0</v>
      </c>
    </row>
    <row r="9599" ht="15.75" customHeight="1">
      <c r="A9599" s="1">
        <v>10328.0</v>
      </c>
      <c r="B9599" s="3" t="s">
        <v>9193</v>
      </c>
      <c r="C9599" s="3" t="str">
        <f>IFERROR(__xludf.DUMMYFUNCTION("GOOGLETRANSLATE(B9599,""id"",""en"")"),"['Good', 'Hopefully', 'Gifts',' Gifts', 'Years',' Entrust ',' Telkomsel ',' Buy ',' Credit ',' Topup ',' Telkomsel ',' Change ',' Hopefully ',' Points', 'Exchange', 'Wrong', 'Gift', 'Get', 'Mksh']")</f>
        <v>['Good', 'Hopefully', 'Gifts',' Gifts', 'Years',' Entrust ',' Telkomsel ',' Buy ',' Credit ',' Topup ',' Telkomsel ',' Change ',' Hopefully ',' Points', 'Exchange', 'Wrong', 'Gift', 'Get', 'Mksh']</v>
      </c>
      <c r="D9599" s="3">
        <v>5.0</v>
      </c>
    </row>
    <row r="9600" ht="15.75" customHeight="1">
      <c r="A9600" s="1">
        <v>10329.0</v>
      </c>
      <c r="B9600" s="3" t="s">
        <v>9194</v>
      </c>
      <c r="C9600" s="3" t="str">
        <f>IFERROR(__xludf.DUMMYFUNCTION("GOOGLETRANSLATE(B9600,""id"",""en"")"),"['Combo', 'Sakti', 'Rb', 'Hr', 'sipp']")</f>
        <v>['Combo', 'Sakti', 'Rb', 'Hr', 'sipp']</v>
      </c>
      <c r="D9600" s="3">
        <v>5.0</v>
      </c>
    </row>
    <row r="9601" ht="15.75" customHeight="1">
      <c r="A9601" s="1">
        <v>10330.0</v>
      </c>
      <c r="B9601" s="3" t="s">
        <v>9195</v>
      </c>
      <c r="C9601" s="3" t="str">
        <f>IFERROR(__xludf.DUMMYFUNCTION("GOOGLETRANSLATE(B9601,""id"",""en"")"),"['buy', 'Package', 'Payment', 'Shope', 'Balance', 'Cut', 'Package', 'Data', 'Enter', 'Report', 'Center', 'Help', ' Enter ',' Disappointed ',' Very ',' App ',' Telkomsel ', ""]")</f>
        <v>['buy', 'Package', 'Payment', 'Shope', 'Balance', 'Cut', 'Package', 'Data', 'Enter', 'Report', 'Center', 'Help', ' Enter ',' Disappointed ',' Very ',' App ',' Telkomsel ', "]</v>
      </c>
      <c r="D9601" s="3">
        <v>1.0</v>
      </c>
    </row>
    <row r="9602" ht="15.75" customHeight="1">
      <c r="A9602" s="1">
        <v>10332.0</v>
      </c>
      <c r="B9602" s="3" t="s">
        <v>9196</v>
      </c>
      <c r="C9602" s="3" t="str">
        <f>IFERROR(__xludf.DUMMYFUNCTION("GOOGLETRANSLATE(B9602,""id"",""en"")"),"['Card', 'Panteek', 'AAA', 'Poor', 'Jan', 'buk', 'card', 'ang', 'Panteek', 'sick', 'Kalang', 'den', ' deck ',' ang ']")</f>
        <v>['Card', 'Panteek', 'AAA', 'Poor', 'Jan', 'buk', 'card', 'ang', 'Panteek', 'sick', 'Kalang', 'den', ' deck ',' ang ']</v>
      </c>
      <c r="D9602" s="3">
        <v>1.0</v>
      </c>
    </row>
    <row r="9603" ht="15.75" customHeight="1">
      <c r="A9603" s="1">
        <v>10333.0</v>
      </c>
      <c r="B9603" s="3" t="s">
        <v>9197</v>
      </c>
      <c r="C9603" s="3" t="str">
        <f>IFERROR(__xludf.DUMMYFUNCTION("GOOGLETRANSLATE(B9603,""id"",""en"")"),"['Provider', 'Good', 'really', 'Hadehh']")</f>
        <v>['Provider', 'Good', 'really', 'Hadehh']</v>
      </c>
      <c r="D9603" s="3">
        <v>1.0</v>
      </c>
    </row>
    <row r="9604" ht="15.75" customHeight="1">
      <c r="A9604" s="1">
        <v>10334.0</v>
      </c>
      <c r="B9604" s="3" t="s">
        <v>9198</v>
      </c>
      <c r="C9604" s="3" t="str">
        <f>IFERROR(__xludf.DUMMYFUNCTION("GOOGLETRANSLATE(B9604,""id"",""en"")"),"['Internet', 'ilang', 'clock', 'skrg', 'like', 'ilang', 'sometimes',' connects', 'spend', 'package', 'buy', 'package', ' Internet ',' Change ',' Losing ',' User ',' Taste ',' Thanks']")</f>
        <v>['Internet', 'ilang', 'clock', 'skrg', 'like', 'ilang', 'sometimes',' connects', 'spend', 'package', 'buy', 'package', ' Internet ',' Change ',' Losing ',' User ',' Taste ',' Thanks']</v>
      </c>
      <c r="D9604" s="3">
        <v>5.0</v>
      </c>
    </row>
    <row r="9605" ht="15.75" customHeight="1">
      <c r="A9605" s="1">
        <v>10335.0</v>
      </c>
      <c r="B9605" s="3" t="s">
        <v>1837</v>
      </c>
      <c r="C9605" s="3" t="str">
        <f>IFERROR(__xludf.DUMMYFUNCTION("GOOGLETRANSLATE(B9605,""id"",""en"")"),"['Application', 'help', ""]")</f>
        <v>['Application', 'help', "]</v>
      </c>
      <c r="D9605" s="3">
        <v>5.0</v>
      </c>
    </row>
    <row r="9606" ht="15.75" customHeight="1">
      <c r="A9606" s="1">
        <v>10336.0</v>
      </c>
      <c r="B9606" s="3" t="s">
        <v>9199</v>
      </c>
      <c r="C9606" s="3" t="str">
        <f>IFERROR(__xludf.DUMMYFUNCTION("GOOGLETRANSLATE(B9606,""id"",""en"")"),"['eat', 'roof', 'steady']")</f>
        <v>['eat', 'roof', 'steady']</v>
      </c>
      <c r="D9606" s="3">
        <v>4.0</v>
      </c>
    </row>
    <row r="9607" ht="15.75" customHeight="1">
      <c r="A9607" s="1">
        <v>10337.0</v>
      </c>
      <c r="B9607" s="3" t="s">
        <v>9200</v>
      </c>
      <c r="C9607" s="3" t="str">
        <f>IFERROR(__xludf.DUMMYFUNCTION("GOOGLETRANSLATE(B9607,""id"",""en"")"),"['Over', 'application', 'Provider', 'Indonesia', 'Install', 'Salah', 'Only', 'MyTelkomsel', 'Disconnect', 'User', 'Login', 'Enter', ' Feeled ',' Application ',' Heavy ',' Perform ',' Sometimes', 'Failed', 'Slow', 'Reload', 'Refresh', 'Interface', 'Price',"&amp;" 'Enter', 'Word' , 'Login', 'SMS', 'Ribet', 'Bener', 'OTP', '']")</f>
        <v>['Over', 'application', 'Provider', 'Indonesia', 'Install', 'Salah', 'Only', 'MyTelkomsel', 'Disconnect', 'User', 'Login', 'Enter', ' Feeled ',' Application ',' Heavy ',' Perform ',' Sometimes', 'Failed', 'Slow', 'Reload', 'Refresh', 'Interface', 'Price', 'Enter', 'Word' , 'Login', 'SMS', 'Ribet', 'Bener', 'OTP', '']</v>
      </c>
      <c r="D9607" s="3">
        <v>1.0</v>
      </c>
    </row>
    <row r="9608" ht="15.75" customHeight="1">
      <c r="A9608" s="1">
        <v>10338.0</v>
      </c>
      <c r="B9608" s="3" t="s">
        <v>9201</v>
      </c>
      <c r="C9608" s="3" t="str">
        <f>IFERROR(__xludf.DUMMYFUNCTION("GOOGLETRANSLATE(B9608,""id"",""en"")"),"['signal', 'unlimited', 'Benerin', 'AJG', 'ngeleg', 'Asuuu', 'dick', 'already', 'buy', 'expensive', 'expensive', 'package', ' Ngeleg ',' Asuu ',' Ajg ',' Gggg ',' Telkomsel ',' Ajgggggh ']")</f>
        <v>['signal', 'unlimited', 'Benerin', 'AJG', 'ngeleg', 'Asuuu', 'dick', 'already', 'buy', 'expensive', 'expensive', 'package', ' Ngeleg ',' Asuu ',' Ajg ',' Gggg ',' Telkomsel ',' Ajgggggh ']</v>
      </c>
      <c r="D9608" s="3">
        <v>1.0</v>
      </c>
    </row>
    <row r="9609" ht="15.75" customHeight="1">
      <c r="A9609" s="1">
        <v>10339.0</v>
      </c>
      <c r="B9609" s="3" t="s">
        <v>9202</v>
      </c>
      <c r="C9609" s="3" t="str">
        <f>IFERROR(__xludf.DUMMYFUNCTION("GOOGLETRANSLATE(B9609,""id"",""en"")"),"['already', 'expensive', 'slow', 'network', 'sad', 'price', 'quality', 'Hadehhh']")</f>
        <v>['already', 'expensive', 'slow', 'network', 'sad', 'price', 'quality', 'Hadehhh']</v>
      </c>
      <c r="D9609" s="3">
        <v>1.0</v>
      </c>
    </row>
    <row r="9610" ht="15.75" customHeight="1">
      <c r="A9610" s="1">
        <v>10340.0</v>
      </c>
      <c r="B9610" s="3" t="s">
        <v>9203</v>
      </c>
      <c r="C9610" s="3" t="str">
        <f>IFERROR(__xludf.DUMMYFUNCTION("GOOGLETRANSLATE(B9610,""id"",""en"")"),"['Good', 'really', 'smooth', 'thanks', 'application', 'Telkomsel']")</f>
        <v>['Good', 'really', 'smooth', 'thanks', 'application', 'Telkomsel']</v>
      </c>
      <c r="D9610" s="3">
        <v>5.0</v>
      </c>
    </row>
    <row r="9611" ht="15.75" customHeight="1">
      <c r="A9611" s="1">
        <v>10341.0</v>
      </c>
      <c r="B9611" s="3" t="s">
        <v>9204</v>
      </c>
      <c r="C9611" s="3" t="str">
        <f>IFERROR(__xludf.DUMMYFUNCTION("GOOGLETRANSLATE(B9611,""id"",""en"")"),"['Feature', 'already', 'complete', 'recommendation', 'really', 'just']")</f>
        <v>['Feature', 'already', 'complete', 'recommendation', 'really', 'just']</v>
      </c>
      <c r="D9611" s="3">
        <v>5.0</v>
      </c>
    </row>
    <row r="9612" ht="15.75" customHeight="1">
      <c r="A9612" s="1">
        <v>10342.0</v>
      </c>
      <c r="B9612" s="3" t="s">
        <v>9205</v>
      </c>
      <c r="C9612" s="3" t="str">
        <f>IFERROR(__xludf.DUMMYFUNCTION("GOOGLETRANSLATE(B9612,""id"",""en"")"),"['Application', 'Telkomsel', 'best', 'entertained']")</f>
        <v>['Application', 'Telkomsel', 'best', 'entertained']</v>
      </c>
      <c r="D9612" s="3">
        <v>5.0</v>
      </c>
    </row>
    <row r="9613" ht="15.75" customHeight="1">
      <c r="A9613" s="1">
        <v>10344.0</v>
      </c>
      <c r="B9613" s="3" t="s">
        <v>3616</v>
      </c>
      <c r="C9613" s="3" t="str">
        <f>IFERROR(__xludf.DUMMYFUNCTION("GOOGLETRANSLATE(B9613,""id"",""en"")"),"['application', 'good']")</f>
        <v>['application', 'good']</v>
      </c>
      <c r="D9613" s="3">
        <v>5.0</v>
      </c>
    </row>
    <row r="9614" ht="15.75" customHeight="1">
      <c r="A9614" s="1">
        <v>10345.0</v>
      </c>
      <c r="B9614" s="3" t="s">
        <v>9206</v>
      </c>
      <c r="C9614" s="3" t="str">
        <f>IFERROR(__xludf.DUMMYFUNCTION("GOOGLETRANSLATE(B9614,""id"",""en"")"),"['Disappointed', 'heavy', 'sympathy', 'already', 'contents',' pulse ',' data ',' already ',' Matiin ',' buy ',' package ',' reasons', ' Disorders', 'Open', 'Application', 'Telkomsel', 'Credit', 'Direct', 'Sumpot', 'Out', 'Please', 'Fix', 'System', 'Kasian"&amp;"', 'People' , 'already', 'buy', 'pulse', 'sumps',' writing ',' cost ',' internet ',' non ',' package ',' turn ',' buy ',' packetan ',' Persulit ']")</f>
        <v>['Disappointed', 'heavy', 'sympathy', 'already', 'contents',' pulse ',' data ',' already ',' Matiin ',' buy ',' package ',' reasons', ' Disorders', 'Open', 'Application', 'Telkomsel', 'Credit', 'Direct', 'Sumpot', 'Out', 'Please', 'Fix', 'System', 'Kasian', 'People' , 'already', 'buy', 'pulse', 'sumps',' writing ',' cost ',' internet ',' non ',' package ',' turn ',' buy ',' packetan ',' Persulit ']</v>
      </c>
      <c r="D9614" s="3">
        <v>1.0</v>
      </c>
    </row>
    <row r="9615" ht="15.75" customHeight="1">
      <c r="A9615" s="1">
        <v>10346.0</v>
      </c>
      <c r="B9615" s="3" t="s">
        <v>9207</v>
      </c>
      <c r="C9615" s="3" t="str">
        <f>IFERROR(__xludf.DUMMYFUNCTION("GOOGLETRANSLATE(B9615,""id"",""en"")"),"['Hopefully', 'cheap', 'package', 'data']")</f>
        <v>['Hopefully', 'cheap', 'package', 'data']</v>
      </c>
      <c r="D9615" s="3">
        <v>2.0</v>
      </c>
    </row>
    <row r="9616" ht="15.75" customHeight="1">
      <c r="A9616" s="1">
        <v>10347.0</v>
      </c>
      <c r="B9616" s="3" t="s">
        <v>9208</v>
      </c>
      <c r="C9616" s="3" t="str">
        <f>IFERROR(__xludf.DUMMYFUNCTION("GOOGLETRANSLATE(B9616,""id"",""en"")"),"['Honey', 'Install', 'Telkomsel', 'version', 'Android', 'Lawas']")</f>
        <v>['Honey', 'Install', 'Telkomsel', 'version', 'Android', 'Lawas']</v>
      </c>
      <c r="D9616" s="3">
        <v>1.0</v>
      </c>
    </row>
    <row r="9617" ht="15.75" customHeight="1">
      <c r="A9617" s="1">
        <v>10348.0</v>
      </c>
      <c r="B9617" s="3" t="s">
        <v>9209</v>
      </c>
      <c r="C9617" s="3" t="str">
        <f>IFERROR(__xludf.DUMMYFUNCTION("GOOGLETRANSLATE(B9617,""id"",""en"")"),"['Veronika', 'response', 'fast', 'help']")</f>
        <v>['Veronika', 'response', 'fast', 'help']</v>
      </c>
      <c r="D9617" s="3">
        <v>5.0</v>
      </c>
    </row>
    <row r="9618" ht="15.75" customHeight="1">
      <c r="A9618" s="1">
        <v>10349.0</v>
      </c>
      <c r="B9618" s="3" t="s">
        <v>7714</v>
      </c>
      <c r="C9618" s="3" t="str">
        <f>IFERROR(__xludf.DUMMYFUNCTION("GOOGLETRANSLATE(B9618,""id"",""en"")"),"['', 'good']")</f>
        <v>['', 'good']</v>
      </c>
      <c r="D9618" s="3">
        <v>5.0</v>
      </c>
    </row>
    <row r="9619" ht="15.75" customHeight="1">
      <c r="A9619" s="1">
        <v>10350.0</v>
      </c>
      <c r="B9619" s="3" t="s">
        <v>9210</v>
      </c>
      <c r="C9619" s="3" t="str">
        <f>IFERROR(__xludf.DUMMYFUNCTION("GOOGLETRANSLATE(B9619,""id"",""en"")"),"['Telkomsel', 'shocked', 'know', 'because', 'pulseku', 'cut', 'activated', 'package', 'emergency', 'disabled', 'system', 'busy', ' Credit ',' really ',' lho ']")</f>
        <v>['Telkomsel', 'shocked', 'know', 'because', 'pulseku', 'cut', 'activated', 'package', 'emergency', 'disabled', 'system', 'busy', ' Credit ',' really ',' lho ']</v>
      </c>
      <c r="D9619" s="3">
        <v>4.0</v>
      </c>
    </row>
    <row r="9620" ht="15.75" customHeight="1">
      <c r="A9620" s="1">
        <v>10351.0</v>
      </c>
      <c r="B9620" s="3" t="s">
        <v>9211</v>
      </c>
      <c r="C9620" s="3" t="str">
        <f>IFERROR(__xludf.DUMMYFUNCTION("GOOGLETRANSLATE(B9620,""id"",""en"")"),"['gymna', 'package', 'TPI', 'eat', 'pulse', 'pulse', 'already', 'take', 'thousand', 'then', 'package', 'Gunain', ' Ngeluarin ']")</f>
        <v>['gymna', 'package', 'TPI', 'eat', 'pulse', 'pulse', 'already', 'take', 'thousand', 'then', 'package', 'Gunain', ' Ngeluarin ']</v>
      </c>
      <c r="D9620" s="3">
        <v>1.0</v>
      </c>
    </row>
    <row r="9621" ht="15.75" customHeight="1">
      <c r="A9621" s="1">
        <v>10352.0</v>
      </c>
      <c r="B9621" s="3" t="s">
        <v>9212</v>
      </c>
      <c r="C9621" s="3" t="str">
        <f>IFERROR(__xludf.DUMMYFUNCTION("GOOGLETRANSLATE(B9621,""id"",""en"")"),"['', 'BINS', 'Points', 'Tuker', 'Prizes', 'What's', 'User', 'Ajha', 'Confused', 'Specs']")</f>
        <v>['', 'BINS', 'Points', 'Tuker', 'Prizes', 'What's', 'User', 'Ajha', 'Confused', 'Specs']</v>
      </c>
      <c r="D9621" s="3">
        <v>2.0</v>
      </c>
    </row>
    <row r="9622" ht="15.75" customHeight="1">
      <c r="A9622" s="1">
        <v>10353.0</v>
      </c>
      <c r="B9622" s="3" t="s">
        <v>9213</v>
      </c>
      <c r="C9622" s="3" t="str">
        <f>IFERROR(__xludf.DUMMYFUNCTION("GOOGLETRANSLATE(B9622,""id"",""en"")"),"['Service', 'Network', 'Not bad', 'remote', 'strength', 'signal', 'area', 'area', 'remote', ""]")</f>
        <v>['Service', 'Network', 'Not bad', 'remote', 'strength', 'signal', 'area', 'area', 'remote', "]</v>
      </c>
      <c r="D9622" s="3">
        <v>5.0</v>
      </c>
    </row>
    <row r="9623" ht="15.75" customHeight="1">
      <c r="A9623" s="1">
        <v>10354.0</v>
      </c>
      <c r="B9623" s="3" t="s">
        <v>1096</v>
      </c>
      <c r="C9623" s="3" t="str">
        <f>IFERROR(__xludf.DUMMYFUNCTION("GOOGLETRANSLATE(B9623,""id"",""en"")"),"['suitable']")</f>
        <v>['suitable']</v>
      </c>
      <c r="D9623" s="3">
        <v>5.0</v>
      </c>
    </row>
    <row r="9624" ht="15.75" customHeight="1">
      <c r="A9624" s="1">
        <v>10355.0</v>
      </c>
      <c r="B9624" s="3" t="s">
        <v>9214</v>
      </c>
      <c r="C9624" s="3" t="str">
        <f>IFERROR(__xludf.DUMMYFUNCTION("GOOGLETRANSLATE(B9624,""id"",""en"")"),"['Likes', 'APK']")</f>
        <v>['Likes', 'APK']</v>
      </c>
      <c r="D9624" s="3">
        <v>5.0</v>
      </c>
    </row>
    <row r="9625" ht="15.75" customHeight="1">
      <c r="A9625" s="1">
        <v>10356.0</v>
      </c>
      <c r="B9625" s="3" t="s">
        <v>2423</v>
      </c>
      <c r="C9625" s="3" t="str">
        <f>IFERROR(__xludf.DUMMYFUNCTION("GOOGLETRANSLATE(B9625,""id"",""en"")"),"['Steady', 'help']")</f>
        <v>['Steady', 'help']</v>
      </c>
      <c r="D9625" s="3">
        <v>5.0</v>
      </c>
    </row>
    <row r="9626" ht="15.75" customHeight="1">
      <c r="A9626" s="1">
        <v>10357.0</v>
      </c>
      <c r="B9626" s="3" t="s">
        <v>1262</v>
      </c>
      <c r="C9626" s="3" t="str">
        <f>IFERROR(__xludf.DUMMYFUNCTION("GOOGLETRANSLATE(B9626,""id"",""en"")"),"['Service', 'satisfying']")</f>
        <v>['Service', 'satisfying']</v>
      </c>
      <c r="D9626" s="3">
        <v>5.0</v>
      </c>
    </row>
    <row r="9627" ht="15.75" customHeight="1">
      <c r="A9627" s="1">
        <v>10358.0</v>
      </c>
      <c r="B9627" s="3" t="s">
        <v>9215</v>
      </c>
      <c r="C9627" s="3" t="str">
        <f>IFERROR(__xludf.DUMMYFUNCTION("GOOGLETRANSLATE(B9627,""id"",""en"")"),"['buy', 'package', 'unlimited', 'Telkomsel', 'constrained', 'lag', 'etc.', 'turn', 'package', 'smooth', 'right', 'unlimited', ' lag ',' buy ',' thief ',' show ',' professionality ',' effectiveness', 'provider', 'number', 'sometimes',' regret ',' buyin ','"&amp;" package ',' Telkomsel ' , 'Out', 'Please', 'Diprrbai']")</f>
        <v>['buy', 'package', 'unlimited', 'Telkomsel', 'constrained', 'lag', 'etc.', 'turn', 'package', 'smooth', 'right', 'unlimited', ' lag ',' buy ',' thief ',' show ',' professionality ',' effectiveness', 'provider', 'number', 'sometimes',' regret ',' buyin ',' package ',' Telkomsel ' , 'Out', 'Please', 'Diprrbai']</v>
      </c>
      <c r="D9627" s="3">
        <v>1.0</v>
      </c>
    </row>
    <row r="9628" ht="15.75" customHeight="1">
      <c r="A9628" s="1">
        <v>10359.0</v>
      </c>
      <c r="B9628" s="3" t="s">
        <v>9216</v>
      </c>
      <c r="C9628" s="3" t="str">
        <f>IFERROR(__xludf.DUMMYFUNCTION("GOOGLETRANSLATE(B9628,""id"",""en"")"),"['APLKSI', 'Telkomsel', 'help', ""]")</f>
        <v>['APLKSI', 'Telkomsel', 'help', "]</v>
      </c>
      <c r="D9628" s="3">
        <v>5.0</v>
      </c>
    </row>
    <row r="9629" ht="15.75" customHeight="1">
      <c r="A9629" s="1">
        <v>10360.0</v>
      </c>
      <c r="B9629" s="3" t="s">
        <v>9217</v>
      </c>
      <c r="C9629" s="3" t="str">
        <f>IFERROR(__xludf.DUMMYFUNCTION("GOOGLETRANSLATE(B9629,""id"",""en"")"),"['Cheap', 'shopping', 'use', 'Telkomsel']")</f>
        <v>['Cheap', 'shopping', 'use', 'Telkomsel']</v>
      </c>
      <c r="D9629" s="3">
        <v>4.0</v>
      </c>
    </row>
    <row r="9630" ht="15.75" customHeight="1">
      <c r="A9630" s="1">
        <v>10361.0</v>
      </c>
      <c r="B9630" s="3" t="s">
        <v>9218</v>
      </c>
      <c r="C9630" s="3" t="str">
        <f>IFERROR(__xludf.DUMMYFUNCTION("GOOGLETRANSLATE(B9630,""id"",""en"")"),"['really', 'promo', 'basically', 'The', 'Best']")</f>
        <v>['really', 'promo', 'basically', 'The', 'Best']</v>
      </c>
      <c r="D9630" s="3">
        <v>5.0</v>
      </c>
    </row>
    <row r="9631" ht="15.75" customHeight="1">
      <c r="A9631" s="1">
        <v>10362.0</v>
      </c>
      <c r="B9631" s="3" t="s">
        <v>9219</v>
      </c>
      <c r="C9631" s="3" t="str">
        <f>IFERROR(__xludf.DUMMYFUNCTION("GOOGLETRANSLATE(B9631,""id"",""en"")"),"['Please', 'repaired', 'KNP', 'Activate', 'Ulcombo', 'Price', 'RB', 'Sumpot', 'Quota', 'Watch', 'You', 'Tube', ' YouTube ',' Thank you ']")</f>
        <v>['Please', 'repaired', 'KNP', 'Activate', 'Ulcombo', 'Price', 'RB', 'Sumpot', 'Quota', 'Watch', 'You', 'Tube', ' YouTube ',' Thank you ']</v>
      </c>
      <c r="D9631" s="3">
        <v>1.0</v>
      </c>
    </row>
    <row r="9632" ht="15.75" customHeight="1">
      <c r="A9632" s="1">
        <v>10363.0</v>
      </c>
      <c r="B9632" s="3" t="s">
        <v>9220</v>
      </c>
      <c r="C9632" s="3" t="str">
        <f>IFERROR(__xludf.DUMMYFUNCTION("GOOGLETRANSLATE(B9632,""id"",""en"")"),"['Sometimes', 'Sometimes', 'Sometimes', 'Network', 'Down']")</f>
        <v>['Sometimes', 'Sometimes', 'Sometimes', 'Network', 'Down']</v>
      </c>
      <c r="D9632" s="3">
        <v>4.0</v>
      </c>
    </row>
    <row r="9633" ht="15.75" customHeight="1">
      <c r="A9633" s="1">
        <v>10364.0</v>
      </c>
      <c r="B9633" s="3" t="s">
        <v>9221</v>
      </c>
      <c r="C9633" s="3" t="str">
        <f>IFERROR(__xludf.DUMMYFUNCTION("GOOGLETRANSLATE(B9633,""id"",""en"")"),"['knapa', 'network', 'like', 'please', 'repaired', 'Telkomsel']")</f>
        <v>['knapa', 'network', 'like', 'please', 'repaired', 'Telkomsel']</v>
      </c>
      <c r="D9633" s="3">
        <v>2.0</v>
      </c>
    </row>
    <row r="9634" ht="15.75" customHeight="1">
      <c r="A9634" s="1">
        <v>10365.0</v>
      </c>
      <c r="B9634" s="3" t="s">
        <v>9222</v>
      </c>
      <c r="C9634" s="3" t="str">
        <f>IFERROR(__xludf.DUMMYFUNCTION("GOOGLETRANSLATE(B9634,""id"",""en"")"),"['application', 'in', 'already', 'number', 'right', 'enter', 'OPS', 'error', 'mistake', 'Where', 'try', 'number', ' Already ',' Please ',' Checked ',' ']")</f>
        <v>['application', 'in', 'already', 'number', 'right', 'enter', 'OPS', 'error', 'mistake', 'Where', 'try', 'number', ' Already ',' Please ',' Checked ',' ']</v>
      </c>
      <c r="D9634" s="3">
        <v>1.0</v>
      </c>
    </row>
    <row r="9635" ht="15.75" customHeight="1">
      <c r="A9635" s="1">
        <v>10366.0</v>
      </c>
      <c r="B9635" s="3" t="s">
        <v>9223</v>
      </c>
      <c r="C9635" s="3" t="str">
        <f>IFERROR(__xludf.DUMMYFUNCTION("GOOGLETRANSLATE(B9635,""id"",""en"")"),"['Sip', 'really', 'deh', 'bottom']")</f>
        <v>['Sip', 'really', 'deh', 'bottom']</v>
      </c>
      <c r="D9635" s="3">
        <v>5.0</v>
      </c>
    </row>
    <row r="9636" ht="15.75" customHeight="1">
      <c r="A9636" s="1">
        <v>10368.0</v>
      </c>
      <c r="B9636" s="3" t="s">
        <v>9224</v>
      </c>
      <c r="C9636" s="3" t="str">
        <f>IFERROR(__xludf.DUMMYFUNCTION("GOOGLETRANSLATE(B9636,""id"",""en"")"),"['Exchange', 'Points', 'Telkomsel']")</f>
        <v>['Exchange', 'Points', 'Telkomsel']</v>
      </c>
      <c r="D9636" s="3">
        <v>1.0</v>
      </c>
    </row>
    <row r="9637" ht="15.75" customHeight="1">
      <c r="A9637" s="1">
        <v>10369.0</v>
      </c>
      <c r="B9637" s="3" t="s">
        <v>9225</v>
      </c>
      <c r="C9637" s="3" t="str">
        <f>IFERROR(__xludf.DUMMYFUNCTION("GOOGLETRANSLATE(B9637,""id"",""en"")"),"['Love', 'Star', 'Sometimes',' Lemot ',' Urban ',' Edit ',' Review ',' Customer ',' Telkomsel ',' Disappointed ',' Network ',' Telkomsel ',' LEG ',' price ',' pass', 'acting', 'take', 'decision', 'fix', 'network', 'mending', 'replace', 'card', 'lose', 'ca"&amp;"rd' , 'prepaid', 'cheap', 'hesitant', 'balance', 'thousand', 'confused', 'slow', 'creace', 'pls', 'Hear', ""]")</f>
        <v>['Love', 'Star', 'Sometimes',' Lemot ',' Urban ',' Edit ',' Review ',' Customer ',' Telkomsel ',' Disappointed ',' Network ',' Telkomsel ',' LEG ',' price ',' pass', 'acting', 'take', 'decision', 'fix', 'network', 'mending', 'replace', 'card', 'lose', 'card' , 'prepaid', 'cheap', 'hesitant', 'balance', 'thousand', 'confused', 'slow', 'creace', 'pls', 'Hear', "]</v>
      </c>
      <c r="D9637" s="3">
        <v>1.0</v>
      </c>
    </row>
    <row r="9638" ht="15.75" customHeight="1">
      <c r="A9638" s="1">
        <v>10370.0</v>
      </c>
      <c r="B9638" s="3" t="s">
        <v>9226</v>
      </c>
      <c r="C9638" s="3" t="str">
        <f>IFERROR(__xludf.DUMMYFUNCTION("GOOGLETRANSLATE(B9638,""id"",""en"")"),"['Sousal', 'Surabaya', 'Weakening', 'Provider']")</f>
        <v>['Sousal', 'Surabaya', 'Weakening', 'Provider']</v>
      </c>
      <c r="D9638" s="3">
        <v>2.0</v>
      </c>
    </row>
    <row r="9639" ht="15.75" customHeight="1">
      <c r="A9639" s="1">
        <v>10371.0</v>
      </c>
      <c r="B9639" s="3" t="s">
        <v>9227</v>
      </c>
      <c r="C9639" s="3" t="str">
        <f>IFERROR(__xludf.DUMMYFUNCTION("GOOGLETRANSLATE(B9639,""id"",""en"")"),"['package', 'expensive']")</f>
        <v>['package', 'expensive']</v>
      </c>
      <c r="D9639" s="3">
        <v>1.0</v>
      </c>
    </row>
    <row r="9640" ht="15.75" customHeight="1">
      <c r="A9640" s="1">
        <v>10372.0</v>
      </c>
      <c r="B9640" s="3" t="s">
        <v>9228</v>
      </c>
      <c r="C9640" s="3" t="str">
        <f>IFERROR(__xludf.DUMMYFUNCTION("GOOGLETRANSLATE(B9640,""id"",""en"")"),"['Mending', 'Download', 'Kuata', 'Masi', 'Nelen', 'Credit', 'Internet']")</f>
        <v>['Mending', 'Download', 'Kuata', 'Masi', 'Nelen', 'Credit', 'Internet']</v>
      </c>
      <c r="D9640" s="3">
        <v>1.0</v>
      </c>
    </row>
    <row r="9641" ht="15.75" customHeight="1">
      <c r="A9641" s="1">
        <v>10373.0</v>
      </c>
      <c r="B9641" s="3" t="s">
        <v>9229</v>
      </c>
      <c r="C9641" s="3" t="str">
        <f>IFERROR(__xludf.DUMMYFUNCTION("GOOGLETRANSLATE(B9641,""id"",""en"")"),"['Please', 'Optimize', 'Quality', 'Network', 'Mercy', 'Keep', 'Offer', 'Price', 'Item', 'Offered']")</f>
        <v>['Please', 'Optimize', 'Quality', 'Network', 'Mercy', 'Keep', 'Offer', 'Price', 'Item', 'Offered']</v>
      </c>
      <c r="D9641" s="3">
        <v>5.0</v>
      </c>
    </row>
    <row r="9642" ht="15.75" customHeight="1">
      <c r="A9642" s="1">
        <v>10374.0</v>
      </c>
      <c r="B9642" s="3" t="s">
        <v>9230</v>
      </c>
      <c r="C9642" s="3" t="str">
        <f>IFERROR(__xludf.DUMMYFUNCTION("GOOGLETRANSLATE(B9642,""id"",""en"")"),"['Please', 'connection', 'fast', 'repaired', 'already', 'cape', 'Telkomsel', 'slow', 'really', 'the network', 'ngak', 'setabilia']")</f>
        <v>['Please', 'connection', 'fast', 'repaired', 'already', 'cape', 'Telkomsel', 'slow', 'really', 'the network', 'ngak', 'setabilia']</v>
      </c>
      <c r="D9642" s="3">
        <v>1.0</v>
      </c>
    </row>
    <row r="9643" ht="15.75" customHeight="1">
      <c r="A9643" s="1">
        <v>10375.0</v>
      </c>
      <c r="B9643" s="3" t="s">
        <v>9231</v>
      </c>
      <c r="C9643" s="3" t="str">
        <f>IFERROR(__xludf.DUMMYFUNCTION("GOOGLETRANSLATE(B9643,""id"",""en"")"),"['Package', 'expensive', 'network', 'quality']")</f>
        <v>['Package', 'expensive', 'network', 'quality']</v>
      </c>
      <c r="D9643" s="3">
        <v>1.0</v>
      </c>
    </row>
    <row r="9644" ht="15.75" customHeight="1">
      <c r="A9644" s="1">
        <v>10376.0</v>
      </c>
      <c r="B9644" s="3" t="s">
        <v>9232</v>
      </c>
      <c r="C9644" s="3" t="str">
        <f>IFERROR(__xludf.DUMMYFUNCTION("GOOGLETRANSLATE(B9644,""id"",""en"")"),"['Network', 'Internet', 'Sometimes', 'Lost', 'Dipake', 'Parahhh']")</f>
        <v>['Network', 'Internet', 'Sometimes', 'Lost', 'Dipake', 'Parahhh']</v>
      </c>
      <c r="D9644" s="3">
        <v>1.0</v>
      </c>
    </row>
    <row r="9645" ht="15.75" customHeight="1">
      <c r="A9645" s="1">
        <v>10377.0</v>
      </c>
      <c r="B9645" s="3" t="s">
        <v>9233</v>
      </c>
      <c r="C9645" s="3" t="str">
        <f>IFERROR(__xludf.DUMMYFUNCTION("GOOGLETRANSLATE(B9645,""id"",""en"")"),"['Satisfied', 'Enhanced', 'User']")</f>
        <v>['Satisfied', 'Enhanced', 'User']</v>
      </c>
      <c r="D9645" s="3">
        <v>5.0</v>
      </c>
    </row>
    <row r="9646" ht="15.75" customHeight="1">
      <c r="A9646" s="1">
        <v>10378.0</v>
      </c>
      <c r="B9646" s="3" t="s">
        <v>9234</v>
      </c>
      <c r="C9646" s="3" t="str">
        <f>IFERROR(__xludf.DUMMYFUNCTION("GOOGLETRANSLATE(B9646,""id"",""en"")"),"['account']")</f>
        <v>['account']</v>
      </c>
      <c r="D9646" s="3">
        <v>3.0</v>
      </c>
    </row>
    <row r="9647" ht="15.75" customHeight="1">
      <c r="A9647" s="1">
        <v>10379.0</v>
      </c>
      <c r="B9647" s="3" t="s">
        <v>9235</v>
      </c>
      <c r="C9647" s="3" t="str">
        <f>IFERROR(__xludf.DUMMYFUNCTION("GOOGLETRANSLATE(B9647,""id"",""en"")"),"['already', 'expensive', 'maen', 'game', 'ngelag', 'mending', 'dilay', 'this is',' kmgk ',' gerakin ',' broke ',' the network ',' Suggestion ',' Ngelag ',' Expensive ',' Tomorrow ',' Buy ',' Card ',' Maen ',' Game ',' Telkomsel ',' Love ',' Star ',' Must "&amp;"',' Benerin ' , 'The network', 'Diemin']")</f>
        <v>['already', 'expensive', 'maen', 'game', 'ngelag', 'mending', 'dilay', 'this is',' kmgk ',' gerakin ',' broke ',' the network ',' Suggestion ',' Ngelag ',' Expensive ',' Tomorrow ',' Buy ',' Card ',' Maen ',' Game ',' Telkomsel ',' Love ',' Star ',' Must ',' Benerin ' , 'The network', 'Diemin']</v>
      </c>
      <c r="D9647" s="3">
        <v>1.0</v>
      </c>
    </row>
    <row r="9648" ht="15.75" customHeight="1">
      <c r="A9648" s="1">
        <v>10380.0</v>
      </c>
      <c r="B9648" s="3" t="s">
        <v>9236</v>
      </c>
      <c r="C9648" s="3" t="str">
        <f>IFERROR(__xludf.DUMMYFUNCTION("GOOGLETRANSLATE(B9648,""id"",""en"")"),"['Please', 'perman', '']")</f>
        <v>['Please', 'perman', '']</v>
      </c>
      <c r="D9648" s="3">
        <v>4.0</v>
      </c>
    </row>
    <row r="9649" ht="15.75" customHeight="1">
      <c r="A9649" s="1">
        <v>10381.0</v>
      </c>
      <c r="B9649" s="3" t="s">
        <v>1165</v>
      </c>
      <c r="C9649" s="3" t="str">
        <f>IFERROR(__xludf.DUMMYFUNCTION("GOOGLETRANSLATE(B9649,""id"",""en"")"),"['Application', 'steady']")</f>
        <v>['Application', 'steady']</v>
      </c>
      <c r="D9649" s="3">
        <v>5.0</v>
      </c>
    </row>
    <row r="9650" ht="15.75" customHeight="1">
      <c r="A9650" s="1">
        <v>10382.0</v>
      </c>
      <c r="B9650" s="3" t="s">
        <v>9237</v>
      </c>
      <c r="C9650" s="3" t="str">
        <f>IFERROR(__xludf.DUMMYFUNCTION("GOOGLETRANSLATE(B9650,""id"",""en"")"),"['promo', 'promo', 'best']")</f>
        <v>['promo', 'promo', 'best']</v>
      </c>
      <c r="D9650" s="3">
        <v>5.0</v>
      </c>
    </row>
    <row r="9651" ht="15.75" customHeight="1">
      <c r="A9651" s="1">
        <v>10383.0</v>
      </c>
      <c r="B9651" s="3" t="s">
        <v>9238</v>
      </c>
      <c r="C9651" s="3" t="str">
        <f>IFERROR(__xludf.DUMMYFUNCTION("GOOGLETRANSLATE(B9651,""id"",""en"")"),"['Hopefully', 'Lottery', 'Telkomsel', 'Aminn']")</f>
        <v>['Hopefully', 'Lottery', 'Telkomsel', 'Aminn']</v>
      </c>
      <c r="D9651" s="3">
        <v>5.0</v>
      </c>
    </row>
    <row r="9652" ht="15.75" customHeight="1">
      <c r="A9652" s="1">
        <v>10384.0</v>
      </c>
      <c r="B9652" s="3" t="s">
        <v>9239</v>
      </c>
      <c r="C9652" s="3" t="str">
        <f>IFERROR(__xludf.DUMMYFUNCTION("GOOGLETRANSLATE(B9652,""id"",""en"")"),"['Application', 'MyTelkomsel', 'Connected', 'Application', 'Wallet', 'Digital', 'Link', ""]")</f>
        <v>['Application', 'MyTelkomsel', 'Connected', 'Application', 'Wallet', 'Digital', 'Link', "]</v>
      </c>
      <c r="D9652" s="3">
        <v>4.0</v>
      </c>
    </row>
    <row r="9653" ht="15.75" customHeight="1">
      <c r="A9653" s="1">
        <v>10385.0</v>
      </c>
      <c r="B9653" s="3" t="s">
        <v>9240</v>
      </c>
      <c r="C9653" s="3" t="str">
        <f>IFERROR(__xludf.DUMMYFUNCTION("GOOGLETRANSLATE(B9653,""id"",""en"")"),"['bad', 'signal', 'Performance', 'Telkomsel', 'as cool as',' name ',' owned ',' BUMN ',' use ',' promotion ',' network ',' in fact ',' disappointing ',' expensive ',' wasteful ',' network ',' down ',' then ',' sya ',' customer ',' card ',' hello ',' stop "&amp;"',' harmed ',' compare ' , 'operator', 'please', 'Telkomsel', 'improving', 'Krna', 'belongs', 'BUMN', 'complaints', 'Customer', 'D Thut', 'continued', 'Tumbang']")</f>
        <v>['bad', 'signal', 'Performance', 'Telkomsel', 'as cool as',' name ',' owned ',' BUMN ',' use ',' promotion ',' network ',' in fact ',' disappointing ',' expensive ',' wasteful ',' network ',' down ',' then ',' sya ',' customer ',' card ',' hello ',' stop ',' harmed ',' compare ' , 'operator', 'please', 'Telkomsel', 'improving', 'Krna', 'belongs', 'BUMN', 'complaints', 'Customer', 'D Thut', 'continued', 'Tumbang']</v>
      </c>
      <c r="D9653" s="3">
        <v>1.0</v>
      </c>
    </row>
    <row r="9654" ht="15.75" customHeight="1">
      <c r="A9654" s="1">
        <v>10386.0</v>
      </c>
      <c r="B9654" s="3" t="s">
        <v>9241</v>
      </c>
      <c r="C9654" s="3" t="str">
        <f>IFERROR(__xludf.DUMMYFUNCTION("GOOGLETRANSLATE(B9654,""id"",""en"")"),"['package', 'expensive', 'network', 'kayak', 'taik', ""]")</f>
        <v>['package', 'expensive', 'network', 'kayak', 'taik', "]</v>
      </c>
      <c r="D9654" s="3">
        <v>1.0</v>
      </c>
    </row>
    <row r="9655" ht="15.75" customHeight="1">
      <c r="A9655" s="1">
        <v>10388.0</v>
      </c>
      <c r="B9655" s="3" t="s">
        <v>9242</v>
      </c>
      <c r="C9655" s="3" t="str">
        <f>IFERROR(__xludf.DUMMYFUNCTION("GOOGLETRANSLATE(B9655,""id"",""en"")"),"['Good', 'really', 'Jos', 'Anyway']")</f>
        <v>['Good', 'really', 'Jos', 'Anyway']</v>
      </c>
      <c r="D9655" s="3">
        <v>4.0</v>
      </c>
    </row>
    <row r="9656" ht="15.75" customHeight="1">
      <c r="A9656" s="1">
        <v>10390.0</v>
      </c>
      <c r="B9656" s="3" t="s">
        <v>9243</v>
      </c>
      <c r="C9656" s="3" t="str">
        <f>IFERROR(__xludf.DUMMYFUNCTION("GOOGLETRANSLATE(B9656,""id"",""en"")"),"['min', 'times',' Twitter ',' solution ',' raises', 'signal', 'bar', 'operator', 'full', 'path', 'telegram', 'bot', ' repeat ',' reset ',' solution ',' connect ',' talk ',' grapari ',' telkomsel ',' bln ',' January ',' repair ',' signal ',' bar ',' ']")</f>
        <v>['min', 'times',' Twitter ',' solution ',' raises', 'signal', 'bar', 'operator', 'full', 'path', 'telegram', 'bot', ' repeat ',' reset ',' solution ',' connect ',' talk ',' grapari ',' telkomsel ',' bln ',' January ',' repair ',' signal ',' bar ',' ']</v>
      </c>
      <c r="D9656" s="3">
        <v>1.0</v>
      </c>
    </row>
    <row r="9657" ht="15.75" customHeight="1">
      <c r="A9657" s="1">
        <v>10391.0</v>
      </c>
      <c r="B9657" s="3" t="s">
        <v>9244</v>
      </c>
      <c r="C9657" s="3" t="str">
        <f>IFERROR(__xludf.DUMMYFUNCTION("GOOGLETRANSLATE(B9657,""id"",""en"")"),"['skrng', 'telkom', 'difficult', 'network', '']")</f>
        <v>['skrng', 'telkom', 'difficult', 'network', '']</v>
      </c>
      <c r="D9657" s="3">
        <v>1.0</v>
      </c>
    </row>
    <row r="9658" ht="15.75" customHeight="1">
      <c r="A9658" s="1">
        <v>10392.0</v>
      </c>
      <c r="B9658" s="3" t="s">
        <v>9245</v>
      </c>
      <c r="C9658" s="3" t="str">
        <f>IFERROR(__xludf.DUMMYFUNCTION("GOOGLETRANSLATE(B9658,""id"",""en"")"),"['ugly', 'slow', 'region', 'pekanbaru', 'slow', 'times']")</f>
        <v>['ugly', 'slow', 'region', 'pekanbaru', 'slow', 'times']</v>
      </c>
      <c r="D9658" s="3">
        <v>1.0</v>
      </c>
    </row>
    <row r="9659" ht="15.75" customHeight="1">
      <c r="A9659" s="1">
        <v>10393.0</v>
      </c>
      <c r="B9659" s="3" t="s">
        <v>9246</v>
      </c>
      <c r="C9659" s="3" t="str">
        <f>IFERROR(__xludf.DUMMYFUNCTION("GOOGLETRANSLATE(B9659,""id"",""en"")"),"['Telkomsel', 'signal', 'bad']")</f>
        <v>['Telkomsel', 'signal', 'bad']</v>
      </c>
      <c r="D9659" s="3">
        <v>1.0</v>
      </c>
    </row>
    <row r="9660" ht="15.75" customHeight="1">
      <c r="A9660" s="1">
        <v>10394.0</v>
      </c>
      <c r="B9660" s="3" t="s">
        <v>9247</v>
      </c>
      <c r="C9660" s="3" t="str">
        <f>IFERROR(__xludf.DUMMYFUNCTION("GOOGLETRANSLATE(B9660,""id"",""en"")"),"['Not bad', 'Increase']")</f>
        <v>['Not bad', 'Increase']</v>
      </c>
      <c r="D9660" s="3">
        <v>5.0</v>
      </c>
    </row>
    <row r="9661" ht="15.75" customHeight="1">
      <c r="A9661" s="1">
        <v>10395.0</v>
      </c>
      <c r="B9661" s="3" t="s">
        <v>298</v>
      </c>
      <c r="C9661" s="3" t="str">
        <f>IFERROR(__xludf.DUMMYFUNCTION("GOOGLETRANSLATE(B9661,""id"",""en"")"),"['APK', 'good', 'help']")</f>
        <v>['APK', 'good', 'help']</v>
      </c>
      <c r="D9661" s="3">
        <v>5.0</v>
      </c>
    </row>
    <row r="9662" ht="15.75" customHeight="1">
      <c r="A9662" s="1">
        <v>10396.0</v>
      </c>
      <c r="B9662" s="3" t="s">
        <v>165</v>
      </c>
      <c r="C9662" s="3" t="str">
        <f>IFERROR(__xludf.DUMMYFUNCTION("GOOGLETRANSLATE(B9662,""id"",""en"")"),"['Safety', 'Thanks', 'Telkomsel']")</f>
        <v>['Safety', 'Thanks', 'Telkomsel']</v>
      </c>
      <c r="D9662" s="3">
        <v>5.0</v>
      </c>
    </row>
    <row r="9663" ht="15.75" customHeight="1">
      <c r="A9663" s="1">
        <v>10397.0</v>
      </c>
      <c r="B9663" s="3" t="s">
        <v>9248</v>
      </c>
      <c r="C9663" s="3" t="str">
        <f>IFERROR(__xludf.DUMMYFUNCTION("GOOGLETRANSLATE(B9663,""id"",""en"")"),"['No', 'understand', 'Good', ""]")</f>
        <v>['No', 'understand', 'Good', "]</v>
      </c>
      <c r="D9663" s="3">
        <v>5.0</v>
      </c>
    </row>
    <row r="9664" ht="15.75" customHeight="1">
      <c r="A9664" s="1">
        <v>10398.0</v>
      </c>
      <c r="B9664" s="3" t="s">
        <v>9249</v>
      </c>
      <c r="C9664" s="3" t="str">
        <f>IFERROR(__xludf.DUMMYFUNCTION("GOOGLETRANSLATE(B9664,""id"",""en"")"),"['Price', 'expensive', 'network', 'cheap', '']")</f>
        <v>['Price', 'expensive', 'network', 'cheap', '']</v>
      </c>
      <c r="D9664" s="3">
        <v>1.0</v>
      </c>
    </row>
    <row r="9665" ht="15.75" customHeight="1">
      <c r="A9665" s="1">
        <v>10399.0</v>
      </c>
      <c r="B9665" s="3" t="s">
        <v>9250</v>
      </c>
      <c r="C9665" s="3" t="str">
        <f>IFERROR(__xludf.DUMMYFUNCTION("GOOGLETRANSLATE(B9665,""id"",""en"")"),"['Good', 'promo', '']")</f>
        <v>['Good', 'promo', '']</v>
      </c>
      <c r="D9665" s="3">
        <v>5.0</v>
      </c>
    </row>
    <row r="9666" ht="15.75" customHeight="1">
      <c r="A9666" s="1">
        <v>10400.0</v>
      </c>
      <c r="B9666" s="3" t="s">
        <v>9251</v>
      </c>
      <c r="C9666" s="3" t="str">
        <f>IFERROR(__xludf.DUMMYFUNCTION("GOOGLETRANSLATE(B9666,""id"",""en"")"),"['Severe', 'net', 'BNAR', 'bad', 'BUMN', 'superior', 'brand', 'threat']")</f>
        <v>['Severe', 'net', 'BNAR', 'bad', 'BUMN', 'superior', 'brand', 'threat']</v>
      </c>
      <c r="D9666" s="3">
        <v>1.0</v>
      </c>
    </row>
    <row r="9667" ht="15.75" customHeight="1">
      <c r="A9667" s="1">
        <v>10401.0</v>
      </c>
      <c r="B9667" s="3" t="s">
        <v>9252</v>
      </c>
      <c r="C9667" s="3" t="str">
        <f>IFERROR(__xludf.DUMMYFUNCTION("GOOGLETRANSLATE(B9667,""id"",""en"")"),"['like', 'bnget', 'app', '']")</f>
        <v>['like', 'bnget', 'app', '']</v>
      </c>
      <c r="D9667" s="3">
        <v>5.0</v>
      </c>
    </row>
    <row r="9668" ht="15.75" customHeight="1">
      <c r="A9668" s="1">
        <v>10402.0</v>
      </c>
      <c r="B9668" s="3" t="s">
        <v>9253</v>
      </c>
      <c r="C9668" s="3" t="str">
        <f>IFERROR(__xludf.DUMMYFUNCTION("GOOGLETRANSLATE(B9668,""id"",""en"")"),"['signal', 'bad', 'housing', 'Wonorejo', 'Lumajang', 'road', 'main', 'road', 'cmn', 'meter', ""]")</f>
        <v>['signal', 'bad', 'housing', 'Wonorejo', 'Lumajang', 'road', 'main', 'road', 'cmn', 'meter', "]</v>
      </c>
      <c r="D9668" s="3">
        <v>1.0</v>
      </c>
    </row>
    <row r="9669" ht="15.75" customHeight="1">
      <c r="A9669" s="1">
        <v>10403.0</v>
      </c>
      <c r="B9669" s="3" t="s">
        <v>9254</v>
      </c>
      <c r="C9669" s="3" t="str">
        <f>IFERROR(__xludf.DUMMYFUNCTION("GOOGLETRANSLATE(B9669,""id"",""en"")"),"['Bagus', 'really', '']")</f>
        <v>['Bagus', 'really', '']</v>
      </c>
      <c r="D9669" s="3">
        <v>5.0</v>
      </c>
    </row>
    <row r="9670" ht="15.75" customHeight="1">
      <c r="A9670" s="1">
        <v>10404.0</v>
      </c>
      <c r="B9670" s="3" t="s">
        <v>9255</v>
      </c>
      <c r="C9670" s="3" t="str">
        <f>IFERROR(__xludf.DUMMYFUNCTION("GOOGLETRANSLATE(B9670,""id"",""en"")"),"['Network', 'Telkomsel', 'Good', 'Package', 'Expensive', 'Customize', 'Price', 'Quality', 'Nasea', 'Network']")</f>
        <v>['Network', 'Telkomsel', 'Good', 'Package', 'Expensive', 'Customize', 'Price', 'Quality', 'Nasea', 'Network']</v>
      </c>
      <c r="D9670" s="3">
        <v>5.0</v>
      </c>
    </row>
    <row r="9671" ht="15.75" customHeight="1">
      <c r="A9671" s="1">
        <v>10405.0</v>
      </c>
      <c r="B9671" s="3" t="s">
        <v>9256</v>
      </c>
      <c r="C9671" s="3" t="str">
        <f>IFERROR(__xludf.DUMMYFUNCTION("GOOGLETRANSLATE(B9671,""id"",""en"")"),"['Disruption', 'Gmbaya', 'Top', 'Mobile', 'Legend', 'Write it', 'Transaction', 'Success',' Credit ',' Udh ',' Cut ',' TPI ',' Diamon ',' ']")</f>
        <v>['Disruption', 'Gmbaya', 'Top', 'Mobile', 'Legend', 'Write it', 'Transaction', 'Success',' Credit ',' Udh ',' Cut ',' TPI ',' Diamon ',' ']</v>
      </c>
      <c r="D9671" s="3">
        <v>1.0</v>
      </c>
    </row>
    <row r="9672" ht="15.75" customHeight="1">
      <c r="A9672" s="1">
        <v>10406.0</v>
      </c>
      <c r="B9672" s="3" t="s">
        <v>9257</v>
      </c>
      <c r="C9672" s="3" t="str">
        <f>IFERROR(__xludf.DUMMYFUNCTION("GOOGLETRANSLATE(B9672,""id"",""en"")"),"['already', 'package', 'expensive', 'signal', 'rotten']")</f>
        <v>['already', 'package', 'expensive', 'signal', 'rotten']</v>
      </c>
      <c r="D9672" s="3">
        <v>1.0</v>
      </c>
    </row>
    <row r="9673" ht="15.75" customHeight="1">
      <c r="A9673" s="1">
        <v>10407.0</v>
      </c>
      <c r="B9673" s="3" t="s">
        <v>3616</v>
      </c>
      <c r="C9673" s="3" t="str">
        <f>IFERROR(__xludf.DUMMYFUNCTION("GOOGLETRANSLATE(B9673,""id"",""en"")"),"['application', 'good']")</f>
        <v>['application', 'good']</v>
      </c>
      <c r="D9673" s="3">
        <v>5.0</v>
      </c>
    </row>
    <row r="9674" ht="15.75" customHeight="1">
      <c r="A9674" s="1">
        <v>10408.0</v>
      </c>
      <c r="B9674" s="3" t="s">
        <v>9258</v>
      </c>
      <c r="C9674" s="3" t="str">
        <f>IFERROR(__xludf.DUMMYFUNCTION("GOOGLETRANSLATE(B9674,""id"",""en"")"),"['Good', 'easy', 'understandable']")</f>
        <v>['Good', 'easy', 'understandable']</v>
      </c>
      <c r="D9674" s="3">
        <v>5.0</v>
      </c>
    </row>
    <row r="9675" ht="15.75" customHeight="1">
      <c r="A9675" s="1">
        <v>10409.0</v>
      </c>
      <c r="B9675" s="3" t="s">
        <v>9259</v>
      </c>
      <c r="C9675" s="3" t="str">
        <f>IFERROR(__xludf.DUMMYFUNCTION("GOOGLETRANSLATE(B9675,""id"",""en"")"),"['Do', 'purchase', 'game', 'coin', 'master', 'pulse', 'uda', 'truncated', 'do', 'pembeian']")</f>
        <v>['Do', 'purchase', 'game', 'coin', 'master', 'pulse', 'uda', 'truncated', 'do', 'pembeian']</v>
      </c>
      <c r="D9675" s="3">
        <v>5.0</v>
      </c>
    </row>
    <row r="9676" ht="15.75" customHeight="1">
      <c r="A9676" s="1">
        <v>10410.0</v>
      </c>
      <c r="B9676" s="3" t="s">
        <v>9260</v>
      </c>
      <c r="C9676" s="3" t="str">
        <f>IFERROR(__xludf.DUMMYFUNCTION("GOOGLETRANSLATE(B9676,""id"",""en"")"),"['Telkomel', 'Network', 'Leet', 'Gini', 'Region', 'Blitr', 'East Java', 'Please', 'Fast', 'Acts',' Continue ',' Consumers', ' disappointed']")</f>
        <v>['Telkomel', 'Network', 'Leet', 'Gini', 'Region', 'Blitr', 'East Java', 'Please', 'Fast', 'Acts',' Continue ',' Consumers', ' disappointed']</v>
      </c>
      <c r="D9676" s="3">
        <v>1.0</v>
      </c>
    </row>
    <row r="9677" ht="15.75" customHeight="1">
      <c r="A9677" s="1">
        <v>10412.0</v>
      </c>
      <c r="B9677" s="3" t="s">
        <v>9261</v>
      </c>
      <c r="C9677" s="3" t="str">
        <f>IFERROR(__xludf.DUMMYFUNCTION("GOOGLETRANSLATE(B9677,""id"",""en"")"),"['according to', 'promo', 'ad', '']")</f>
        <v>['according to', 'promo', 'ad', '']</v>
      </c>
      <c r="D9677" s="3">
        <v>1.0</v>
      </c>
    </row>
    <row r="9678" ht="15.75" customHeight="1">
      <c r="A9678" s="1">
        <v>10413.0</v>
      </c>
      <c r="B9678" s="3" t="s">
        <v>9262</v>
      </c>
      <c r="C9678" s="3" t="str">
        <f>IFERROR(__xludf.DUMMYFUNCTION("GOOGLETRANSLATE(B9678,""id"",""en"")"),"['apk', 'service', 'community', 'area', 'Arso', 'City', 'Keerom', 'Papua', 'Teidak', 'have', 'Network', 'hope', ' APK ',' Communication ',' Telkomsel ']")</f>
        <v>['apk', 'service', 'community', 'area', 'Arso', 'City', 'Keerom', 'Papua', 'Teidak', 'have', 'Network', 'hope', ' APK ',' Communication ',' Telkomsel ']</v>
      </c>
      <c r="D9678" s="3">
        <v>5.0</v>
      </c>
    </row>
    <row r="9679" ht="15.75" customHeight="1">
      <c r="A9679" s="1">
        <v>10414.0</v>
      </c>
      <c r="B9679" s="3" t="s">
        <v>9263</v>
      </c>
      <c r="C9679" s="3" t="str">
        <f>IFERROR(__xludf.DUMMYFUNCTION("GOOGLETRANSLATE(B9679,""id"",""en"")"),"['Good', 'good', 'application']")</f>
        <v>['Good', 'good', 'application']</v>
      </c>
      <c r="D9679" s="3">
        <v>5.0</v>
      </c>
    </row>
    <row r="9680" ht="15.75" customHeight="1">
      <c r="A9680" s="1">
        <v>10415.0</v>
      </c>
      <c r="B9680" s="3" t="s">
        <v>9264</v>
      </c>
      <c r="C9680" s="3" t="str">
        <f>IFERROR(__xludf.DUMMYFUNCTION("GOOGLETRANSLATE(B9680,""id"",""en"")"),"['User', 'card', 'Hello', 'Honest', 'Disappointed', 'Telkomsel', 'UDH', 'Pay', 'Bill', 'Expensive', 'TPI', 'Network', ' Leet ',' Severe ']")</f>
        <v>['User', 'card', 'Hello', 'Honest', 'Disappointed', 'Telkomsel', 'UDH', 'Pay', 'Bill', 'Expensive', 'TPI', 'Network', ' Leet ',' Severe ']</v>
      </c>
      <c r="D9680" s="3">
        <v>1.0</v>
      </c>
    </row>
    <row r="9681" ht="15.75" customHeight="1">
      <c r="A9681" s="1">
        <v>10416.0</v>
      </c>
      <c r="B9681" s="3" t="s">
        <v>9265</v>
      </c>
      <c r="C9681" s="3" t="str">
        <f>IFERROR(__xludf.DUMMYFUNCTION("GOOGLETRANSLATE(B9681,""id"",""en"")"),"['Manep', 'it's easy', 'user']")</f>
        <v>['Manep', 'it's easy', 'user']</v>
      </c>
      <c r="D9681" s="3">
        <v>5.0</v>
      </c>
    </row>
    <row r="9682" ht="15.75" customHeight="1">
      <c r="A9682" s="1">
        <v>10417.0</v>
      </c>
      <c r="B9682" s="3" t="s">
        <v>9266</v>
      </c>
      <c r="C9682" s="3" t="str">
        <f>IFERROR(__xludf.DUMMYFUNCTION("GOOGLETRANSLATE(B9682,""id"",""en"")"),"['Stage', 'Test', 'Try']")</f>
        <v>['Stage', 'Test', 'Try']</v>
      </c>
      <c r="D9682" s="3">
        <v>3.0</v>
      </c>
    </row>
    <row r="9683" ht="15.75" customHeight="1">
      <c r="A9683" s="1">
        <v>10418.0</v>
      </c>
      <c r="B9683" s="3" t="s">
        <v>9267</v>
      </c>
      <c r="C9683" s="3" t="str">
        <f>IFERROR(__xludf.DUMMYFUNCTION("GOOGLETRANSLATE(B9683,""id"",""en"")"),"['signal', 'data', 'fix']")</f>
        <v>['signal', 'data', 'fix']</v>
      </c>
      <c r="D9683" s="3">
        <v>1.0</v>
      </c>
    </row>
    <row r="9684" ht="15.75" customHeight="1">
      <c r="A9684" s="1">
        <v>10419.0</v>
      </c>
      <c r="B9684" s="3" t="s">
        <v>9268</v>
      </c>
      <c r="C9684" s="3" t="str">
        <f>IFERROR(__xludf.DUMMYFUNCTION("GOOGLETRANSLATE(B9684,""id"",""en"")"),"['Connection', 'Internet', 'ugly', 'Performance', 'plump', 'connection', 'disappointing', '']")</f>
        <v>['Connection', 'Internet', 'ugly', 'Performance', 'plump', 'connection', 'disappointing', '']</v>
      </c>
      <c r="D9684" s="3">
        <v>1.0</v>
      </c>
    </row>
    <row r="9685" ht="15.75" customHeight="1">
      <c r="A9685" s="1">
        <v>10420.0</v>
      </c>
      <c r="B9685" s="3" t="s">
        <v>9269</v>
      </c>
      <c r="C9685" s="3" t="str">
        <f>IFERROR(__xludf.DUMMYFUNCTION("GOOGLETRANSLATE(B9685,""id"",""en"")"),"['service', 'speed', 'overcome', 'maslah', 'disorder', 'consumer']")</f>
        <v>['service', 'speed', 'overcome', 'maslah', 'disorder', 'consumer']</v>
      </c>
      <c r="D9685" s="3">
        <v>5.0</v>
      </c>
    </row>
    <row r="9686" ht="15.75" customHeight="1">
      <c r="A9686" s="1">
        <v>10421.0</v>
      </c>
      <c r="B9686" s="3" t="s">
        <v>9270</v>
      </c>
      <c r="C9686" s="3" t="str">
        <f>IFERROR(__xludf.DUMMYFUNCTION("GOOGLETRANSLATE(B9686,""id"",""en"")"),"['Good', 'program', 'internet', '']")</f>
        <v>['Good', 'program', 'internet', '']</v>
      </c>
      <c r="D9686" s="3">
        <v>5.0</v>
      </c>
    </row>
    <row r="9687" ht="15.75" customHeight="1">
      <c r="A9687" s="1">
        <v>10422.0</v>
      </c>
      <c r="B9687" s="3" t="s">
        <v>9271</v>
      </c>
      <c r="C9687" s="3" t="str">
        <f>IFERROR(__xludf.DUMMYFUNCTION("GOOGLETRANSLATE(B9687,""id"",""en"")"),"['Telkomsel', 'ugly', 'really', 'signal', 'beg', 'fix', 'satisfied', 'satisfied', 'thank you']")</f>
        <v>['Telkomsel', 'ugly', 'really', 'signal', 'beg', 'fix', 'satisfied', 'satisfied', 'thank you']</v>
      </c>
      <c r="D9687" s="3">
        <v>5.0</v>
      </c>
    </row>
    <row r="9688" ht="15.75" customHeight="1">
      <c r="A9688" s="1">
        <v>10423.0</v>
      </c>
      <c r="B9688" s="3" t="s">
        <v>9272</v>
      </c>
      <c r="C9688" s="3" t="str">
        <f>IFERROR(__xludf.DUMMYFUNCTION("GOOGLETRANSLATE(B9688,""id"",""en"")"),"['Satisfied', 'promo']")</f>
        <v>['Satisfied', 'promo']</v>
      </c>
      <c r="D9688" s="3">
        <v>5.0</v>
      </c>
    </row>
    <row r="9689" ht="15.75" customHeight="1">
      <c r="A9689" s="1">
        <v>10424.0</v>
      </c>
      <c r="B9689" s="3" t="s">
        <v>9273</v>
      </c>
      <c r="C9689" s="3" t="str">
        <f>IFERROR(__xludf.DUMMYFUNCTION("GOOGLETRANSLATE(B9689,""id"",""en"")"),"['apk', 'idiot', 'ajg', 'expensive', 'contents', 'pulse', 'suck', 'ajg', 'suggestion', 'download']")</f>
        <v>['apk', 'idiot', 'ajg', 'expensive', 'contents', 'pulse', 'suck', 'ajg', 'suggestion', 'download']</v>
      </c>
      <c r="D9689" s="3">
        <v>1.0</v>
      </c>
    </row>
    <row r="9690" ht="15.75" customHeight="1">
      <c r="A9690" s="1">
        <v>10425.0</v>
      </c>
      <c r="B9690" s="3" t="s">
        <v>9274</v>
      </c>
      <c r="C9690" s="3" t="str">
        <f>IFERROR(__xludf.DUMMYFUNCTION("GOOGLETRANSLATE(B9690,""id"",""en"")"),"['already', 'expensive', 'signal', 'ugly']")</f>
        <v>['already', 'expensive', 'signal', 'ugly']</v>
      </c>
      <c r="D9690" s="3">
        <v>1.0</v>
      </c>
    </row>
    <row r="9691" ht="15.75" customHeight="1">
      <c r="A9691" s="1">
        <v>10426.0</v>
      </c>
      <c r="B9691" s="3" t="s">
        <v>9275</v>
      </c>
      <c r="C9691" s="3" t="str">
        <f>IFERROR(__xludf.DUMMYFUNCTION("GOOGLETRANSLATE(B9691,""id"",""en"")"),"['Star', 'talk', '']")</f>
        <v>['Star', 'talk', '']</v>
      </c>
      <c r="D9691" s="3">
        <v>1.0</v>
      </c>
    </row>
    <row r="9692" ht="15.75" customHeight="1">
      <c r="A9692" s="1">
        <v>10427.0</v>
      </c>
      <c r="B9692" s="3" t="s">
        <v>9276</v>
      </c>
      <c r="C9692" s="3" t="str">
        <f>IFERROR(__xludf.DUMMYFUNCTION("GOOGLETRANSLATE(B9692,""id"",""en"")"),"['Increase', 'convenience', 'comfort', 'user', ""]")</f>
        <v>['Increase', 'convenience', 'comfort', 'user', "]</v>
      </c>
      <c r="D9692" s="3">
        <v>3.0</v>
      </c>
    </row>
    <row r="9693" ht="15.75" customHeight="1">
      <c r="A9693" s="1">
        <v>10428.0</v>
      </c>
      <c r="B9693" s="3" t="s">
        <v>9277</v>
      </c>
      <c r="C9693" s="3" t="str">
        <f>IFERROR(__xludf.DUMMYFUNCTION("GOOGLETRANSLATE(B9693,""id"",""en"")"),"['Error', 'buy', 'package', 'data', 'woi', '']")</f>
        <v>['Error', 'buy', 'package', 'data', 'woi', '']</v>
      </c>
      <c r="D9693" s="3">
        <v>1.0</v>
      </c>
    </row>
    <row r="9694" ht="15.75" customHeight="1">
      <c r="A9694" s="1">
        <v>10429.0</v>
      </c>
      <c r="B9694" s="3" t="s">
        <v>9278</v>
      </c>
      <c r="C9694" s="3" t="str">
        <f>IFERROR(__xludf.DUMMYFUNCTION("GOOGLETRANSLATE(B9694,""id"",""en"")"),"['Telkomsel', 'Open', 'Very', 'The Chief', 'Please', 'Fix']")</f>
        <v>['Telkomsel', 'Open', 'Very', 'The Chief', 'Please', 'Fix']</v>
      </c>
      <c r="D9694" s="3">
        <v>1.0</v>
      </c>
    </row>
    <row r="9695" ht="15.75" customHeight="1">
      <c r="A9695" s="1">
        <v>10431.0</v>
      </c>
      <c r="B9695" s="3" t="s">
        <v>9279</v>
      </c>
      <c r="C9695" s="3" t="str">
        <f>IFERROR(__xludf.DUMMYFUNCTION("GOOGLETRANSLATE(B9695,""id"",""en"")"),"['Telkomsel', 'paleng', 'zinc', 'bae', 'network', '']")</f>
        <v>['Telkomsel', 'paleng', 'zinc', 'bae', 'network', '']</v>
      </c>
      <c r="D9695" s="3">
        <v>5.0</v>
      </c>
    </row>
    <row r="9696" ht="15.75" customHeight="1">
      <c r="A9696" s="1">
        <v>10432.0</v>
      </c>
      <c r="B9696" s="3" t="s">
        <v>9280</v>
      </c>
      <c r="C9696" s="3" t="str">
        <f>IFERROR(__xludf.DUMMYFUNCTION("GOOGLETRANSLATE(B9696,""id"",""en"")"),"['Sjnyal', 'threat']")</f>
        <v>['Sjnyal', 'threat']</v>
      </c>
      <c r="D9696" s="3">
        <v>1.0</v>
      </c>
    </row>
    <row r="9697" ht="15.75" customHeight="1">
      <c r="A9697" s="1">
        <v>10433.0</v>
      </c>
      <c r="B9697" s="3" t="s">
        <v>9281</v>
      </c>
      <c r="C9697" s="3" t="str">
        <f>IFERROR(__xludf.DUMMYFUNCTION("GOOGLETRANSLATE(B9697,""id"",""en"")"),"['Woy', 'bald', 'network', 'area', 'Putussibau', 'cave', 'already', 'Cape', 'clay', 'cricket', 'please', 'love', ' His response ',' Region ',' Sintang ',' Meet ',' Solution ',' Make ',' Telkom ',' Region ',' Atin ',' Engkon ',' Cave ',' Ride ',' President"&amp;" ' , 'anjirrrt', 'sorry', 'rough', '']")</f>
        <v>['Woy', 'bald', 'network', 'area', 'Putussibau', 'cave', 'already', 'Cape', 'clay', 'cricket', 'please', 'love', ' His response ',' Region ',' Sintang ',' Meet ',' Solution ',' Make ',' Telkom ',' Region ',' Atin ',' Engkon ',' Cave ',' Ride ',' President ' , 'anjirrrt', 'sorry', 'rough', '']</v>
      </c>
      <c r="D9697" s="3">
        <v>3.0</v>
      </c>
    </row>
    <row r="9698" ht="15.75" customHeight="1">
      <c r="A9698" s="1">
        <v>10434.0</v>
      </c>
      <c r="B9698" s="3" t="s">
        <v>9282</v>
      </c>
      <c r="C9698" s="3" t="str">
        <f>IFERROR(__xludf.DUMMYFUNCTION("GOOGLETRANSLATE(B9698,""id"",""en"")"),"['Credit', 'Reduced', 'Used', 'Package', 'Internet', '']")</f>
        <v>['Credit', 'Reduced', 'Used', 'Package', 'Internet', '']</v>
      </c>
      <c r="D9698" s="3">
        <v>1.0</v>
      </c>
    </row>
    <row r="9699" ht="15.75" customHeight="1">
      <c r="A9699" s="1">
        <v>10435.0</v>
      </c>
      <c r="B9699" s="3" t="s">
        <v>9283</v>
      </c>
      <c r="C9699" s="3" t="str">
        <f>IFERROR(__xludf.DUMMYFUNCTION("GOOGLETRANSLATE(B9699,""id"",""en"")"),"['the price is cheap']")</f>
        <v>['the price is cheap']</v>
      </c>
      <c r="D9699" s="3">
        <v>5.0</v>
      </c>
    </row>
    <row r="9700" ht="15.75" customHeight="1">
      <c r="A9700" s="1">
        <v>10437.0</v>
      </c>
      <c r="B9700" s="3" t="s">
        <v>9284</v>
      </c>
      <c r="C9700" s="3" t="str">
        <f>IFERROR(__xludf.DUMMYFUNCTION("GOOGLETRANSLATE(B9700,""id"",""en"")"),"['try try', '']")</f>
        <v>['try try', '']</v>
      </c>
      <c r="D9700" s="3">
        <v>3.0</v>
      </c>
    </row>
    <row r="9701" ht="15.75" customHeight="1">
      <c r="A9701" s="1">
        <v>10439.0</v>
      </c>
      <c r="B9701" s="3" t="s">
        <v>2836</v>
      </c>
      <c r="C9701" s="3" t="str">
        <f>IFERROR(__xludf.DUMMYFUNCTION("GOOGLETRANSLATE(B9701,""id"",""en"")"),"['Help', 'price', 'cheap']")</f>
        <v>['Help', 'price', 'cheap']</v>
      </c>
      <c r="D9701" s="3">
        <v>5.0</v>
      </c>
    </row>
    <row r="9702" ht="15.75" customHeight="1">
      <c r="A9702" s="1">
        <v>10440.0</v>
      </c>
      <c r="B9702" s="3" t="s">
        <v>261</v>
      </c>
      <c r="C9702" s="3" t="str">
        <f>IFERROR(__xludf.DUMMYFUNCTION("GOOGLETRANSLATE(B9702,""id"",""en"")"),"['Mantab']")</f>
        <v>['Mantab']</v>
      </c>
      <c r="D9702" s="3">
        <v>5.0</v>
      </c>
    </row>
    <row r="9703" ht="15.75" customHeight="1">
      <c r="A9703" s="1">
        <v>10441.0</v>
      </c>
      <c r="B9703" s="3" t="s">
        <v>677</v>
      </c>
      <c r="C9703" s="3" t="str">
        <f>IFERROR(__xludf.DUMMYFUNCTION("GOOGLETRANSLATE(B9703,""id"",""en"")"),"['Telkomsel']")</f>
        <v>['Telkomsel']</v>
      </c>
      <c r="D9703" s="3">
        <v>5.0</v>
      </c>
    </row>
    <row r="9704" ht="15.75" customHeight="1">
      <c r="A9704" s="1">
        <v>10442.0</v>
      </c>
      <c r="B9704" s="3" t="s">
        <v>9285</v>
      </c>
      <c r="C9704" s="3" t="str">
        <f>IFERROR(__xludf.DUMMYFUNCTION("GOOGLETRANSLATE(B9704,""id"",""en"")"),"['Migration', 'Provider', 'Laen', 'Rame', 'suggestion', 'ignore', 'Spring', 'signal', 'ugly', 'provider', 'confused', 'good', ' Stayed ',' DMN ',' Jakarta ',' ble ', ""]")</f>
        <v>['Migration', 'Provider', 'Laen', 'Rame', 'suggestion', 'ignore', 'Spring', 'signal', 'ugly', 'provider', 'confused', 'good', ' Stayed ',' DMN ',' Jakarta ',' ble ', "]</v>
      </c>
      <c r="D9704" s="3">
        <v>1.0</v>
      </c>
    </row>
    <row r="9705" ht="15.75" customHeight="1">
      <c r="A9705" s="1">
        <v>10443.0</v>
      </c>
      <c r="B9705" s="3" t="s">
        <v>9286</v>
      </c>
      <c r="C9705" s="3" t="str">
        <f>IFERROR(__xludf.DUMMYFUNCTION("GOOGLETRANSLATE(B9705,""id"",""en"")"),"['apk', 'fraudster', 'top', 'error', 'refund', 'enter', 'loss',' cheater ',' apk ',' broken ',' guarantee ',' regret ',' As long as 'life', 'card', 'telkom']")</f>
        <v>['apk', 'fraudster', 'top', 'error', 'refund', 'enter', 'loss',' cheater ',' apk ',' broken ',' guarantee ',' regret ',' As long as 'life', 'card', 'telkom']</v>
      </c>
      <c r="D9705" s="3">
        <v>1.0</v>
      </c>
    </row>
    <row r="9706" ht="15.75" customHeight="1">
      <c r="A9706" s="1">
        <v>10445.0</v>
      </c>
      <c r="B9706" s="3" t="s">
        <v>9287</v>
      </c>
      <c r="C9706" s="3" t="str">
        <f>IFERROR(__xludf.DUMMYFUNCTION("GOOGLETRANSLATE(B9706,""id"",""en"")"),"['Support', 'really', 'work', 'matur', 'kesuwuunn', 'Telkomsel', 'kmnpppun', 'go', 'you', 'always', 'signal', '']")</f>
        <v>['Support', 'really', 'work', 'matur', 'kesuwuunn', 'Telkomsel', 'kmnpppun', 'go', 'you', 'always', 'signal', '']</v>
      </c>
      <c r="D9706" s="3">
        <v>5.0</v>
      </c>
    </row>
    <row r="9707" ht="15.75" customHeight="1">
      <c r="A9707" s="1">
        <v>10446.0</v>
      </c>
      <c r="B9707" s="3" t="s">
        <v>9288</v>
      </c>
      <c r="C9707" s="3" t="str">
        <f>IFERROR(__xludf.DUMMYFUNCTION("GOOGLETRANSLATE(B9707,""id"",""en"")"),"['Application', 'Help', 'Jos', 'Anyway']")</f>
        <v>['Application', 'Help', 'Jos', 'Anyway']</v>
      </c>
      <c r="D9707" s="3">
        <v>5.0</v>
      </c>
    </row>
    <row r="9708" ht="15.75" customHeight="1">
      <c r="A9708" s="1">
        <v>10447.0</v>
      </c>
      <c r="B9708" s="3" t="s">
        <v>9289</v>
      </c>
      <c r="C9708" s="3" t="str">
        <f>IFERROR(__xludf.DUMMYFUNCTION("GOOGLETRANSLATE(B9708,""id"",""en"")"),"['contents',' plsa ',' rb ',' take ',' package ',' nlf ',' daily ',' fit ',' check ',' package ',' nlf ',' stay ',' minutes', 'pulse', 'stay', 'package', 'internet', 'sim', 'pkai', 'tlg', 'answers',' telkomsel ',' where ',' plsa ',' poor ' , 'plsa', 'mone"&amp;"y', 'that way']")</f>
        <v>['contents',' plsa ',' rb ',' take ',' package ',' nlf ',' daily ',' fit ',' check ',' package ',' nlf ',' stay ',' minutes', 'pulse', 'stay', 'package', 'internet', 'sim', 'pkai', 'tlg', 'answers',' telkomsel ',' where ',' plsa ',' poor ' , 'plsa', 'money', 'that way']</v>
      </c>
      <c r="D9708" s="3">
        <v>1.0</v>
      </c>
    </row>
    <row r="9709" ht="15.75" customHeight="1">
      <c r="A9709" s="1">
        <v>10448.0</v>
      </c>
      <c r="B9709" s="3" t="s">
        <v>9290</v>
      </c>
      <c r="C9709" s="3" t="str">
        <f>IFERROR(__xludf.DUMMYFUNCTION("GOOGLETRANSLATE(B9709,""id"",""en"")"),"['good', 'Telkomsel', 'signal', 'enhanced', 'even though', 'in place', 'Tower', 'Telkomsel', 'customer', 'disappointed', 'thank', ' ']")</f>
        <v>['good', 'Telkomsel', 'signal', 'enhanced', 'even though', 'in place', 'Tower', 'Telkomsel', 'customer', 'disappointed', 'thank', ' ']</v>
      </c>
      <c r="D9709" s="3">
        <v>4.0</v>
      </c>
    </row>
    <row r="9710" ht="15.75" customHeight="1">
      <c r="A9710" s="1">
        <v>10449.0</v>
      </c>
      <c r="B9710" s="3" t="s">
        <v>9291</v>
      </c>
      <c r="C9710" s="3" t="str">
        <f>IFERROR(__xludf.DUMMYFUNCTION("GOOGLETRANSLATE(B9710,""id"",""en"")"),"['Package', 'expensive', 'Quality', 'Equek', 'Signal', 'Edge', 'GPRS', 'Nyigns']")</f>
        <v>['Package', 'expensive', 'Quality', 'Equek', 'Signal', 'Edge', 'GPRS', 'Nyigns']</v>
      </c>
      <c r="D9710" s="3">
        <v>1.0</v>
      </c>
    </row>
    <row r="9711" ht="15.75" customHeight="1">
      <c r="A9711" s="1">
        <v>10450.0</v>
      </c>
      <c r="B9711" s="3" t="s">
        <v>9292</v>
      </c>
      <c r="C9711" s="3" t="str">
        <f>IFERROR(__xludf.DUMMYFUNCTION("GOOGLETRANSLATE(B9711,""id"",""en"")"),"['Develop', 'Payment', 'Top', 'Game']")</f>
        <v>['Develop', 'Payment', 'Top', 'Game']</v>
      </c>
      <c r="D9711" s="3">
        <v>5.0</v>
      </c>
    </row>
    <row r="9712" ht="15.75" customHeight="1">
      <c r="A9712" s="1">
        <v>10451.0</v>
      </c>
      <c r="B9712" s="3" t="s">
        <v>9293</v>
      </c>
      <c r="C9712" s="3" t="str">
        <f>IFERROR(__xludf.DUMMYFUNCTION("GOOGLETRANSLATE(B9712,""id"",""en"")"),"['Staying', 'Points',' Pakek ',' Credit ',' Mantep ',' Seneg ',' Hady ',' Credit ',' Rb ',' Out ',' Gara ',' Gara ',' Record ',' Package ']")</f>
        <v>['Staying', 'Points',' Pakek ',' Credit ',' Mantep ',' Seneg ',' Hady ',' Credit ',' Rb ',' Out ',' Gara ',' Gara ',' Record ',' Package ']</v>
      </c>
      <c r="D9712" s="3">
        <v>1.0</v>
      </c>
    </row>
    <row r="9713" ht="15.75" customHeight="1">
      <c r="A9713" s="1">
        <v>10452.0</v>
      </c>
      <c r="B9713" s="3" t="s">
        <v>9294</v>
      </c>
      <c r="C9713" s="3" t="str">
        <f>IFERROR(__xludf.DUMMYFUNCTION("GOOGLETRANSLATE(B9713,""id"",""en"")"),"['Josss', 'Gandos', 'really', 'Best']")</f>
        <v>['Josss', 'Gandos', 'really', 'Best']</v>
      </c>
      <c r="D9713" s="3">
        <v>5.0</v>
      </c>
    </row>
    <row r="9714" ht="15.75" customHeight="1">
      <c r="A9714" s="1">
        <v>10453.0</v>
      </c>
      <c r="B9714" s="3" t="s">
        <v>9295</v>
      </c>
      <c r="C9714" s="3" t="str">
        <f>IFERROR(__xludf.DUMMYFUNCTION("GOOGLETRANSLATE(B9714,""id"",""en"")"),"['Wonder', 'knapa', 'network', 'ugly', 'at the time', 'quota', 'leftover', 'pdahal', 'GB', 'troubling', 'at the time', 'network', ' is lost', '']")</f>
        <v>['Wonder', 'knapa', 'network', 'ugly', 'at the time', 'quota', 'leftover', 'pdahal', 'GB', 'troubling', 'at the time', 'network', ' is lost', '']</v>
      </c>
      <c r="D9714" s="3">
        <v>1.0</v>
      </c>
    </row>
    <row r="9715" ht="15.75" customHeight="1">
      <c r="A9715" s="1">
        <v>10454.0</v>
      </c>
      <c r="B9715" s="3" t="s">
        <v>9296</v>
      </c>
      <c r="C9715" s="3" t="str">
        <f>IFERROR(__xludf.DUMMYFUNCTION("GOOGLETRANSLATE(B9715,""id"",""en"")"),"['Satisfied', 'use', 'MyTelkomsel', 'bid', 'quota', 'cheap']")</f>
        <v>['Satisfied', 'use', 'MyTelkomsel', 'bid', 'quota', 'cheap']</v>
      </c>
      <c r="D9715" s="3">
        <v>5.0</v>
      </c>
    </row>
    <row r="9716" ht="15.75" customHeight="1">
      <c r="A9716" s="1">
        <v>10455.0</v>
      </c>
      <c r="B9716" s="3" t="s">
        <v>9297</v>
      </c>
      <c r="C9716" s="3" t="str">
        <f>IFERROR(__xludf.DUMMYFUNCTION("GOOGLETRANSLATE(B9716,""id"",""en"")"),"['Add', 'Promo']")</f>
        <v>['Add', 'Promo']</v>
      </c>
      <c r="D9716" s="3">
        <v>5.0</v>
      </c>
    </row>
    <row r="9717" ht="15.75" customHeight="1">
      <c r="A9717" s="1">
        <v>10456.0</v>
      </c>
      <c r="B9717" s="3" t="s">
        <v>9298</v>
      </c>
      <c r="C9717" s="3" t="str">
        <f>IFERROR(__xludf.DUMMYFUNCTION("GOOGLETRANSLATE(B9717,""id"",""en"")"),"['Paketan', 'good', 'good', 'in my opinion', 'hope', 'still', 'like', 'gini', 'reduced', 'expensive', 'price', 'paketan', ' Jangam ',' Missing ',' Type ',' Paketan ',' Okay ',' Love ',' Star ',' Nnti ',' Love ',' Bintang ',' Paketan ',' Change ',' Change "&amp;"' ]")</f>
        <v>['Paketan', 'good', 'good', 'in my opinion', 'hope', 'still', 'like', 'gini', 'reduced', 'expensive', 'price', 'paketan', ' Jangam ',' Missing ',' Type ',' Paketan ',' Okay ',' Love ',' Star ',' Nnti ',' Love ',' Bintang ',' Paketan ',' Change ',' Change ' ]</v>
      </c>
      <c r="D9717" s="3">
        <v>4.0</v>
      </c>
    </row>
    <row r="9718" ht="15.75" customHeight="1">
      <c r="A9718" s="1">
        <v>10457.0</v>
      </c>
      <c r="B9718" s="3" t="s">
        <v>9299</v>
      </c>
      <c r="C9718" s="3" t="str">
        <f>IFERROR(__xludf.DUMMYFUNCTION("GOOGLETRANSLATE(B9718,""id"",""en"")"),"['It's easy', 'communicating', 'Where', 'Features', 'Promo']")</f>
        <v>['It's easy', 'communicating', 'Where', 'Features', 'Promo']</v>
      </c>
      <c r="D9718" s="3">
        <v>5.0</v>
      </c>
    </row>
    <row r="9719" ht="15.75" customHeight="1">
      <c r="A9719" s="1">
        <v>10458.0</v>
      </c>
      <c r="B9719" s="3" t="s">
        <v>9300</v>
      </c>
      <c r="C9719" s="3" t="str">
        <f>IFERROR(__xludf.DUMMYFUNCTION("GOOGLETRANSLATE(B9719,""id"",""en"")"),"['Benerin', 'his net', 'cook', 'make', 'smartfren', 'card', 'beaten', 'cook', 'severe', 'smartfren', 'cok', 'buy', ' cards', 'Karna', 'smooth', 'Severe', 'Jancoook', 'Region', 'Semarang', 'Java', 'please', 'devoleper', 'Have', 'Listen', 'Isak' , 'Cry', 'i"&amp;"nner', 'make', 'card', 'price', 'expensive', 'signal', 'poor']")</f>
        <v>['Benerin', 'his net', 'cook', 'make', 'smartfren', 'card', 'beaten', 'cook', 'severe', 'smartfren', 'cok', 'buy', ' cards', 'Karna', 'smooth', 'Severe', 'Jancoook', 'Region', 'Semarang', 'Java', 'please', 'devoleper', 'Have', 'Listen', 'Isak' , 'Cry', 'inner', 'make', 'card', 'price', 'expensive', 'signal', 'poor']</v>
      </c>
      <c r="D9719" s="3">
        <v>1.0</v>
      </c>
    </row>
    <row r="9720" ht="15.75" customHeight="1">
      <c r="A9720" s="1">
        <v>10459.0</v>
      </c>
      <c r="B9720" s="3" t="s">
        <v>3049</v>
      </c>
      <c r="C9720" s="3" t="str">
        <f>IFERROR(__xludf.DUMMYFUNCTION("GOOGLETRANSLATE(B9720,""id"",""en"")"),"['Network', 'stable']")</f>
        <v>['Network', 'stable']</v>
      </c>
      <c r="D9720" s="3">
        <v>1.0</v>
      </c>
    </row>
    <row r="9721" ht="15.75" customHeight="1">
      <c r="A9721" s="1">
        <v>10460.0</v>
      </c>
      <c r="B9721" s="3" t="s">
        <v>9301</v>
      </c>
      <c r="C9721" s="3" t="str">
        <f>IFERROR(__xludf.DUMMYFUNCTION("GOOGLETRANSLATE(B9721,""id"",""en"")"),"['Network', 'ngeta']")</f>
        <v>['Network', 'ngeta']</v>
      </c>
      <c r="D9721" s="3">
        <v>5.0</v>
      </c>
    </row>
    <row r="9722" ht="15.75" customHeight="1">
      <c r="A9722" s="1">
        <v>10461.0</v>
      </c>
      <c r="B9722" s="3" t="s">
        <v>9302</v>
      </c>
      <c r="C9722" s="3" t="str">
        <f>IFERROR(__xludf.DUMMYFUNCTION("GOOGLETRANSLATE(B9722,""id"",""en"")"),"['tight']")</f>
        <v>['tight']</v>
      </c>
      <c r="D9722" s="3">
        <v>5.0</v>
      </c>
    </row>
    <row r="9723" ht="15.75" customHeight="1">
      <c r="A9723" s="1">
        <v>10463.0</v>
      </c>
      <c r="B9723" s="3" t="s">
        <v>9303</v>
      </c>
      <c r="C9723" s="3" t="str">
        <f>IFERROR(__xludf.DUMMYFUNCTION("GOOGLETRANSLATE(B9723,""id"",""en"")"),"['Telkomsel', 'comfortable']")</f>
        <v>['Telkomsel', 'comfortable']</v>
      </c>
      <c r="D9723" s="3">
        <v>5.0</v>
      </c>
    </row>
    <row r="9724" ht="15.75" customHeight="1">
      <c r="A9724" s="1">
        <v>10464.0</v>
      </c>
      <c r="B9724" s="3" t="s">
        <v>9304</v>
      </c>
      <c r="C9724" s="3" t="str">
        <f>IFERROR(__xludf.DUMMYFUNCTION("GOOGLETRANSLATE(B9724,""id"",""en"")"),"['knpa', 'unlimited', 'max', '']")</f>
        <v>['knpa', 'unlimited', 'max', '']</v>
      </c>
      <c r="D9724" s="3">
        <v>5.0</v>
      </c>
    </row>
    <row r="9725" ht="15.75" customHeight="1">
      <c r="A9725" s="1">
        <v>10465.0</v>
      </c>
      <c r="B9725" s="3" t="s">
        <v>9305</v>
      </c>
      <c r="C9725" s="3" t="str">
        <f>IFERROR(__xludf.DUMMYFUNCTION("GOOGLETRANSLATE(B9725,""id"",""en"")"),"['Provider', 'network', 'worst', 'buy', 'package', 'expensive', 'signal', 'full', 'right', 'play', 'game', 'ping', ' Lawak ',' ']")</f>
        <v>['Provider', 'network', 'worst', 'buy', 'package', 'expensive', 'signal', 'full', 'right', 'play', 'game', 'ping', ' Lawak ',' ']</v>
      </c>
      <c r="D9725" s="3">
        <v>1.0</v>
      </c>
    </row>
    <row r="9726" ht="15.75" customHeight="1">
      <c r="A9726" s="1">
        <v>10466.0</v>
      </c>
      <c r="B9726" s="3" t="s">
        <v>9306</v>
      </c>
      <c r="C9726" s="3" t="str">
        <f>IFERROR(__xludf.DUMMYFUNCTION("GOOGLETRANSLATE(B9726,""id"",""en"")"),"['Top', 'pulse', 'directly', 'Abis', 'bills', 'anything', 'quota', 'cave', 'disappointed', 'really']")</f>
        <v>['Top', 'pulse', 'directly', 'Abis', 'bills', 'anything', 'quota', 'cave', 'disappointed', 'really']</v>
      </c>
      <c r="D9726" s="3">
        <v>1.0</v>
      </c>
    </row>
    <row r="9727" ht="15.75" customHeight="1">
      <c r="A9727" s="1">
        <v>10467.0</v>
      </c>
      <c r="B9727" s="3" t="s">
        <v>9307</v>
      </c>
      <c r="C9727" s="3" t="str">
        <f>IFERROR(__xludf.DUMMYFUNCTION("GOOGLETRANSLATE(B9727,""id"",""en"")"),"['event', 'login', 'already', 'claim', 'ngak', 'enter', 'try', 'claim', 'already', 'point', 'ngilan', 'pulsa', ' Ngilani ',' ']")</f>
        <v>['event', 'login', 'already', 'claim', 'ngak', 'enter', 'try', 'claim', 'already', 'point', 'ngilan', 'pulsa', ' Ngilani ',' ']</v>
      </c>
      <c r="D9727" s="3">
        <v>1.0</v>
      </c>
    </row>
    <row r="9728" ht="15.75" customHeight="1">
      <c r="A9728" s="1">
        <v>10468.0</v>
      </c>
      <c r="B9728" s="3" t="s">
        <v>1510</v>
      </c>
      <c r="C9728" s="3" t="str">
        <f>IFERROR(__xludf.DUMMYFUNCTION("GOOGLETRANSLATE(B9728,""id"",""en"")"),"['Satisfied', 'Telkomsel']")</f>
        <v>['Satisfied', 'Telkomsel']</v>
      </c>
      <c r="D9728" s="3">
        <v>5.0</v>
      </c>
    </row>
    <row r="9729" ht="15.75" customHeight="1">
      <c r="A9729" s="1">
        <v>10469.0</v>
      </c>
      <c r="B9729" s="3" t="s">
        <v>9308</v>
      </c>
      <c r="C9729" s="3" t="str">
        <f>IFERROR(__xludf.DUMMYFUNCTION("GOOGLETRANSLATE(B9729,""id"",""en"")"),"['Yandah', 'already', 'buy', 'quota', 'tetep', 'ngelag', 'base', 'slow']")</f>
        <v>['Yandah', 'already', 'buy', 'quota', 'tetep', 'ngelag', 'base', 'slow']</v>
      </c>
      <c r="D9729" s="3">
        <v>1.0</v>
      </c>
    </row>
    <row r="9730" ht="15.75" customHeight="1">
      <c r="A9730" s="1">
        <v>10470.0</v>
      </c>
      <c r="B9730" s="3" t="s">
        <v>9309</v>
      </c>
      <c r="C9730" s="3" t="str">
        <f>IFERROR(__xludf.DUMMYFUNCTION("GOOGLETRANSLATE(B9730,""id"",""en"")"),"['Want', 'Light']")</f>
        <v>['Want', 'Light']</v>
      </c>
      <c r="D9730" s="3">
        <v>4.0</v>
      </c>
    </row>
    <row r="9731" ht="15.75" customHeight="1">
      <c r="A9731" s="1">
        <v>10471.0</v>
      </c>
      <c r="B9731" s="3" t="s">
        <v>9310</v>
      </c>
      <c r="C9731" s="3" t="str">
        <f>IFERROR(__xludf.DUMMYFUNCTION("GOOGLETRANSLATE(B9731,""id"",""en"")"),"['Telkomsel', 'jringanya', 'slow', 'original', 'area', 'gorotica']")</f>
        <v>['Telkomsel', 'jringanya', 'slow', 'original', 'area', 'gorotica']</v>
      </c>
      <c r="D9731" s="3">
        <v>1.0</v>
      </c>
    </row>
    <row r="9732" ht="15.75" customHeight="1">
      <c r="A9732" s="1">
        <v>10472.0</v>
      </c>
      <c r="B9732" s="3" t="s">
        <v>9311</v>
      </c>
      <c r="C9732" s="3" t="str">
        <f>IFERROR(__xludf.DUMMYFUNCTION("GOOGLETRANSLATE(B9732,""id"",""en"")"),"['Young', 'hopefully', 'fortune']")</f>
        <v>['Young', 'hopefully', 'fortune']</v>
      </c>
      <c r="D9732" s="3">
        <v>3.0</v>
      </c>
    </row>
    <row r="9733" ht="15.75" customHeight="1">
      <c r="A9733" s="1">
        <v>10473.0</v>
      </c>
      <c r="B9733" s="3" t="s">
        <v>1466</v>
      </c>
      <c r="C9733" s="3" t="str">
        <f>IFERROR(__xludf.DUMMYFUNCTION("GOOGLETRANSLATE(B9733,""id"",""en"")"),"['easy', 'fast']")</f>
        <v>['easy', 'fast']</v>
      </c>
      <c r="D9733" s="3">
        <v>5.0</v>
      </c>
    </row>
    <row r="9734" ht="15.75" customHeight="1">
      <c r="A9734" s="1">
        <v>10474.0</v>
      </c>
      <c r="B9734" s="3" t="s">
        <v>9312</v>
      </c>
      <c r="C9734" s="3" t="str">
        <f>IFERROR(__xludf.DUMMYFUNCTION("GOOGLETRANSLATE(B9734,""id"",""en"")"),"['Contents',' pulse ',' directly ',' Cut "", 'How', 'Cave', 'Loss',' Anyway ',""]")</f>
        <v>['Contents',' pulse ',' directly ',' Cut ", 'How', 'Cave', 'Loss',' Anyway ',"]</v>
      </c>
      <c r="D9734" s="3">
        <v>1.0</v>
      </c>
    </row>
    <row r="9735" ht="15.75" customHeight="1">
      <c r="A9735" s="1">
        <v>10476.0</v>
      </c>
      <c r="B9735" s="3" t="s">
        <v>1017</v>
      </c>
      <c r="C9735" s="3" t="str">
        <f>IFERROR(__xludf.DUMMYFUNCTION("GOOGLETRANSLATE(B9735,""id"",""en"")"),"['application']")</f>
        <v>['application']</v>
      </c>
      <c r="D9735" s="3">
        <v>5.0</v>
      </c>
    </row>
    <row r="9736" ht="15.75" customHeight="1">
      <c r="A9736" s="1">
        <v>10478.0</v>
      </c>
      <c r="B9736" s="3" t="s">
        <v>9313</v>
      </c>
      <c r="C9736" s="3" t="str">
        <f>IFERROR(__xludf.DUMMYFUNCTION("GOOGLETRANSLATE(B9736,""id"",""en"")"),"['love', 'promo', 'add', 'star', '']")</f>
        <v>['love', 'promo', 'add', 'star', '']</v>
      </c>
      <c r="D9736" s="3">
        <v>4.0</v>
      </c>
    </row>
    <row r="9737" ht="15.75" customHeight="1">
      <c r="A9737" s="1">
        <v>10479.0</v>
      </c>
      <c r="B9737" s="3" t="s">
        <v>9314</v>
      </c>
      <c r="C9737" s="3" t="str">
        <f>IFERROR(__xludf.DUMMYFUNCTION("GOOGLETRANSLATE(B9737,""id"",""en"")"),"['Try', 'Entar', 'Good', 'Full', 'Star']")</f>
        <v>['Try', 'Entar', 'Good', 'Full', 'Star']</v>
      </c>
      <c r="D9737" s="3">
        <v>4.0</v>
      </c>
    </row>
    <row r="9738" ht="15.75" customHeight="1">
      <c r="A9738" s="1">
        <v>10480.0</v>
      </c>
      <c r="B9738" s="3" t="s">
        <v>9315</v>
      </c>
      <c r="C9738" s="3" t="str">
        <f>IFERROR(__xludf.DUMMYFUNCTION("GOOGLETRANSLATE(B9738,""id"",""en"")"),"['Not bad', 'promo']")</f>
        <v>['Not bad', 'promo']</v>
      </c>
      <c r="D9738" s="3">
        <v>5.0</v>
      </c>
    </row>
    <row r="9739" ht="15.75" customHeight="1">
      <c r="A9739" s="1">
        <v>10481.0</v>
      </c>
      <c r="B9739" s="3" t="s">
        <v>9316</v>
      </c>
      <c r="C9739" s="3" t="str">
        <f>IFERROR(__xludf.DUMMYFUNCTION("GOOGLETRANSLATE(B9739,""id"",""en"")"),"['Mntap', 'promo']")</f>
        <v>['Mntap', 'promo']</v>
      </c>
      <c r="D9739" s="3">
        <v>5.0</v>
      </c>
    </row>
    <row r="9740" ht="15.75" customHeight="1">
      <c r="A9740" s="1">
        <v>10482.0</v>
      </c>
      <c r="B9740" s="3" t="s">
        <v>9317</v>
      </c>
      <c r="C9740" s="3" t="str">
        <f>IFERROR(__xludf.DUMMYFUNCTION("GOOGLETRANSLATE(B9740,""id"",""en"")"),"['interesting', 'package', 'special', '']")</f>
        <v>['interesting', 'package', 'special', '']</v>
      </c>
      <c r="D9740" s="3">
        <v>5.0</v>
      </c>
    </row>
    <row r="9741" ht="15.75" customHeight="1">
      <c r="A9741" s="1">
        <v>10483.0</v>
      </c>
      <c r="B9741" s="3" t="s">
        <v>9318</v>
      </c>
      <c r="C9741" s="3" t="str">
        <f>IFERROR(__xludf.DUMMYFUNCTION("GOOGLETRANSLATE(B9741,""id"",""en"")"),"['Pandemic', 'How', 'price', 'lightening', '']")</f>
        <v>['Pandemic', 'How', 'price', 'lightening', '']</v>
      </c>
      <c r="D9741" s="3">
        <v>4.0</v>
      </c>
    </row>
    <row r="9742" ht="15.75" customHeight="1">
      <c r="A9742" s="1">
        <v>10484.0</v>
      </c>
      <c r="B9742" s="3" t="s">
        <v>9319</v>
      </c>
      <c r="C9742" s="3" t="str">
        <f>IFERROR(__xludf.DUMMYFUNCTION("GOOGLETRANSLATE(B9742,""id"",""en"")"),"['Steady', 'proven', 'people', 'countryside', 'remote', '']")</f>
        <v>['Steady', 'proven', 'people', 'countryside', 'remote', '']</v>
      </c>
      <c r="D9742" s="3">
        <v>4.0</v>
      </c>
    </row>
    <row r="9743" ht="15.75" customHeight="1">
      <c r="A9743" s="1">
        <v>10485.0</v>
      </c>
      <c r="B9743" s="3" t="s">
        <v>9320</v>
      </c>
      <c r="C9743" s="3" t="str">
        <f>IFERROR(__xludf.DUMMYFUNCTION("GOOGLETRANSLATE(B9743,""id"",""en"")"),"['Star', 'Threat', 'sinya', 'buy', 'package', 'expensive', 'signal', 'maximum', 'maen', 'game', 'ngelag', 'contents',' elanggans', 'blur', 'signal', 'weak']")</f>
        <v>['Star', 'Threat', 'sinya', 'buy', 'package', 'expensive', 'signal', 'maximum', 'maen', 'game', 'ngelag', 'contents',' elanggans', 'blur', 'signal', 'weak']</v>
      </c>
      <c r="D9743" s="3">
        <v>1.0</v>
      </c>
    </row>
    <row r="9744" ht="15.75" customHeight="1">
      <c r="A9744" s="1">
        <v>10486.0</v>
      </c>
      <c r="B9744" s="3" t="s">
        <v>9321</v>
      </c>
      <c r="C9744" s="3" t="str">
        <f>IFERROR(__xludf.DUMMYFUNCTION("GOOGLETRANSLATE(B9744,""id"",""en"")"),"['woy', 'spam', 'sms', 'promo', '']")</f>
        <v>['woy', 'spam', 'sms', 'promo', '']</v>
      </c>
      <c r="D9744" s="3">
        <v>1.0</v>
      </c>
    </row>
    <row r="9745" ht="15.75" customHeight="1">
      <c r="A9745" s="1">
        <v>10487.0</v>
      </c>
      <c r="B9745" s="3" t="s">
        <v>6798</v>
      </c>
      <c r="C9745" s="3" t="str">
        <f>IFERROR(__xludf.DUMMYFUNCTION("GOOGLETRANSLATE(B9745,""id"",""en"")"),"['Hope it is useful']")</f>
        <v>['Hope it is useful']</v>
      </c>
      <c r="D9745" s="3">
        <v>5.0</v>
      </c>
    </row>
    <row r="9746" ht="15.75" customHeight="1">
      <c r="A9746" s="1">
        <v>10488.0</v>
      </c>
      <c r="B9746" s="3" t="s">
        <v>9322</v>
      </c>
      <c r="C9746" s="3" t="str">
        <f>IFERROR(__xludf.DUMMYFUNCTION("GOOGLETRANSLATE(B9746,""id"",""en"")"),"['Good', 'Manep', 'Bosa', 'Cheap']")</f>
        <v>['Good', 'Manep', 'Bosa', 'Cheap']</v>
      </c>
      <c r="D9746" s="3">
        <v>4.0</v>
      </c>
    </row>
    <row r="9747" ht="15.75" customHeight="1">
      <c r="A9747" s="1">
        <v>10489.0</v>
      </c>
      <c r="B9747" s="3" t="s">
        <v>9323</v>
      </c>
      <c r="C9747" s="3" t="str">
        <f>IFERROR(__xludf.DUMMYFUNCTION("GOOGLETRANSLATE(B9747,""id"",""en"")"),"['best', 'makes it easy', 'shopping', 'package', '']")</f>
        <v>['best', 'makes it easy', 'shopping', 'package', '']</v>
      </c>
      <c r="D9747" s="3">
        <v>5.0</v>
      </c>
    </row>
    <row r="9748" ht="15.75" customHeight="1">
      <c r="A9748" s="1">
        <v>10491.0</v>
      </c>
      <c r="B9748" s="3" t="s">
        <v>9324</v>
      </c>
      <c r="C9748" s="3" t="str">
        <f>IFERROR(__xludf.DUMMYFUNCTION("GOOGLETRANSLATE(B9748,""id"",""en"")"),"['Since', 'season', 'Rain', 'Signal', 'Telkomsel', 'Leet', 'Gada', 'Speed', 'Please', 'toa', 'Telkomsel', 'Region', ' remote ',' pleaseggg ',' speed ']")</f>
        <v>['Since', 'season', 'Rain', 'Signal', 'Telkomsel', 'Leet', 'Gada', 'Speed', 'Please', 'toa', 'Telkomsel', 'Region', ' remote ',' pleaseggg ',' speed ']</v>
      </c>
      <c r="D9748" s="3">
        <v>1.0</v>
      </c>
    </row>
    <row r="9749" ht="15.75" customHeight="1">
      <c r="A9749" s="1">
        <v>10492.0</v>
      </c>
      <c r="B9749" s="3" t="s">
        <v>9325</v>
      </c>
      <c r="C9749" s="3" t="str">
        <f>IFERROR(__xludf.DUMMYFUNCTION("GOOGLETRANSLATE(B9749,""id"",""en"")"),"['Telkomsel', 'emang', 'manep', 'signal', 'price', 'expensive', '']")</f>
        <v>['Telkomsel', 'emang', 'manep', 'signal', 'price', 'expensive', '']</v>
      </c>
      <c r="D9749" s="3">
        <v>5.0</v>
      </c>
    </row>
    <row r="9750" ht="15.75" customHeight="1">
      <c r="A9750" s="1">
        <v>10493.0</v>
      </c>
      <c r="B9750" s="3" t="s">
        <v>9326</v>
      </c>
      <c r="C9750" s="3" t="str">
        <f>IFERROR(__xludf.DUMMYFUNCTION("GOOGLETRANSLATE(B9750,""id"",""en"")"),"['in the heart']")</f>
        <v>['in the heart']</v>
      </c>
      <c r="D9750" s="3">
        <v>5.0</v>
      </c>
    </row>
    <row r="9751" ht="15.75" customHeight="1">
      <c r="A9751" s="1">
        <v>10494.0</v>
      </c>
      <c r="B9751" s="3" t="s">
        <v>9327</v>
      </c>
      <c r="C9751" s="3" t="str">
        <f>IFERROR(__xludf.DUMMYFUNCTION("GOOGLETRANSLATE(B9751,""id"",""en"")"),"['steady', 'direct', 'check', 'pulse', 'quota', '']")</f>
        <v>['steady', 'direct', 'check', 'pulse', 'quota', '']</v>
      </c>
      <c r="D9751" s="3">
        <v>5.0</v>
      </c>
    </row>
    <row r="9752" ht="15.75" customHeight="1">
      <c r="A9752" s="1">
        <v>10496.0</v>
      </c>
      <c r="B9752" s="3" t="s">
        <v>9328</v>
      </c>
      <c r="C9752" s="3" t="str">
        <f>IFERROR(__xludf.DUMMYFUNCTION("GOOGLETRANSLATE(B9752,""id"",""en"")"),"['buy', 'package', 'tick', 'tok', 'via', 'Telkomsel', 'failed', 'balance', 'ovo', 'truncated', 'send', 'report', ' Via ',' email ',' times', 'solution', 'Professional', '']")</f>
        <v>['buy', 'package', 'tick', 'tok', 'via', 'Telkomsel', 'failed', 'balance', 'ovo', 'truncated', 'send', 'report', ' Via ',' email ',' times', 'solution', 'Professional', '']</v>
      </c>
      <c r="D9752" s="3">
        <v>1.0</v>
      </c>
    </row>
    <row r="9753" ht="15.75" customHeight="1">
      <c r="A9753" s="1">
        <v>10498.0</v>
      </c>
      <c r="B9753" s="3" t="s">
        <v>9329</v>
      </c>
      <c r="C9753" s="3" t="str">
        <f>IFERROR(__xludf.DUMMYFUNCTION("GOOGLETRANSLATE(B9753,""id"",""en"")"),"['disappointed', 'already', 'Not bad', 'Telkomsel', 'signal', 'good', 'severe', 'really', 'hope', 'fix', 'increase', 'service', ' Telkomsel ',' ']")</f>
        <v>['disappointed', 'already', 'Not bad', 'Telkomsel', 'signal', 'good', 'severe', 'really', 'hope', 'fix', 'increase', 'service', ' Telkomsel ',' ']</v>
      </c>
      <c r="D9753" s="3">
        <v>1.0</v>
      </c>
    </row>
    <row r="9754" ht="15.75" customHeight="1">
      <c r="A9754" s="1">
        <v>10499.0</v>
      </c>
      <c r="B9754" s="3" t="s">
        <v>9330</v>
      </c>
      <c r="C9754" s="3" t="str">
        <f>IFERROR(__xludf.DUMMYFUNCTION("GOOGLETRANSLATE(B9754,""id"",""en"")"),"['apk', 'help', 'thank', 'love', 'Telkomsel', '']")</f>
        <v>['apk', 'help', 'thank', 'love', 'Telkomsel', '']</v>
      </c>
      <c r="D9754" s="3">
        <v>5.0</v>
      </c>
    </row>
    <row r="9755" ht="15.75" customHeight="1">
      <c r="A9755" s="1">
        <v>10500.0</v>
      </c>
      <c r="B9755" s="3" t="s">
        <v>9331</v>
      </c>
      <c r="C9755" s="3" t="str">
        <f>IFERROR(__xludf.DUMMYFUNCTION("GOOGLETRANSLATE(B9755,""id"",""en"")"),"['reload phone credit']")</f>
        <v>['reload phone credit']</v>
      </c>
      <c r="D9755" s="3">
        <v>1.0</v>
      </c>
    </row>
    <row r="9756" ht="15.75" customHeight="1">
      <c r="A9756" s="1">
        <v>10501.0</v>
      </c>
      <c r="B9756" s="3" t="s">
        <v>9332</v>
      </c>
      <c r="C9756" s="3" t="str">
        <f>IFERROR(__xludf.DUMMYFUNCTION("GOOGLETRANSLATE(B9756,""id"",""en"")"),"['Increase', 'Quality', 'Network', 'Rustic']")</f>
        <v>['Increase', 'Quality', 'Network', 'Rustic']</v>
      </c>
      <c r="D9756" s="3">
        <v>4.0</v>
      </c>
    </row>
    <row r="9757" ht="15.75" customHeight="1">
      <c r="A9757" s="1">
        <v>10502.0</v>
      </c>
      <c r="B9757" s="3" t="s">
        <v>4873</v>
      </c>
      <c r="C9757" s="3" t="str">
        <f>IFERROR(__xludf.DUMMYFUNCTION("GOOGLETRANSLATE(B9757,""id"",""en"")"),"['', '']")</f>
        <v>['', '']</v>
      </c>
      <c r="D9757" s="3">
        <v>1.0</v>
      </c>
    </row>
    <row r="9758" ht="15.75" customHeight="1">
      <c r="A9758" s="1">
        <v>10504.0</v>
      </c>
      <c r="B9758" s="3" t="s">
        <v>9333</v>
      </c>
      <c r="C9758" s="3" t="str">
        <f>IFERROR(__xludf.DUMMYFUNCTION("GOOGLETRANSLATE(B9758,""id"",""en"")"),"['Application', 'Lemot', 'crash']")</f>
        <v>['Application', 'Lemot', 'crash']</v>
      </c>
      <c r="D9758" s="3">
        <v>1.0</v>
      </c>
    </row>
    <row r="9759" ht="15.75" customHeight="1">
      <c r="A9759" s="1">
        <v>10505.0</v>
      </c>
      <c r="B9759" s="3" t="s">
        <v>9334</v>
      </c>
      <c r="C9759" s="3" t="str">
        <f>IFERROR(__xludf.DUMMYFUNCTION("GOOGLETRANSLATE(B9759,""id"",""en"")"),"['Mantaul', 'Rain', 'Disorders']")</f>
        <v>['Mantaul', 'Rain', 'Disorders']</v>
      </c>
      <c r="D9759" s="3">
        <v>5.0</v>
      </c>
    </row>
    <row r="9760" ht="15.75" customHeight="1">
      <c r="A9760" s="1">
        <v>10506.0</v>
      </c>
      <c r="B9760" s="3" t="s">
        <v>9335</v>
      </c>
      <c r="C9760" s="3" t="str">
        <f>IFERROR(__xludf.DUMMYFUNCTION("GOOGLETRANSLATE(B9760,""id"",""en"")"),"['Top', 'Game', 'Credit', 'Telkomsel', 'Credit', 'Page', 'Process',' Top ',' Game ',' Written ',' Available ',' Please ',' Repaired ',' min ']")</f>
        <v>['Top', 'Game', 'Credit', 'Telkomsel', 'Credit', 'Page', 'Process',' Top ',' Game ',' Written ',' Available ',' Please ',' Repaired ',' min ']</v>
      </c>
      <c r="D9760" s="3">
        <v>1.0</v>
      </c>
    </row>
    <row r="9761" ht="15.75" customHeight="1">
      <c r="A9761" s="1">
        <v>10507.0</v>
      </c>
      <c r="B9761" s="3" t="s">
        <v>9336</v>
      </c>
      <c r="C9761" s="3" t="str">
        <f>IFERROR(__xludf.DUMMYFUNCTION("GOOGLETRANSLATE(B9761,""id"",""en"")"),"['Interaction', 'transaction', 'Inter', 'Personal', 'smooth', 'widespread', '']")</f>
        <v>['Interaction', 'transaction', 'Inter', 'Personal', 'smooth', 'widespread', '']</v>
      </c>
      <c r="D9761" s="3">
        <v>4.0</v>
      </c>
    </row>
    <row r="9762" ht="15.75" customHeight="1">
      <c r="A9762" s="1">
        <v>10508.0</v>
      </c>
      <c r="B9762" s="3" t="s">
        <v>217</v>
      </c>
      <c r="C9762" s="3" t="str">
        <f>IFERROR(__xludf.DUMMYFUNCTION("GOOGLETRANSLATE(B9762,""id"",""en"")"),"['satisfying', '']")</f>
        <v>['satisfying', '']</v>
      </c>
      <c r="D9762" s="3">
        <v>5.0</v>
      </c>
    </row>
    <row r="9763" ht="15.75" customHeight="1">
      <c r="A9763" s="1">
        <v>10509.0</v>
      </c>
      <c r="B9763" s="3" t="s">
        <v>9337</v>
      </c>
      <c r="C9763" s="3" t="str">
        <f>IFERROR(__xludf.DUMMYFUNCTION("GOOGLETRANSLATE(B9763,""id"",""en"")"),"['Performance', 'ugly', 'internet', 'down', 'unlimited', 'NGK', '']")</f>
        <v>['Performance', 'ugly', 'internet', 'down', 'unlimited', 'NGK', '']</v>
      </c>
      <c r="D9763" s="3">
        <v>1.0</v>
      </c>
    </row>
    <row r="9764" ht="15.75" customHeight="1">
      <c r="A9764" s="1">
        <v>10510.0</v>
      </c>
      <c r="B9764" s="3" t="s">
        <v>9338</v>
      </c>
      <c r="C9764" s="3" t="str">
        <f>IFERROR(__xludf.DUMMYFUNCTION("GOOGLETRANSLATE(B9764,""id"",""en"")"),"['signal', 'lag', 'expensive', 'buy', 'expensive', 'expensive', 'chaotic', '']")</f>
        <v>['signal', 'lag', 'expensive', 'buy', 'expensive', 'expensive', 'chaotic', '']</v>
      </c>
      <c r="D9764" s="3">
        <v>1.0</v>
      </c>
    </row>
    <row r="9765" ht="15.75" customHeight="1">
      <c r="A9765" s="1">
        <v>10512.0</v>
      </c>
      <c r="B9765" s="3" t="s">
        <v>9339</v>
      </c>
      <c r="C9765" s="3" t="str">
        <f>IFERROR(__xludf.DUMMYFUNCTION("GOOGLETRANSLATE(B9765,""id"",""en"")"),"['easy', 'fractical']")</f>
        <v>['easy', 'fractical']</v>
      </c>
      <c r="D9765" s="3">
        <v>5.0</v>
      </c>
    </row>
    <row r="9766" ht="15.75" customHeight="1">
      <c r="A9766" s="1">
        <v>10513.0</v>
      </c>
      <c r="B9766" s="3" t="s">
        <v>9340</v>
      </c>
      <c r="C9766" s="3" t="str">
        <f>IFERROR(__xludf.DUMMYFUNCTION("GOOGLETRANSLATE(B9766,""id"",""en"")"),"['steady', 'exciting', 'really', 'gay', ""]")</f>
        <v>['steady', 'exciting', 'really', 'gay', "]</v>
      </c>
      <c r="D9766" s="3">
        <v>5.0</v>
      </c>
    </row>
    <row r="9767" ht="15.75" customHeight="1">
      <c r="A9767" s="1">
        <v>10514.0</v>
      </c>
      <c r="B9767" s="3" t="s">
        <v>9341</v>
      </c>
      <c r="C9767" s="3" t="str">
        <f>IFERROR(__xludf.DUMMYFUNCTION("GOOGLETRANSLATE(B9767,""id"",""en"")"),"['smooth', 'rain', 'sometimes', 'slow', 'hope']")</f>
        <v>['smooth', 'rain', 'sometimes', 'slow', 'hope']</v>
      </c>
      <c r="D9767" s="3">
        <v>4.0</v>
      </c>
    </row>
    <row r="9768" ht="15.75" customHeight="1">
      <c r="A9768" s="1">
        <v>10515.0</v>
      </c>
      <c r="B9768" s="3" t="s">
        <v>9342</v>
      </c>
      <c r="C9768" s="3" t="str">
        <f>IFERROR(__xludf.DUMMYFUNCTION("GOOGLETRANSLATE(B9768,""id"",""en"")"),"['The application', 'ugly', 'right', 'enter', 'direct', 'that's', '']")</f>
        <v>['The application', 'ugly', 'right', 'enter', 'direct', 'that's', '']</v>
      </c>
      <c r="D9768" s="3">
        <v>1.0</v>
      </c>
    </row>
    <row r="9769" ht="15.75" customHeight="1">
      <c r="A9769" s="1">
        <v>10516.0</v>
      </c>
      <c r="B9769" s="3" t="s">
        <v>9343</v>
      </c>
      <c r="C9769" s="3" t="str">
        <f>IFERROR(__xludf.DUMMYFUNCTION("GOOGLETRANSLATE(B9769,""id"",""en"")"),"['', 'pulse', 'cave', 'warriel']")</f>
        <v>['', 'pulse', 'cave', 'warriel']</v>
      </c>
      <c r="D9769" s="3">
        <v>1.0</v>
      </c>
    </row>
    <row r="9770" ht="15.75" customHeight="1">
      <c r="A9770" s="1">
        <v>10517.0</v>
      </c>
      <c r="B9770" s="3" t="s">
        <v>9344</v>
      </c>
      <c r="C9770" s="3" t="str">
        <f>IFERROR(__xludf.DUMMYFUNCTION("GOOGLETRANSLATE(B9770,""id"",""en"")"),"['Thanks', 'mmbntu']")</f>
        <v>['Thanks', 'mmbntu']</v>
      </c>
      <c r="D9770" s="3">
        <v>5.0</v>
      </c>
    </row>
    <row r="9771" ht="15.75" customHeight="1">
      <c r="A9771" s="1">
        <v>10518.0</v>
      </c>
      <c r="B9771" s="3" t="s">
        <v>9345</v>
      </c>
      <c r="C9771" s="3" t="str">
        <f>IFERROR(__xludf.DUMMYFUNCTION("GOOGLETRANSLATE(B9771,""id"",""en"")"),"['how', 'open', 'application', 'data', 'empot', 'clock', 'connection', 'lost', 'total', 'buy', 'package', 'sometimes',' Seka ',' Elor ']")</f>
        <v>['how', 'open', 'application', 'data', 'empot', 'clock', 'connection', 'lost', 'total', 'buy', 'package', 'sometimes',' Seka ',' Elor ']</v>
      </c>
      <c r="D9771" s="3">
        <v>2.0</v>
      </c>
    </row>
    <row r="9772" ht="15.75" customHeight="1">
      <c r="A9772" s="1">
        <v>10519.0</v>
      </c>
      <c r="B9772" s="3" t="s">
        <v>9346</v>
      </c>
      <c r="C9772" s="3" t="str">
        <f>IFERROR(__xludf.DUMMYFUNCTION("GOOGLETRANSLATE(B9772,""id"",""en"")"),"['connection', 'area', 'Purwokerto', 'no', 'connects', 'min', 'yesterday', 'night', 'ilang', 'total', ""]")</f>
        <v>['connection', 'area', 'Purwokerto', 'no', 'connects', 'min', 'yesterday', 'night', 'ilang', 'total', "]</v>
      </c>
      <c r="D9772" s="3">
        <v>1.0</v>
      </c>
    </row>
    <row r="9773" ht="15.75" customHeight="1">
      <c r="A9773" s="1">
        <v>10520.0</v>
      </c>
      <c r="B9773" s="3" t="s">
        <v>9347</v>
      </c>
      <c r="C9773" s="3" t="str">
        <f>IFERROR(__xludf.DUMMYFUNCTION("GOOGLETRANSLATE(B9773,""id"",""en"")"),"['Good', 'choice', 'Package']")</f>
        <v>['Good', 'choice', 'Package']</v>
      </c>
      <c r="D9773" s="3">
        <v>5.0</v>
      </c>
    </row>
    <row r="9774" ht="15.75" customHeight="1">
      <c r="A9774" s="1">
        <v>10521.0</v>
      </c>
      <c r="B9774" s="3" t="s">
        <v>779</v>
      </c>
      <c r="C9774" s="3" t="str">
        <f>IFERROR(__xludf.DUMMYFUNCTION("GOOGLETRANSLATE(B9774,""id"",""en"")"),"['Good', 'easy']")</f>
        <v>['Good', 'easy']</v>
      </c>
      <c r="D9774" s="3">
        <v>5.0</v>
      </c>
    </row>
    <row r="9775" ht="15.75" customHeight="1">
      <c r="A9775" s="1">
        <v>10522.0</v>
      </c>
      <c r="B9775" s="3" t="s">
        <v>9348</v>
      </c>
      <c r="C9775" s="3" t="str">
        <f>IFERROR(__xludf.DUMMYFUNCTION("GOOGLETRANSLATE(B9775,""id"",""en"")"),"['buy', 'package', 'failed', 'mulu', 'pulses', 'suck']")</f>
        <v>['buy', 'package', 'failed', 'mulu', 'pulses', 'suck']</v>
      </c>
      <c r="D9775" s="3">
        <v>1.0</v>
      </c>
    </row>
    <row r="9776" ht="15.75" customHeight="1">
      <c r="A9776" s="1">
        <v>10523.0</v>
      </c>
      <c r="B9776" s="3" t="s">
        <v>9349</v>
      </c>
      <c r="C9776" s="3" t="str">
        <f>IFERROR(__xludf.DUMMYFUNCTION("GOOGLETRANSLATE(B9776,""id"",""en"")"),"['Exchange', 'Points', 'FAILURE', 'KARNA', 'Credit', 'Adequate', 'My Coins', '']")</f>
        <v>['Exchange', 'Points', 'FAILURE', 'KARNA', 'Credit', 'Adequate', 'My Coins', '']</v>
      </c>
      <c r="D9776" s="3">
        <v>2.0</v>
      </c>
    </row>
    <row r="9777" ht="15.75" customHeight="1">
      <c r="A9777" s="1">
        <v>10524.0</v>
      </c>
      <c r="B9777" s="3" t="s">
        <v>9350</v>
      </c>
      <c r="C9777" s="3" t="str">
        <f>IFERROR(__xludf.DUMMYFUNCTION("GOOGLETRANSLATE(B9777,""id"",""en"")"),"['perfect', '']")</f>
        <v>['perfect', '']</v>
      </c>
      <c r="D9777" s="3">
        <v>4.0</v>
      </c>
    </row>
    <row r="9778" ht="15.75" customHeight="1">
      <c r="A9778" s="1">
        <v>10525.0</v>
      </c>
      <c r="B9778" s="3" t="s">
        <v>9351</v>
      </c>
      <c r="C9778" s="3" t="str">
        <f>IFERROR(__xludf.DUMMYFUNCTION("GOOGLETRANSLATE(B9778,""id"",""en"")"),"['wise', 'empathy', 'KPD', 'Customer', 'loyal', 'hrs',' convenience ',' special ',' quota ',' out ',' offer ',' nature ',' Easy ',' quota ',' buy ',' data ',' humane ',' how ''s' difficult', 'in the area', 'remote', 'signal', 'weak', 'sercice', 'satisfyin"&amp;"g' , 'suggestion', 'free', 'input', 'KPD', 'Telkomsel', 'Where', 'Mind', 'Search', 'Profit', 'MENA', 'MADE', 'RAGAI', ' Nationalism ',' ']")</f>
        <v>['wise', 'empathy', 'KPD', 'Customer', 'loyal', 'hrs',' convenience ',' special ',' quota ',' out ',' offer ',' nature ',' Easy ',' quota ',' buy ',' data ',' humane ',' how ''s' difficult', 'in the area', 'remote', 'signal', 'weak', 'sercice', 'satisfying' , 'suggestion', 'free', 'input', 'KPD', 'Telkomsel', 'Where', 'Mind', 'Search', 'Profit', 'MENA', 'MADE', 'RAGAI', ' Nationalism ',' ']</v>
      </c>
      <c r="D9778" s="3">
        <v>1.0</v>
      </c>
    </row>
    <row r="9779" ht="15.75" customHeight="1">
      <c r="A9779" s="1">
        <v>10526.0</v>
      </c>
      <c r="B9779" s="3" t="s">
        <v>9352</v>
      </c>
      <c r="C9779" s="3" t="str">
        <f>IFERROR(__xludf.DUMMYFUNCTION("GOOGLETRANSLATE(B9779,""id"",""en"")"),"['likes',' ngellag ',' application ',' sometimes', 'right', 'claim', 'daily', 'check', 'like', 'ngebug', 'so', 'please', ' repair', '']")</f>
        <v>['likes',' ngellag ',' application ',' sometimes', 'right', 'claim', 'daily', 'check', 'like', 'ngebug', 'so', 'please', ' repair', '']</v>
      </c>
      <c r="D9779" s="3">
        <v>3.0</v>
      </c>
    </row>
    <row r="9780" ht="15.75" customHeight="1">
      <c r="A9780" s="1">
        <v>10528.0</v>
      </c>
      <c r="B9780" s="3" t="s">
        <v>9353</v>
      </c>
      <c r="C9780" s="3" t="str">
        <f>IFERROR(__xludf.DUMMYFUNCTION("GOOGLETRANSLATE(B9780,""id"",""en"")"),"['Telkomsel', 'good', 'life', 'in the environment', 'countryside', '']")</f>
        <v>['Telkomsel', 'good', 'life', 'in the environment', 'countryside', '']</v>
      </c>
      <c r="D9780" s="3">
        <v>5.0</v>
      </c>
    </row>
    <row r="9781" ht="15.75" customHeight="1">
      <c r="A9781" s="1">
        <v>10529.0</v>
      </c>
      <c r="B9781" s="3" t="s">
        <v>9354</v>
      </c>
      <c r="C9781" s="3" t="str">
        <f>IFERROR(__xludf.DUMMYFUNCTION("GOOGLETRANSLATE(B9781,""id"",""en"")"),"['network', 'belom', 'evenly', 'rain', 'little', 'direct', 'ilang', 'signal']")</f>
        <v>['network', 'belom', 'evenly', 'rain', 'little', 'direct', 'ilang', 'signal']</v>
      </c>
      <c r="D9781" s="3">
        <v>3.0</v>
      </c>
    </row>
    <row r="9782" ht="15.75" customHeight="1">
      <c r="A9782" s="1">
        <v>10530.0</v>
      </c>
      <c r="B9782" s="3" t="s">
        <v>9355</v>
      </c>
      <c r="C9782" s="3" t="str">
        <f>IFERROR(__xludf.DUMMYFUNCTION("GOOGLETRANSLATE(B9782,""id"",""en"")"),"['bother', 'exchange', 'Points', '']")</f>
        <v>['bother', 'exchange', 'Points', '']</v>
      </c>
      <c r="D9782" s="3">
        <v>4.0</v>
      </c>
    </row>
    <row r="9783" ht="15.75" customHeight="1">
      <c r="A9783" s="1">
        <v>10531.0</v>
      </c>
      <c r="B9783" s="3" t="s">
        <v>9356</v>
      </c>
      <c r="C9783" s="3" t="str">
        <f>IFERROR(__xludf.DUMMYFUNCTION("GOOGLETRANSLATE(B9783,""id"",""en"")"),"['sympathy', 'sinynyal', 'rich', 'snot', 'alay', 'down', 'naek', 'severe', '']")</f>
        <v>['sympathy', 'sinynyal', 'rich', 'snot', 'alay', 'down', 'naek', 'severe', '']</v>
      </c>
      <c r="D9783" s="3">
        <v>1.0</v>
      </c>
    </row>
    <row r="9784" ht="15.75" customHeight="1">
      <c r="A9784" s="1">
        <v>10532.0</v>
      </c>
      <c r="B9784" s="3" t="s">
        <v>9357</v>
      </c>
      <c r="C9784" s="3" t="str">
        <f>IFERROR(__xludf.DUMMYFUNCTION("GOOGLETRANSLATE(B9784,""id"",""en"")"),"['Leet']")</f>
        <v>['Leet']</v>
      </c>
      <c r="D9784" s="3">
        <v>5.0</v>
      </c>
    </row>
    <row r="9785" ht="15.75" customHeight="1">
      <c r="A9785" s="1">
        <v>10533.0</v>
      </c>
      <c r="B9785" s="3" t="s">
        <v>9358</v>
      </c>
      <c r="C9785" s="3" t="str">
        <f>IFERROR(__xludf.DUMMYFUNCTION("GOOGLETRANSLATE(B9785,""id"",""en"")"),"['', 'Honey', 'really', 'pokonya', 'Telkomsel']")</f>
        <v>['', 'Honey', 'really', 'pokonya', 'Telkomsel']</v>
      </c>
      <c r="D9785" s="3">
        <v>5.0</v>
      </c>
    </row>
    <row r="9786" ht="15.75" customHeight="1">
      <c r="A9786" s="1">
        <v>10534.0</v>
      </c>
      <c r="B9786" s="3" t="s">
        <v>9359</v>
      </c>
      <c r="C9786" s="3" t="str">
        <f>IFERROR(__xludf.DUMMYFUNCTION("GOOGLETRANSLATE(B9786,""id"",""en"")"),"['ugly', 'feature', 'key', 'pulse', 'package', 'quota', 'pulse', 'abis', 'suck', ""]")</f>
        <v>['ugly', 'feature', 'key', 'pulse', 'package', 'quota', 'pulse', 'abis', 'suck', "]</v>
      </c>
      <c r="D9786" s="3">
        <v>1.0</v>
      </c>
    </row>
    <row r="9787" ht="15.75" customHeight="1">
      <c r="A9787" s="1">
        <v>10535.0</v>
      </c>
      <c r="B9787" s="3" t="s">
        <v>2620</v>
      </c>
      <c r="C9787" s="3" t="str">
        <f>IFERROR(__xludf.DUMMYFUNCTION("GOOGLETRANSLATE(B9787,""id"",""en"")"),"Of course")</f>
        <v>Of course</v>
      </c>
      <c r="D9787" s="3">
        <v>4.0</v>
      </c>
    </row>
    <row r="9788" ht="15.75" customHeight="1">
      <c r="A9788" s="1">
        <v>10536.0</v>
      </c>
      <c r="B9788" s="3" t="s">
        <v>7655</v>
      </c>
      <c r="C9788" s="3" t="str">
        <f>IFERROR(__xludf.DUMMYFUNCTION("GOOGLETRANSLATE(B9788,""id"",""en"")"),"['Telkomsel', 'smooth']")</f>
        <v>['Telkomsel', 'smooth']</v>
      </c>
      <c r="D9788" s="3">
        <v>5.0</v>
      </c>
    </row>
    <row r="9789" ht="15.75" customHeight="1">
      <c r="A9789" s="1">
        <v>10537.0</v>
      </c>
      <c r="B9789" s="3" t="s">
        <v>9360</v>
      </c>
      <c r="C9789" s="3" t="str">
        <f>IFERROR(__xludf.DUMMYFUNCTION("GOOGLETRANSLATE(B9789,""id"",""en"")"),"['BNYK', 'Convenience', 'BNYK', 'Choice', 'Live', 'Performance', 'Kab', 'Sumedang', 'gan']")</f>
        <v>['BNYK', 'Convenience', 'BNYK', 'Choice', 'Live', 'Performance', 'Kab', 'Sumedang', 'gan']</v>
      </c>
      <c r="D9789" s="3">
        <v>5.0</v>
      </c>
    </row>
    <row r="9790" ht="15.75" customHeight="1">
      <c r="A9790" s="1">
        <v>10538.0</v>
      </c>
      <c r="B9790" s="3" t="s">
        <v>9361</v>
      </c>
      <c r="C9790" s="3" t="str">
        <f>IFERROR(__xludf.DUMMYFUNCTION("GOOGLETRANSLATE(B9790,""id"",""en"")"),"['Transaction', 'App', 'Telkomsel', 'Description', 'Sorry', 'Disorders', 'System', 'UDH', 'Disruption', 'then', 'strange']")</f>
        <v>['Transaction', 'App', 'Telkomsel', 'Description', 'Sorry', 'Disorders', 'System', 'UDH', 'Disruption', 'then', 'strange']</v>
      </c>
      <c r="D9790" s="3">
        <v>1.0</v>
      </c>
    </row>
    <row r="9791" ht="15.75" customHeight="1">
      <c r="A9791" s="1">
        <v>10539.0</v>
      </c>
      <c r="B9791" s="3" t="s">
        <v>9362</v>
      </c>
      <c r="C9791" s="3" t="str">
        <f>IFERROR(__xludf.DUMMYFUNCTION("GOOGLETRANSLATE(B9791,""id"",""en"")"),"['Cpt', 'Trusted']")</f>
        <v>['Cpt', 'Trusted']</v>
      </c>
      <c r="D9791" s="3">
        <v>5.0</v>
      </c>
    </row>
    <row r="9792" ht="15.75" customHeight="1">
      <c r="A9792" s="1">
        <v>10541.0</v>
      </c>
      <c r="B9792" s="3" t="s">
        <v>9363</v>
      </c>
      <c r="C9792" s="3" t="str">
        <f>IFERROR(__xludf.DUMMYFUNCTION("GOOGLETRANSLATE(B9792,""id"",""en"")"),"['Extension', 'short']")</f>
        <v>['Extension', 'short']</v>
      </c>
      <c r="D9792" s="3">
        <v>1.0</v>
      </c>
    </row>
    <row r="9793" ht="15.75" customHeight="1">
      <c r="A9793" s="1">
        <v>10542.0</v>
      </c>
      <c r="B9793" s="3" t="s">
        <v>9364</v>
      </c>
      <c r="C9793" s="3" t="str">
        <f>IFERROR(__xludf.DUMMYFUNCTION("GOOGLETRANSLATE(B9793,""id"",""en"")"),"['payment', 'enter', 'process', 'conformation', 'delay', 'really', 'developer', 'try', 'fix', 'systemnys', 'smooth']")</f>
        <v>['payment', 'enter', 'process', 'conformation', 'delay', 'really', 'developer', 'try', 'fix', 'systemnys', 'smooth']</v>
      </c>
      <c r="D9793" s="3">
        <v>1.0</v>
      </c>
    </row>
    <row r="9794" ht="15.75" customHeight="1">
      <c r="A9794" s="1">
        <v>10543.0</v>
      </c>
      <c r="B9794" s="3" t="s">
        <v>5793</v>
      </c>
      <c r="C9794" s="3" t="str">
        <f>IFERROR(__xludf.DUMMYFUNCTION("GOOGLETRANSLATE(B9794,""id"",""en"")"),"['Package', 'cheap']")</f>
        <v>['Package', 'cheap']</v>
      </c>
      <c r="D9794" s="3">
        <v>5.0</v>
      </c>
    </row>
    <row r="9795" ht="15.75" customHeight="1">
      <c r="A9795" s="1">
        <v>10544.0</v>
      </c>
      <c r="B9795" s="3" t="s">
        <v>9365</v>
      </c>
      <c r="C9795" s="3" t="str">
        <f>IFERROR(__xludf.DUMMYFUNCTION("GOOGLETRANSLATE(B9795,""id"",""en"")"),"['Good', 'staple']")</f>
        <v>['Good', 'staple']</v>
      </c>
      <c r="D9795" s="3">
        <v>4.0</v>
      </c>
    </row>
    <row r="9796" ht="15.75" customHeight="1">
      <c r="A9796" s="1">
        <v>10545.0</v>
      </c>
      <c r="B9796" s="3" t="s">
        <v>9366</v>
      </c>
      <c r="C9796" s="3" t="str">
        <f>IFERROR(__xludf.DUMMYFUNCTION("GOOGLETRANSLATE(B9796,""id"",""en"")"),"['Direct', 'Blum', 'Try']")</f>
        <v>['Direct', 'Blum', 'Try']</v>
      </c>
      <c r="D9796" s="3">
        <v>5.0</v>
      </c>
    </row>
    <row r="9797" ht="15.75" customHeight="1">
      <c r="A9797" s="1">
        <v>10546.0</v>
      </c>
      <c r="B9797" s="3" t="s">
        <v>9367</v>
      </c>
      <c r="C9797" s="3" t="str">
        <f>IFERROR(__xludf.DUMMYFUNCTION("GOOGLETRANSLATE(B9797,""id"",""en"")"),"['apk', 'stak', 'mentally', 'bro', 'knp', ""]")</f>
        <v>['apk', 'stak', 'mentally', 'bro', 'knp', "]</v>
      </c>
      <c r="D9797" s="3">
        <v>5.0</v>
      </c>
    </row>
    <row r="9798" ht="15.75" customHeight="1">
      <c r="A9798" s="1">
        <v>10547.0</v>
      </c>
      <c r="B9798" s="3" t="s">
        <v>9368</v>
      </c>
      <c r="C9798" s="3" t="str">
        <f>IFERROR(__xludf.DUMMYFUNCTION("GOOGLETRANSLATE(B9798,""id"",""en"")"),"['Network', 'Leet', 'Sis', ""]")</f>
        <v>['Network', 'Leet', 'Sis', "]</v>
      </c>
      <c r="D9798" s="3">
        <v>4.0</v>
      </c>
    </row>
    <row r="9799" ht="15.75" customHeight="1">
      <c r="A9799" s="1">
        <v>10548.0</v>
      </c>
      <c r="B9799" s="3" t="s">
        <v>1550</v>
      </c>
      <c r="C9799" s="3" t="str">
        <f>IFERROR(__xludf.DUMMYFUNCTION("GOOGLETRANSLATE(B9799,""id"",""en"")"),"['beneficial']")</f>
        <v>['beneficial']</v>
      </c>
      <c r="D9799" s="3">
        <v>4.0</v>
      </c>
    </row>
    <row r="9800" ht="15.75" customHeight="1">
      <c r="A9800" s="1">
        <v>10549.0</v>
      </c>
      <c r="B9800" s="3" t="s">
        <v>9369</v>
      </c>
      <c r="C9800" s="3" t="str">
        <f>IFERROR(__xludf.DUMMYFUNCTION("GOOGLETRANSLATE(B9800,""id"",""en"")"),"['', 'make', 'application']")</f>
        <v>['', 'make', 'application']</v>
      </c>
      <c r="D9800" s="3">
        <v>4.0</v>
      </c>
    </row>
    <row r="9801" ht="15.75" customHeight="1">
      <c r="A9801" s="1">
        <v>10550.0</v>
      </c>
      <c r="B9801" s="3" t="s">
        <v>9370</v>
      </c>
      <c r="C9801" s="3" t="str">
        <f>IFERROR(__xludf.DUMMYFUNCTION("GOOGLETRANSLATE(B9801,""id"",""en"")"),"['Sometimes', 'difficult', 'enter']")</f>
        <v>['Sometimes', 'difficult', 'enter']</v>
      </c>
      <c r="D9801" s="3">
        <v>1.0</v>
      </c>
    </row>
    <row r="9802" ht="15.75" customHeight="1">
      <c r="A9802" s="1">
        <v>10552.0</v>
      </c>
      <c r="B9802" s="3" t="s">
        <v>9371</v>
      </c>
      <c r="C9802" s="3" t="str">
        <f>IFERROR(__xludf.DUMMYFUNCTION("GOOGLETRANSLATE(B9802,""id"",""en"")"),"['heavy']")</f>
        <v>['heavy']</v>
      </c>
      <c r="D9802" s="3">
        <v>3.0</v>
      </c>
    </row>
    <row r="9803" ht="15.75" customHeight="1">
      <c r="A9803" s="1">
        <v>10553.0</v>
      </c>
      <c r="B9803" s="3" t="s">
        <v>9372</v>
      </c>
      <c r="C9803" s="3" t="str">
        <f>IFERROR(__xludf.DUMMYFUNCTION("GOOGLETRANSLATE(B9803,""id"",""en"")"),"['Sukanya', 'dgedrop']")</f>
        <v>['Sukanya', 'dgedrop']</v>
      </c>
      <c r="D9803" s="3">
        <v>1.0</v>
      </c>
    </row>
    <row r="9804" ht="15.75" customHeight="1">
      <c r="A9804" s="1">
        <v>10554.0</v>
      </c>
      <c r="B9804" s="3" t="s">
        <v>9373</v>
      </c>
      <c r="C9804" s="3" t="str">
        <f>IFERROR(__xludf.DUMMYFUNCTION("GOOGLETRANSLATE(B9804,""id"",""en"")"),"['Good', 'Signalny', '']")</f>
        <v>['Good', 'Signalny', '']</v>
      </c>
      <c r="D9804" s="3">
        <v>2.0</v>
      </c>
    </row>
    <row r="9805" ht="15.75" customHeight="1">
      <c r="A9805" s="1">
        <v>10555.0</v>
      </c>
      <c r="B9805" s="3" t="s">
        <v>9374</v>
      </c>
      <c r="C9805" s="3" t="str">
        <f>IFERROR(__xludf.DUMMYFUNCTION("GOOGLETRANSLATE(B9805,""id"",""en"")"),"['Dear', 'sympathy', 'please', 'signal', 'fix', 'game', 'slalu', 'lag', 'according to', 'high school', 'rates',' packetan ',' expensive ',' TPI ',' signal ',' disappointing ',' Customer ',' ']")</f>
        <v>['Dear', 'sympathy', 'please', 'signal', 'fix', 'game', 'slalu', 'lag', 'according to', 'high school', 'rates',' packetan ',' expensive ',' TPI ',' signal ',' disappointing ',' Customer ',' ']</v>
      </c>
      <c r="D9805" s="3">
        <v>2.0</v>
      </c>
    </row>
    <row r="9806" ht="15.75" customHeight="1">
      <c r="A9806" s="1">
        <v>10556.0</v>
      </c>
      <c r="B9806" s="3" t="s">
        <v>9375</v>
      </c>
      <c r="C9806" s="3" t="str">
        <f>IFERROR(__xludf.DUMMYFUNCTION("GOOGLETRANSLATE(B9806,""id"",""en"")"),"['Use', 'Credit', 'Emergency', 'Cut Him', 'Super', 'Severe']")</f>
        <v>['Use', 'Credit', 'Emergency', 'Cut Him', 'Super', 'Severe']</v>
      </c>
      <c r="D9806" s="3">
        <v>1.0</v>
      </c>
    </row>
    <row r="9807" ht="15.75" customHeight="1">
      <c r="A9807" s="1">
        <v>10557.0</v>
      </c>
      <c r="B9807" s="3" t="s">
        <v>9376</v>
      </c>
      <c r="C9807" s="3" t="str">
        <f>IFERROR(__xludf.DUMMYFUNCTION("GOOGLETRANSLATE(B9807,""id"",""en"")"),"['General', 'Garda', 'Information']")</f>
        <v>['General', 'Garda', 'Information']</v>
      </c>
      <c r="D9807" s="3">
        <v>4.0</v>
      </c>
    </row>
    <row r="9808" ht="15.75" customHeight="1">
      <c r="A9808" s="1">
        <v>10558.0</v>
      </c>
      <c r="B9808" s="3" t="s">
        <v>9377</v>
      </c>
      <c r="C9808" s="3" t="str">
        <f>IFERROR(__xludf.DUMMYFUNCTION("GOOGLETRANSLATE(B9808,""id"",""en"")"),"['Network', 'Telkomsel', 'Region', 'City', 'Padang', 'Eroor', 'Please', 'Fix', '']")</f>
        <v>['Network', 'Telkomsel', 'Region', 'City', 'Padang', 'Eroor', 'Please', 'Fix', '']</v>
      </c>
      <c r="D9808" s="3">
        <v>5.0</v>
      </c>
    </row>
    <row r="9809" ht="15.75" customHeight="1">
      <c r="A9809" s="1">
        <v>10559.0</v>
      </c>
      <c r="B9809" s="3" t="s">
        <v>9378</v>
      </c>
      <c r="C9809" s="3" t="str">
        <f>IFERROR(__xludf.DUMMYFUNCTION("GOOGLETRANSLATE(B9809,""id"",""en"")"),"['sympathy', 'slow', 'really', '']")</f>
        <v>['sympathy', 'slow', 'really', '']</v>
      </c>
      <c r="D9809" s="3">
        <v>1.0</v>
      </c>
    </row>
    <row r="9810" ht="15.75" customHeight="1">
      <c r="A9810" s="1">
        <v>10560.0</v>
      </c>
      <c r="B9810" s="3" t="s">
        <v>9379</v>
      </c>
      <c r="C9810" s="3" t="str">
        <f>IFERROR(__xludf.DUMMYFUNCTION("GOOGLETRANSLATE(B9810,""id"",""en"")"),"['already', 'contents', 'pulse', 'sumps', 'pulses', 'right', 'Maketin']")</f>
        <v>['already', 'contents', 'pulse', 'sumps', 'pulses', 'right', 'Maketin']</v>
      </c>
      <c r="D9810" s="3">
        <v>5.0</v>
      </c>
    </row>
    <row r="9811" ht="15.75" customHeight="1">
      <c r="A9811" s="1">
        <v>10561.0</v>
      </c>
      <c r="B9811" s="3" t="s">
        <v>9380</v>
      </c>
      <c r="C9811" s="3" t="str">
        <f>IFERROR(__xludf.DUMMYFUNCTION("GOOGLETRANSLATE(B9811,""id"",""en"")"),"['Need', 'Stability', 'Internet', 'Speed', '']")</f>
        <v>['Need', 'Stability', 'Internet', 'Speed', '']</v>
      </c>
      <c r="D9811" s="3">
        <v>1.0</v>
      </c>
    </row>
    <row r="9812" ht="15.75" customHeight="1">
      <c r="A9812" s="1">
        <v>10562.0</v>
      </c>
      <c r="B9812" s="3" t="s">
        <v>9381</v>
      </c>
      <c r="C9812" s="3" t="str">
        <f>IFERROR(__xludf.DUMMYFUNCTION("GOOGLETRANSLATE(B9812,""id"",""en"")"),"['Plication', 'help', 'bnger']")</f>
        <v>['Plication', 'help', 'bnger']</v>
      </c>
      <c r="D9812" s="3">
        <v>1.0</v>
      </c>
    </row>
    <row r="9813" ht="15.75" customHeight="1">
      <c r="A9813" s="1">
        <v>10563.0</v>
      </c>
      <c r="B9813" s="3" t="s">
        <v>9382</v>
      </c>
      <c r="C9813" s="3" t="str">
        <f>IFERROR(__xludf.DUMMYFUNCTION("GOOGLETRANSLATE(B9813,""id"",""en"")"),"['hope', 'speed', 'network', 'Indonesia']")</f>
        <v>['hope', 'speed', 'network', 'Indonesia']</v>
      </c>
      <c r="D9813" s="3">
        <v>5.0</v>
      </c>
    </row>
    <row r="9814" ht="15.75" customHeight="1">
      <c r="A9814" s="1">
        <v>10564.0</v>
      </c>
      <c r="B9814" s="3" t="s">
        <v>9383</v>
      </c>
      <c r="C9814" s="3" t="str">
        <f>IFERROR(__xludf.DUMMYFUNCTION("GOOGLETRANSLATE(B9814,""id"",""en"")"),"['Telkomsel', 'offer', 'package', 'data', 'free', 'active']")</f>
        <v>['Telkomsel', 'offer', 'package', 'data', 'free', 'active']</v>
      </c>
      <c r="D9814" s="3">
        <v>5.0</v>
      </c>
    </row>
    <row r="9815" ht="15.75" customHeight="1">
      <c r="A9815" s="1">
        <v>10565.0</v>
      </c>
      <c r="B9815" s="3" t="s">
        <v>9384</v>
      </c>
      <c r="C9815" s="3" t="str">
        <f>IFERROR(__xludf.DUMMYFUNCTION("GOOGLETRANSLATE(B9815,""id"",""en"")"),"['Good', 'please', 'Telkomsel', 'fix', 'point', 'exchange', 'point', 'package', 'data', 'apply', 'please', 'fix', ' Telkomsel ']")</f>
        <v>['Good', 'please', 'Telkomsel', 'fix', 'point', 'exchange', 'point', 'package', 'data', 'apply', 'please', 'fix', ' Telkomsel ']</v>
      </c>
      <c r="D9815" s="3">
        <v>4.0</v>
      </c>
    </row>
    <row r="9816" ht="15.75" customHeight="1">
      <c r="A9816" s="1">
        <v>10566.0</v>
      </c>
      <c r="B9816" s="3" t="s">
        <v>9385</v>
      </c>
      <c r="C9816" s="3" t="str">
        <f>IFERROR(__xludf.DUMMYFUNCTION("GOOGLETRANSLATE(B9816,""id"",""en"")"),"['Show', 'best']")</f>
        <v>['Show', 'best']</v>
      </c>
      <c r="D9816" s="3">
        <v>5.0</v>
      </c>
    </row>
    <row r="9817" ht="15.75" customHeight="1">
      <c r="A9817" s="1">
        <v>10567.0</v>
      </c>
      <c r="B9817" s="3" t="s">
        <v>9386</v>
      </c>
      <c r="C9817" s="3" t="str">
        <f>IFERROR(__xludf.DUMMYFUNCTION("GOOGLETRANSLATE(B9817,""id"",""en"")"),"['signal', 'ugly', 'Sis']")</f>
        <v>['signal', 'ugly', 'Sis']</v>
      </c>
      <c r="D9817" s="3">
        <v>4.0</v>
      </c>
    </row>
    <row r="9818" ht="15.75" customHeight="1">
      <c r="A9818" s="1">
        <v>10568.0</v>
      </c>
      <c r="B9818" s="3" t="s">
        <v>9387</v>
      </c>
      <c r="C9818" s="3" t="str">
        <f>IFERROR(__xludf.DUMMYFUNCTION("GOOGLETRANSLATE(B9818,""id"",""en"")"),"['Points', 'Exchange', 'Telkomsel', '']")</f>
        <v>['Points', 'Exchange', 'Telkomsel', '']</v>
      </c>
      <c r="D9818" s="3">
        <v>5.0</v>
      </c>
    </row>
    <row r="9819" ht="15.75" customHeight="1">
      <c r="A9819" s="1">
        <v>10569.0</v>
      </c>
      <c r="B9819" s="3" t="s">
        <v>9388</v>
      </c>
      <c r="C9819" s="3" t="str">
        <f>IFERROR(__xludf.DUMMYFUNCTION("GOOGLETRANSLATE(B9819,""id"",""en"")"),"['refillable']")</f>
        <v>['refillable']</v>
      </c>
      <c r="D9819" s="3">
        <v>5.0</v>
      </c>
    </row>
    <row r="9820" ht="15.75" customHeight="1">
      <c r="A9820" s="1">
        <v>10570.0</v>
      </c>
      <c r="B9820" s="3" t="s">
        <v>9389</v>
      </c>
      <c r="C9820" s="3" t="str">
        <f>IFERROR(__xludf.DUMMYFUNCTION("GOOGLETRANSLATE(B9820,""id"",""en"")"),"['oky', 'oky']")</f>
        <v>['oky', 'oky']</v>
      </c>
      <c r="D9820" s="3">
        <v>5.0</v>
      </c>
    </row>
    <row r="9821" ht="15.75" customHeight="1">
      <c r="A9821" s="1">
        <v>10571.0</v>
      </c>
      <c r="B9821" s="3" t="s">
        <v>9390</v>
      </c>
      <c r="C9821" s="3" t="str">
        <f>IFERROR(__xludf.DUMMYFUNCTION("GOOGLETRANSLATE(B9821,""id"",""en"")"),"['Good', 'See', 'down']")</f>
        <v>['Good', 'See', 'down']</v>
      </c>
      <c r="D9821" s="3">
        <v>5.0</v>
      </c>
    </row>
    <row r="9822" ht="15.75" customHeight="1">
      <c r="A9822" s="1">
        <v>10572.0</v>
      </c>
      <c r="B9822" s="3" t="s">
        <v>9391</v>
      </c>
      <c r="C9822" s="3" t="str">
        <f>IFERROR(__xludf.DUMMYFUNCTION("GOOGLETRANSLATE(B9822,""id"",""en"")"),"['Good', 'good']")</f>
        <v>['Good', 'good']</v>
      </c>
      <c r="D9822" s="3">
        <v>5.0</v>
      </c>
    </row>
    <row r="9823" ht="15.75" customHeight="1">
      <c r="A9823" s="1">
        <v>10573.0</v>
      </c>
      <c r="B9823" s="3" t="s">
        <v>9392</v>
      </c>
      <c r="C9823" s="3" t="str">
        <f>IFERROR(__xludf.DUMMYFUNCTION("GOOGLETRANSLATE(B9823,""id"",""en"")"),"['easy', 'transact', 'application', 'Telkomsel']")</f>
        <v>['easy', 'transact', 'application', 'Telkomsel']</v>
      </c>
      <c r="D9823" s="3">
        <v>5.0</v>
      </c>
    </row>
    <row r="9824" ht="15.75" customHeight="1">
      <c r="A9824" s="1">
        <v>10574.0</v>
      </c>
      <c r="B9824" s="3" t="s">
        <v>9393</v>
      </c>
      <c r="C9824" s="3" t="str">
        <f>IFERROR(__xludf.DUMMYFUNCTION("GOOGLETRANSLATE(B9824,""id"",""en"")"),"['Love', 'Star', 'Enhanced', 'Tipu', 'Tipu']")</f>
        <v>['Love', 'Star', 'Enhanced', 'Tipu', 'Tipu']</v>
      </c>
      <c r="D9824" s="3">
        <v>5.0</v>
      </c>
    </row>
    <row r="9825" ht="15.75" customHeight="1">
      <c r="A9825" s="1">
        <v>10575.0</v>
      </c>
      <c r="B9825" s="3" t="s">
        <v>9394</v>
      </c>
      <c r="C9825" s="3" t="str">
        <f>IFERROR(__xludf.DUMMYFUNCTION("GOOGLETRANSLATE(B9825,""id"",""en"")"),"['signal', 'ugly', 'pulse', 'chick']")</f>
        <v>['signal', 'ugly', 'pulse', 'chick']</v>
      </c>
      <c r="D9825" s="3">
        <v>1.0</v>
      </c>
    </row>
    <row r="9826" ht="15.75" customHeight="1">
      <c r="A9826" s="1">
        <v>10576.0</v>
      </c>
      <c r="B9826" s="3" t="s">
        <v>9395</v>
      </c>
      <c r="C9826" s="3" t="str">
        <f>IFERROR(__xludf.DUMMYFUNCTION("GOOGLETRANSLATE(B9826,""id"",""en"")"),"['Telkomsel', 'Loading', 'reset', 'truzzz']")</f>
        <v>['Telkomsel', 'Loading', 'reset', 'truzzz']</v>
      </c>
      <c r="D9826" s="3">
        <v>2.0</v>
      </c>
    </row>
    <row r="9827" ht="15.75" customHeight="1">
      <c r="A9827" s="1">
        <v>10578.0</v>
      </c>
      <c r="B9827" s="3" t="s">
        <v>9396</v>
      </c>
      <c r="C9827" s="3" t="str">
        <f>IFERROR(__xludf.DUMMYFUNCTION("GOOGLETRANSLATE(B9827,""id"",""en"")"),"['', 'cool', 'combo', 'Sakti', 'max', 'buy', '']")</f>
        <v>['', 'cool', 'combo', 'Sakti', 'max', 'buy', '']</v>
      </c>
      <c r="D9827" s="3">
        <v>1.0</v>
      </c>
    </row>
    <row r="9828" ht="15.75" customHeight="1">
      <c r="A9828" s="1">
        <v>10579.0</v>
      </c>
      <c r="B9828" s="3" t="s">
        <v>8088</v>
      </c>
      <c r="C9828" s="3" t="str">
        <f>IFERROR(__xludf.DUMMYFUNCTION("GOOGLETRANSLATE(B9828,""id"",""en"")"),"['', 'try']")</f>
        <v>['', 'try']</v>
      </c>
      <c r="D9828" s="3">
        <v>4.0</v>
      </c>
    </row>
    <row r="9829" ht="15.75" customHeight="1">
      <c r="A9829" s="1">
        <v>10580.0</v>
      </c>
      <c r="B9829" s="3" t="s">
        <v>9397</v>
      </c>
      <c r="C9829" s="3" t="str">
        <f>IFERROR(__xludf.DUMMYFUNCTION("GOOGLETRANSLATE(B9829,""id"",""en"")"),"['application', 'easy', 'easy', 'just', 'click', 'buy', 'finish', 'pulses', 'please', 'hub', 'wife', ""]")</f>
        <v>['application', 'easy', 'easy', 'just', 'click', 'buy', 'finish', 'pulses', 'please', 'hub', 'wife', "]</v>
      </c>
      <c r="D9829" s="3">
        <v>5.0</v>
      </c>
    </row>
    <row r="9830" ht="15.75" customHeight="1">
      <c r="A9830" s="1">
        <v>10581.0</v>
      </c>
      <c r="B9830" s="3" t="s">
        <v>9398</v>
      </c>
      <c r="C9830" s="3" t="str">
        <f>IFERROR(__xludf.DUMMYFUNCTION("GOOGLETRANSLATE(B9830,""id"",""en"")"),"['Moga', 'steady', 'network', 'Telkomsel']")</f>
        <v>['Moga', 'steady', 'network', 'Telkomsel']</v>
      </c>
      <c r="D9830" s="3">
        <v>3.0</v>
      </c>
    </row>
    <row r="9831" ht="15.75" customHeight="1">
      <c r="A9831" s="1">
        <v>10582.0</v>
      </c>
      <c r="B9831" s="3" t="s">
        <v>9399</v>
      </c>
      <c r="C9831" s="3" t="str">
        <f>IFERROR(__xludf.DUMMYFUNCTION("GOOGLETRANSLATE(B9831,""id"",""en"")"),"['Signal', 'Region', 'Kec', 'Blega', 'Kab', 'Bangkalan', 'Good']")</f>
        <v>['Signal', 'Region', 'Kec', 'Blega', 'Kab', 'Bangkalan', 'Good']</v>
      </c>
      <c r="D9831" s="3">
        <v>4.0</v>
      </c>
    </row>
    <row r="9832" ht="15.75" customHeight="1">
      <c r="A9832" s="1">
        <v>10583.0</v>
      </c>
      <c r="B9832" s="3" t="s">
        <v>9400</v>
      </c>
      <c r="C9832" s="3" t="str">
        <f>IFERROR(__xludf.DUMMYFUNCTION("GOOGLETRANSLATE(B9832,""id"",""en"")"),"['Not bad', 'good', 'my apk']")</f>
        <v>['Not bad', 'good', 'my apk']</v>
      </c>
      <c r="D9832" s="3">
        <v>4.0</v>
      </c>
    </row>
    <row r="9833" ht="15.75" customHeight="1">
      <c r="A9833" s="1">
        <v>10584.0</v>
      </c>
      <c r="B9833" s="3" t="s">
        <v>9401</v>
      </c>
      <c r="C9833" s="3" t="str">
        <f>IFERROR(__xludf.DUMMYFUNCTION("GOOGLETRANSLATE(B9833,""id"",""en"")"),"['Winning', 'Point']")</f>
        <v>['Winning', 'Point']</v>
      </c>
      <c r="D9833" s="3">
        <v>5.0</v>
      </c>
    </row>
    <row r="9834" ht="15.75" customHeight="1">
      <c r="A9834" s="1">
        <v>10585.0</v>
      </c>
      <c r="B9834" s="3" t="s">
        <v>9402</v>
      </c>
      <c r="C9834" s="3" t="str">
        <f>IFERROR(__xludf.DUMMYFUNCTION("GOOGLETRANSLATE(B9834,""id"",""en"")"),"['Hopefully', 'Telkomsel']")</f>
        <v>['Hopefully', 'Telkomsel']</v>
      </c>
      <c r="D9834" s="3">
        <v>5.0</v>
      </c>
    </row>
    <row r="9835" ht="15.75" customHeight="1">
      <c r="A9835" s="1">
        <v>10586.0</v>
      </c>
      <c r="B9835" s="3" t="s">
        <v>9403</v>
      </c>
      <c r="C9835" s="3" t="str">
        <f>IFERROR(__xludf.DUMMYFUNCTION("GOOGLETRANSLATE(B9835,""id"",""en"")"),"['', 'APIK', 'Increases', 'Promo', 'Great']")</f>
        <v>['', 'APIK', 'Increases', 'Promo', 'Great']</v>
      </c>
      <c r="D9835" s="3">
        <v>5.0</v>
      </c>
    </row>
    <row r="9836" ht="15.75" customHeight="1">
      <c r="A9836" s="1">
        <v>10587.0</v>
      </c>
      <c r="B9836" s="3" t="s">
        <v>9404</v>
      </c>
      <c r="C9836" s="3" t="str">
        <f>IFERROR(__xludf.DUMMYFUNCTION("GOOGLETRANSLATE(B9836,""id"",""en"")"),"['user', 'Telkomsel', 'give', 'service', 'best', 'use', 'trims']")</f>
        <v>['user', 'Telkomsel', 'give', 'service', 'best', 'use', 'trims']</v>
      </c>
      <c r="D9836" s="3">
        <v>5.0</v>
      </c>
    </row>
    <row r="9837" ht="15.75" customHeight="1">
      <c r="A9837" s="1">
        <v>10588.0</v>
      </c>
      <c r="B9837" s="3" t="s">
        <v>9405</v>
      </c>
      <c r="C9837" s="3" t="str">
        <f>IFERROR(__xludf.DUMMYFUNCTION("GOOGLETRANSLATE(B9837,""id"",""en"")"),"['Nemaid']")</f>
        <v>['Nemaid']</v>
      </c>
      <c r="D9837" s="3">
        <v>5.0</v>
      </c>
    </row>
    <row r="9838" ht="15.75" customHeight="1">
      <c r="A9838" s="1">
        <v>10589.0</v>
      </c>
      <c r="B9838" s="3" t="s">
        <v>9406</v>
      </c>
      <c r="C9838" s="3" t="str">
        <f>IFERROR(__xludf.DUMMYFUNCTION("GOOGLETRANSLATE(B9838,""id"",""en"")"),"['Steady', 'Help', 'Thanks']")</f>
        <v>['Steady', 'Help', 'Thanks']</v>
      </c>
      <c r="D9838" s="3">
        <v>5.0</v>
      </c>
    </row>
    <row r="9839" ht="15.75" customHeight="1">
      <c r="A9839" s="1">
        <v>10590.0</v>
      </c>
      <c r="B9839" s="3" t="s">
        <v>9407</v>
      </c>
      <c r="C9839" s="3" t="str">
        <f>IFERROR(__xludf.DUMMYFUNCTION("GOOGLETRANSLATE(B9839,""id"",""en"")"),"['easy', 'in', 'purchase', 'package', 'quota']")</f>
        <v>['easy', 'in', 'purchase', 'package', 'quota']</v>
      </c>
      <c r="D9839" s="3">
        <v>4.0</v>
      </c>
    </row>
    <row r="9840" ht="15.75" customHeight="1">
      <c r="A9840" s="1">
        <v>10591.0</v>
      </c>
      <c r="B9840" s="3" t="s">
        <v>9408</v>
      </c>
      <c r="C9840" s="3" t="str">
        <f>IFERROR(__xludf.DUMMYFUNCTION("GOOGLETRANSLATE(B9840,""id"",""en"")"),"['Please', 'Signal', 'Package', 'Data', 'Telkomsel', 'Bagusin', 'Package', 'Uda', 'Expensive', 'Network', 'Good', 'Karna', ' Telkomsel ',' Uda ',' use ',' like ',' heart ']")</f>
        <v>['Please', 'Signal', 'Package', 'Data', 'Telkomsel', 'Bagusin', 'Package', 'Uda', 'Expensive', 'Network', 'Good', 'Karna', ' Telkomsel ',' Uda ',' use ',' like ',' heart ']</v>
      </c>
      <c r="D9840" s="3">
        <v>1.0</v>
      </c>
    </row>
    <row r="9841" ht="15.75" customHeight="1">
      <c r="A9841" s="1">
        <v>10592.0</v>
      </c>
      <c r="B9841" s="3" t="s">
        <v>9409</v>
      </c>
      <c r="C9841" s="3" t="str">
        <f>IFERROR(__xludf.DUMMYFUNCTION("GOOGLETRANSLATE(B9841,""id"",""en"")"),"['quota', 'signal', 'quota', 'ofline', 'sympathy', 'ugly', '']")</f>
        <v>['quota', 'signal', 'quota', 'ofline', 'sympathy', 'ugly', '']</v>
      </c>
      <c r="D9841" s="3">
        <v>2.0</v>
      </c>
    </row>
    <row r="9842" ht="15.75" customHeight="1">
      <c r="A9842" s="1">
        <v>10593.0</v>
      </c>
      <c r="B9842" s="3" t="s">
        <v>9410</v>
      </c>
      <c r="C9842" s="3" t="str">
        <f>IFERROR(__xludf.DUMMYFUNCTION("GOOGLETRANSLATE(B9842,""id"",""en"")"),"['Region', 'Lamongan', 'Weather', 'dungsionnya', 'blur', '']")</f>
        <v>['Region', 'Lamongan', 'Weather', 'dungsionnya', 'blur', '']</v>
      </c>
      <c r="D9842" s="3">
        <v>4.0</v>
      </c>
    </row>
    <row r="9843" ht="15.75" customHeight="1">
      <c r="A9843" s="1">
        <v>10594.0</v>
      </c>
      <c r="B9843" s="3" t="s">
        <v>4120</v>
      </c>
      <c r="C9843" s="3" t="str">
        <f>IFERROR(__xludf.DUMMYFUNCTION("GOOGLETRANSLATE(B9843,""id"",""en"")"),"['Network', 'best']")</f>
        <v>['Network', 'best']</v>
      </c>
      <c r="D9843" s="3">
        <v>5.0</v>
      </c>
    </row>
    <row r="9844" ht="15.75" customHeight="1">
      <c r="A9844" s="1">
        <v>10595.0</v>
      </c>
      <c r="B9844" s="3" t="s">
        <v>9411</v>
      </c>
      <c r="C9844" s="3" t="str">
        <f>IFERROR(__xludf.DUMMYFUNCTION("GOOGLETRANSLATE(B9844,""id"",""en"")"),"['enter']")</f>
        <v>['enter']</v>
      </c>
      <c r="D9844" s="3">
        <v>1.0</v>
      </c>
    </row>
    <row r="9845" ht="15.75" customHeight="1">
      <c r="A9845" s="1">
        <v>10596.0</v>
      </c>
      <c r="B9845" s="3" t="s">
        <v>9412</v>
      </c>
      <c r="C9845" s="3" t="str">
        <f>IFERROR(__xludf.DUMMYFUNCTION("GOOGLETRANSLATE(B9845,""id"",""en"")"),"['Login', 'fast', 'good']")</f>
        <v>['Login', 'fast', 'good']</v>
      </c>
      <c r="D9845" s="3">
        <v>5.0</v>
      </c>
    </row>
    <row r="9846" ht="15.75" customHeight="1">
      <c r="A9846" s="1">
        <v>10599.0</v>
      </c>
      <c r="B9846" s="3" t="s">
        <v>9413</v>
      </c>
      <c r="C9846" s="3" t="str">
        <f>IFERROR(__xludf.DUMMYFUNCTION("GOOGLETRANSLATE(B9846,""id"",""en"")"),"['easy', 'hopefully', 'signal', 'strong', 'amin']")</f>
        <v>['easy', 'hopefully', 'signal', 'strong', 'amin']</v>
      </c>
      <c r="D9846" s="3">
        <v>4.0</v>
      </c>
    </row>
    <row r="9847" ht="15.75" customHeight="1">
      <c r="A9847" s="1">
        <v>10600.0</v>
      </c>
      <c r="B9847" s="3" t="s">
        <v>9414</v>
      </c>
      <c r="C9847" s="3" t="str">
        <f>IFERROR(__xludf.DUMMYFUNCTION("GOOGLETRANSLATE(B9847,""id"",""en"")"),"['Good', 'makes it easy']")</f>
        <v>['Good', 'makes it easy']</v>
      </c>
      <c r="D9847" s="3">
        <v>4.0</v>
      </c>
    </row>
    <row r="9848" ht="15.75" customHeight="1">
      <c r="A9848" s="1">
        <v>10601.0</v>
      </c>
      <c r="B9848" s="3" t="s">
        <v>9415</v>
      </c>
      <c r="C9848" s="3" t="str">
        <f>IFERROR(__xludf.DUMMYFUNCTION("GOOGLETRANSLATE(B9848,""id"",""en"")"),"['already', 'download', 'apk', 'sorry', 'don't know', 'persistence', 'network', 'telkom']")</f>
        <v>['already', 'download', 'apk', 'sorry', 'don't know', 'persistence', 'network', 'telkom']</v>
      </c>
      <c r="D9848" s="3">
        <v>1.0</v>
      </c>
    </row>
    <row r="9849" ht="15.75" customHeight="1">
      <c r="A9849" s="1">
        <v>10602.0</v>
      </c>
      <c r="B9849" s="3" t="s">
        <v>9416</v>
      </c>
      <c r="C9849" s="3" t="str">
        <f>IFERROR(__xludf.DUMMYFUNCTION("GOOGLETRANSLATE(B9849,""id"",""en"")"),"['dwonload', 'can', 'pulse', 'already', 'dwonload', 'can', 'base']")</f>
        <v>['dwonload', 'can', 'pulse', 'already', 'dwonload', 'can', 'base']</v>
      </c>
      <c r="D9849" s="3">
        <v>1.0</v>
      </c>
    </row>
    <row r="9850" ht="15.75" customHeight="1">
      <c r="A9850" s="1">
        <v>10604.0</v>
      </c>
      <c r="B9850" s="3" t="s">
        <v>9417</v>
      </c>
      <c r="C9850" s="3" t="str">
        <f>IFERROR(__xludf.DUMMYFUNCTION("GOOGLETRANSLATE(B9850,""id"",""en"")"),"['Help', 'Affairs', 'Since', 'Communication']")</f>
        <v>['Help', 'Affairs', 'Since', 'Communication']</v>
      </c>
      <c r="D9850" s="3">
        <v>4.0</v>
      </c>
    </row>
    <row r="9851" ht="15.75" customHeight="1">
      <c r="A9851" s="1">
        <v>10605.0</v>
      </c>
      <c r="B9851" s="3" t="s">
        <v>9418</v>
      </c>
      <c r="C9851" s="3" t="str">
        <f>IFERROR(__xludf.DUMMYFUNCTION("GOOGLETRANSLATE(B9851,""id"",""en"")"),"['Service', 'Bad', 'Signal', 'Social', 'Media', 'Game', 'Dsb']")</f>
        <v>['Service', 'Bad', 'Signal', 'Social', 'Media', 'Game', 'Dsb']</v>
      </c>
      <c r="D9851" s="3">
        <v>1.0</v>
      </c>
    </row>
    <row r="9852" ht="15.75" customHeight="1">
      <c r="A9852" s="1">
        <v>10606.0</v>
      </c>
      <c r="B9852" s="3" t="s">
        <v>9419</v>
      </c>
      <c r="C9852" s="3" t="str">
        <f>IFERROR(__xludf.DUMMYFUNCTION("GOOGLETRANSLATE(B9852,""id"",""en"")"),"['Network', 'fast', 'access', '']")</f>
        <v>['Network', 'fast', 'access', '']</v>
      </c>
      <c r="D9852" s="3">
        <v>4.0</v>
      </c>
    </row>
    <row r="9853" ht="15.75" customHeight="1">
      <c r="A9853" s="1">
        <v>10607.0</v>
      </c>
      <c r="B9853" s="3" t="s">
        <v>9420</v>
      </c>
      <c r="C9853" s="3" t="str">
        <f>IFERROR(__xludf.DUMMYFUNCTION("GOOGLETRANSLATE(B9853,""id"",""en"")"),"['already', 'good', 'UDH', 'CPAT', 'Login', 'already', 'good', 'nnti', 'love', 'star', ""]")</f>
        <v>['already', 'good', 'UDH', 'CPAT', 'Login', 'already', 'good', 'nnti', 'love', 'star', "]</v>
      </c>
      <c r="D9853" s="3">
        <v>4.0</v>
      </c>
    </row>
    <row r="9854" ht="15.75" customHeight="1">
      <c r="A9854" s="1">
        <v>10608.0</v>
      </c>
      <c r="B9854" s="3" t="s">
        <v>9421</v>
      </c>
      <c r="C9854" s="3" t="str">
        <f>IFERROR(__xludf.DUMMYFUNCTION("GOOGLETRANSLATE(B9854,""id"",""en"")"),"['Signal', 'Telkomsel', 'already', 'kayak', 'already', 'slow', 'special', 'sub-district', 'pepura', 'kab', 'siak', 'province', ' Riau ',' Try ',' Check ',' Tower ',' Gagguan ',' Trims']")</f>
        <v>['Signal', 'Telkomsel', 'already', 'kayak', 'already', 'slow', 'special', 'sub-district', 'pepura', 'kab', 'siak', 'province', ' Riau ',' Try ',' Check ',' Tower ',' Gagguan ',' Trims']</v>
      </c>
      <c r="D9854" s="3">
        <v>1.0</v>
      </c>
    </row>
    <row r="9855" ht="15.75" customHeight="1">
      <c r="A9855" s="1">
        <v>10609.0</v>
      </c>
      <c r="B9855" s="3" t="s">
        <v>9422</v>
      </c>
      <c r="C9855" s="3" t="str">
        <f>IFERROR(__xludf.DUMMYFUNCTION("GOOGLETRANSLATE(B9855,""id"",""en"")"),"['Info', 'accurate', 'information', 'pulse', 'data', 'package']")</f>
        <v>['Info', 'accurate', 'information', 'pulse', 'data', 'package']</v>
      </c>
      <c r="D9855" s="3">
        <v>1.0</v>
      </c>
    </row>
    <row r="9856" ht="15.75" customHeight="1">
      <c r="A9856" s="1">
        <v>10611.0</v>
      </c>
      <c r="B9856" s="3" t="s">
        <v>9423</v>
      </c>
      <c r="C9856" s="3" t="str">
        <f>IFERROR(__xludf.DUMMYFUNCTION("GOOGLETRANSLATE(B9856,""id"",""en"")"),"['Woyy', 'signal', 'Telkomsel', 'slow', 'ilang', 'already', 'a month', 'eagle', 'ngelamin', 'fix', 'cave', 'buy', ' Quota ',' expensive ',' ']")</f>
        <v>['Woyy', 'signal', 'Telkomsel', 'slow', 'ilang', 'already', 'a month', 'eagle', 'ngelamin', 'fix', 'cave', 'buy', ' Quota ',' expensive ',' ']</v>
      </c>
      <c r="D9856" s="3">
        <v>1.0</v>
      </c>
    </row>
    <row r="9857" ht="15.75" customHeight="1">
      <c r="A9857" s="1">
        <v>10612.0</v>
      </c>
      <c r="B9857" s="3" t="s">
        <v>9424</v>
      </c>
      <c r="C9857" s="3" t="str">
        <f>IFERROR(__xludf.DUMMYFUNCTION("GOOGLETRANSLATE(B9857,""id"",""en"")"),"['already', 'Make', 'Tsel', 'Internet', 'Sakti', 'Kaga', 'appears', 'appears', ""]")</f>
        <v>['already', 'Make', 'Tsel', 'Internet', 'Sakti', 'Kaga', 'appears', 'appears', "]</v>
      </c>
      <c r="D9857" s="3">
        <v>1.0</v>
      </c>
    </row>
    <row r="9858" ht="15.75" customHeight="1">
      <c r="A9858" s="1">
        <v>10613.0</v>
      </c>
      <c r="B9858" s="3" t="s">
        <v>9425</v>
      </c>
      <c r="C9858" s="3" t="str">
        <f>IFERROR(__xludf.DUMMYFUNCTION("GOOGLETRANSLATE(B9858,""id"",""en"")"),"['Network', 'appears', 'card', 'upgrade']")</f>
        <v>['Network', 'appears', 'card', 'upgrade']</v>
      </c>
      <c r="D9858" s="3">
        <v>3.0</v>
      </c>
    </row>
    <row r="9859" ht="15.75" customHeight="1">
      <c r="A9859" s="1">
        <v>10614.0</v>
      </c>
      <c r="B9859" s="3" t="s">
        <v>9426</v>
      </c>
      <c r="C9859" s="3" t="str">
        <f>IFERROR(__xludf.DUMMYFUNCTION("GOOGLETRANSLATE(B9859,""id"",""en"")"),"['pretty good']")</f>
        <v>['pretty good']</v>
      </c>
      <c r="D9859" s="3">
        <v>5.0</v>
      </c>
    </row>
    <row r="9860" ht="15.75" customHeight="1">
      <c r="A9860" s="1">
        <v>10615.0</v>
      </c>
      <c r="B9860" s="3" t="s">
        <v>9427</v>
      </c>
      <c r="C9860" s="3" t="str">
        <f>IFERROR(__xludf.DUMMYFUNCTION("GOOGLETRANSLATE(B9860,""id"",""en"")"),"['application', 'bad', 'application', 'operator', 'signs', 'star', 'present', 'application', ""]")</f>
        <v>['application', 'bad', 'application', 'operator', 'signs', 'star', 'present', 'application', "]</v>
      </c>
      <c r="D9860" s="3">
        <v>1.0</v>
      </c>
    </row>
    <row r="9861" ht="15.75" customHeight="1">
      <c r="A9861" s="1">
        <v>10616.0</v>
      </c>
      <c r="B9861" s="3" t="s">
        <v>9428</v>
      </c>
      <c r="C9861" s="3" t="str">
        <f>IFERROR(__xludf.DUMMYFUNCTION("GOOGLETRANSLATE(B9861,""id"",""en"")"),"['Package', 'cheap', 'signal', 'play', 'game', 'strong', 'like', 'lag']")</f>
        <v>['Package', 'cheap', 'signal', 'play', 'game', 'strong', 'like', 'lag']</v>
      </c>
      <c r="D9861" s="3">
        <v>5.0</v>
      </c>
    </row>
    <row r="9862" ht="15.75" customHeight="1">
      <c r="A9862" s="1">
        <v>10617.0</v>
      </c>
      <c r="B9862" s="3" t="s">
        <v>9429</v>
      </c>
      <c r="C9862" s="3" t="str">
        <f>IFERROR(__xludf.DUMMYFUNCTION("GOOGLETRANSLATE(B9862,""id"",""en"")"),"['Steady', 'BLM', 'Win', 'Lottery', 'Point']")</f>
        <v>['Steady', 'BLM', 'Win', 'Lottery', 'Point']</v>
      </c>
      <c r="D9862" s="3">
        <v>5.0</v>
      </c>
    </row>
    <row r="9863" ht="15.75" customHeight="1">
      <c r="A9863" s="1">
        <v>10618.0</v>
      </c>
      <c r="B9863" s="3" t="s">
        <v>9430</v>
      </c>
      <c r="C9863" s="3" t="str">
        <f>IFERROR(__xludf.DUMMYFUNCTION("GOOGLETRANSLATE(B9863,""id"",""en"")"),"[ 'Protest', 'Network', 'ugly', 'no', 'worth', 'price', 'expensive', 'bro', 'please', 'repair', 'signal', 'nyaaaaaaaaaaaaaaaaaaaaaaaaaaaaaaaaaaaaaaaaaaaaaaaaaaaaaaaaaaaaaaaaaaaaaaaaaaaaaaaaaaaaaaaaaaaaaaaaaaaaaaa']")</f>
        <v>[ 'Protest', 'Network', 'ugly', 'no', 'worth', 'price', 'expensive', 'bro', 'please', 'repair', 'signal', 'nyaaaaaaaaaaaaaaaaaaaaaaaaaaaaaaaaaaaaaaaaaaaaaaaaaaaaaaaaaaaaaaaaaaaaaaaaaaaaaaaaaaaaaaaaaaaaaaaaaaaaaaa']</v>
      </c>
      <c r="D9863" s="3">
        <v>1.0</v>
      </c>
    </row>
    <row r="9864" ht="15.75" customHeight="1">
      <c r="A9864" s="1">
        <v>10619.0</v>
      </c>
      <c r="B9864" s="3" t="s">
        <v>9431</v>
      </c>
      <c r="C9864" s="3" t="str">
        <f>IFERROR(__xludf.DUMMYFUNCTION("GOOGLETRANSLATE(B9864,""id"",""en"")"),"['Kloo', 'Cana', 'Telkomsel', 'expensive', 'package', 'internet', 'yaaa', 'trima', 'love']")</f>
        <v>['Kloo', 'Cana', 'Telkomsel', 'expensive', 'package', 'internet', 'yaaa', 'trima', 'love']</v>
      </c>
      <c r="D9864" s="3">
        <v>5.0</v>
      </c>
    </row>
    <row r="9865" ht="15.75" customHeight="1">
      <c r="A9865" s="1">
        <v>10620.0</v>
      </c>
      <c r="B9865" s="3" t="s">
        <v>9432</v>
      </c>
      <c r="C9865" s="3" t="str">
        <f>IFERROR(__xludf.DUMMYFUNCTION("GOOGLETRANSLATE(B9865,""id"",""en"")"),"['principal', 'Muantap', 'Telkomsel']")</f>
        <v>['principal', 'Muantap', 'Telkomsel']</v>
      </c>
      <c r="D9865" s="3">
        <v>5.0</v>
      </c>
    </row>
    <row r="9866" ht="15.75" customHeight="1">
      <c r="A9866" s="1">
        <v>10621.0</v>
      </c>
      <c r="B9866" s="3" t="s">
        <v>286</v>
      </c>
      <c r="C9866" s="3" t="str">
        <f>IFERROR(__xludf.DUMMYFUNCTION("GOOGLETRANSLATE(B9866,""id"",""en"")"),"['good']")</f>
        <v>['good']</v>
      </c>
      <c r="D9866" s="3">
        <v>5.0</v>
      </c>
    </row>
    <row r="9867" ht="15.75" customHeight="1">
      <c r="A9867" s="1">
        <v>10622.0</v>
      </c>
      <c r="B9867" s="3" t="s">
        <v>9433</v>
      </c>
      <c r="C9867" s="3" t="str">
        <f>IFERROR(__xludf.DUMMYFUNCTION("GOOGLETRANSLATE(B9867,""id"",""en"")"),"['Lally', 'promo', 'subscription']")</f>
        <v>['Lally', 'promo', 'subscription']</v>
      </c>
      <c r="D9867" s="3">
        <v>5.0</v>
      </c>
    </row>
    <row r="9868" ht="15.75" customHeight="1">
      <c r="A9868" s="1">
        <v>10623.0</v>
      </c>
      <c r="B9868" s="3" t="s">
        <v>9434</v>
      </c>
      <c r="C9868" s="3" t="str">
        <f>IFERROR(__xludf.DUMMYFUNCTION("GOOGLETRANSLATE(B9868,""id"",""en"")"),"['easy', 'transact', 'pulse', 'package', 'interesting']")</f>
        <v>['easy', 'transact', 'pulse', 'package', 'interesting']</v>
      </c>
      <c r="D9868" s="3">
        <v>5.0</v>
      </c>
    </row>
    <row r="9869" ht="15.75" customHeight="1">
      <c r="A9869" s="1">
        <v>10624.0</v>
      </c>
      <c r="B9869" s="3" t="s">
        <v>9435</v>
      </c>
      <c r="C9869" s="3" t="str">
        <f>IFERROR(__xludf.DUMMYFUNCTION("GOOGLETRANSLATE(B9869,""id"",""en"")"),"['hope', 'promo', 'buy']")</f>
        <v>['hope', 'promo', 'buy']</v>
      </c>
      <c r="D9869" s="3">
        <v>5.0</v>
      </c>
    </row>
    <row r="9870" ht="15.75" customHeight="1">
      <c r="A9870" s="1">
        <v>10626.0</v>
      </c>
      <c r="B9870" s="3" t="s">
        <v>9436</v>
      </c>
      <c r="C9870" s="3" t="str">
        <f>IFERROR(__xludf.DUMMYFUNCTION("GOOGLETRANSLATE(B9870,""id"",""en"")"),"['Dominate', 'Network', 'Region']")</f>
        <v>['Dominate', 'Network', 'Region']</v>
      </c>
      <c r="D9870" s="3">
        <v>5.0</v>
      </c>
    </row>
    <row r="9871" ht="15.75" customHeight="1">
      <c r="A9871" s="1">
        <v>10627.0</v>
      </c>
      <c r="B9871" s="3" t="s">
        <v>9437</v>
      </c>
      <c r="C9871" s="3" t="str">
        <f>IFERROR(__xludf.DUMMYFUNCTION("GOOGLETRANSLATE(B9871,""id"",""en"")"),"['Not bad', 'promo', 'steady']")</f>
        <v>['Not bad', 'promo', 'steady']</v>
      </c>
      <c r="D9871" s="3">
        <v>5.0</v>
      </c>
    </row>
    <row r="9872" ht="15.75" customHeight="1">
      <c r="A9872" s="1">
        <v>10629.0</v>
      </c>
      <c r="B9872" s="3" t="s">
        <v>9438</v>
      </c>
      <c r="C9872" s="3" t="str">
        <f>IFERROR(__xludf.DUMMYFUNCTION("GOOGLETRANSLATE(B9872,""id"",""en"")"),"['Provider', 'fraud', 'consumer', 'nastyttt', 'difficult', 'gini', 'mendholimi', 'consumer', 'already', 'buy', 'package', 'internet', ' She ',' pulse ',' main ',' stay ',' Rupiah ',' talk ',' rough ',' fearten ',' sin ']")</f>
        <v>['Provider', 'fraud', 'consumer', 'nastyttt', 'difficult', 'gini', 'mendholimi', 'consumer', 'already', 'buy', 'package', 'internet', ' She ',' pulse ',' main ',' stay ',' Rupiah ',' talk ',' rough ',' fearten ',' sin ']</v>
      </c>
      <c r="D9872" s="3">
        <v>1.0</v>
      </c>
    </row>
    <row r="9873" ht="15.75" customHeight="1">
      <c r="A9873" s="1">
        <v>10630.0</v>
      </c>
      <c r="B9873" s="3" t="s">
        <v>9439</v>
      </c>
      <c r="C9873" s="3" t="str">
        <f>IFERROR(__xludf.DUMMYFUNCTION("GOOGLETRANSLATE(B9873,""id"",""en"")"),"['easy', 'hopefully', 'smooth']")</f>
        <v>['easy', 'hopefully', 'smooth']</v>
      </c>
      <c r="D9873" s="3">
        <v>3.0</v>
      </c>
    </row>
    <row r="9874" ht="15.75" customHeight="1">
      <c r="A9874" s="1">
        <v>10631.0</v>
      </c>
      <c r="B9874" s="3" t="s">
        <v>9440</v>
      </c>
      <c r="C9874" s="3" t="str">
        <f>IFERROR(__xludf.DUMMYFUNCTION("GOOGLETRANSLATE(B9874,""id"",""en"")"),"['trap', 'Bethmen', 'heart', 'heart', 'contents',' pulse ',' dinerkan ',' lgsg ',' buy ',' package ',' finished ',' sucked ',' available ',' quota ']")</f>
        <v>['trap', 'Bethmen', 'heart', 'heart', 'contents',' pulse ',' dinerkan ',' lgsg ',' buy ',' package ',' finished ',' sucked ',' available ',' quota ']</v>
      </c>
      <c r="D9874" s="3">
        <v>1.0</v>
      </c>
    </row>
    <row r="9875" ht="15.75" customHeight="1">
      <c r="A9875" s="1">
        <v>10632.0</v>
      </c>
      <c r="B9875" s="3" t="s">
        <v>1193</v>
      </c>
      <c r="C9875" s="3" t="str">
        <f>IFERROR(__xludf.DUMMYFUNCTION("GOOGLETRANSLATE(B9875,""id"",""en"")"),"['Steady', 'Telkomsel']")</f>
        <v>['Steady', 'Telkomsel']</v>
      </c>
      <c r="D9875" s="3">
        <v>5.0</v>
      </c>
    </row>
    <row r="9876" ht="15.75" customHeight="1">
      <c r="A9876" s="1">
        <v>10633.0</v>
      </c>
      <c r="B9876" s="3" t="s">
        <v>9441</v>
      </c>
      <c r="C9876" s="3" t="str">
        <f>IFERROR(__xludf.DUMMYFUNCTION("GOOGLETRANSLATE(B9876,""id"",""en"")"),"['Service', 'Nyaaa', 'Lemottt', 'buy', 'enter', 'Verphaksi', 'Where', 'Wait', 'Harii']")</f>
        <v>['Service', 'Nyaaa', 'Lemottt', 'buy', 'enter', 'Verphaksi', 'Where', 'Wait', 'Harii']</v>
      </c>
      <c r="D9876" s="3">
        <v>1.0</v>
      </c>
    </row>
    <row r="9877" ht="15.75" customHeight="1">
      <c r="A9877" s="1">
        <v>10634.0</v>
      </c>
      <c r="B9877" s="3" t="s">
        <v>2898</v>
      </c>
      <c r="C9877" s="3" t="str">
        <f>IFERROR(__xludf.DUMMYFUNCTION("GOOGLETRANSLATE(B9877,""id"",""en"")"),"['good luck']")</f>
        <v>['good luck']</v>
      </c>
      <c r="D9877" s="3">
        <v>5.0</v>
      </c>
    </row>
    <row r="9878" ht="15.75" customHeight="1">
      <c r="A9878" s="1">
        <v>10635.0</v>
      </c>
      <c r="B9878" s="3" t="s">
        <v>181</v>
      </c>
      <c r="C9878" s="3" t="str">
        <f>IFERROR(__xludf.DUMMYFUNCTION("GOOGLETRANSLATE(B9878,""id"",""en"")"),"['help']")</f>
        <v>['help']</v>
      </c>
      <c r="D9878" s="3">
        <v>5.0</v>
      </c>
    </row>
    <row r="9879" ht="15.75" customHeight="1">
      <c r="A9879" s="1">
        <v>10636.0</v>
      </c>
      <c r="B9879" s="3" t="s">
        <v>9442</v>
      </c>
      <c r="C9879" s="3" t="str">
        <f>IFERROR(__xludf.DUMMYFUNCTION("GOOGLETRANSLATE(B9879,""id"",""en"")"),"['Cheap', 'promo']")</f>
        <v>['Cheap', 'promo']</v>
      </c>
      <c r="D9879" s="3">
        <v>5.0</v>
      </c>
    </row>
    <row r="9880" ht="15.75" customHeight="1">
      <c r="A9880" s="1">
        <v>10638.0</v>
      </c>
      <c r="B9880" s="3" t="s">
        <v>9443</v>
      </c>
      <c r="C9880" s="3" t="str">
        <f>IFERROR(__xludf.DUMMYFUNCTION("GOOGLETRANSLATE(B9880,""id"",""en"")"),"['Puya', 'internet', 'tan', 'lag', 'tiktok']")</f>
        <v>['Puya', 'internet', 'tan', 'lag', 'tiktok']</v>
      </c>
      <c r="D9880" s="3">
        <v>1.0</v>
      </c>
    </row>
    <row r="9881" ht="15.75" customHeight="1">
      <c r="A9881" s="1">
        <v>10639.0</v>
      </c>
      <c r="B9881" s="3" t="s">
        <v>9444</v>
      </c>
      <c r="C9881" s="3" t="str">
        <f>IFERROR(__xludf.DUMMYFUNCTION("GOOGLETRANSLATE(B9881,""id"",""en"")"),"['Package', 'Cheerful', 'GB', 'Adin']")</f>
        <v>['Package', 'Cheerful', 'GB', 'Adin']</v>
      </c>
      <c r="D9881" s="3">
        <v>1.0</v>
      </c>
    </row>
    <row r="9882" ht="15.75" customHeight="1">
      <c r="A9882" s="1">
        <v>10640.0</v>
      </c>
      <c r="B9882" s="3" t="s">
        <v>9445</v>
      </c>
      <c r="C9882" s="3" t="str">
        <f>IFERROR(__xludf.DUMMYFUNCTION("GOOGLETRANSLATE(B9882,""id"",""en"")"),"['quota', 'bargain', 'varied', '']")</f>
        <v>['quota', 'bargain', 'varied', '']</v>
      </c>
      <c r="D9882" s="3">
        <v>1.0</v>
      </c>
    </row>
    <row r="9883" ht="15.75" customHeight="1">
      <c r="A9883" s="1">
        <v>10641.0</v>
      </c>
      <c r="B9883" s="3" t="s">
        <v>9446</v>
      </c>
      <c r="C9883" s="3" t="str">
        <f>IFERROR(__xludf.DUMMYFUNCTION("GOOGLETRANSLATE(B9883,""id"",""en"")"),"['APK', 'good', 'easy', 'transaction']")</f>
        <v>['APK', 'good', 'easy', 'transaction']</v>
      </c>
      <c r="D9883" s="3">
        <v>5.0</v>
      </c>
    </row>
    <row r="9884" ht="15.75" customHeight="1">
      <c r="A9884" s="1">
        <v>10642.0</v>
      </c>
      <c r="B9884" s="3" t="s">
        <v>2290</v>
      </c>
      <c r="C9884" s="3" t="str">
        <f>IFERROR(__xludf.DUMMYFUNCTION("GOOGLETRANSLATE(B9884,""id"",""en"")"),"['Good', 'like']")</f>
        <v>['Good', 'like']</v>
      </c>
      <c r="D9884" s="3">
        <v>5.0</v>
      </c>
    </row>
    <row r="9885" ht="15.75" customHeight="1">
      <c r="A9885" s="1">
        <v>10643.0</v>
      </c>
      <c r="B9885" s="3" t="s">
        <v>9447</v>
      </c>
      <c r="C9885" s="3" t="str">
        <f>IFERROR(__xludf.DUMMYFUNCTION("GOOGLETRANSLATE(B9885,""id"",""en"")"),"['Hopefully', 'Move']")</f>
        <v>['Hopefully', 'Move']</v>
      </c>
      <c r="D9885" s="3">
        <v>4.0</v>
      </c>
    </row>
    <row r="9886" ht="15.75" customHeight="1">
      <c r="A9886" s="1">
        <v>10644.0</v>
      </c>
      <c r="B9886" s="3" t="s">
        <v>9448</v>
      </c>
      <c r="C9886" s="3" t="str">
        <f>IFERROR(__xludf.DUMMYFUNCTION("GOOGLETRANSLATE(B9886,""id"",""en"")"),"['Kasi', 'Bonus', '']")</f>
        <v>['Kasi', 'Bonus', '']</v>
      </c>
      <c r="D9886" s="3">
        <v>5.0</v>
      </c>
    </row>
    <row r="9887" ht="15.75" customHeight="1">
      <c r="A9887" s="1">
        <v>10645.0</v>
      </c>
      <c r="B9887" s="3" t="s">
        <v>1855</v>
      </c>
      <c r="C9887" s="3" t="str">
        <f>IFERROR(__xludf.DUMMYFUNCTION("GOOGLETRANSLATE(B9887,""id"",""en"")"),"['star']")</f>
        <v>['star']</v>
      </c>
      <c r="D9887" s="3">
        <v>3.0</v>
      </c>
    </row>
    <row r="9888" ht="15.75" customHeight="1">
      <c r="A9888" s="1">
        <v>10646.0</v>
      </c>
      <c r="B9888" s="3" t="s">
        <v>9449</v>
      </c>
      <c r="C9888" s="3" t="str">
        <f>IFERROR(__xludf.DUMMYFUNCTION("GOOGLETRANSLATE(B9888,""id"",""en"")"),"['MyTelkomsel', 'makes it easy', 'user']")</f>
        <v>['MyTelkomsel', 'makes it easy', 'user']</v>
      </c>
      <c r="D9888" s="3">
        <v>5.0</v>
      </c>
    </row>
    <row r="9889" ht="15.75" customHeight="1">
      <c r="A9889" s="1">
        <v>10647.0</v>
      </c>
      <c r="B9889" s="3" t="s">
        <v>9450</v>
      </c>
      <c r="C9889" s="3" t="str">
        <f>IFERROR(__xludf.DUMMYFUNCTION("GOOGLETRANSLATE(B9889,""id"",""en"")"),"['Network', 'Telkomsel', 'The', 'Best', 'Mantap']")</f>
        <v>['Network', 'Telkomsel', 'The', 'Best', 'Mantap']</v>
      </c>
      <c r="D9889" s="3">
        <v>5.0</v>
      </c>
    </row>
    <row r="9890" ht="15.75" customHeight="1">
      <c r="A9890" s="1">
        <v>10649.0</v>
      </c>
      <c r="B9890" s="3" t="s">
        <v>9451</v>
      </c>
      <c r="C9890" s="3" t="str">
        <f>IFERROR(__xludf.DUMMYFUNCTION("GOOGLETRANSLATE(B9890,""id"",""en"")"),"['buy', 'pulse', 'young']")</f>
        <v>['buy', 'pulse', 'young']</v>
      </c>
      <c r="D9890" s="3">
        <v>5.0</v>
      </c>
    </row>
    <row r="9891" ht="15.75" customHeight="1">
      <c r="A9891" s="1">
        <v>10650.0</v>
      </c>
      <c r="B9891" s="3" t="s">
        <v>9452</v>
      </c>
      <c r="C9891" s="3" t="str">
        <f>IFERROR(__xludf.DUMMYFUNCTION("GOOGLETRANSLATE(B9891,""id"",""en"")"),"['signal', 'Telkomsel', 'good', 'area', 'drawback', 'price', 'package', 'pulse', 'expensive', 'please', 'down', 'little']")</f>
        <v>['signal', 'Telkomsel', 'good', 'area', 'drawback', 'price', 'package', 'pulse', 'expensive', 'please', 'down', 'little']</v>
      </c>
      <c r="D9891" s="3">
        <v>5.0</v>
      </c>
    </row>
    <row r="9892" ht="15.75" customHeight="1">
      <c r="A9892" s="1">
        <v>10652.0</v>
      </c>
      <c r="B9892" s="3" t="s">
        <v>9453</v>
      </c>
      <c r="C9892" s="3" t="str">
        <f>IFERROR(__xludf.DUMMYFUNCTION("GOOGLETRANSLATE(B9892,""id"",""en"")"),"['Bismillah', 'Commission', 'Telkom']")</f>
        <v>['Bismillah', 'Commission', 'Telkom']</v>
      </c>
      <c r="D9892" s="3">
        <v>5.0</v>
      </c>
    </row>
    <row r="9893" ht="15.75" customHeight="1">
      <c r="A9893" s="1">
        <v>10653.0</v>
      </c>
      <c r="B9893" s="3" t="s">
        <v>9454</v>
      </c>
      <c r="C9893" s="3" t="str">
        <f>IFERROR(__xludf.DUMMYFUNCTION("GOOGLETRANSLATE(B9893,""id"",""en"")"),"['offer', 'special']")</f>
        <v>['offer', 'special']</v>
      </c>
      <c r="D9893" s="3">
        <v>4.0</v>
      </c>
    </row>
    <row r="9894" ht="15.75" customHeight="1">
      <c r="A9894" s="1">
        <v>10655.0</v>
      </c>
      <c r="B9894" s="3" t="s">
        <v>9455</v>
      </c>
      <c r="C9894" s="3" t="str">
        <f>IFERROR(__xludf.DUMMYFUNCTION("GOOGLETRANSLATE(B9894,""id"",""en"")"),"['APK', 'good', 'help', 'handy']")</f>
        <v>['APK', 'good', 'help', 'handy']</v>
      </c>
      <c r="D9894" s="3">
        <v>5.0</v>
      </c>
    </row>
    <row r="9895" ht="15.75" customHeight="1">
      <c r="A9895" s="1">
        <v>10656.0</v>
      </c>
      <c r="B9895" s="3" t="s">
        <v>9456</v>
      </c>
      <c r="C9895" s="3" t="str">
        <f>IFERROR(__xludf.DUMMYFUNCTION("GOOGLETRANSLATE(B9895,""id"",""en"")"),"['Useful', 'signal', 'setabilia']")</f>
        <v>['Useful', 'signal', 'setabilia']</v>
      </c>
      <c r="D9895" s="3">
        <v>5.0</v>
      </c>
    </row>
    <row r="9896" ht="15.75" customHeight="1">
      <c r="A9896" s="1">
        <v>10658.0</v>
      </c>
      <c r="B9896" s="3" t="s">
        <v>9457</v>
      </c>
      <c r="C9896" s="3" t="str">
        <f>IFERROR(__xludf.DUMMYFUNCTION("GOOGLETRANSLATE(B9896,""id"",""en"")"),"['Help', 'access', 'service']")</f>
        <v>['Help', 'access', 'service']</v>
      </c>
      <c r="D9896" s="3">
        <v>5.0</v>
      </c>
    </row>
    <row r="9897" ht="15.75" customHeight="1">
      <c r="A9897" s="1">
        <v>10659.0</v>
      </c>
      <c r="B9897" s="3" t="s">
        <v>9458</v>
      </c>
      <c r="C9897" s="3" t="str">
        <f>IFERROR(__xludf.DUMMYFUNCTION("GOOGLETRANSLATE(B9897,""id"",""en"")"),"['No', 'opened', 'APS', 'Heavy', 'Fiuuhh']")</f>
        <v>['No', 'opened', 'APS', 'Heavy', 'Fiuuhh']</v>
      </c>
      <c r="D9897" s="3">
        <v>1.0</v>
      </c>
    </row>
    <row r="9898" ht="15.75" customHeight="1">
      <c r="A9898" s="1">
        <v>10660.0</v>
      </c>
      <c r="B9898" s="3" t="s">
        <v>9459</v>
      </c>
      <c r="C9898" s="3" t="str">
        <f>IFERROR(__xludf.DUMMYFUNCTION("GOOGLETRANSLATE(B9898,""id"",""en"")"),"['application', 'Bagus', 'user', 'card', 'Telkomsel', 'mandatory', 'dowload', 'application']")</f>
        <v>['application', 'Bagus', 'user', 'card', 'Telkomsel', 'mandatory', 'dowload', 'application']</v>
      </c>
      <c r="D9898" s="3">
        <v>5.0</v>
      </c>
    </row>
    <row r="9899" ht="15.75" customHeight="1">
      <c r="A9899" s="1">
        <v>10661.0</v>
      </c>
      <c r="B9899" s="3" t="s">
        <v>9460</v>
      </c>
      <c r="C9899" s="3" t="str">
        <f>IFERROR(__xludf.DUMMYFUNCTION("GOOGLETRANSLATE(B9899,""id"",""en"")"),"['Bags', 'TPI', 'suggestion', 'Sya', 'pketnya', 'cheap', 'dkit']")</f>
        <v>['Bags', 'TPI', 'suggestion', 'Sya', 'pketnya', 'cheap', 'dkit']</v>
      </c>
      <c r="D9899" s="3">
        <v>5.0</v>
      </c>
    </row>
    <row r="9900" ht="15.75" customHeight="1">
      <c r="A9900" s="1">
        <v>10662.0</v>
      </c>
      <c r="B9900" s="3" t="s">
        <v>9461</v>
      </c>
      <c r="C9900" s="3" t="str">
        <f>IFERROR(__xludf.DUMMYFUNCTION("GOOGLETRANSLATE(B9900,""id"",""en"")"),"['hope', 'signal', 'ilang']")</f>
        <v>['hope', 'signal', 'ilang']</v>
      </c>
      <c r="D9900" s="3">
        <v>5.0</v>
      </c>
    </row>
    <row r="9901" ht="15.75" customHeight="1">
      <c r="A9901" s="1">
        <v>10663.0</v>
      </c>
      <c r="B9901" s="3" t="s">
        <v>9462</v>
      </c>
      <c r="C9901" s="3" t="str">
        <f>IFERROR(__xludf.DUMMYFUNCTION("GOOGLETRANSLATE(B9901,""id"",""en"")"),"['makes it easier', 'see', 'balance', 'purchase', 'pulse']")</f>
        <v>['makes it easier', 'see', 'balance', 'purchase', 'pulse']</v>
      </c>
      <c r="D9901" s="3">
        <v>4.0</v>
      </c>
    </row>
    <row r="9902" ht="15.75" customHeight="1">
      <c r="A9902" s="1">
        <v>10664.0</v>
      </c>
      <c r="B9902" s="3" t="s">
        <v>9463</v>
      </c>
      <c r="C9902" s="3" t="str">
        <f>IFERROR(__xludf.DUMMYFUNCTION("GOOGLETRANSLATE(B9902,""id"",""en"")"),"['mantapks', 'greetings', 'sense', 'healthy']")</f>
        <v>['mantapks', 'greetings', 'sense', 'healthy']</v>
      </c>
      <c r="D9902" s="3">
        <v>5.0</v>
      </c>
    </row>
    <row r="9903" ht="15.75" customHeight="1">
      <c r="A9903" s="1">
        <v>10665.0</v>
      </c>
      <c r="B9903" s="3" t="s">
        <v>9464</v>
      </c>
      <c r="C9903" s="3" t="str">
        <f>IFERROR(__xludf.DUMMYFUNCTION("GOOGLETRANSLATE(B9903,""id"",""en"")"),"['signal', 'Telkomsel', 'slow', 'really', 'please', 'repaired', 'SAK', 'really']")</f>
        <v>['signal', 'Telkomsel', 'slow', 'really', 'please', 'repaired', 'SAK', 'really']</v>
      </c>
      <c r="D9903" s="3">
        <v>5.0</v>
      </c>
    </row>
    <row r="9904" ht="15.75" customHeight="1">
      <c r="A9904" s="1">
        <v>10666.0</v>
      </c>
      <c r="B9904" s="3" t="s">
        <v>9465</v>
      </c>
      <c r="C9904" s="3" t="str">
        <f>IFERROR(__xludf.DUMMYFUNCTION("GOOGLETRANSLATE(B9904,""id"",""en"")"),"['error', 'biggest', 'maker', 'application', 'support', 'version', 'Android', 'user', 'use', 'advantages',' developer ',' maximize ',' its users', 'November', 'MyTelkomsel', 'application', 'light', 'notification', 'comfortable', '']")</f>
        <v>['error', 'biggest', 'maker', 'application', 'support', 'version', 'Android', 'user', 'use', 'advantages',' developer ',' maximize ',' its users', 'November', 'MyTelkomsel', 'application', 'light', 'notification', 'comfortable', '']</v>
      </c>
      <c r="D9904" s="3">
        <v>1.0</v>
      </c>
    </row>
    <row r="9905" ht="15.75" customHeight="1">
      <c r="A9905" s="1">
        <v>10667.0</v>
      </c>
      <c r="B9905" s="3" t="s">
        <v>9466</v>
      </c>
      <c r="C9905" s="3" t="str">
        <f>IFERROR(__xludf.DUMMYFUNCTION("GOOGLETRANSLATE(B9905,""id"",""en"")"),"['tested', 'good', 'love', 'pul', 'star']")</f>
        <v>['tested', 'good', 'love', 'pul', 'star']</v>
      </c>
      <c r="D9905" s="3">
        <v>3.0</v>
      </c>
    </row>
    <row r="9906" ht="15.75" customHeight="1">
      <c r="A9906" s="1">
        <v>10668.0</v>
      </c>
      <c r="B9906" s="3" t="s">
        <v>9467</v>
      </c>
      <c r="C9906" s="3" t="str">
        <f>IFERROR(__xludf.DUMMYFUNCTION("GOOGLETRANSLATE(B9906,""id"",""en"")"),"['Personal', 'Satisfied', 'Application', 'Signal', 'Stable', 'Automatic', 'Opened']")</f>
        <v>['Personal', 'Satisfied', 'Application', 'Signal', 'Stable', 'Automatic', 'Opened']</v>
      </c>
      <c r="D9906" s="3">
        <v>1.0</v>
      </c>
    </row>
    <row r="9907" ht="15.75" customHeight="1">
      <c r="A9907" s="1">
        <v>10669.0</v>
      </c>
      <c r="B9907" s="3" t="s">
        <v>9468</v>
      </c>
      <c r="C9907" s="3" t="str">
        <f>IFERROR(__xludf.DUMMYFUNCTION("GOOGLETRANSLATE(B9907,""id"",""en"")"),"['How', 'Enhanced']")</f>
        <v>['How', 'Enhanced']</v>
      </c>
      <c r="D9907" s="3">
        <v>4.0</v>
      </c>
    </row>
    <row r="9908" ht="15.75" customHeight="1">
      <c r="A9908" s="1">
        <v>10670.0</v>
      </c>
      <c r="B9908" s="3" t="s">
        <v>9469</v>
      </c>
      <c r="C9908" s="3" t="str">
        <f>IFERROR(__xludf.DUMMYFUNCTION("GOOGLETRANSLATE(B9908,""id"",""en"")"),"['Steady', 'Mantap', 'Telkomsel']")</f>
        <v>['Steady', 'Mantap', 'Telkomsel']</v>
      </c>
      <c r="D9908" s="3">
        <v>4.0</v>
      </c>
    </row>
    <row r="9909" ht="15.75" customHeight="1">
      <c r="A9909" s="1">
        <v>10671.0</v>
      </c>
      <c r="B9909" s="3" t="s">
        <v>9470</v>
      </c>
      <c r="C9909" s="3" t="str">
        <f>IFERROR(__xludf.DUMMYFUNCTION("GOOGLETRANSLATE(B9909,""id"",""en"")"),"['Fast', 'Good']")</f>
        <v>['Fast', 'Good']</v>
      </c>
      <c r="D9909" s="3">
        <v>5.0</v>
      </c>
    </row>
    <row r="9910" ht="15.75" customHeight="1">
      <c r="A9910" s="1">
        <v>10672.0</v>
      </c>
      <c r="B9910" s="3" t="s">
        <v>9471</v>
      </c>
      <c r="C9910" s="3" t="str">
        <f>IFERROR(__xludf.DUMMYFUNCTION("GOOGLETRANSLATE(B9910,""id"",""en"")"),"['Mantab', 'easy', 'leftover', 'pulse', 'pulse', 'package', 'times', 'click']")</f>
        <v>['Mantab', 'easy', 'leftover', 'pulse', 'pulse', 'package', 'times', 'click']</v>
      </c>
      <c r="D9910" s="3">
        <v>5.0</v>
      </c>
    </row>
    <row r="9911" ht="15.75" customHeight="1">
      <c r="A9911" s="1">
        <v>10673.0</v>
      </c>
      <c r="B9911" s="3" t="s">
        <v>9472</v>
      </c>
      <c r="C9911" s="3" t="str">
        <f>IFERROR(__xludf.DUMMYFUNCTION("GOOGLETRANSLATE(B9911,""id"",""en"")"),"['package', 'internet', 'pulseku', 'minus', 'access', 'internet', 'non', 'package', '']")</f>
        <v>['package', 'internet', 'pulseku', 'minus', 'access', 'internet', 'non', 'package', '']</v>
      </c>
      <c r="D9911" s="3">
        <v>1.0</v>
      </c>
    </row>
    <row r="9912" ht="15.75" customHeight="1">
      <c r="A9912" s="1">
        <v>10675.0</v>
      </c>
      <c r="B9912" s="3" t="s">
        <v>9473</v>
      </c>
      <c r="C9912" s="3" t="str">
        <f>IFERROR(__xludf.DUMMYFUNCTION("GOOGLETRANSLATE(B9912,""id"",""en"")"),"['Migration', 'Online', '']")</f>
        <v>['Migration', 'Online', '']</v>
      </c>
      <c r="D9912" s="3">
        <v>2.0</v>
      </c>
    </row>
    <row r="9913" ht="15.75" customHeight="1">
      <c r="A9913" s="1">
        <v>10676.0</v>
      </c>
      <c r="B9913" s="3" t="s">
        <v>4830</v>
      </c>
      <c r="C9913" s="3" t="str">
        <f>IFERROR(__xludf.DUMMYFUNCTION("GOOGLETRANSLATE(B9913,""id"",""en"")"),"['beneficial', '']")</f>
        <v>['beneficial', '']</v>
      </c>
      <c r="D9913" s="3">
        <v>5.0</v>
      </c>
    </row>
    <row r="9914" ht="15.75" customHeight="1">
      <c r="A9914" s="1">
        <v>10678.0</v>
      </c>
      <c r="B9914" s="3" t="s">
        <v>9474</v>
      </c>
      <c r="C9914" s="3" t="str">
        <f>IFERROR(__xludf.DUMMYFUNCTION("GOOGLETRANSLATE(B9914,""id"",""en"")"),"['quota', 'local', 'sya', 'use', 'internet', 'youtube', 'slow', 'padhal', '']")</f>
        <v>['quota', 'local', 'sya', 'use', 'internet', 'youtube', 'slow', 'padhal', '']</v>
      </c>
      <c r="D9914" s="3">
        <v>2.0</v>
      </c>
    </row>
    <row r="9915" ht="15.75" customHeight="1">
      <c r="A9915" s="1">
        <v>10679.0</v>
      </c>
      <c r="B9915" s="3" t="s">
        <v>9475</v>
      </c>
      <c r="C9915" s="3" t="str">
        <f>IFERROR(__xludf.DUMMYFUNCTION("GOOGLETRANSLATE(B9915,""id"",""en"")"),"['Easy', 'hopefully', 'sustenance']")</f>
        <v>['Easy', 'hopefully', 'sustenance']</v>
      </c>
      <c r="D9915" s="3">
        <v>5.0</v>
      </c>
    </row>
    <row r="9916" ht="15.75" customHeight="1">
      <c r="A9916" s="1">
        <v>10680.0</v>
      </c>
      <c r="B9916" s="3" t="s">
        <v>9476</v>
      </c>
      <c r="C9916" s="3" t="str">
        <f>IFERROR(__xludf.DUMMYFUNCTION("GOOGLETRANSLATE(B9916,""id"",""en"")"),"['signal', 'ugly', 'disturbing', 'activity']")</f>
        <v>['signal', 'ugly', 'disturbing', 'activity']</v>
      </c>
      <c r="D9916" s="3">
        <v>1.0</v>
      </c>
    </row>
    <row r="9917" ht="15.75" customHeight="1">
      <c r="A9917" s="1">
        <v>10681.0</v>
      </c>
      <c r="B9917" s="3" t="s">
        <v>9477</v>
      </c>
      <c r="C9917" s="3" t="str">
        <f>IFERROR(__xludf.DUMMYFUNCTION("GOOGLETRANSLATE(B9917,""id"",""en"")"),"['no', 'package', 'like', 'missing', 'change', 'change']")</f>
        <v>['no', 'package', 'like', 'missing', 'change', 'change']</v>
      </c>
      <c r="D9917" s="3">
        <v>1.0</v>
      </c>
    </row>
    <row r="9918" ht="15.75" customHeight="1">
      <c r="A9918" s="1">
        <v>10682.0</v>
      </c>
      <c r="B9918" s="3" t="s">
        <v>9478</v>
      </c>
      <c r="C9918" s="3" t="str">
        <f>IFERROR(__xludf.DUMMYFUNCTION("GOOGLETRANSLATE(B9918,""id"",""en"")"),"['range', 'extensive', 'remote', 'country']")</f>
        <v>['range', 'extensive', 'remote', 'country']</v>
      </c>
      <c r="D9918" s="3">
        <v>5.0</v>
      </c>
    </row>
    <row r="9919" ht="15.75" customHeight="1">
      <c r="A9919" s="1">
        <v>10683.0</v>
      </c>
      <c r="B9919" s="3" t="s">
        <v>9479</v>
      </c>
      <c r="C9919" s="3" t="str">
        <f>IFERROR(__xludf.DUMMYFUNCTION("GOOGLETRANSLATE(B9919,""id"",""en"")"),"['Miyakan', 'use', 'because' log ',' difficult ',' already ',' difficult ',' log ',' easy ',' easy ',' entry ']")</f>
        <v>['Miyakan', 'use', 'because' log ',' difficult ',' already ',' difficult ',' log ',' easy ',' easy ',' entry ']</v>
      </c>
      <c r="D9919" s="3">
        <v>2.0</v>
      </c>
    </row>
    <row r="9920" ht="15.75" customHeight="1">
      <c r="A9920" s="1">
        <v>10685.0</v>
      </c>
      <c r="B9920" s="3" t="s">
        <v>9480</v>
      </c>
      <c r="C9920" s="3" t="str">
        <f>IFERROR(__xludf.DUMMYFUNCTION("GOOGLETRANSLATE(B9920,""id"",""en"")"),"['Good', 'smooth', 'in the future', 'Dark', 'Theme', 'Thank "",' Love ',""]")</f>
        <v>['Good', 'smooth', 'in the future', 'Dark', 'Theme', 'Thank ",' Love ',"]</v>
      </c>
      <c r="D9920" s="3">
        <v>5.0</v>
      </c>
    </row>
    <row r="9921" ht="15.75" customHeight="1">
      <c r="A9921" s="1">
        <v>10686.0</v>
      </c>
      <c r="B9921" s="3" t="s">
        <v>9481</v>
      </c>
      <c r="C9921" s="3" t="str">
        <f>IFERROR(__xludf.DUMMYFUNCTION("GOOGLETRANSLATE(B9921,""id"",""en"")"),"['given', 'cheap', 'city', 'maha']")</f>
        <v>['given', 'cheap', 'city', 'maha']</v>
      </c>
      <c r="D9921" s="3">
        <v>4.0</v>
      </c>
    </row>
    <row r="9922" ht="15.75" customHeight="1">
      <c r="A9922" s="1">
        <v>10687.0</v>
      </c>
      <c r="B9922" s="3" t="s">
        <v>9482</v>
      </c>
      <c r="C9922" s="3" t="str">
        <f>IFERROR(__xludf.DUMMYFUNCTION("GOOGLETRANSLATE(B9922,""id"",""en"")"),"['expensive', 'ngak', 'quota', 'sometimes', 'buy', 'sometimes', 'ngak']")</f>
        <v>['expensive', 'ngak', 'quota', 'sometimes', 'buy', 'sometimes', 'ngak']</v>
      </c>
      <c r="D9922" s="3">
        <v>2.0</v>
      </c>
    </row>
    <row r="9923" ht="15.75" customHeight="1">
      <c r="A9923" s="1">
        <v>10688.0</v>
      </c>
      <c r="B9923" s="3" t="s">
        <v>9483</v>
      </c>
      <c r="C9923" s="3" t="str">
        <f>IFERROR(__xludf.DUMMYFUNCTION("GOOGLETRANSLATE(B9923,""id"",""en"")"),"['Bacot', 'Bye', 'Telkomsel', 'expensive', 'network', '']")</f>
        <v>['Bacot', 'Bye', 'Telkomsel', 'expensive', 'network', '']</v>
      </c>
      <c r="D9923" s="3">
        <v>1.0</v>
      </c>
    </row>
    <row r="9924" ht="15.75" customHeight="1">
      <c r="A9924" s="1">
        <v>10689.0</v>
      </c>
      <c r="B9924" s="3" t="s">
        <v>9484</v>
      </c>
      <c r="C9924" s="3" t="str">
        <f>IFERROR(__xludf.DUMMYFUNCTION("GOOGLETRANSLATE(B9924,""id"",""en"")"),"['Thank God', 'BSA', 'Helping', 'Communication', 'Smooth', ""]")</f>
        <v>['Thank God', 'BSA', 'Helping', 'Communication', 'Smooth', "]</v>
      </c>
      <c r="D9924" s="3">
        <v>4.0</v>
      </c>
    </row>
    <row r="9925" ht="15.75" customHeight="1">
      <c r="A9925" s="1">
        <v>10690.0</v>
      </c>
      <c r="B9925" s="3" t="s">
        <v>9485</v>
      </c>
      <c r="C9925" s="3" t="str">
        <f>IFERROR(__xludf.DUMMYFUNCTION("GOOGLETRANSLATE(B9925,""id"",""en"")"),"['Zone', 'buy', 'SIM', 'Card', 'at home', 'price', 'Package', 'Telkomsel', 'Different', 'I', 'Adek', 'I', ' Strange ',' I ',' expensive ',' Adek ',' cheap ',' Delasin ',' Okay ',' Different ',' Zone ',' Different ',' Price ',' Housing ',' Zone ' ]")</f>
        <v>['Zone', 'buy', 'SIM', 'Card', 'at home', 'price', 'Package', 'Telkomsel', 'Different', 'I', 'Adek', 'I', ' Strange ',' I ',' expensive ',' Adek ',' cheap ',' Delasin ',' Okay ',' Different ',' Zone ',' Different ',' Price ',' Housing ',' Zone ' ]</v>
      </c>
      <c r="D9925" s="3">
        <v>2.0</v>
      </c>
    </row>
    <row r="9926" ht="15.75" customHeight="1">
      <c r="A9926" s="1">
        <v>10691.0</v>
      </c>
      <c r="B9926" s="3" t="s">
        <v>9486</v>
      </c>
      <c r="C9926" s="3" t="str">
        <f>IFERROR(__xludf.DUMMYFUNCTION("GOOGLETRANSLATE(B9926,""id"",""en"")"),"['', 'really', 'Telkomsel']")</f>
        <v>['', 'really', 'Telkomsel']</v>
      </c>
      <c r="D9926" s="3">
        <v>5.0</v>
      </c>
    </row>
    <row r="9927" ht="15.75" customHeight="1">
      <c r="A9927" s="1">
        <v>10692.0</v>
      </c>
      <c r="B9927" s="3" t="s">
        <v>9487</v>
      </c>
      <c r="C9927" s="3" t="str">
        <f>IFERROR(__xludf.DUMMYFUNCTION("GOOGLETRANSLATE(B9927,""id"",""en"")"),"['SERBA']")</f>
        <v>['SERBA']</v>
      </c>
      <c r="D9927" s="3">
        <v>5.0</v>
      </c>
    </row>
    <row r="9928" ht="15.75" customHeight="1">
      <c r="A9928" s="1">
        <v>10693.0</v>
      </c>
      <c r="B9928" s="3" t="s">
        <v>2620</v>
      </c>
      <c r="C9928" s="3" t="str">
        <f>IFERROR(__xludf.DUMMYFUNCTION("GOOGLETRANSLATE(B9928,""id"",""en"")"),"Of course")</f>
        <v>Of course</v>
      </c>
      <c r="D9928" s="3">
        <v>5.0</v>
      </c>
    </row>
    <row r="9929" ht="15.75" customHeight="1">
      <c r="A9929" s="1">
        <v>10694.0</v>
      </c>
      <c r="B9929" s="3" t="s">
        <v>9488</v>
      </c>
      <c r="C9929" s="3" t="str">
        <f>IFERROR(__xludf.DUMMYFUNCTION("GOOGLETRANSLATE(B9929,""id"",""en"")"),"['Network', 'Telkomsel']")</f>
        <v>['Network', 'Telkomsel']</v>
      </c>
      <c r="D9929" s="3">
        <v>5.0</v>
      </c>
    </row>
    <row r="9930" ht="15.75" customHeight="1">
      <c r="A9930" s="1">
        <v>10695.0</v>
      </c>
      <c r="B9930" s="3" t="s">
        <v>3602</v>
      </c>
      <c r="C9930" s="3" t="str">
        <f>IFERROR(__xludf.DUMMYFUNCTION("GOOGLETRANSLATE(B9930,""id"",""en"")"),"['Application', 'good', 'help']")</f>
        <v>['Application', 'good', 'help']</v>
      </c>
      <c r="D9930" s="3">
        <v>5.0</v>
      </c>
    </row>
    <row r="9931" ht="15.75" customHeight="1">
      <c r="A9931" s="1">
        <v>10697.0</v>
      </c>
      <c r="B9931" s="3" t="s">
        <v>9489</v>
      </c>
      <c r="C9931" s="3" t="str">
        <f>IFERROR(__xludf.DUMMYFUNCTION("GOOGLETRANSLATE(B9931,""id"",""en"")"),"['Buy', 'Package', 'Science', 'Pedia', 'Quota', 'Learning', 'Quota', 'Main', 'Cut']")</f>
        <v>['Buy', 'Package', 'Science', 'Pedia', 'Quota', 'Learning', 'Quota', 'Main', 'Cut']</v>
      </c>
      <c r="D9931" s="3">
        <v>2.0</v>
      </c>
    </row>
    <row r="9932" ht="15.75" customHeight="1">
      <c r="A9932" s="1">
        <v>10699.0</v>
      </c>
      <c r="B9932" s="3" t="s">
        <v>9490</v>
      </c>
      <c r="C9932" s="3" t="str">
        <f>IFERROR(__xludf.DUMMYFUNCTION("GOOGLETRANSLATE(B9932,""id"",""en"")"),"['response', 'the application', 'fast']")</f>
        <v>['response', 'the application', 'fast']</v>
      </c>
      <c r="D9932" s="3">
        <v>5.0</v>
      </c>
    </row>
    <row r="9933" ht="15.75" customHeight="1">
      <c r="A9933" s="1">
        <v>10700.0</v>
      </c>
      <c r="B9933" s="3" t="s">
        <v>9491</v>
      </c>
      <c r="C9933" s="3" t="str">
        <f>IFERROR(__xludf.DUMMYFUNCTION("GOOGLETRANSLATE(B9933,""id"",""en"")"),"['diem', 'diem', 'pulse', 'reduced', 'knowledge', 'strange', 'kouta', 'msh', 'koq', 'sucked', 'pulse', 'regular', ' Sometimes', 'transaction', 'reduced', 'knp', '']")</f>
        <v>['diem', 'diem', 'pulse', 'reduced', 'knowledge', 'strange', 'kouta', 'msh', 'koq', 'sucked', 'pulse', 'regular', ' Sometimes', 'transaction', 'reduced', 'knp', '']</v>
      </c>
      <c r="D9933" s="3">
        <v>1.0</v>
      </c>
    </row>
    <row r="9934" ht="15.75" customHeight="1">
      <c r="A9934" s="1">
        <v>10701.0</v>
      </c>
      <c r="B9934" s="3" t="s">
        <v>9492</v>
      </c>
      <c r="C9934" s="3" t="str">
        <f>IFERROR(__xludf.DUMMYFUNCTION("GOOGLETRANSLATE(B9934,""id"",""en"")"),"['Telkomsel', 'Learning', 'Easy', 'Thank you', 'Telkomsel']")</f>
        <v>['Telkomsel', 'Learning', 'Easy', 'Thank you', 'Telkomsel']</v>
      </c>
      <c r="D9934" s="3">
        <v>5.0</v>
      </c>
    </row>
    <row r="9935" ht="15.75" customHeight="1">
      <c r="A9935" s="1">
        <v>10702.0</v>
      </c>
      <c r="B9935" s="3" t="s">
        <v>6498</v>
      </c>
      <c r="C9935" s="3" t="str">
        <f>IFERROR(__xludf.DUMMYFUNCTION("GOOGLETRANSLATE(B9935,""id"",""en"")"),"['Fast', 'Accurate']")</f>
        <v>['Fast', 'Accurate']</v>
      </c>
      <c r="D9935" s="3">
        <v>5.0</v>
      </c>
    </row>
    <row r="9936" ht="15.75" customHeight="1">
      <c r="A9936" s="1">
        <v>10703.0</v>
      </c>
      <c r="B9936" s="3" t="s">
        <v>9493</v>
      </c>
      <c r="C9936" s="3" t="str">
        <f>IFERROR(__xludf.DUMMYFUNCTION("GOOGLETRANSLATE(B9936,""id"",""en"")"),"['Aflication', 'emng', 'bagu']")</f>
        <v>['Aflication', 'emng', 'bagu']</v>
      </c>
      <c r="D9936" s="3">
        <v>5.0</v>
      </c>
    </row>
    <row r="9937" ht="15.75" customHeight="1">
      <c r="A9937" s="1">
        <v>10704.0</v>
      </c>
      <c r="B9937" s="3" t="s">
        <v>9494</v>
      </c>
      <c r="C9937" s="3" t="str">
        <f>IFERROR(__xludf.DUMMYFUNCTION("GOOGLETRANSLATE(B9937,""id"",""en"")"),"['', 'Telkomsel', 'help', 'fast', 'trimakasih']")</f>
        <v>['', 'Telkomsel', 'help', 'fast', 'trimakasih']</v>
      </c>
      <c r="D9937" s="3">
        <v>5.0</v>
      </c>
    </row>
    <row r="9938" ht="15.75" customHeight="1">
      <c r="A9938" s="1">
        <v>10705.0</v>
      </c>
      <c r="B9938" s="3" t="s">
        <v>3539</v>
      </c>
      <c r="C9938" s="3" t="str">
        <f>IFERROR(__xludf.DUMMYFUNCTION("GOOGLETRANSLATE(B9938,""id"",""en"")"),"['easy']")</f>
        <v>['easy']</v>
      </c>
      <c r="D9938" s="3">
        <v>2.0</v>
      </c>
    </row>
    <row r="9939" ht="15.75" customHeight="1">
      <c r="A9939" s="1">
        <v>10706.0</v>
      </c>
      <c r="B9939" s="3" t="s">
        <v>9495</v>
      </c>
      <c r="C9939" s="3" t="str">
        <f>IFERROR(__xludf.DUMMYFUNCTION("GOOGLETRANSLATE(B9939,""id"",""en"")"),"['Network', 'Kayak', 'Snail', 'Region', 'Lampung', 'West', 'complained', 'Play', 'Game', 'Current', 'Leet', ""]")</f>
        <v>['Network', 'Kayak', 'Snail', 'Region', 'Lampung', 'West', 'complained', 'Play', 'Game', 'Current', 'Leet', "]</v>
      </c>
      <c r="D9939" s="3">
        <v>1.0</v>
      </c>
    </row>
    <row r="9940" ht="15.75" customHeight="1">
      <c r="A9940" s="1">
        <v>10707.0</v>
      </c>
      <c r="B9940" s="3" t="s">
        <v>9496</v>
      </c>
      <c r="C9940" s="3" t="str">
        <f>IFERROR(__xludf.DUMMYFUNCTION("GOOGLETRANSLATE(B9940,""id"",""en"")"),"['Price', 'Package', 'Accept', 'Package', 'Night', 'Lost', 'Mending', 'Change', 'Operator', 'Thanks',' Accompany ',' Bye ',' ']")</f>
        <v>['Price', 'Package', 'Accept', 'Package', 'Night', 'Lost', 'Mending', 'Change', 'Operator', 'Thanks',' Accompany ',' Bye ',' ']</v>
      </c>
      <c r="D9940" s="3">
        <v>1.0</v>
      </c>
    </row>
    <row r="9941" ht="15.75" customHeight="1">
      <c r="A9941" s="1">
        <v>10708.0</v>
      </c>
      <c r="B9941" s="3" t="s">
        <v>9497</v>
      </c>
      <c r="C9941" s="3" t="str">
        <f>IFERROR(__xludf.DUMMYFUNCTION("GOOGLETRANSLATE(B9941,""id"",""en"")"),"['customer', 'Please', 'Package', 'Rates', 'Internet', 'Telephone', 'SMS', 'Price', 'Glooms', 'Customer', ""]")</f>
        <v>['customer', 'Please', 'Package', 'Rates', 'Internet', 'Telephone', 'SMS', 'Price', 'Glooms', 'Customer', "]</v>
      </c>
      <c r="D9941" s="3">
        <v>4.0</v>
      </c>
    </row>
    <row r="9942" ht="15.75" customHeight="1">
      <c r="A9942" s="1">
        <v>10709.0</v>
      </c>
      <c r="B9942" s="3" t="s">
        <v>9498</v>
      </c>
      <c r="C9942" s="3" t="str">
        <f>IFERROR(__xludf.DUMMYFUNCTION("GOOGLETRANSLATE(B9942,""id"",""en"")"),"['', 'Telkomsel', 'cunning', 'quota', 'call', 'call', 'cut', 'pulse', 'abis',' quota ',' direct ',' pulse ',' cut ',' Peremantan ',' quota ',' abis', 'cut', 'pulse', 'sms',' contact ',' veronika ',' answer ',' rotated ',' pokonya ',' telkomsel ', 'cunning"&amp;"', '']")</f>
        <v>['', 'Telkomsel', 'cunning', 'quota', 'call', 'call', 'cut', 'pulse', 'abis',' quota ',' direct ',' pulse ',' cut ',' Peremantan ',' quota ',' abis', 'cut', 'pulse', 'sms',' contact ',' veronika ',' answer ',' rotated ',' pokonya ',' telkomsel ', 'cunning', '']</v>
      </c>
      <c r="D9942" s="3">
        <v>1.0</v>
      </c>
    </row>
    <row r="9943" ht="15.75" customHeight="1">
      <c r="A9943" s="1">
        <v>10711.0</v>
      </c>
      <c r="B9943" s="3" t="s">
        <v>843</v>
      </c>
      <c r="C9943" s="3" t="str">
        <f>IFERROR(__xludf.DUMMYFUNCTION("GOOGLETRANSLATE(B9943,""id"",""en"")"),"['Help', 'Good']")</f>
        <v>['Help', 'Good']</v>
      </c>
      <c r="D9943" s="3">
        <v>5.0</v>
      </c>
    </row>
    <row r="9944" ht="15.75" customHeight="1">
      <c r="A9944" s="1">
        <v>10712.0</v>
      </c>
      <c r="B9944" s="3" t="s">
        <v>3845</v>
      </c>
      <c r="C9944" s="3" t="str">
        <f>IFERROR(__xludf.DUMMYFUNCTION("GOOGLETRANSLATE(B9944,""id"",""en"")"),"['entry', 'Ribet']")</f>
        <v>['entry', 'Ribet']</v>
      </c>
      <c r="D9944" s="3">
        <v>3.0</v>
      </c>
    </row>
    <row r="9945" ht="15.75" customHeight="1">
      <c r="A9945" s="1">
        <v>10713.0</v>
      </c>
      <c r="B9945" s="3" t="s">
        <v>9499</v>
      </c>
      <c r="C9945" s="3" t="str">
        <f>IFERROR(__xludf.DUMMYFUNCTION("GOOGLETRANSLATE(B9945,""id"",""en"")"),"['application', 'good', 'useful', 'even though', 'package', 'lbh', 'expensive', 'lbh', 'cheap', '']")</f>
        <v>['application', 'good', 'useful', 'even though', 'package', 'lbh', 'expensive', 'lbh', 'cheap', '']</v>
      </c>
      <c r="D9945" s="3">
        <v>5.0</v>
      </c>
    </row>
    <row r="9946" ht="15.75" customHeight="1">
      <c r="A9946" s="1">
        <v>10714.0</v>
      </c>
      <c r="B9946" s="3" t="s">
        <v>9500</v>
      </c>
      <c r="C9946" s="3" t="str">
        <f>IFERROR(__xludf.DUMMYFUNCTION("GOOGLETRANSLATE(B9946,""id"",""en"")"),"['Good', 'Paketan', 'Giga', 'Nelp', 'Where', 'Signal', 'Ngetojek', 'Where', 'Lost', 'Signal', ""]")</f>
        <v>['Good', 'Paketan', 'Giga', 'Nelp', 'Where', 'Signal', 'Ngetojek', 'Where', 'Lost', 'Signal', "]</v>
      </c>
      <c r="D9946" s="3">
        <v>5.0</v>
      </c>
    </row>
    <row r="9947" ht="15.75" customHeight="1">
      <c r="A9947" s="1">
        <v>10715.0</v>
      </c>
      <c r="B9947" s="3" t="s">
        <v>9501</v>
      </c>
      <c r="C9947" s="3" t="str">
        <f>IFERROR(__xludf.DUMMYFUNCTION("GOOGLETRANSLATE(B9947,""id"",""en"")"),"['', 'Steady', 'fast', 'Ribet']")</f>
        <v>['', 'Steady', 'fast', 'Ribet']</v>
      </c>
      <c r="D9947" s="3">
        <v>4.0</v>
      </c>
    </row>
    <row r="9948" ht="15.75" customHeight="1">
      <c r="A9948" s="1">
        <v>10716.0</v>
      </c>
      <c r="B9948" s="3" t="s">
        <v>9502</v>
      </c>
      <c r="C9948" s="3" t="str">
        <f>IFERROR(__xludf.DUMMYFUNCTION("GOOGLETRANSLATE(B9948,""id"",""en"")"),"['It's easy', 'purchase', 'package', 'etc.']")</f>
        <v>['It's easy', 'purchase', 'package', 'etc.']</v>
      </c>
      <c r="D9948" s="3">
        <v>4.0</v>
      </c>
    </row>
    <row r="9949" ht="15.75" customHeight="1">
      <c r="A9949" s="1">
        <v>10717.0</v>
      </c>
      <c r="B9949" s="3" t="s">
        <v>1352</v>
      </c>
      <c r="C9949" s="3" t="str">
        <f>IFERROR(__xludf.DUMMYFUNCTION("GOOGLETRANSLATE(B9949,""id"",""en"")"),"['']")</f>
        <v>['']</v>
      </c>
      <c r="D9949" s="3">
        <v>5.0</v>
      </c>
    </row>
    <row r="9950" ht="15.75" customHeight="1">
      <c r="A9950" s="1">
        <v>10718.0</v>
      </c>
      <c r="B9950" s="3" t="s">
        <v>9503</v>
      </c>
      <c r="C9950" s="3" t="str">
        <f>IFERROR(__xludf.DUMMYFUNCTION("GOOGLETRANSLATE(B9950,""id"",""en"")"),"['Update', 'Payingaba', 'via', 'Link', '']")</f>
        <v>['Update', 'Payingaba', 'via', 'Link', '']</v>
      </c>
      <c r="D9950" s="3">
        <v>1.0</v>
      </c>
    </row>
    <row r="9951" ht="15.75" customHeight="1">
      <c r="A9951" s="1">
        <v>10719.0</v>
      </c>
      <c r="B9951" s="3" t="s">
        <v>9504</v>
      </c>
      <c r="C9951" s="3" t="str">
        <f>IFERROR(__xludf.DUMMYFUNCTION("GOOGLETRANSLATE(B9951,""id"",""en"")"),"['Application', 'Facilitates', 'Information', 'Telkomsel', 'Package', 'Tel', 'Internet']")</f>
        <v>['Application', 'Facilitates', 'Information', 'Telkomsel', 'Package', 'Tel', 'Internet']</v>
      </c>
      <c r="D9951" s="3">
        <v>5.0</v>
      </c>
    </row>
    <row r="9952" ht="15.75" customHeight="1">
      <c r="A9952" s="1">
        <v>10720.0</v>
      </c>
      <c r="B9952" s="3" t="s">
        <v>9505</v>
      </c>
      <c r="C9952" s="3" t="str">
        <f>IFERROR(__xludf.DUMMYFUNCTION("GOOGLETRANSLATE(B9952,""id"",""en"")"),"['Verification', 'Link', 'OTP', 'Application', 'Direct', 'Stop', 'Please', 'Fix', 'Login']")</f>
        <v>['Verification', 'Link', 'OTP', 'Application', 'Direct', 'Stop', 'Please', 'Fix', 'Login']</v>
      </c>
      <c r="D9952" s="3">
        <v>1.0</v>
      </c>
    </row>
    <row r="9953" ht="15.75" customHeight="1">
      <c r="A9953" s="1">
        <v>10722.0</v>
      </c>
      <c r="B9953" s="3" t="s">
        <v>9506</v>
      </c>
      <c r="C9953" s="3" t="str">
        <f>IFERROR(__xludf.DUMMYFUNCTION("GOOGLETRANSLATE(B9953,""id"",""en"")"),"['', 'Telkomsel', 'steady', 'the application', 'handy', 'please', 'optimized', 'performance', 'sometimes', 'pause', 'application', 'Leet', "" ]")</f>
        <v>['', 'Telkomsel', 'steady', 'the application', 'handy', 'please', 'optimized', 'performance', 'sometimes', 'pause', 'application', 'Leet', " ]</v>
      </c>
      <c r="D9953" s="3">
        <v>4.0</v>
      </c>
    </row>
    <row r="9954" ht="15.75" customHeight="1">
      <c r="A9954" s="1">
        <v>10723.0</v>
      </c>
      <c r="B9954" s="3" t="s">
        <v>9507</v>
      </c>
      <c r="C9954" s="3" t="str">
        <f>IFERROR(__xludf.DUMMYFUNCTION("GOOGLETRANSLATE(B9954,""id"",""en"")"),"['', 'understand', 'high school', 'wants', 'application', '']")</f>
        <v>['', 'understand', 'high school', 'wants', 'application', '']</v>
      </c>
      <c r="D9954" s="3">
        <v>1.0</v>
      </c>
    </row>
    <row r="9955" ht="15.75" customHeight="1">
      <c r="A9955" s="1">
        <v>10724.0</v>
      </c>
      <c r="B9955" s="3" t="s">
        <v>9508</v>
      </c>
      <c r="C9955" s="3" t="str">
        <f>IFERROR(__xludf.DUMMYFUNCTION("GOOGLETRANSLATE(B9955,""id"",""en"")"),"['Help', 'steady', 'steady']")</f>
        <v>['Help', 'steady', 'steady']</v>
      </c>
      <c r="D9955" s="3">
        <v>5.0</v>
      </c>
    </row>
    <row r="9956" ht="15.75" customHeight="1">
      <c r="A9956" s="1">
        <v>10725.0</v>
      </c>
      <c r="B9956" s="3" t="s">
        <v>9509</v>
      </c>
      <c r="C9956" s="3" t="str">
        <f>IFERROR(__xludf.DUMMYFUNCTION("GOOGLETRANSLATE(B9956,""id"",""en"")"),"['Save', 'gift']")</f>
        <v>['Save', 'gift']</v>
      </c>
      <c r="D9956" s="3">
        <v>5.0</v>
      </c>
    </row>
    <row r="9957" ht="15.75" customHeight="1">
      <c r="A9957" s="1">
        <v>10726.0</v>
      </c>
      <c r="B9957" s="3" t="s">
        <v>9510</v>
      </c>
      <c r="C9957" s="3" t="str">
        <f>IFERROR(__xludf.DUMMYFUNCTION("GOOGLETRANSLATE(B9957,""id"",""en"")"),"['Condition', 'office', 'signal', 'break up', 'nybung']")</f>
        <v>['Condition', 'office', 'signal', 'break up', 'nybung']</v>
      </c>
      <c r="D9957" s="3">
        <v>2.0</v>
      </c>
    </row>
    <row r="9958" ht="15.75" customHeight="1">
      <c r="A9958" s="1">
        <v>10729.0</v>
      </c>
      <c r="B9958" s="3" t="s">
        <v>9511</v>
      </c>
      <c r="C9958" s="3" t="str">
        <f>IFERROR(__xludf.DUMMYFUNCTION("GOOGLETRANSLATE(B9958,""id"",""en"")"),"['Loading', 'slow', 'update']")</f>
        <v>['Loading', 'slow', 'update']</v>
      </c>
      <c r="D9958" s="3">
        <v>1.0</v>
      </c>
    </row>
    <row r="9959" ht="15.75" customHeight="1">
      <c r="A9959" s="1">
        <v>10730.0</v>
      </c>
      <c r="B9959" s="3" t="s">
        <v>9512</v>
      </c>
      <c r="C9959" s="3" t="str">
        <f>IFERROR(__xludf.DUMMYFUNCTION("GOOGLETRANSLATE(B9959,""id"",""en"")"),"['package', 'expensive', 'downgrade', 'condition', 'pandemic', '']")</f>
        <v>['package', 'expensive', 'downgrade', 'condition', 'pandemic', '']</v>
      </c>
      <c r="D9959" s="3">
        <v>1.0</v>
      </c>
    </row>
    <row r="9960" ht="15.75" customHeight="1">
      <c r="A9960" s="1">
        <v>10731.0</v>
      </c>
      <c r="B9960" s="3" t="s">
        <v>9513</v>
      </c>
      <c r="C9960" s="3" t="str">
        <f>IFERROR(__xludf.DUMMYFUNCTION("GOOGLETRANSLATE(B9960,""id"",""en"")"),"['Save', 'cheap', 'festive', 'quality', '']")</f>
        <v>['Save', 'cheap', 'festive', 'quality', '']</v>
      </c>
      <c r="D9960" s="3">
        <v>5.0</v>
      </c>
    </row>
    <row r="9961" ht="15.75" customHeight="1">
      <c r="A9961" s="1">
        <v>10732.0</v>
      </c>
      <c r="B9961" s="3" t="s">
        <v>9514</v>
      </c>
      <c r="C9961" s="3" t="str">
        <f>IFERROR(__xludf.DUMMYFUNCTION("GOOGLETRANSLATE(B9961,""id"",""en"")"),"['Update', 'Application', 'Open', 'Check', 'Quota', 'Loding', 'Heavy', 'Most', 'Feature', 'Advertising', 'Ngelag', 'Suggestion', ' Reduce ',' Program ',' Discount ',' Shopping ',' Geray ',' Defeated ',' Taled ',' Funds', 'Program', 'Purchase', 'Package', "&amp;"'Quota', 'Internet' , 'cheap', 'affordable', 'Telkomsel', 'blm', 'kepengen', 'click', 'program', 'cashback', 'voucher', 'discount', 'shopping', 'purchase', ' Packages', 'Internet', 'cheap', '']")</f>
        <v>['Update', 'Application', 'Open', 'Check', 'Quota', 'Loding', 'Heavy', 'Most', 'Feature', 'Advertising', 'Ngelag', 'Suggestion', ' Reduce ',' Program ',' Discount ',' Shopping ',' Geray ',' Defeated ',' Taled ',' Funds', 'Program', 'Purchase', 'Package', 'Quota', 'Internet' , 'cheap', 'affordable', 'Telkomsel', 'blm', 'kepengen', 'click', 'program', 'cashback', 'voucher', 'discount', 'shopping', 'purchase', ' Packages', 'Internet', 'cheap', '']</v>
      </c>
      <c r="D9961" s="3">
        <v>2.0</v>
      </c>
    </row>
    <row r="9962" ht="15.75" customHeight="1">
      <c r="A9962" s="1">
        <v>10733.0</v>
      </c>
      <c r="B9962" s="3" t="s">
        <v>9515</v>
      </c>
      <c r="C9962" s="3" t="str">
        <f>IFERROR(__xludf.DUMMYFUNCTION("GOOGLETRANSLATE(B9962,""id"",""en"")"),"['Steady', 'fast', 'Simple']")</f>
        <v>['Steady', 'fast', 'Simple']</v>
      </c>
      <c r="D9962" s="3">
        <v>5.0</v>
      </c>
    </row>
    <row r="9963" ht="15.75" customHeight="1">
      <c r="A9963" s="1">
        <v>10734.0</v>
      </c>
      <c r="B9963" s="3" t="s">
        <v>9516</v>
      </c>
      <c r="C9963" s="3" t="str">
        <f>IFERROR(__xludf.DUMMYFUNCTION("GOOGLETRANSLATE(B9963,""id"",""en"")"),"['Sometimes', 'Error', 'Loading']")</f>
        <v>['Sometimes', 'Error', 'Loading']</v>
      </c>
      <c r="D9963" s="3">
        <v>3.0</v>
      </c>
    </row>
    <row r="9964" ht="15.75" customHeight="1">
      <c r="A9964" s="1">
        <v>10735.0</v>
      </c>
      <c r="B9964" s="3" t="s">
        <v>8398</v>
      </c>
      <c r="C9964" s="3" t="str">
        <f>IFERROR(__xludf.DUMMYFUNCTION("GOOGLETRANSLATE(B9964,""id"",""en"")"),"['APK', 'slow']")</f>
        <v>['APK', 'slow']</v>
      </c>
      <c r="D9964" s="3">
        <v>1.0</v>
      </c>
    </row>
    <row r="9965" ht="15.75" customHeight="1">
      <c r="A9965" s="1">
        <v>10736.0</v>
      </c>
      <c r="B9965" s="3" t="s">
        <v>3943</v>
      </c>
      <c r="C9965" s="3" t="str">
        <f>IFERROR(__xludf.DUMMYFUNCTION("GOOGLETRANSLATE(B9965,""id"",""en"")"),"['steady']")</f>
        <v>['steady']</v>
      </c>
      <c r="D9965" s="3">
        <v>5.0</v>
      </c>
    </row>
    <row r="9966" ht="15.75" customHeight="1">
      <c r="A9966" s="1">
        <v>10737.0</v>
      </c>
      <c r="B9966" s="3" t="s">
        <v>9517</v>
      </c>
      <c r="C9966" s="3" t="str">
        <f>IFERROR(__xludf.DUMMYFUNCTION("GOOGLETRANSLATE(B9966,""id"",""en"")"),"['Price', 'Package', 'Klu', 'Reduced', '']")</f>
        <v>['Price', 'Package', 'Klu', 'Reduced', '']</v>
      </c>
      <c r="D9966" s="3">
        <v>5.0</v>
      </c>
    </row>
    <row r="9967" ht="15.75" customHeight="1">
      <c r="A9967" s="1">
        <v>10738.0</v>
      </c>
      <c r="B9967" s="3" t="s">
        <v>9518</v>
      </c>
      <c r="C9967" s="3" t="str">
        <f>IFERROR(__xludf.DUMMYFUNCTION("GOOGLETRANSLATE(B9967,""id"",""en"")"),"['slow', 'price', 'package', 'good', 'really']")</f>
        <v>['slow', 'price', 'package', 'good', 'really']</v>
      </c>
      <c r="D9967" s="3">
        <v>2.0</v>
      </c>
    </row>
    <row r="9968" ht="15.75" customHeight="1">
      <c r="A9968" s="1">
        <v>10739.0</v>
      </c>
      <c r="B9968" s="3" t="s">
        <v>9519</v>
      </c>
      <c r="C9968" s="3" t="str">
        <f>IFERROR(__xludf.DUMMYFUNCTION("GOOGLETRANSLATE(B9968,""id"",""en"")"),"['Steady', 'Telkomsel', 'use', 'Katru']")</f>
        <v>['Steady', 'Telkomsel', 'use', 'Katru']</v>
      </c>
      <c r="D9968" s="3">
        <v>5.0</v>
      </c>
    </row>
    <row r="9969" ht="15.75" customHeight="1">
      <c r="A9969" s="1">
        <v>10740.0</v>
      </c>
      <c r="B9969" s="3" t="s">
        <v>9520</v>
      </c>
      <c r="C9969" s="3" t="str">
        <f>IFERROR(__xludf.DUMMYFUNCTION("GOOGLETRANSLATE(B9969,""id"",""en"")"),"['love', 'star', 'pulse', 'eaten', 'sms', 'pulse', 'cut', 'automatic', 'package', 'non', 'internet', '']")</f>
        <v>['love', 'star', 'pulse', 'eaten', 'sms', 'pulse', 'cut', 'automatic', 'package', 'non', 'internet', '']</v>
      </c>
      <c r="D9969" s="3">
        <v>2.0</v>
      </c>
    </row>
    <row r="9970" ht="15.75" customHeight="1">
      <c r="A9970" s="1">
        <v>10741.0</v>
      </c>
      <c r="B9970" s="3" t="s">
        <v>9521</v>
      </c>
      <c r="C9970" s="3" t="str">
        <f>IFERROR(__xludf.DUMMYFUNCTION("GOOGLETRANSLATE(B9970,""id"",""en"")"),"['hope', 'improve', 'service', 'satisfaction', 'customer']")</f>
        <v>['hope', 'improve', 'service', 'satisfaction', 'customer']</v>
      </c>
      <c r="D9970" s="3">
        <v>5.0</v>
      </c>
    </row>
    <row r="9971" ht="15.75" customHeight="1">
      <c r="A9971" s="1">
        <v>10742.0</v>
      </c>
      <c r="B9971" s="3" t="s">
        <v>9522</v>
      </c>
      <c r="C9971" s="3" t="str">
        <f>IFERROR(__xludf.DUMMYFUNCTION("GOOGLETRANSLATE(B9971,""id"",""en"")"),"['application', 'makes it easy', 'check', 'package']")</f>
        <v>['application', 'makes it easy', 'check', 'package']</v>
      </c>
      <c r="D9971" s="3">
        <v>5.0</v>
      </c>
    </row>
    <row r="9972" ht="15.75" customHeight="1">
      <c r="A9972" s="1">
        <v>10744.0</v>
      </c>
      <c r="B9972" s="3" t="s">
        <v>6870</v>
      </c>
      <c r="C9972" s="3" t="str">
        <f>IFERROR(__xludf.DUMMYFUNCTION("GOOGLETRANSLATE(B9972,""id"",""en"")"),"['best', '']")</f>
        <v>['best', '']</v>
      </c>
      <c r="D9972" s="3">
        <v>5.0</v>
      </c>
    </row>
    <row r="9973" ht="15.75" customHeight="1">
      <c r="A9973" s="1">
        <v>10745.0</v>
      </c>
      <c r="B9973" s="3" t="s">
        <v>9523</v>
      </c>
      <c r="C9973" s="3" t="str">
        <f>IFERROR(__xludf.DUMMYFUNCTION("GOOGLETRANSLATE(B9973,""id"",""en"")"),"['Experience', 'Bad', 'Wear', 'Telkomsel', 'Pulsaaa', 'Different', 'Telkomsel', 'Thieves',' Pulsaaa ',' Society ',' Example ',' Morning ',' pulses', 'truncated', 'rupiah', 'data', 'off', 'network', 'fox', 'wear', 'wifi', 'home', 'pulse', 'truncated', 'jus"&amp;"t' , 'sangggggg', 'happened', 'Please', 'response', 'telkomselll', 'baunn', 'lahhh', 'thief', 'pulsaaa', 'provider', 'bigrr', 'thief']")</f>
        <v>['Experience', 'Bad', 'Wear', 'Telkomsel', 'Pulsaaa', 'Different', 'Telkomsel', 'Thieves',' Pulsaaa ',' Society ',' Example ',' Morning ',' pulses', 'truncated', 'rupiah', 'data', 'off', 'network', 'fox', 'wear', 'wifi', 'home', 'pulse', 'truncated', 'just' , 'sangggggg', 'happened', 'Please', 'response', 'telkomselll', 'baunn', 'lahhh', 'thief', 'pulsaaa', 'provider', 'bigrr', 'thief']</v>
      </c>
      <c r="D9973" s="3">
        <v>1.0</v>
      </c>
    </row>
    <row r="9974" ht="15.75" customHeight="1">
      <c r="A9974" s="1">
        <v>10747.0</v>
      </c>
      <c r="B9974" s="3" t="s">
        <v>9524</v>
      </c>
      <c r="C9974" s="3" t="str">
        <f>IFERROR(__xludf.DUMMYFUNCTION("GOOGLETRANSLATE(B9974,""id"",""en"")"),"['bgs', 'aza', 'krnp', 'slow', 'open', '']")</f>
        <v>['bgs', 'aza', 'krnp', 'slow', 'open', '']</v>
      </c>
      <c r="D9974" s="3">
        <v>3.0</v>
      </c>
    </row>
    <row r="9975" ht="15.75" customHeight="1">
      <c r="A9975" s="1">
        <v>10748.0</v>
      </c>
      <c r="B9975" s="3" t="s">
        <v>9525</v>
      </c>
      <c r="C9975" s="3" t="str">
        <f>IFERROR(__xludf.DUMMYFUNCTION("GOOGLETRANSLATE(B9975,""id"",""en"")"),"['update', 'open', 'told', 'update', 'mean', ""]")</f>
        <v>['update', 'open', 'told', 'update', 'mean', "]</v>
      </c>
      <c r="D9975" s="3">
        <v>1.0</v>
      </c>
    </row>
    <row r="9976" ht="15.75" customHeight="1">
      <c r="A9976" s="1">
        <v>10749.0</v>
      </c>
      <c r="B9976" s="3" t="s">
        <v>9526</v>
      </c>
      <c r="C9976" s="3" t="str">
        <f>IFERROR(__xludf.DUMMYFUNCTION("GOOGLETRANSLATE(B9976,""id"",""en"")"),"['Price', 'expensive', 'hikhikhikss']")</f>
        <v>['Price', 'expensive', 'hikhikhikss']</v>
      </c>
      <c r="D9976" s="3">
        <v>1.0</v>
      </c>
    </row>
    <row r="9977" ht="15.75" customHeight="1">
      <c r="A9977" s="1">
        <v>10750.0</v>
      </c>
      <c r="B9977" s="3" t="s">
        <v>9527</v>
      </c>
      <c r="C9977" s="3" t="str">
        <f>IFERROR(__xludf.DUMMYFUNCTION("GOOGLETRANSLATE(B9977,""id"",""en"")"),"['Disappointed', 'Tlkomsel', 'coin', 'already', 'Tangkarin', 'package', 'internet', 'GB', 'kagak', 'expiration', 'love', 'star', ' Request ',' grant ',' Tlkomsel ',' Special ',' Mbak ',' Veronica ']")</f>
        <v>['Disappointed', 'Tlkomsel', 'coin', 'already', 'Tangkarin', 'package', 'internet', 'GB', 'kagak', 'expiration', 'love', 'star', ' Request ',' grant ',' Tlkomsel ',' Special ',' Mbak ',' Veronica ']</v>
      </c>
      <c r="D9977" s="3">
        <v>1.0</v>
      </c>
    </row>
    <row r="9978" ht="15.75" customHeight="1">
      <c r="A9978" s="1">
        <v>10751.0</v>
      </c>
      <c r="B9978" s="3" t="s">
        <v>9528</v>
      </c>
      <c r="C9978" s="3" t="str">
        <f>IFERROR(__xludf.DUMMYFUNCTION("GOOGLETRANSLATE(B9978,""id"",""en"")"),"['buy', 'contents', 'reset', 'package', 'internet', 'available', 'signal', 'down']")</f>
        <v>['buy', 'contents', 'reset', 'package', 'internet', 'available', 'signal', 'down']</v>
      </c>
      <c r="D9978" s="3">
        <v>1.0</v>
      </c>
    </row>
    <row r="9979" ht="15.75" customHeight="1">
      <c r="A9979" s="1">
        <v>10752.0</v>
      </c>
      <c r="B9979" s="3" t="s">
        <v>9529</v>
      </c>
      <c r="C9979" s="3" t="str">
        <f>IFERROR(__xludf.DUMMYFUNCTION("GOOGLETRANSLATE(B9979,""id"",""en"")"),"['easy', 'comfortable', 'check', 'quota', 'balance']")</f>
        <v>['easy', 'comfortable', 'check', 'quota', 'balance']</v>
      </c>
      <c r="D9979" s="3">
        <v>5.0</v>
      </c>
    </row>
    <row r="9980" ht="15.75" customHeight="1">
      <c r="A9980" s="1">
        <v>10753.0</v>
      </c>
      <c r="B9980" s="3" t="s">
        <v>9530</v>
      </c>
      <c r="C9980" s="3" t="str">
        <f>IFERROR(__xludf.DUMMYFUNCTION("GOOGLETRANSLATE(B9980,""id"",""en"")"),"['Good', 'Sometimes', 'troublenya']")</f>
        <v>['Good', 'Sometimes', 'troublenya']</v>
      </c>
      <c r="D9980" s="3">
        <v>4.0</v>
      </c>
    </row>
    <row r="9981" ht="15.75" customHeight="1">
      <c r="A9981" s="1">
        <v>10754.0</v>
      </c>
      <c r="B9981" s="3" t="s">
        <v>9531</v>
      </c>
      <c r="C9981" s="3" t="str">
        <f>IFERROR(__xludf.DUMMYFUNCTION("GOOGLETRANSLATE(B9981,""id"",""en"")"),"['Satisfied', 'Easily', '']")</f>
        <v>['Satisfied', 'Easily', '']</v>
      </c>
      <c r="D9981" s="3">
        <v>3.0</v>
      </c>
    </row>
    <row r="9982" ht="15.75" customHeight="1">
      <c r="A9982" s="1">
        <v>10755.0</v>
      </c>
      <c r="B9982" s="3" t="s">
        <v>9532</v>
      </c>
      <c r="C9982" s="3" t="str">
        <f>IFERROR(__xludf.DUMMYFUNCTION("GOOGLETRANSLATE(B9982,""id"",""en"")"),"['factor', 'convenience', '']")</f>
        <v>['factor', 'convenience', '']</v>
      </c>
      <c r="D9982" s="3">
        <v>5.0</v>
      </c>
    </row>
    <row r="9983" ht="15.75" customHeight="1">
      <c r="A9983" s="1">
        <v>10756.0</v>
      </c>
      <c r="B9983" s="3" t="s">
        <v>9533</v>
      </c>
      <c r="C9983" s="3" t="str">
        <f>IFERROR(__xludf.DUMMYFUNCTION("GOOGLETRANSLATE(B9983,""id"",""en"")"),"['Severe', 'signal', 'skrng']")</f>
        <v>['Severe', 'signal', 'skrng']</v>
      </c>
      <c r="D9983" s="3">
        <v>1.0</v>
      </c>
    </row>
    <row r="9984" ht="15.75" customHeight="1">
      <c r="A9984" s="1">
        <v>10757.0</v>
      </c>
      <c r="B9984" s="3" t="s">
        <v>9534</v>
      </c>
      <c r="C9984" s="3" t="str">
        <f>IFERROR(__xludf.DUMMYFUNCTION("GOOGLETRANSLATE(B9984,""id"",""en"")"),"['Cool', 'Mantap', '']")</f>
        <v>['Cool', 'Mantap', '']</v>
      </c>
      <c r="D9984" s="3">
        <v>5.0</v>
      </c>
    </row>
    <row r="9985" ht="15.75" customHeight="1">
      <c r="A9985" s="1">
        <v>10758.0</v>
      </c>
      <c r="B9985" s="3" t="s">
        <v>9535</v>
      </c>
      <c r="C9985" s="3" t="str">
        <f>IFERROR(__xludf.DUMMYFUNCTION("GOOGLETRANSLATE(B9985,""id"",""en"")"),"['Bad', 'dozens',' customers', 'Telkomsel', 'Many', 'pulses',' truncated ',' SLL ',' Pinter ',' Ngilak ',' Atik ',' Customer ',' Guilty ',' number ',' Oama ',' UDH ',' BYK ',' Known ',' friend ',' brother ',' rasany ',' wanted ',' waste ',' events', 'expe"&amp;"rienced' , 'Number', 'Provider', 'Type', 'The card', 'Different', 'yes',' Cut ',' BBR ',' hundred ',' silver ',' times', 'Cut', ' Imagine ',' happen ',' Many ',' multiply ',' JML ',' Customers', 'Hundreds',' Million ',' Gede ', ""]")</f>
        <v>['Bad', 'dozens',' customers', 'Telkomsel', 'Many', 'pulses',' truncated ',' SLL ',' Pinter ',' Ngilak ',' Atik ',' Customer ',' Guilty ',' number ',' Oama ',' UDH ',' BYK ',' Known ',' friend ',' brother ',' rasany ',' wanted ',' waste ',' events', 'experienced' , 'Number', 'Provider', 'Type', 'The card', 'Different', 'yes',' Cut ',' BBR ',' hundred ',' silver ',' times', 'Cut', ' Imagine ',' happen ',' Many ',' multiply ',' JML ',' Customers', 'Hundreds',' Million ',' Gede ', "]</v>
      </c>
      <c r="D9985" s="3">
        <v>1.0</v>
      </c>
    </row>
    <row r="9986" ht="15.75" customHeight="1">
      <c r="A9986" s="1">
        <v>10759.0</v>
      </c>
      <c r="B9986" s="3" t="s">
        <v>9536</v>
      </c>
      <c r="C9986" s="3" t="str">
        <f>IFERROR(__xludf.DUMMYFUNCTION("GOOGLETRANSLATE(B9986,""id"",""en"")"),"['application', 'help', 'makes it easy', 'fast', 'balance', 'pulse', 'purchase', 'data', 'internet', 'leftover', 'use', 'data', ' internet ',' application ',' infokan ',' promo ',' purchase ',' data ',' internet ',' suits', 'need', 'thank', 'love', 'mytel"&amp;"komsel']")</f>
        <v>['application', 'help', 'makes it easy', 'fast', 'balance', 'pulse', 'purchase', 'data', 'internet', 'leftover', 'use', 'data', ' internet ',' application ',' infokan ',' promo ',' purchase ',' data ',' internet ',' suits', 'need', 'thank', 'love', 'mytelkomsel']</v>
      </c>
      <c r="D9986" s="3">
        <v>5.0</v>
      </c>
    </row>
    <row r="9987" ht="15.75" customHeight="1">
      <c r="A9987" s="1">
        <v>10760.0</v>
      </c>
      <c r="B9987" s="3" t="s">
        <v>9537</v>
      </c>
      <c r="C9987" s="3" t="str">
        <f>IFERROR(__xludf.DUMMYFUNCTION("GOOGLETRANSLATE(B9987,""id"",""en"")"),"['Tense', 'Maau', 'love', 'rating', 'TPI', 'here' continuous ',' update ',' Blum ',' Severe ',' Telkomsel ',' signal ',' ugly ',' bnget ',' PDAHL ',' stay ',' amid the ',' city ',' already ',' package ',' expensive ',' signal ',' ugly ',' please ',' repai"&amp;"red ' ]")</f>
        <v>['Tense', 'Maau', 'love', 'rating', 'TPI', 'here' continuous ',' update ',' Blum ',' Severe ',' Telkomsel ',' signal ',' ugly ',' bnget ',' PDAHL ',' stay ',' amid the ',' city ',' already ',' package ',' expensive ',' signal ',' ugly ',' please ',' repaired ' ]</v>
      </c>
      <c r="D9987" s="3">
        <v>1.0</v>
      </c>
    </row>
    <row r="9988" ht="15.75" customHeight="1">
      <c r="A9988" s="1">
        <v>10761.0</v>
      </c>
      <c r="B9988" s="3" t="s">
        <v>9538</v>
      </c>
      <c r="C9988" s="3" t="str">
        <f>IFERROR(__xludf.DUMMYFUNCTION("GOOGLETRANSLATE(B9988,""id"",""en"")"),"['Applika', 'Sangat', 'Help']")</f>
        <v>['Applika', 'Sangat', 'Help']</v>
      </c>
      <c r="D9988" s="3">
        <v>5.0</v>
      </c>
    </row>
    <row r="9989" ht="15.75" customHeight="1">
      <c r="A9989" s="1">
        <v>10762.0</v>
      </c>
      <c r="B9989" s="3" t="s">
        <v>9539</v>
      </c>
      <c r="C9989" s="3" t="str">
        <f>IFERROR(__xludf.DUMMYFUNCTION("GOOGLETRANSLATE(B9989,""id"",""en"")"),"['Help', 'purchase', 'package', 'pulse', 'easy', 'leftover', 'package', 'data']")</f>
        <v>['Help', 'purchase', 'package', 'pulse', 'easy', 'leftover', 'package', 'data']</v>
      </c>
      <c r="D9989" s="3">
        <v>5.0</v>
      </c>
    </row>
    <row r="9990" ht="15.75" customHeight="1">
      <c r="A9990" s="1">
        <v>10763.0</v>
      </c>
      <c r="B9990" s="3" t="s">
        <v>9540</v>
      </c>
      <c r="C9990" s="3" t="str">
        <f>IFERROR(__xludf.DUMMYFUNCTION("GOOGLETRANSLATE(B9990,""id"",""en"")"),"['Check', 'quata', 'difficult', 'reply', 'Telkomsel']")</f>
        <v>['Check', 'quata', 'difficult', 'reply', 'Telkomsel']</v>
      </c>
      <c r="D9990" s="3">
        <v>1.0</v>
      </c>
    </row>
    <row r="9991" ht="15.75" customHeight="1">
      <c r="A9991" s="1">
        <v>10764.0</v>
      </c>
      <c r="B9991" s="3" t="s">
        <v>9541</v>
      </c>
      <c r="C9991" s="3" t="str">
        <f>IFERROR(__xludf.DUMMYFUNCTION("GOOGLETRANSLATE(B9991,""id"",""en"")"),"['Easy', 'Han', 'Help']")</f>
        <v>['Easy', 'Han', 'Help']</v>
      </c>
      <c r="D9991" s="3">
        <v>5.0</v>
      </c>
    </row>
    <row r="9992" ht="15.75" customHeight="1">
      <c r="A9992" s="1">
        <v>10765.0</v>
      </c>
      <c r="B9992" s="3" t="s">
        <v>9542</v>
      </c>
      <c r="C9992" s="3" t="str">
        <f>IFERROR(__xludf.DUMMYFUNCTION("GOOGLETRANSLATE(B9992,""id"",""en"")"),"['Quality', 'Information', 'satisfying']")</f>
        <v>['Quality', 'Information', 'satisfying']</v>
      </c>
      <c r="D9992" s="3">
        <v>5.0</v>
      </c>
    </row>
    <row r="9993" ht="15.75" customHeight="1">
      <c r="A9993" s="1">
        <v>10766.0</v>
      </c>
      <c r="B9993" s="3" t="s">
        <v>9543</v>
      </c>
      <c r="C9993" s="3" t="str">
        <f>IFERROR(__xludf.DUMMYFUNCTION("GOOGLETRANSLATE(B9993,""id"",""en"")"),"['Addin']")</f>
        <v>['Addin']</v>
      </c>
      <c r="D9993" s="3">
        <v>2.0</v>
      </c>
    </row>
    <row r="9994" ht="15.75" customHeight="1">
      <c r="A9994" s="1">
        <v>10767.0</v>
      </c>
      <c r="B9994" s="3" t="s">
        <v>6319</v>
      </c>
      <c r="C9994" s="3" t="str">
        <f>IFERROR(__xludf.DUMMYFUNCTION("GOOGLETRANSLATE(B9994,""id"",""en"")"),"['easy', 'buy', 'package']")</f>
        <v>['easy', 'buy', 'package']</v>
      </c>
      <c r="D9994" s="3">
        <v>5.0</v>
      </c>
    </row>
    <row r="9995" ht="15.75" customHeight="1">
      <c r="A9995" s="1">
        <v>10769.0</v>
      </c>
      <c r="B9995" s="3" t="s">
        <v>9544</v>
      </c>
      <c r="C9995" s="3" t="str">
        <f>IFERROR(__xludf.DUMMYFUNCTION("GOOGLETRANSLATE(B9995,""id"",""en"")"),"['Hope', 'level', 'quality', 'network', 'bnyak', 'promo', 'package']")</f>
        <v>['Hope', 'level', 'quality', 'network', 'bnyak', 'promo', 'package']</v>
      </c>
      <c r="D9995" s="3">
        <v>5.0</v>
      </c>
    </row>
    <row r="9996" ht="15.75" customHeight="1">
      <c r="A9996" s="1">
        <v>10770.0</v>
      </c>
      <c r="B9996" s="3" t="s">
        <v>9545</v>
      </c>
      <c r="C9996" s="3" t="str">
        <f>IFERROR(__xludf.DUMMYFUNCTION("GOOGLETRANSLATE(B9996,""id"",""en"")"),"['complicated', 'application', 'forced', 'gave', 'Rate', 'really', 'appears',' ad ',' rate ',' already ',' love ',' rating ',' Very ',' Open ',' App ',' Rate ',' Collapin ',' Ratenya ']")</f>
        <v>['complicated', 'application', 'forced', 'gave', 'Rate', 'really', 'appears',' ad ',' rate ',' already ',' love ',' rating ',' Very ',' Open ',' App ',' Rate ',' Collapin ',' Ratenya ']</v>
      </c>
      <c r="D9996" s="3">
        <v>1.0</v>
      </c>
    </row>
    <row r="9997" ht="15.75" customHeight="1">
      <c r="A9997" s="1">
        <v>10771.0</v>
      </c>
      <c r="B9997" s="3" t="s">
        <v>9546</v>
      </c>
      <c r="C9997" s="3" t="str">
        <f>IFERROR(__xludf.DUMMYFUNCTION("GOOGLETRANSLATE(B9997,""id"",""en"")"),"['Love', 'star', 'use', 'Telkomsel']")</f>
        <v>['Love', 'star', 'use', 'Telkomsel']</v>
      </c>
      <c r="D9997" s="3">
        <v>4.0</v>
      </c>
    </row>
    <row r="9998" ht="15.75" customHeight="1">
      <c r="A9998" s="1">
        <v>10772.0</v>
      </c>
      <c r="B9998" s="3" t="s">
        <v>4611</v>
      </c>
      <c r="C9998" s="3" t="str">
        <f>IFERROR(__xludf.DUMMYFUNCTION("GOOGLETRANSLATE(B9998,""id"",""en"")"),"['Package', 'expensive']")</f>
        <v>['Package', 'expensive']</v>
      </c>
      <c r="D9998" s="3">
        <v>1.0</v>
      </c>
    </row>
    <row r="9999" ht="15.75" customHeight="1">
      <c r="A9999" s="1">
        <v>10773.0</v>
      </c>
      <c r="B9999" s="3" t="s">
        <v>9547</v>
      </c>
      <c r="C9999" s="3" t="str">
        <f>IFERROR(__xludf.DUMMYFUNCTION("GOOGLETRANSLATE(B9999,""id"",""en"")"),"['Klau', 'Points', 'Trying', 'Lottery', 'Sapa', 'Win', 'Telkomsel', 'Manep']")</f>
        <v>['Klau', 'Points', 'Trying', 'Lottery', 'Sapa', 'Win', 'Telkomsel', 'Manep']</v>
      </c>
      <c r="D9999" s="3">
        <v>3.0</v>
      </c>
    </row>
    <row r="10000" ht="15.75" customHeight="1">
      <c r="A10000" s="1">
        <v>10774.0</v>
      </c>
      <c r="B10000" s="3" t="s">
        <v>9548</v>
      </c>
      <c r="C10000" s="3" t="str">
        <f>IFERROR(__xludf.DUMMYFUNCTION("GOOGLETRANSLATE(B10000,""id"",""en"")"),"['Star', 'contents', 'package', 'difficult', 'really', 'click', 'buy', '']")</f>
        <v>['Star', 'contents', 'package', 'difficult', 'really', 'click', 'buy', '']</v>
      </c>
      <c r="D10000" s="3">
        <v>1.0</v>
      </c>
    </row>
    <row r="10001" ht="15.75" customHeight="1">
      <c r="A10001" s="1">
        <v>10775.0</v>
      </c>
      <c r="B10001" s="3" t="s">
        <v>9549</v>
      </c>
      <c r="C10001" s="3" t="str">
        <f>IFERROR(__xludf.DUMMYFUNCTION("GOOGLETRANSLATE(B10001,""id"",""en"")"),"['Fix', 'Quality', 'Signal', 'Rates', 'Mahalin', 'Quality', 'Bad']")</f>
        <v>['Fix', 'Quality', 'Signal', 'Rates', 'Mahalin', 'Quality', 'Bad']</v>
      </c>
      <c r="D10001" s="3">
        <v>4.0</v>
      </c>
    </row>
    <row r="10002" ht="15.75" customHeight="1">
      <c r="A10002" s="1">
        <v>10776.0</v>
      </c>
      <c r="B10002" s="3" t="s">
        <v>9550</v>
      </c>
      <c r="C10002" s="3" t="str">
        <f>IFERROR(__xludf.DUMMYFUNCTION("GOOGLETRANSLATE(B10002,""id"",""en"")"),"['WOI', 'Telkomsel', 'Bener', 'buy', 'package', 'clock', 'already', 'run out', 'clock', 'devil', 'loss',' buy ',' card ',' Kek ',' gini ']")</f>
        <v>['WOI', 'Telkomsel', 'Bener', 'buy', 'package', 'clock', 'already', 'run out', 'clock', 'devil', 'loss',' buy ',' card ',' Kek ',' gini ']</v>
      </c>
      <c r="D10002" s="3">
        <v>1.0</v>
      </c>
    </row>
    <row r="10003" ht="15.75" customHeight="1">
      <c r="A10003" s="1">
        <v>10777.0</v>
      </c>
      <c r="B10003" s="3" t="s">
        <v>9551</v>
      </c>
      <c r="C10003" s="3" t="str">
        <f>IFERROR(__xludf.DUMMYFUNCTION("GOOGLETRANSLATE(B10003,""id"",""en"")"),"['', 'kmrn', 'Errot', 'Mulu', 'login', 'check', 'buy', 'quota', ""]")</f>
        <v>['', 'kmrn', 'Errot', 'Mulu', 'login', 'check', 'buy', 'quota', "]</v>
      </c>
      <c r="D10003" s="3">
        <v>1.0</v>
      </c>
    </row>
    <row r="10004" ht="15.75" customHeight="1">
      <c r="A10004" s="1">
        <v>10778.0</v>
      </c>
      <c r="B10004" s="3" t="s">
        <v>9552</v>
      </c>
      <c r="C10004" s="3" t="str">
        <f>IFERROR(__xludf.DUMMYFUNCTION("GOOGLETRANSLATE(B10004,""id"",""en"")"),"['Steady', 'Increase', 'Network']")</f>
        <v>['Steady', 'Increase', 'Network']</v>
      </c>
      <c r="D10004" s="3">
        <v>1.0</v>
      </c>
    </row>
    <row r="10005" ht="15.75" customHeight="1">
      <c r="A10005" s="1">
        <v>10779.0</v>
      </c>
      <c r="B10005" s="3" t="s">
        <v>9553</v>
      </c>
      <c r="C10005" s="3" t="str">
        <f>IFERROR(__xludf.DUMMYFUNCTION("GOOGLETRANSLATE(B10005,""id"",""en"")"),"['Severe', 'Network']")</f>
        <v>['Severe', 'Network']</v>
      </c>
      <c r="D10005" s="3">
        <v>1.0</v>
      </c>
    </row>
    <row r="10006" ht="15.75" customHeight="1">
      <c r="A10006" s="1">
        <v>10781.0</v>
      </c>
      <c r="B10006" s="3" t="s">
        <v>9554</v>
      </c>
      <c r="C10006" s="3" t="str">
        <f>IFERROR(__xludf.DUMMYFUNCTION("GOOGLETRANSLATE(B10006,""id"",""en"")"),"['gave', 'gift', 'Vouch', 'boss', 'pulse', 'quota', 'sorry', 'boss', 'just', 'suggestion', ""]")</f>
        <v>['gave', 'gift', 'Vouch', 'boss', 'pulse', 'quota', 'sorry', 'boss', 'just', 'suggestion', "]</v>
      </c>
      <c r="D10006" s="3">
        <v>3.0</v>
      </c>
    </row>
    <row r="10007" ht="15.75" customHeight="1">
      <c r="A10007" s="1">
        <v>10782.0</v>
      </c>
      <c r="B10007" s="3" t="s">
        <v>9555</v>
      </c>
      <c r="C10007" s="3" t="str">
        <f>IFERROR(__xludf.DUMMYFUNCTION("GOOGLETRANSLATE(B10007,""id"",""en"")"),"['Price', 'Internet', 'expensive']")</f>
        <v>['Price', 'Internet', 'expensive']</v>
      </c>
      <c r="D10007" s="3">
        <v>5.0</v>
      </c>
    </row>
    <row r="10008" ht="15.75" customHeight="1">
      <c r="A10008" s="1">
        <v>10783.0</v>
      </c>
      <c r="B10008" s="3" t="s">
        <v>9556</v>
      </c>
      <c r="C10008" s="3" t="str">
        <f>IFERROR(__xludf.DUMMYFUNCTION("GOOGLETRANSLATE(B10008,""id"",""en"")"),"['Weight', 'Open']")</f>
        <v>['Weight', 'Open']</v>
      </c>
      <c r="D10008" s="3">
        <v>1.0</v>
      </c>
    </row>
    <row r="10009" ht="15.75" customHeight="1">
      <c r="A10009" s="1">
        <v>10784.0</v>
      </c>
      <c r="B10009" s="3" t="s">
        <v>9557</v>
      </c>
      <c r="C10009" s="3" t="str">
        <f>IFERROR(__xludf.DUMMYFUNCTION("GOOGLETRANSLATE(B10009,""id"",""en"")"),"['Satisfied', 'The application', '']")</f>
        <v>['Satisfied', 'The application', '']</v>
      </c>
      <c r="D10009" s="3">
        <v>5.0</v>
      </c>
    </row>
    <row r="10010" ht="15.75" customHeight="1">
      <c r="A10010" s="1">
        <v>10785.0</v>
      </c>
      <c r="B10010" s="3" t="s">
        <v>9558</v>
      </c>
      <c r="C10010" s="3" t="str">
        <f>IFERROR(__xludf.DUMMYFUNCTION("GOOGLETRANSLATE(B10010,""id"",""en"")"),"['KLW', 'Telkomsel', 'exciting', 'Rame', 'Paketan', 'Monthly', 'Miss', 'My Boss', ""]")</f>
        <v>['KLW', 'Telkomsel', 'exciting', 'Rame', 'Paketan', 'Monthly', 'Miss', 'My Boss', "]</v>
      </c>
      <c r="D10010" s="3">
        <v>3.0</v>
      </c>
    </row>
    <row r="10011" ht="15.75" customHeight="1">
      <c r="A10011" s="1">
        <v>10786.0</v>
      </c>
      <c r="B10011" s="3" t="s">
        <v>9559</v>
      </c>
      <c r="C10011" s="3" t="str">
        <f>IFERROR(__xludf.DUMMYFUNCTION("GOOGLETRANSLATE(B10011,""id"",""en"")"),"['price', 'package', 'expensive', 'service', 'signal', 'bad']")</f>
        <v>['price', 'package', 'expensive', 'service', 'signal', 'bad']</v>
      </c>
      <c r="D10011" s="3">
        <v>1.0</v>
      </c>
    </row>
    <row r="10012" ht="15.75" customHeight="1">
      <c r="A10012" s="1">
        <v>10787.0</v>
      </c>
      <c r="B10012" s="3" t="s">
        <v>9560</v>
      </c>
      <c r="C10012" s="3" t="str">
        <f>IFERROR(__xludf.DUMMYFUNCTION("GOOGLETRANSLATE(B10012,""id"",""en"")"),"['Package', 'Unlimited', 'On', 'Quota', 'Tetep', 'Suck', ""]")</f>
        <v>['Package', 'Unlimited', 'On', 'Quota', 'Tetep', 'Suck', "]</v>
      </c>
      <c r="D10012" s="3">
        <v>1.0</v>
      </c>
    </row>
    <row r="10013" ht="15.75" customHeight="1">
      <c r="A10013" s="1">
        <v>10788.0</v>
      </c>
      <c r="B10013" s="3" t="s">
        <v>9561</v>
      </c>
      <c r="C10013" s="3" t="str">
        <f>IFERROR(__xludf.DUMMYFUNCTION("GOOGLETRANSLATE(B10013,""id"",""en"")"),"['Parraahhhh', 'Network', 'Signal', 'internet', 'Sangaattt', 'Lemmot', 'Acquired', 'Fix', 'Satisfaction', 'Comfort', 'Customer', 'COUSTER', ' Users', 'Telkomsel', 'fulfilled', ""]")</f>
        <v>['Parraahhhh', 'Network', 'Signal', 'internet', 'Sangaattt', 'Lemmot', 'Acquired', 'Fix', 'Satisfaction', 'Comfort', 'Customer', 'COUSTER', ' Users', 'Telkomsel', 'fulfilled', "]</v>
      </c>
      <c r="D10013" s="3">
        <v>1.0</v>
      </c>
    </row>
    <row r="10014" ht="15.75" customHeight="1">
      <c r="A10014" s="1">
        <v>10789.0</v>
      </c>
      <c r="B10014" s="3" t="s">
        <v>9562</v>
      </c>
      <c r="C10014" s="3" t="str">
        <f>IFERROR(__xludf.DUMMYFUNCTION("GOOGLETRANSLATE(B10014,""id"",""en"")"),"['Steady', 'advanced', 'then', 'Telkomsel', 'Merdeka', 'Indonesia']")</f>
        <v>['Steady', 'advanced', 'then', 'Telkomsel', 'Merdeka', 'Indonesia']</v>
      </c>
      <c r="D10014" s="3">
        <v>5.0</v>
      </c>
    </row>
    <row r="10015" ht="15.75" customHeight="1">
      <c r="A10015" s="1">
        <v>10790.0</v>
      </c>
      <c r="B10015" s="3" t="s">
        <v>9563</v>
      </c>
      <c r="C10015" s="3" t="str">
        <f>IFERROR(__xludf.DUMMYFUNCTION("GOOGLETRANSLATE(B10015,""id"",""en"")"),"['signal', 'bad', 'yesterday', 'yesterday', 'no', 'rich', 'gini', 'buy', 'pulse', 'cheap', 'pandemic', 'rich', ' Gini ',' worse ',' meeting ',' signal ',' quality ',' down ',' price ',' collapse ',' loss', 'already', 'buy', 'signal', 'slow' ]")</f>
        <v>['signal', 'bad', 'yesterday', 'yesterday', 'no', 'rich', 'gini', 'buy', 'pulse', 'cheap', 'pandemic', 'rich', ' Gini ',' worse ',' meeting ',' signal ',' quality ',' down ',' price ',' collapse ',' loss', 'already', 'buy', 'signal', 'slow' ]</v>
      </c>
      <c r="D10015" s="3">
        <v>1.0</v>
      </c>
    </row>
    <row r="10016" ht="15.75" customHeight="1">
      <c r="A10016" s="1">
        <v>10791.0</v>
      </c>
      <c r="B10016" s="3" t="s">
        <v>9564</v>
      </c>
      <c r="C10016" s="3" t="str">
        <f>IFERROR(__xludf.DUMMYFUNCTION("GOOGLETRANSLATE(B10016,""id"",""en"")"),"['Severe', 'You', 'Telkomsel', 'Damn', 'if there is', 'Assessment', 'Bintang', 'Gikasih', 'You', 'Minus', ""]")</f>
        <v>['Severe', 'You', 'Telkomsel', 'Damn', 'if there is', 'Assessment', 'Bintang', 'Gikasih', 'You', 'Minus', "]</v>
      </c>
      <c r="D10016" s="3">
        <v>1.0</v>
      </c>
    </row>
    <row r="10017" ht="15.75" customHeight="1">
      <c r="A10017" s="1">
        <v>10792.0</v>
      </c>
      <c r="B10017" s="3" t="s">
        <v>9565</v>
      </c>
      <c r="C10017" s="3" t="str">
        <f>IFERROR(__xludf.DUMMYFUNCTION("GOOGLETRANSLATE(B10017,""id"",""en"")"),"['The use', 'quota', 'multimedia', 'kepakai', 'quota', 'main']")</f>
        <v>['The use', 'quota', 'multimedia', 'kepakai', 'quota', 'main']</v>
      </c>
      <c r="D10017" s="3">
        <v>1.0</v>
      </c>
    </row>
    <row r="10018" ht="15.75" customHeight="1">
      <c r="A10018" s="1">
        <v>10793.0</v>
      </c>
      <c r="B10018" s="3" t="s">
        <v>9566</v>
      </c>
      <c r="C10018" s="3" t="str">
        <f>IFERROR(__xludf.DUMMYFUNCTION("GOOGLETRANSLATE(B10018,""id"",""en"")"),"['Disappointed', 'card', 'expensive', 'Quality', 'Different', 'cheap', 'Increases', 'parahhh']")</f>
        <v>['Disappointed', 'card', 'expensive', 'Quality', 'Different', 'cheap', 'Increases', 'parahhh']</v>
      </c>
      <c r="D10018" s="3">
        <v>1.0</v>
      </c>
    </row>
    <row r="10019" ht="15.75" customHeight="1">
      <c r="A10019" s="1">
        <v>10794.0</v>
      </c>
      <c r="B10019" s="3" t="s">
        <v>9567</v>
      </c>
      <c r="C10019" s="3" t="str">
        <f>IFERROR(__xludf.DUMMYFUNCTION("GOOGLETRANSLATE(B10019,""id"",""en"")"),"['Combo', 'Sakti', 'steady']")</f>
        <v>['Combo', 'Sakti', 'steady']</v>
      </c>
      <c r="D10019" s="3">
        <v>5.0</v>
      </c>
    </row>
    <row r="10020" ht="15.75" customHeight="1">
      <c r="A10020" s="1">
        <v>10795.0</v>
      </c>
      <c r="B10020" s="3" t="s">
        <v>9568</v>
      </c>
      <c r="C10020" s="3" t="str">
        <f>IFERROR(__xludf.DUMMYFUNCTION("GOOGLETRANSLATE(B10020,""id"",""en"")"),"['Not bad', 'makes it easy']")</f>
        <v>['Not bad', 'makes it easy']</v>
      </c>
      <c r="D10020" s="3">
        <v>5.0</v>
      </c>
    </row>
    <row r="10021" ht="15.75" customHeight="1">
      <c r="A10021" s="1">
        <v>10796.0</v>
      </c>
      <c r="B10021" s="3" t="s">
        <v>9569</v>
      </c>
      <c r="C10021" s="3" t="str">
        <f>IFERROR(__xludf.DUMMYFUNCTION("GOOGLETRANSLATE(B10021,""id"",""en"")"),"['Package', 'Good', 'Tipu', 'Tipu', 'Kayak', 'Indosat']")</f>
        <v>['Package', 'Good', 'Tipu', 'Tipu', 'Kayak', 'Indosat']</v>
      </c>
      <c r="D10021" s="3">
        <v>5.0</v>
      </c>
    </row>
    <row r="10022" ht="15.75" customHeight="1">
      <c r="A10022" s="1">
        <v>10797.0</v>
      </c>
      <c r="B10022" s="3" t="s">
        <v>9570</v>
      </c>
      <c r="C10022" s="3" t="str">
        <f>IFERROR(__xludf.DUMMYFUNCTION("GOOGLETRANSLATE(B10022,""id"",""en"")"),"['Please', 'Telkomsel', 'Fix', 'reset', 'buy', 'quota', 'system', 'busy', 'trsss']")</f>
        <v>['Please', 'Telkomsel', 'Fix', 'reset', 'buy', 'quota', 'system', 'busy', 'trsss']</v>
      </c>
      <c r="D10022" s="3">
        <v>1.0</v>
      </c>
    </row>
    <row r="10023" ht="15.75" customHeight="1">
      <c r="A10023" s="1">
        <v>10798.0</v>
      </c>
      <c r="B10023" s="3" t="s">
        <v>2074</v>
      </c>
      <c r="C10023" s="3" t="str">
        <f>IFERROR(__xludf.DUMMYFUNCTION("GOOGLETRANSLATE(B10023,""id"",""en"")"),"['Telkomsel', 'Dihati']")</f>
        <v>['Telkomsel', 'Dihati']</v>
      </c>
      <c r="D10023" s="3">
        <v>5.0</v>
      </c>
    </row>
    <row r="10024" ht="15.75" customHeight="1">
      <c r="A10024" s="1">
        <v>10799.0</v>
      </c>
      <c r="B10024" s="3" t="s">
        <v>9571</v>
      </c>
      <c r="C10024" s="3" t="str">
        <f>IFERROR(__xludf.DUMMYFUNCTION("GOOGLETRANSLATE(B10024,""id"",""en"")"),"['Tax', 'Costs', 'Admin', 'Ngilak', 'Top', 'Buy', 'My Item']")</f>
        <v>['Tax', 'Costs', 'Admin', 'Ngilak', 'Top', 'Buy', 'My Item']</v>
      </c>
      <c r="D10024" s="3">
        <v>2.0</v>
      </c>
    </row>
    <row r="10025" ht="15.75" customHeight="1">
      <c r="A10025" s="1">
        <v>10800.0</v>
      </c>
      <c r="B10025" s="3" t="s">
        <v>9572</v>
      </c>
      <c r="C10025" s="3" t="str">
        <f>IFERROR(__xludf.DUMMYFUNCTION("GOOGLETRANSLATE(B10025,""id"",""en"")"),"['signal', 'slow', 'worth', 'appreciated', 'thumb']")</f>
        <v>['signal', 'slow', 'worth', 'appreciated', 'thumb']</v>
      </c>
      <c r="D10025" s="3">
        <v>1.0</v>
      </c>
    </row>
    <row r="10026" ht="15.75" customHeight="1">
      <c r="A10026" s="1">
        <v>10801.0</v>
      </c>
      <c r="B10026" s="3" t="s">
        <v>9573</v>
      </c>
      <c r="C10026" s="3" t="str">
        <f>IFERROR(__xludf.DUMMYFUNCTION("GOOGLETRANSLATE(B10026,""id"",""en"")"),"['Telkomsel', 'Leet']")</f>
        <v>['Telkomsel', 'Leet']</v>
      </c>
      <c r="D10026" s="3">
        <v>2.0</v>
      </c>
    </row>
    <row r="10027" ht="15.75" customHeight="1">
      <c r="A10027" s="1">
        <v>10802.0</v>
      </c>
      <c r="B10027" s="3" t="s">
        <v>9574</v>
      </c>
      <c r="C10027" s="3" t="str">
        <f>IFERROR(__xludf.DUMMYFUNCTION("GOOGLETRANSLATE(B10027,""id"",""en"")"),"['Help', 'worship']")</f>
        <v>['Help', 'worship']</v>
      </c>
      <c r="D10027" s="3">
        <v>5.0</v>
      </c>
    </row>
    <row r="10028" ht="15.75" customHeight="1">
      <c r="A10028" s="1">
        <v>10803.0</v>
      </c>
      <c r="B10028" s="3" t="s">
        <v>9575</v>
      </c>
      <c r="C10028" s="3" t="str">
        <f>IFERROR(__xludf.DUMMYFUNCTION("GOOGLETRANSLATE(B10028,""id"",""en"")"),"['Lottery', 'star', 'yes', 'leg']")</f>
        <v>['Lottery', 'star', 'yes', 'leg']</v>
      </c>
      <c r="D10028" s="3">
        <v>2.0</v>
      </c>
    </row>
    <row r="10029" ht="15.75" customHeight="1">
      <c r="A10029" s="1">
        <v>10804.0</v>
      </c>
      <c r="B10029" s="3" t="s">
        <v>9576</v>
      </c>
      <c r="C10029" s="3" t="str">
        <f>IFERROR(__xludf.DUMMYFUNCTION("GOOGLETRANSLATE(B10029,""id"",""en"")"),"['aapaan', 'class', 'sympathy', 'maen', 'mobile', 'legend', 'signal', 'direct', 'luplep', 'severe']")</f>
        <v>['aapaan', 'class', 'sympathy', 'maen', 'mobile', 'legend', 'signal', 'direct', 'luplep', 'severe']</v>
      </c>
      <c r="D10029" s="3">
        <v>1.0</v>
      </c>
    </row>
    <row r="10030" ht="15.75" customHeight="1">
      <c r="A10030" s="1">
        <v>10805.0</v>
      </c>
      <c r="B10030" s="3" t="s">
        <v>9577</v>
      </c>
      <c r="C10030" s="3" t="str">
        <f>IFERROR(__xludf.DUMMYFUNCTION("GOOGLETRANSLATE(B10030,""id"",""en"")"),"['buy', 'package', 'data', 'free']")</f>
        <v>['buy', 'package', 'data', 'free']</v>
      </c>
      <c r="D10030" s="3">
        <v>5.0</v>
      </c>
    </row>
    <row r="10031" ht="15.75" customHeight="1">
      <c r="A10031" s="1">
        <v>10806.0</v>
      </c>
      <c r="B10031" s="3" t="s">
        <v>9578</v>
      </c>
      <c r="C10031" s="3" t="str">
        <f>IFERROR(__xludf.DUMMYFUNCTION("GOOGLETRANSLATE(B10031,""id"",""en"")"),"['forgiveness', 'application', 'need', 'bandwidth', 'big', 'really', 'slow', 'forgiveness']")</f>
        <v>['forgiveness', 'application', 'need', 'bandwidth', 'big', 'really', 'slow', 'forgiveness']</v>
      </c>
      <c r="D10031" s="3">
        <v>1.0</v>
      </c>
    </row>
    <row r="10032" ht="15.75" customHeight="1">
      <c r="A10032" s="1">
        <v>10807.0</v>
      </c>
      <c r="B10032" s="3" t="s">
        <v>9579</v>
      </c>
      <c r="C10032" s="3" t="str">
        <f>IFERROR(__xludf.DUMMYFUNCTION("GOOGLETRANSLATE(B10032,""id"",""en"")"),"['Okay', 'makes it easy', 'customer']")</f>
        <v>['Okay', 'makes it easy', 'customer']</v>
      </c>
      <c r="D10032" s="3">
        <v>4.0</v>
      </c>
    </row>
    <row r="10033" ht="15.75" customHeight="1">
      <c r="A10033" s="1">
        <v>10808.0</v>
      </c>
      <c r="B10033" s="3" t="s">
        <v>9580</v>
      </c>
      <c r="C10033" s="3" t="str">
        <f>IFERROR(__xludf.DUMMYFUNCTION("GOOGLETRANSLATE(B10033,""id"",""en"")"),"['happy', 'times', 'card', 'Telkomsel']")</f>
        <v>['happy', 'times', 'card', 'Telkomsel']</v>
      </c>
      <c r="D10033" s="3">
        <v>5.0</v>
      </c>
    </row>
    <row r="10034" ht="15.75" customHeight="1">
      <c r="A10034" s="1">
        <v>10809.0</v>
      </c>
      <c r="B10034" s="3" t="s">
        <v>9581</v>
      </c>
      <c r="C10034" s="3" t="str">
        <f>IFERROR(__xludf.DUMMYFUNCTION("GOOGLETRANSLATE(B10034,""id"",""en"")"),"['I', 'love', 'suggestion', 'Telkomtol', 'ilang', 'signal', 'wind', 'already', 'kek', 'cwk', 'really', 'close', ' Company ',' I ',' Saranin ',' ']")</f>
        <v>['I', 'love', 'suggestion', 'Telkomtol', 'ilang', 'signal', 'wind', 'already', 'kek', 'cwk', 'really', 'close', ' Company ',' I ',' Saranin ',' ']</v>
      </c>
      <c r="D10034" s="3">
        <v>1.0</v>
      </c>
    </row>
    <row r="10035" ht="15.75" customHeight="1">
      <c r="A10035" s="1">
        <v>10810.0</v>
      </c>
      <c r="B10035" s="3" t="s">
        <v>9582</v>
      </c>
      <c r="C10035" s="3" t="str">
        <f>IFERROR(__xludf.DUMMYFUNCTION("GOOGLETRANSLATE(B10035,""id"",""en"")"),"['Sorry', 'sympathy', 'ugly', 'network', 'signal', 'full', 'slow', 'really', 'since' since 'card', 'Hello', 'contents',' quota ',' already ',' run out ',' use ',' already ',' gtuh ',' pay ',' notif ',' block ',' permanent ',' card ',' ']")</f>
        <v>['Sorry', 'sympathy', 'ugly', 'network', 'signal', 'full', 'slow', 'really', 'since' since 'card', 'Hello', 'contents',' quota ',' already ',' run out ',' use ',' already ',' gtuh ',' pay ',' notif ',' block ',' permanent ',' card ',' ']</v>
      </c>
      <c r="D10035" s="3">
        <v>1.0</v>
      </c>
    </row>
    <row r="10036" ht="15.75" customHeight="1">
      <c r="A10036" s="1">
        <v>10811.0</v>
      </c>
      <c r="B10036" s="3" t="s">
        <v>9583</v>
      </c>
      <c r="C10036" s="3" t="str">
        <f>IFERROR(__xludf.DUMMYFUNCTION("GOOGLETRANSLATE(B10036,""id"",""en"")"),"['expensive', 'really', 'card', 'cave']")</f>
        <v>['expensive', 'really', 'card', 'cave']</v>
      </c>
      <c r="D10036" s="3">
        <v>5.0</v>
      </c>
    </row>
    <row r="10037" ht="15.75" customHeight="1">
      <c r="A10037" s="1">
        <v>10812.0</v>
      </c>
      <c r="B10037" s="3" t="s">
        <v>9584</v>
      </c>
      <c r="C10037" s="3" t="str">
        <f>IFERROR(__xludf.DUMMYFUNCTION("GOOGLETRANSLATE(B10037,""id"",""en"")"),"['disappointed', 'service', 'network', 'telkom', 'contents',' package ',' pulse ',' pull ',' first ',' choice ',' package ',' expensive ',' Services', 'Divkan', 'HARU', 'DATA', 'Use', 'Hangus',' Please ',' Note ',' Mas', 'MBA']")</f>
        <v>['disappointed', 'service', 'network', 'telkom', 'contents',' package ',' pulse ',' pull ',' first ',' choice ',' package ',' expensive ',' Services', 'Divkan', 'HARU', 'DATA', 'Use', 'Hangus',' Please ',' Note ',' Mas', 'MBA']</v>
      </c>
      <c r="D10037" s="3">
        <v>1.0</v>
      </c>
    </row>
    <row r="10038" ht="15.75" customHeight="1">
      <c r="A10038" s="1">
        <v>10813.0</v>
      </c>
      <c r="B10038" s="3" t="s">
        <v>9585</v>
      </c>
      <c r="C10038" s="3" t="str">
        <f>IFERROR(__xludf.DUMMYFUNCTION("GOOGLETRANSLATE(B10038,""id"",""en"")"),"['Telkomsel', 'Slalu']")</f>
        <v>['Telkomsel', 'Slalu']</v>
      </c>
      <c r="D10038" s="3">
        <v>2.0</v>
      </c>
    </row>
    <row r="10039" ht="15.75" customHeight="1">
      <c r="A10039" s="1">
        <v>10814.0</v>
      </c>
      <c r="B10039" s="3" t="s">
        <v>9586</v>
      </c>
      <c r="C10039" s="3" t="str">
        <f>IFERROR(__xludf.DUMMYFUNCTION("GOOGLETRANSLATE(B10039,""id"",""en"")"),"['Please', 'Package', 'Literable', 'little']")</f>
        <v>['Please', 'Package', 'Literable', 'little']</v>
      </c>
      <c r="D10039" s="3">
        <v>5.0</v>
      </c>
    </row>
    <row r="10040" ht="15.75" customHeight="1">
      <c r="A10040" s="1">
        <v>10815.0</v>
      </c>
      <c r="B10040" s="3" t="s">
        <v>9587</v>
      </c>
      <c r="C10040" s="3" t="str">
        <f>IFERROR(__xludf.DUMMYFUNCTION("GOOGLETRANSLATE(B10040,""id"",""en"")"),"['min', 'please', 'package', 'cheerful', 'ilang', 'situation', 'package', 'sqngat', 'help', 'really', ""]")</f>
        <v>['min', 'please', 'package', 'cheerful', 'ilang', 'situation', 'package', 'sqngat', 'help', 'really', "]</v>
      </c>
      <c r="D10040" s="3">
        <v>4.0</v>
      </c>
    </row>
    <row r="10041" ht="15.75" customHeight="1">
      <c r="A10041" s="1">
        <v>10816.0</v>
      </c>
      <c r="B10041" s="3" t="s">
        <v>9588</v>
      </c>
      <c r="C10041" s="3" t="str">
        <f>IFERROR(__xludf.DUMMYFUNCTION("GOOGLETRANSLATE(B10041,""id"",""en"")"),"['Good', 'promo', 'jga']")</f>
        <v>['Good', 'promo', 'jga']</v>
      </c>
      <c r="D10041" s="3">
        <v>5.0</v>
      </c>
    </row>
    <row r="10042" ht="15.75" customHeight="1">
      <c r="A10042" s="1">
        <v>10817.0</v>
      </c>
      <c r="B10042" s="3" t="s">
        <v>9589</v>
      </c>
      <c r="C10042" s="3" t="str">
        <f>IFERROR(__xludf.DUMMYFUNCTION("GOOGLETRANSLATE(B10042,""id"",""en"")"),"['The application', 'slow', 'sometimes', 'opened']")</f>
        <v>['The application', 'slow', 'sometimes', 'opened']</v>
      </c>
      <c r="D10042" s="3">
        <v>1.0</v>
      </c>
    </row>
    <row r="10043" ht="15.75" customHeight="1">
      <c r="A10043" s="1">
        <v>10818.0</v>
      </c>
      <c r="B10043" s="3" t="s">
        <v>9590</v>
      </c>
      <c r="C10043" s="3" t="str">
        <f>IFERROR(__xludf.DUMMYFUNCTION("GOOGLETRANSLATE(B10043,""id"",""en"")"),"['disappointing', 'Makai', 'application', 'opened', 'repeat', 'reset', 'Different', 'really']")</f>
        <v>['disappointing', 'Makai', 'application', 'opened', 'repeat', 'reset', 'Different', 'really']</v>
      </c>
      <c r="D10043" s="3">
        <v>1.0</v>
      </c>
    </row>
    <row r="10044" ht="15.75" customHeight="1">
      <c r="A10044" s="1">
        <v>10819.0</v>
      </c>
      <c r="B10044" s="3" t="s">
        <v>6436</v>
      </c>
      <c r="C10044" s="3" t="str">
        <f>IFERROR(__xludf.DUMMYFUNCTION("GOOGLETRANSLATE(B10044,""id"",""en"")"),"['satisfying']")</f>
        <v>['satisfying']</v>
      </c>
      <c r="D10044" s="3">
        <v>5.0</v>
      </c>
    </row>
    <row r="10045" ht="15.75" customHeight="1">
      <c r="A10045" s="1">
        <v>10820.0</v>
      </c>
      <c r="B10045" s="3" t="s">
        <v>9591</v>
      </c>
      <c r="C10045" s="3" t="str">
        <f>IFERROR(__xludf.DUMMYFUNCTION("GOOGLETRANSLATE(B10045,""id"",""en"")"),"['Network', 'ugly', 'Bangat', 'fix', 'cook', 'quota', 'msh', 'network', 'muter', 'attention', 'telkomsel', 'your network', ' ugly ',' Bangat ',' deliberate ',' left ',' user ',' ugly ',' network ',' internet ',' Telkomsel ', ""]")</f>
        <v>['Network', 'ugly', 'Bangat', 'fix', 'cook', 'quota', 'msh', 'network', 'muter', 'attention', 'telkomsel', 'your network', ' ugly ',' Bangat ',' deliberate ',' left ',' user ',' ugly ',' network ',' internet ',' Telkomsel ', "]</v>
      </c>
      <c r="D10045" s="3">
        <v>4.0</v>
      </c>
    </row>
    <row r="10046" ht="15.75" customHeight="1">
      <c r="A10046" s="1">
        <v>10821.0</v>
      </c>
      <c r="B10046" s="3" t="s">
        <v>1837</v>
      </c>
      <c r="C10046" s="3" t="str">
        <f>IFERROR(__xludf.DUMMYFUNCTION("GOOGLETRANSLATE(B10046,""id"",""en"")"),"['Application', 'help', ""]")</f>
        <v>['Application', 'help', "]</v>
      </c>
      <c r="D10046" s="3">
        <v>4.0</v>
      </c>
    </row>
    <row r="10047" ht="15.75" customHeight="1">
      <c r="A10047" s="1">
        <v>10822.0</v>
      </c>
      <c r="B10047" s="3" t="s">
        <v>9592</v>
      </c>
      <c r="C10047" s="3" t="str">
        <f>IFERROR(__xludf.DUMMYFUNCTION("GOOGLETRANSLATE(B10047,""id"",""en"")"),"['application', 'slow', 'move', 'menu', 'slow', 'times', 'please', 'fix', '']")</f>
        <v>['application', 'slow', 'move', 'menu', 'slow', 'times', 'please', 'fix', '']</v>
      </c>
      <c r="D10047" s="3">
        <v>1.0</v>
      </c>
    </row>
    <row r="10048" ht="15.75" customHeight="1">
      <c r="A10048" s="1">
        <v>10823.0</v>
      </c>
      <c r="B10048" s="3" t="s">
        <v>9593</v>
      </c>
      <c r="C10048" s="3" t="str">
        <f>IFERROR(__xludf.DUMMYFUNCTION("GOOGLETRANSLATE(B10048,""id"",""en"")"),"['Disappointed', 'Network', 'Quota', 'Expensive', 'TPI', 'Network', 'Dipelek', 'My Suggestion', 'Fix', 'Comfortable', 'User', 'Telkomsel']")</f>
        <v>['Disappointed', 'Network', 'Quota', 'Expensive', 'TPI', 'Network', 'Dipelek', 'My Suggestion', 'Fix', 'Comfortable', 'User', 'Telkomsel']</v>
      </c>
      <c r="D10048" s="3">
        <v>1.0</v>
      </c>
    </row>
    <row r="10049" ht="15.75" customHeight="1">
      <c r="A10049" s="1">
        <v>10824.0</v>
      </c>
      <c r="B10049" s="3" t="s">
        <v>9594</v>
      </c>
      <c r="C10049" s="3" t="str">
        <f>IFERROR(__xludf.DUMMYFUNCTION("GOOGLETRANSLATE(B10049,""id"",""en"")"),"['greatest', 'network', '']")</f>
        <v>['greatest', 'network', '']</v>
      </c>
      <c r="D10049" s="3">
        <v>5.0</v>
      </c>
    </row>
    <row r="10050" ht="15.75" customHeight="1">
      <c r="A10050" s="1">
        <v>10825.0</v>
      </c>
      <c r="B10050" s="3" t="s">
        <v>9595</v>
      </c>
      <c r="C10050" s="3" t="str">
        <f>IFERROR(__xludf.DUMMYFUNCTION("GOOGLETRANSLATE(B10050,""id"",""en"")"),"['service']")</f>
        <v>['service']</v>
      </c>
      <c r="D10050" s="3">
        <v>5.0</v>
      </c>
    </row>
    <row r="10051" ht="15.75" customHeight="1">
      <c r="A10051" s="1">
        <v>10826.0</v>
      </c>
      <c r="B10051" s="3" t="s">
        <v>9596</v>
      </c>
      <c r="C10051" s="3" t="str">
        <f>IFERROR(__xludf.DUMMYFUNCTION("GOOGLETRANSLATE(B10051,""id"",""en"")"),"['BLM', 'Try', 'Ribet']")</f>
        <v>['BLM', 'Try', 'Ribet']</v>
      </c>
      <c r="D10051" s="3">
        <v>3.0</v>
      </c>
    </row>
    <row r="10052" ht="15.75" customHeight="1">
      <c r="A10052" s="1">
        <v>10828.0</v>
      </c>
      <c r="B10052" s="3" t="s">
        <v>9597</v>
      </c>
      <c r="C10052" s="3" t="str">
        <f>IFERROR(__xludf.DUMMYFUNCTION("GOOGLETRANSLATE(B10052,""id"",""en"")"),"['application', 'slow', 'pay', 'directly', 'use', 'shopepay', 'pulse', 'sumps', 'on', 'quota', 'main', 'hurry']")</f>
        <v>['application', 'slow', 'pay', 'directly', 'use', 'shopepay', 'pulse', 'sumps', 'on', 'quota', 'main', 'hurry']</v>
      </c>
      <c r="D10052" s="3">
        <v>1.0</v>
      </c>
    </row>
    <row r="10053" ht="15.75" customHeight="1">
      <c r="A10053" s="1">
        <v>10829.0</v>
      </c>
      <c r="B10053" s="3" t="s">
        <v>9598</v>
      </c>
      <c r="C10053" s="3" t="str">
        <f>IFERROR(__xludf.DUMMYFUNCTION("GOOGLETRANSLATE(B10053,""id"",""en"")"),"['difficult', 'signal', 'iyaa', 'tsel', 'knp', 'thisii', 'please', 'fix', 'mahalin', 'price', 'package', 'signal', ' support']")</f>
        <v>['difficult', 'signal', 'iyaa', 'tsel', 'knp', 'thisii', 'please', 'fix', 'mahalin', 'price', 'package', 'signal', ' support']</v>
      </c>
      <c r="D10053" s="3">
        <v>1.0</v>
      </c>
    </row>
    <row r="10054" ht="15.75" customHeight="1">
      <c r="A10054" s="1">
        <v>10830.0</v>
      </c>
      <c r="B10054" s="3" t="s">
        <v>1221</v>
      </c>
      <c r="C10054" s="3" t="str">
        <f>IFERROR(__xludf.DUMMYFUNCTION("GOOGLETRANSLATE(B10054,""id"",""en"")"),"['signal', 'bad']")</f>
        <v>['signal', 'bad']</v>
      </c>
      <c r="D10054" s="3">
        <v>3.0</v>
      </c>
    </row>
    <row r="10055" ht="15.75" customHeight="1">
      <c r="A10055" s="1">
        <v>10832.0</v>
      </c>
      <c r="B10055" s="3" t="s">
        <v>9599</v>
      </c>
      <c r="C10055" s="3" t="str">
        <f>IFERROR(__xludf.DUMMYFUNCTION("GOOGLETRANSLATE(B10055,""id"",""en"")"),"['makes it easier', 'purchase', 'pulse']")</f>
        <v>['makes it easier', 'purchase', 'pulse']</v>
      </c>
      <c r="D10055" s="3">
        <v>4.0</v>
      </c>
    </row>
    <row r="10056" ht="15.75" customHeight="1">
      <c r="A10056" s="1">
        <v>10833.0</v>
      </c>
      <c r="B10056" s="3" t="s">
        <v>9600</v>
      </c>
      <c r="C10056" s="3" t="str">
        <f>IFERROR(__xludf.DUMMYFUNCTION("GOOGLETRANSLATE(B10056,""id"",""en"")"),"['The application', 'baguuss']")</f>
        <v>['The application', 'baguuss']</v>
      </c>
      <c r="D10056" s="3">
        <v>5.0</v>
      </c>
    </row>
    <row r="10057" ht="15.75" customHeight="1">
      <c r="A10057" s="1">
        <v>10834.0</v>
      </c>
      <c r="B10057" s="3" t="s">
        <v>9601</v>
      </c>
      <c r="C10057" s="3" t="str">
        <f>IFERROR(__xludf.DUMMYFUNCTION("GOOGLETRANSLATE(B10057,""id"",""en"")"),"['signal', 'Bagus', 'like', 'use', 'Telkomsel', '']")</f>
        <v>['signal', 'Bagus', 'like', 'use', 'Telkomsel', '']</v>
      </c>
      <c r="D10057" s="3">
        <v>5.0</v>
      </c>
    </row>
    <row r="10058" ht="15.75" customHeight="1">
      <c r="A10058" s="1">
        <v>10835.0</v>
      </c>
      <c r="B10058" s="3" t="s">
        <v>9602</v>
      </c>
      <c r="C10058" s="3" t="str">
        <f>IFERROR(__xludf.DUMMYFUNCTION("GOOGLETRANSLATE(B10058,""id"",""en"")"),"['buy', 'quota', 'expensive', 'expensive', 'network', 'oath', 'disgust', '']")</f>
        <v>['buy', 'quota', 'expensive', 'expensive', 'network', 'oath', 'disgust', '']</v>
      </c>
      <c r="D10058" s="3">
        <v>1.0</v>
      </c>
    </row>
    <row r="10059" ht="15.75" customHeight="1">
      <c r="A10059" s="1">
        <v>10836.0</v>
      </c>
      <c r="B10059" s="3" t="s">
        <v>9603</v>
      </c>
      <c r="C10059" s="3" t="str">
        <f>IFERROR(__xludf.DUMMYFUNCTION("GOOGLETRANSLATE(B10059,""id"",""en"")"),"['Star', 'because', 'network', 'agag', 'slow', 'beg', 'fix', 'network', 'gnya', ""]")</f>
        <v>['Star', 'because', 'network', 'agag', 'slow', 'beg', 'fix', 'network', 'gnya', "]</v>
      </c>
      <c r="D10059" s="3">
        <v>5.0</v>
      </c>
    </row>
    <row r="10060" ht="15.75" customHeight="1">
      <c r="A10060" s="1">
        <v>10837.0</v>
      </c>
      <c r="B10060" s="3" t="s">
        <v>9604</v>
      </c>
      <c r="C10060" s="3" t="str">
        <f>IFERROR(__xludf.DUMMYFUNCTION("GOOGLETRANSLATE(B10060,""id"",""en"")"),"['Try', 'deh', 'good']")</f>
        <v>['Try', 'deh', 'good']</v>
      </c>
      <c r="D10060" s="3">
        <v>3.0</v>
      </c>
    </row>
    <row r="10061" ht="15.75" customHeight="1">
      <c r="A10061" s="1">
        <v>10838.0</v>
      </c>
      <c r="B10061" s="3" t="s">
        <v>9605</v>
      </c>
      <c r="C10061" s="3" t="str">
        <f>IFERROR(__xludf.DUMMYFUNCTION("GOOGLETRANSLATE(B10061,""id"",""en"")"),"['difficult', 'transaction', 'ganguan']")</f>
        <v>['difficult', 'transaction', 'ganguan']</v>
      </c>
      <c r="D10061" s="3">
        <v>2.0</v>
      </c>
    </row>
    <row r="10062" ht="15.75" customHeight="1">
      <c r="A10062" s="1">
        <v>10839.0</v>
      </c>
      <c r="B10062" s="3" t="s">
        <v>9606</v>
      </c>
      <c r="C10062" s="3" t="str">
        <f>IFERROR(__xludf.DUMMYFUNCTION("GOOGLETRANSLATE(B10062,""id"",""en"")"),"['Waiting', 'Hacker', 'Fucking', 'Telkomsel', 'Aware', 'Signal', 'Lemot']")</f>
        <v>['Waiting', 'Hacker', 'Fucking', 'Telkomsel', 'Aware', 'Signal', 'Lemot']</v>
      </c>
      <c r="D10062" s="3">
        <v>1.0</v>
      </c>
    </row>
    <row r="10063" ht="15.75" customHeight="1">
      <c r="A10063" s="1">
        <v>10840.0</v>
      </c>
      <c r="B10063" s="3" t="s">
        <v>9607</v>
      </c>
      <c r="C10063" s="3" t="str">
        <f>IFERROR(__xludf.DUMMYFUNCTION("GOOGLETRANSLATE(B10063,""id"",""en"")"),"['yeah', 'good', 'daapet', 'diff']")</f>
        <v>['yeah', 'good', 'daapet', 'diff']</v>
      </c>
      <c r="D10063" s="3">
        <v>3.0</v>
      </c>
    </row>
    <row r="10064" ht="15.75" customHeight="1">
      <c r="A10064" s="1">
        <v>10841.0</v>
      </c>
      <c r="B10064" s="3" t="s">
        <v>9608</v>
      </c>
      <c r="C10064" s="3" t="str">
        <f>IFERROR(__xludf.DUMMYFUNCTION("GOOGLETRANSLATE(B10064,""id"",""en"")"),"['Sinyalll', 'malem', 'rich', 'people', 'dizziness', 'muter', '']")</f>
        <v>['Sinyalll', 'malem', 'rich', 'people', 'dizziness', 'muter', '']</v>
      </c>
      <c r="D10064" s="3">
        <v>1.0</v>
      </c>
    </row>
    <row r="10065" ht="15.75" customHeight="1">
      <c r="A10065" s="1">
        <v>10843.0</v>
      </c>
      <c r="B10065" s="3" t="s">
        <v>9609</v>
      </c>
      <c r="C10065" s="3" t="str">
        <f>IFERROR(__xludf.DUMMYFUNCTION("GOOGLETRANSLATE(B10065,""id"",""en"")"),"['Ain', 'promo', 'installments', 'cellphone']")</f>
        <v>['Ain', 'promo', 'installments', 'cellphone']</v>
      </c>
      <c r="D10065" s="3">
        <v>5.0</v>
      </c>
    </row>
    <row r="10066" ht="15.75" customHeight="1">
      <c r="A10066" s="1">
        <v>10844.0</v>
      </c>
      <c r="B10066" s="3" t="s">
        <v>9610</v>
      </c>
      <c r="C10066" s="3" t="str">
        <f>IFERROR(__xludf.DUMMYFUNCTION("GOOGLETRANSLATE(B10066,""id"",""en"")"),"['Steady', 'Jaya', 'Telkomsel']")</f>
        <v>['Steady', 'Jaya', 'Telkomsel']</v>
      </c>
      <c r="D10066" s="3">
        <v>5.0</v>
      </c>
    </row>
    <row r="10067" ht="15.75" customHeight="1">
      <c r="A10067" s="1">
        <v>10845.0</v>
      </c>
      <c r="B10067" s="3" t="s">
        <v>9611</v>
      </c>
      <c r="C10067" s="3" t="str">
        <f>IFERROR(__xludf.DUMMYFUNCTION("GOOGLETRANSLATE(B10067,""id"",""en"")"),"['Good', 'promo', 'gift', 'Telkomsel', 'easy', 'getting', 'fraud']")</f>
        <v>['Good', 'promo', 'gift', 'Telkomsel', 'easy', 'getting', 'fraud']</v>
      </c>
      <c r="D10067" s="3">
        <v>5.0</v>
      </c>
    </row>
    <row r="10068" ht="15.75" customHeight="1">
      <c r="A10068" s="1">
        <v>10846.0</v>
      </c>
      <c r="B10068" s="3" t="s">
        <v>9612</v>
      </c>
      <c r="C10068" s="3" t="str">
        <f>IFERROR(__xludf.DUMMYFUNCTION("GOOGLETRANSLATE(B10068,""id"",""en"")"),"['', 'Make', 'Telkomsel', 'Loss',' Quota ',' Doank ',' Expensive ',' Network ',' get ',' Ujan ',' Doank ',' Direct ',' Melempem ',' Mending ',' card ',' tri ',' ajah ',' cheap ',' gais', 'change', 'card', '']")</f>
        <v>['', 'Make', 'Telkomsel', 'Loss',' Quota ',' Doank ',' Expensive ',' Network ',' get ',' Ujan ',' Doank ',' Direct ',' Melempem ',' Mending ',' card ',' tri ',' ajah ',' cheap ',' gais', 'change', 'card', '']</v>
      </c>
      <c r="D10068" s="3">
        <v>1.0</v>
      </c>
    </row>
    <row r="10069" ht="15.75" customHeight="1">
      <c r="A10069" s="1">
        <v>10847.0</v>
      </c>
      <c r="B10069" s="3" t="s">
        <v>9613</v>
      </c>
      <c r="C10069" s="3" t="str">
        <f>IFERROR(__xludf.DUMMYFUNCTION("GOOGLETRANSLATE(B10069,""id"",""en"")"),"['signal', 'Buriq', 'Muluu']")</f>
        <v>['signal', 'Buriq', 'Muluu']</v>
      </c>
      <c r="D10069" s="3">
        <v>1.0</v>
      </c>
    </row>
    <row r="10070" ht="15.75" customHeight="1">
      <c r="A10070" s="1">
        <v>10848.0</v>
      </c>
      <c r="B10070" s="3" t="s">
        <v>9614</v>
      </c>
      <c r="C10070" s="3" t="str">
        <f>IFERROR(__xludf.DUMMYFUNCTION("GOOGLETRANSLATE(B10070,""id"",""en"")"),"['Package', 'Combo', 'Sakti', 'Unlimited', 'Multimedia', 'Please', 'Addin', 'Features', 'Online', 'Shop']")</f>
        <v>['Package', 'Combo', 'Sakti', 'Unlimited', 'Multimedia', 'Please', 'Addin', 'Features', 'Online', 'Shop']</v>
      </c>
      <c r="D10070" s="3">
        <v>3.0</v>
      </c>
    </row>
    <row r="10071" ht="15.75" customHeight="1">
      <c r="A10071" s="1">
        <v>10849.0</v>
      </c>
      <c r="B10071" s="3" t="s">
        <v>9615</v>
      </c>
      <c r="C10071" s="3" t="str">
        <f>IFERROR(__xludf.DUMMYFUNCTION("GOOGLETRANSLATE(B10071,""id"",""en"")"),"['Telkom', 'Mending', 'Benerin', 'Network', 'All', 'Indo', 'Maen', 'lag', 'lag', 'Mulu', 'price', 'quota', ' expensive ',' gini ',' quota ',' expensive ',' network ',' kenceng ',' buy ',' tpi ',' kagak ',' already ',' network ',' blom ',' lag ' , 'lag', '"&amp;"price', 'quota', 'expensive', 'bet', 'Please', 'TELKOM', 'Benerin', 'network', 'LGI', 'network', 'in the area', ' Kenceng ',' Bye ',' ']")</f>
        <v>['Telkom', 'Mending', 'Benerin', 'Network', 'All', 'Indo', 'Maen', 'lag', 'lag', 'Mulu', 'price', 'quota', ' expensive ',' gini ',' quota ',' expensive ',' network ',' kenceng ',' buy ',' tpi ',' kagak ',' already ',' network ',' blom ',' lag ' , 'lag', 'price', 'quota', 'expensive', 'bet', 'Please', 'TELKOM', 'Benerin', 'network', 'LGI', 'network', 'in the area', ' Kenceng ',' Bye ',' ']</v>
      </c>
      <c r="D10071" s="3">
        <v>1.0</v>
      </c>
    </row>
    <row r="10072" ht="15.75" customHeight="1">
      <c r="A10072" s="1">
        <v>10850.0</v>
      </c>
      <c r="B10072" s="3" t="s">
        <v>9616</v>
      </c>
      <c r="C10072" s="3" t="str">
        <f>IFERROR(__xludf.DUMMYFUNCTION("GOOGLETRANSLATE(B10072,""id"",""en"")"),"['APL', 'Telkomsel', 'all', 'transaction', 'easy', 'trimksh', 'Telkomsel', 'smga', 'success',' always', 'then', 'success',' ']")</f>
        <v>['APL', 'Telkomsel', 'all', 'transaction', 'easy', 'trimksh', 'Telkomsel', 'smga', 'success',' always', 'then', 'success',' ']</v>
      </c>
      <c r="D10072" s="3">
        <v>5.0</v>
      </c>
    </row>
    <row r="10073" ht="15.75" customHeight="1">
      <c r="A10073" s="1">
        <v>10851.0</v>
      </c>
      <c r="B10073" s="3" t="s">
        <v>9617</v>
      </c>
      <c r="C10073" s="3" t="str">
        <f>IFERROR(__xludf.DUMMYFUNCTION("GOOGLETRANSLATE(B10073,""id"",""en"")"),"['like', 'signal', 'slow', 'please', 'fix']")</f>
        <v>['like', 'signal', 'slow', 'please', 'fix']</v>
      </c>
      <c r="D10073" s="3">
        <v>3.0</v>
      </c>
    </row>
    <row r="10074" ht="15.75" customHeight="1">
      <c r="A10074" s="1">
        <v>10852.0</v>
      </c>
      <c r="B10074" s="3" t="s">
        <v>9618</v>
      </c>
      <c r="C10074" s="3" t="str">
        <f>IFERROR(__xludf.DUMMYFUNCTION("GOOGLETRANSLATE(B10074,""id"",""en"")"),"['network', 'slow', 'quota', 'TPI', 'slow', 'forgiveness',' eager ',' pakek ',' card ',' telkomsel ',' please ',' boss', ' Fix ',' network ',' expensive ',' Pulak ',' price ',' package ',' according to ',' hope ',' bgsatttttt ']")</f>
        <v>['network', 'slow', 'quota', 'TPI', 'slow', 'forgiveness',' eager ',' pakek ',' card ',' telkomsel ',' please ',' boss', ' Fix ',' network ',' expensive ',' Pulak ',' price ',' package ',' according to ',' hope ',' bgsatttttt ']</v>
      </c>
      <c r="D10074" s="3">
        <v>1.0</v>
      </c>
    </row>
    <row r="10075" ht="15.75" customHeight="1">
      <c r="A10075" s="1">
        <v>10853.0</v>
      </c>
      <c r="B10075" s="3" t="s">
        <v>9619</v>
      </c>
      <c r="C10075" s="3" t="str">
        <f>IFERROR(__xludf.DUMMYFUNCTION("GOOGLETRANSLATE(B10075,""id"",""en"")"),"['Application', 'Telkomsel', 'Times',' Open ',' Errr ',' Posts', 'Application', 'Stopped', 'Closed', 'Application', 'Please', 'Fix', ' interests', 'thank', 'love']")</f>
        <v>['Application', 'Telkomsel', 'Times',' Open ',' Errr ',' Posts', 'Application', 'Stopped', 'Closed', 'Application', 'Please', 'Fix', ' interests', 'thank', 'love']</v>
      </c>
      <c r="D10075" s="3">
        <v>1.0</v>
      </c>
    </row>
    <row r="10076" ht="15.75" customHeight="1">
      <c r="A10076" s="1">
        <v>10854.0</v>
      </c>
      <c r="B10076" s="3" t="s">
        <v>2972</v>
      </c>
      <c r="C10076" s="3" t="str">
        <f>IFERROR(__xludf.DUMMYFUNCTION("GOOGLETRANSLATE(B10076,""id"",""en"")"),"['bad network']")</f>
        <v>['bad network']</v>
      </c>
      <c r="D10076" s="3">
        <v>5.0</v>
      </c>
    </row>
    <row r="10077" ht="15.75" customHeight="1">
      <c r="A10077" s="1">
        <v>10855.0</v>
      </c>
      <c r="B10077" s="3" t="s">
        <v>9620</v>
      </c>
      <c r="C10077" s="3" t="str">
        <f>IFERROR(__xludf.DUMMYFUNCTION("GOOGLETRANSLATE(B10077,""id"",""en"")"),"['slow', 'really', 'disappointing', 'Customer', 'Telkomsel', 'noon', 'night', 'change', 'please', 'fix', 'network', 'the widest', ' Indonesia']")</f>
        <v>['slow', 'really', 'disappointing', 'Customer', 'Telkomsel', 'noon', 'night', 'change', 'please', 'fix', 'network', 'the widest', ' Indonesia']</v>
      </c>
      <c r="D10077" s="3">
        <v>1.0</v>
      </c>
    </row>
    <row r="10078" ht="15.75" customHeight="1">
      <c r="A10078" s="1">
        <v>10856.0</v>
      </c>
      <c r="B10078" s="3" t="s">
        <v>9621</v>
      </c>
      <c r="C10078" s="3" t="str">
        <f>IFERROR(__xludf.DUMMYFUNCTION("GOOGLETRANSLATE(B10078,""id"",""en"")"),"['', 'Telkomsel', 'SNGAT', 'EASY', 'PNGECECTX', 'PMSAXAX', 'TPI', 'Please', 'KNPA', 'Network', 'Dipelek', ""]")</f>
        <v>['', 'Telkomsel', 'SNGAT', 'EASY', 'PNGECECTX', 'PMSAXAX', 'TPI', 'Please', 'KNPA', 'Network', 'Dipelek', "]</v>
      </c>
      <c r="D10078" s="3">
        <v>5.0</v>
      </c>
    </row>
    <row r="10079" ht="15.75" customHeight="1">
      <c r="A10079" s="1">
        <v>10857.0</v>
      </c>
      <c r="B10079" s="3" t="s">
        <v>9622</v>
      </c>
      <c r="C10079" s="3" t="str">
        <f>IFERROR(__xludf.DUMMYFUNCTION("GOOGLETRANSLATE(B10079,""id"",""en"")"),"['hadeeeeh', 'card', 'Telkomsel', 'prepaid', 'replace', 'postpaid', 'card', 'hello', 'internet', 'ugly', 'broke', ""]")</f>
        <v>['hadeeeeh', 'card', 'Telkomsel', 'prepaid', 'replace', 'postpaid', 'card', 'hello', 'internet', 'ugly', 'broke', "]</v>
      </c>
      <c r="D10079" s="3">
        <v>2.0</v>
      </c>
    </row>
    <row r="10080" ht="15.75" customHeight="1">
      <c r="A10080" s="1">
        <v>10858.0</v>
      </c>
      <c r="B10080" s="3" t="s">
        <v>9623</v>
      </c>
      <c r="C10080" s="3" t="str">
        <f>IFERROR(__xludf.DUMMYFUNCTION("GOOGLETRANSLATE(B10080,""id"",""en"")"),"['Finger', 'Telkomsel', 'Mengasi', 'BURIK', 'Please', 'Telkomsel', 'investigate', 'AHIR', 'Singal', 'Telkomsel', 'cheers',' Melu ',' singal ',' full ',' speed ',' ugly ',' please ',' telkomsel ',' fix ',' utuk ',' telkomsel ',' janagn ',' bought ',' telko"&amp;"msel ' , 'Singal', 'ugly']")</f>
        <v>['Finger', 'Telkomsel', 'Mengasi', 'BURIK', 'Please', 'Telkomsel', 'investigate', 'AHIR', 'Singal', 'Telkomsel', 'cheers',' Melu ',' singal ',' full ',' speed ',' ugly ',' please ',' telkomsel ',' fix ',' utuk ',' telkomsel ',' janagn ',' bought ',' telkomsel ' , 'Singal', 'ugly']</v>
      </c>
      <c r="D10080" s="3">
        <v>1.0</v>
      </c>
    </row>
    <row r="10081" ht="15.75" customHeight="1">
      <c r="A10081" s="1">
        <v>10859.0</v>
      </c>
      <c r="B10081" s="3" t="s">
        <v>9624</v>
      </c>
      <c r="C10081" s="3" t="str">
        <f>IFERROR(__xludf.DUMMYFUNCTION("GOOGLETRANSLATE(B10081,""id"",""en"")"),"['Help', 'makes it easy', 'user']")</f>
        <v>['Help', 'makes it easy', 'user']</v>
      </c>
      <c r="D10081" s="3">
        <v>4.0</v>
      </c>
    </row>
    <row r="10082" ht="15.75" customHeight="1">
      <c r="A10082" s="1">
        <v>10860.0</v>
      </c>
      <c r="B10082" s="3" t="s">
        <v>9625</v>
      </c>
      <c r="C10082" s="3" t="str">
        <f>IFERROR(__xludf.DUMMYFUNCTION("GOOGLETRANSLATE(B10082,""id"",""en"")"),"['signal', 'ugly', 'fix']")</f>
        <v>['signal', 'ugly', 'fix']</v>
      </c>
      <c r="D10082" s="3">
        <v>1.0</v>
      </c>
    </row>
    <row r="10083" ht="15.75" customHeight="1">
      <c r="A10083" s="1">
        <v>10861.0</v>
      </c>
      <c r="B10083" s="3" t="s">
        <v>9626</v>
      </c>
      <c r="C10083" s="3" t="str">
        <f>IFERROR(__xludf.DUMMYFUNCTION("GOOGLETRANSLATE(B10083,""id"",""en"")"),"['signal', 'setabilia']")</f>
        <v>['signal', 'setabilia']</v>
      </c>
      <c r="D10083" s="3">
        <v>4.0</v>
      </c>
    </row>
    <row r="10084" ht="15.75" customHeight="1">
      <c r="A10084" s="1">
        <v>10862.0</v>
      </c>
      <c r="B10084" s="3" t="s">
        <v>9627</v>
      </c>
      <c r="C10084" s="3" t="str">
        <f>IFERROR(__xludf.DUMMYFUNCTION("GOOGLETRANSLATE(B10084,""id"",""en"")"),"['Sinyal', 'stress', 'like', 'slow', 'really', 'please', 'repaired', 'signal', 'smooth', ""]")</f>
        <v>['Sinyal', 'stress', 'like', 'slow', 'really', 'please', 'repaired', 'signal', 'smooth', "]</v>
      </c>
      <c r="D10084" s="3">
        <v>1.0</v>
      </c>
    </row>
    <row r="10085" ht="15.75" customHeight="1">
      <c r="A10085" s="1">
        <v>10863.0</v>
      </c>
      <c r="B10085" s="3" t="s">
        <v>9628</v>
      </c>
      <c r="C10085" s="3" t="str">
        <f>IFERROR(__xludf.DUMMYFUNCTION("GOOGLETRANSLATE(B10085,""id"",""en"")"),"['strange', 'really', 'package', 'unlimited', 'dipake', 'quota', 'main', 'udh', 'abis',' then ',' udh ',' mode ',' plane ',' reset ',' tetep ',' dipake ',' quota ',' loss', 'really', 'big', 'quota', 'unlimited', 'TPI', 'gabisa', 'use' , 'Huft', '']")</f>
        <v>['strange', 'really', 'package', 'unlimited', 'dipake', 'quota', 'main', 'udh', 'abis',' then ',' udh ',' mode ',' plane ',' reset ',' tetep ',' dipake ',' quota ',' loss', 'really', 'big', 'quota', 'unlimited', 'TPI', 'gabisa', 'use' , 'Huft', '']</v>
      </c>
      <c r="D10085" s="3">
        <v>1.0</v>
      </c>
    </row>
    <row r="10086" ht="15.75" customHeight="1">
      <c r="A10086" s="1">
        <v>10864.0</v>
      </c>
      <c r="B10086" s="3" t="s">
        <v>9629</v>
      </c>
      <c r="C10086" s="3" t="str">
        <f>IFERROR(__xludf.DUMMYFUNCTION("GOOGLETRANSLATE(B10086,""id"",""en"")"),"['woiii', 'please', 'Telkomsel', 'signal', 'good', 'Hancurr', 'times', 'play', 'game', '']")</f>
        <v>['woiii', 'please', 'Telkomsel', 'signal', 'good', 'Hancurr', 'times', 'play', 'game', '']</v>
      </c>
      <c r="D10086" s="3">
        <v>1.0</v>
      </c>
    </row>
    <row r="10087" ht="15.75" customHeight="1">
      <c r="A10087" s="1">
        <v>10865.0</v>
      </c>
      <c r="B10087" s="3" t="s">
        <v>9630</v>
      </c>
      <c r="C10087" s="3" t="str">
        <f>IFERROR(__xludf.DUMMYFUNCTION("GOOGLETRANSLATE(B10087,""id"",""en"")"),"['signal', 'ilang', 'mulu', 'gini', 'loss', '']")</f>
        <v>['signal', 'ilang', 'mulu', 'gini', 'loss', '']</v>
      </c>
      <c r="D10087" s="3">
        <v>1.0</v>
      </c>
    </row>
    <row r="10088" ht="15.75" customHeight="1">
      <c r="A10088" s="1">
        <v>10866.0</v>
      </c>
      <c r="B10088" s="3" t="s">
        <v>9631</v>
      </c>
      <c r="C10088" s="3" t="str">
        <f>IFERROR(__xludf.DUMMYFUNCTION("GOOGLETRANSLATE(B10088,""id"",""en"")"),"['charging', 'payment', 'quota', 'package', 'emergency', 'entered', 'payment', 'considered', 'paying', 'package', 'poor', 'Telkomsel']")</f>
        <v>['charging', 'payment', 'quota', 'package', 'emergency', 'entered', 'payment', 'considered', 'paying', 'package', 'poor', 'Telkomsel']</v>
      </c>
      <c r="D10088" s="3">
        <v>1.0</v>
      </c>
    </row>
    <row r="10089" ht="15.75" customHeight="1">
      <c r="A10089" s="1">
        <v>10867.0</v>
      </c>
      <c r="B10089" s="3" t="s">
        <v>9632</v>
      </c>
      <c r="C10089" s="3" t="str">
        <f>IFERROR(__xludf.DUMMYFUNCTION("GOOGLETRANSLATE(B10089,""id"",""en"")"),"['Maintain', 'Jngan', 'expensive', 'signal', 'Benerin', 'rain', 'business', 'signal', 'good', 'jngan', 'slow']")</f>
        <v>['Maintain', 'Jngan', 'expensive', 'signal', 'Benerin', 'rain', 'business', 'signal', 'good', 'jngan', 'slow']</v>
      </c>
      <c r="D10089" s="3">
        <v>5.0</v>
      </c>
    </row>
    <row r="10090" ht="15.75" customHeight="1">
      <c r="A10090" s="1">
        <v>10868.0</v>
      </c>
      <c r="B10090" s="3" t="s">
        <v>9633</v>
      </c>
      <c r="C10090" s="3" t="str">
        <f>IFERROR(__xludf.DUMMYFUNCTION("GOOGLETRANSLATE(B10090,""id"",""en"")"),"['Kasi', 'star', 'Karna', 'network', 'internet', 'area', 'ugly', 'open', 'application', 'Facebook', 'error']")</f>
        <v>['Kasi', 'star', 'Karna', 'network', 'internet', 'area', 'ugly', 'open', 'application', 'Facebook', 'error']</v>
      </c>
      <c r="D10090" s="3">
        <v>5.0</v>
      </c>
    </row>
    <row r="10091" ht="15.75" customHeight="1">
      <c r="A10091" s="1">
        <v>10869.0</v>
      </c>
      <c r="B10091" s="3" t="s">
        <v>9634</v>
      </c>
      <c r="C10091" s="3" t="str">
        <f>IFERROR(__xludf.DUMMYFUNCTION("GOOGLETRANSLATE(B10091,""id"",""en"")"),"['Adin', 'Package', 'Unlimited', 'Murce']")</f>
        <v>['Adin', 'Package', 'Unlimited', 'Murce']</v>
      </c>
      <c r="D10091" s="3">
        <v>5.0</v>
      </c>
    </row>
    <row r="10092" ht="15.75" customHeight="1">
      <c r="A10092" s="1">
        <v>10870.0</v>
      </c>
      <c r="B10092" s="3" t="s">
        <v>9635</v>
      </c>
      <c r="C10092" s="3" t="str">
        <f>IFERROR(__xludf.DUMMYFUNCTION("GOOGLETRANSLATE(B10092,""id"",""en"")"),"['ugly', 'network', 'fast', 'dead']")</f>
        <v>['ugly', 'network', 'fast', 'dead']</v>
      </c>
      <c r="D10092" s="3">
        <v>1.0</v>
      </c>
    </row>
    <row r="10093" ht="15.75" customHeight="1">
      <c r="A10093" s="1">
        <v>10871.0</v>
      </c>
      <c r="B10093" s="3" t="s">
        <v>9636</v>
      </c>
      <c r="C10093" s="3" t="str">
        <f>IFERROR(__xludf.DUMMYFUNCTION("GOOGLETRANSLATE(B10093,""id"",""en"")"),"['baby', 'cakep']")</f>
        <v>['baby', 'cakep']</v>
      </c>
      <c r="D10093" s="3">
        <v>5.0</v>
      </c>
    </row>
    <row r="10094" ht="15.75" customHeight="1">
      <c r="A10094" s="1">
        <v>10872.0</v>
      </c>
      <c r="B10094" s="3" t="s">
        <v>9637</v>
      </c>
      <c r="C10094" s="3" t="str">
        <f>IFERROR(__xludf.DUMMYFUNCTION("GOOGLETRANSLATE(B10094,""id"",""en"")"),"['Telkomsel', 'Severe', 'really', 'network', 'district', 'Bangka', 'TPI', 'ping it', 'Gede', 'really', 'lag', 'forgiveness',' Telkomsel ',' Support ',' Main ',' Game ',' ']")</f>
        <v>['Telkomsel', 'Severe', 'really', 'network', 'district', 'Bangka', 'TPI', 'ping it', 'Gede', 'really', 'lag', 'forgiveness',' Telkomsel ',' Support ',' Main ',' Game ',' ']</v>
      </c>
      <c r="D10094" s="3">
        <v>1.0</v>
      </c>
    </row>
    <row r="10095" ht="15.75" customHeight="1">
      <c r="A10095" s="1">
        <v>10873.0</v>
      </c>
      <c r="B10095" s="3" t="s">
        <v>9638</v>
      </c>
      <c r="C10095" s="3" t="str">
        <f>IFERROR(__xludf.DUMMYFUNCTION("GOOGLETRANSLATE(B10095,""id"",""en"")"),"['Telekomsel', 'ber', 'check', 'data', 'like', '']")</f>
        <v>['Telekomsel', 'ber', 'check', 'data', 'like', '']</v>
      </c>
      <c r="D10095" s="3">
        <v>5.0</v>
      </c>
    </row>
    <row r="10096" ht="15.75" customHeight="1">
      <c r="A10096" s="1">
        <v>10874.0</v>
      </c>
      <c r="B10096" s="3" t="s">
        <v>9639</v>
      </c>
      <c r="C10096" s="3" t="str">
        <f>IFERROR(__xludf.DUMMYFUNCTION("GOOGLETRANSLATE(B10096,""id"",""en"")"),"['The application', 'easy', 'contents', 'quota', 'internet', 'Thanks', '']")</f>
        <v>['The application', 'easy', 'contents', 'quota', 'internet', 'Thanks', '']</v>
      </c>
      <c r="D10096" s="3">
        <v>5.0</v>
      </c>
    </row>
    <row r="10097" ht="15.75" customHeight="1">
      <c r="A10097" s="1">
        <v>10875.0</v>
      </c>
      <c r="B10097" s="3" t="s">
        <v>9640</v>
      </c>
      <c r="C10097" s="3" t="str">
        <f>IFERROR(__xludf.DUMMYFUNCTION("GOOGLETRANSLATE(B10097,""id"",""en"")"),"['Please', 'network', 'fix', 'change', 'package', 'bare', 'banned', 'please', 'network', 'stabilized', ""]")</f>
        <v>['Please', 'network', 'fix', 'change', 'package', 'bare', 'banned', 'please', 'network', 'stabilized', "]</v>
      </c>
      <c r="D10097" s="3">
        <v>1.0</v>
      </c>
    </row>
    <row r="10098" ht="15.75" customHeight="1">
      <c r="A10098" s="1">
        <v>10876.0</v>
      </c>
      <c r="B10098" s="3" t="s">
        <v>9641</v>
      </c>
      <c r="C10098" s="3" t="str">
        <f>IFERROR(__xludf.DUMMYFUNCTION("GOOGLETRANSLATE(B10098,""id"",""en"")"),"['Please', 'Reduce', 'Take', 'Pulses',' Open ',' Application ',' Telkomsel ',' Manchester ',' MB ',' UDH ',' Take ',' Credit ',' ']")</f>
        <v>['Please', 'Reduce', 'Take', 'Pulses',' Open ',' Application ',' Telkomsel ',' Manchester ',' MB ',' UDH ',' Take ',' Credit ',' ']</v>
      </c>
      <c r="D10098" s="3">
        <v>1.0</v>
      </c>
    </row>
    <row r="10099" ht="15.75" customHeight="1">
      <c r="A10099" s="1">
        <v>10877.0</v>
      </c>
      <c r="B10099" s="3" t="s">
        <v>9642</v>
      </c>
      <c r="C10099" s="3" t="str">
        <f>IFERROR(__xludf.DUMMYFUNCTION("GOOGLETRANSLATE(B10099,""id"",""en"")"),"['', 'open', 'already', 'update', 'application', '']")</f>
        <v>['', 'open', 'already', 'update', 'application', '']</v>
      </c>
      <c r="D10099" s="3">
        <v>1.0</v>
      </c>
    </row>
    <row r="10100" ht="15.75" customHeight="1">
      <c r="A10100" s="1">
        <v>10878.0</v>
      </c>
      <c r="B10100" s="3" t="s">
        <v>9643</v>
      </c>
      <c r="C10100" s="3" t="str">
        <f>IFERROR(__xludf.DUMMYFUNCTION("GOOGLETRANSLATE(B10100,""id"",""en"")"),"['', 'Not bad', 'help']")</f>
        <v>['', 'Not bad', 'help']</v>
      </c>
      <c r="D10100" s="3">
        <v>4.0</v>
      </c>
    </row>
    <row r="10101" ht="15.75" customHeight="1">
      <c r="A10101" s="1">
        <v>10879.0</v>
      </c>
      <c r="B10101" s="3" t="s">
        <v>9644</v>
      </c>
      <c r="C10101" s="3" t="str">
        <f>IFERROR(__xludf.DUMMYFUNCTION("GOOGLETRANSLATE(B10101,""id"",""en"")"),"['The network', 'Good', 'Region']")</f>
        <v>['The network', 'Good', 'Region']</v>
      </c>
      <c r="D10101" s="3">
        <v>5.0</v>
      </c>
    </row>
    <row r="10102" ht="15.75" customHeight="1">
      <c r="A10102" s="1">
        <v>10880.0</v>
      </c>
      <c r="B10102" s="3" t="s">
        <v>9645</v>
      </c>
      <c r="C10102" s="3" t="str">
        <f>IFERROR(__xludf.DUMMYFUNCTION("GOOGLETRANSLATE(B10102,""id"",""en"")"),"['The application', 'easy', 'makes it easier', 'check', 'condition', 'pulse', 'quota']")</f>
        <v>['The application', 'easy', 'makes it easier', 'check', 'condition', 'pulse', 'quota']</v>
      </c>
      <c r="D10102" s="3">
        <v>5.0</v>
      </c>
    </row>
    <row r="10103" ht="15.75" customHeight="1">
      <c r="A10103" s="1">
        <v>10882.0</v>
      </c>
      <c r="B10103" s="3" t="s">
        <v>9646</v>
      </c>
      <c r="C10103" s="3" t="str">
        <f>IFERROR(__xludf.DUMMYFUNCTION("GOOGLETRANSLATE(B10103,""id"",""en"")"),"['Tower', 'delicious', 'delicious']")</f>
        <v>['Tower', 'delicious', 'delicious']</v>
      </c>
      <c r="D10103" s="3">
        <v>5.0</v>
      </c>
    </row>
    <row r="10104" ht="15.75" customHeight="1">
      <c r="A10104" s="1">
        <v>10883.0</v>
      </c>
      <c r="B10104" s="3" t="s">
        <v>9647</v>
      </c>
      <c r="C10104" s="3" t="str">
        <f>IFERROR(__xludf.DUMMYFUNCTION("GOOGLETRANSLATE(B10104,""id"",""en"")"),"['Thank you', 'help', 'contents', 'reset', 'purchase', 'pulse']")</f>
        <v>['Thank you', 'help', 'contents', 'reset', 'purchase', 'pulse']</v>
      </c>
      <c r="D10104" s="3">
        <v>5.0</v>
      </c>
    </row>
    <row r="10105" ht="15.75" customHeight="1">
      <c r="A10105" s="1">
        <v>10884.0</v>
      </c>
      <c r="B10105" s="3" t="s">
        <v>9648</v>
      </c>
      <c r="C10105" s="3" t="str">
        <f>IFERROR(__xludf.DUMMYFUNCTION("GOOGLETRANSLATE(B10105,""id"",""en"")"),"['signal', 'please', 'Dibagusi', 'company', 'quality']")</f>
        <v>['signal', 'please', 'Dibagusi', 'company', 'quality']</v>
      </c>
      <c r="D10105" s="3">
        <v>1.0</v>
      </c>
    </row>
    <row r="10106" ht="15.75" customHeight="1">
      <c r="A10106" s="1">
        <v>10885.0</v>
      </c>
      <c r="B10106" s="3" t="s">
        <v>9649</v>
      </c>
      <c r="C10106" s="3" t="str">
        <f>IFERROR(__xludf.DUMMYFUNCTION("GOOGLETRANSLATE(B10106,""id"",""en"")"),"['best', 'help']")</f>
        <v>['best', 'help']</v>
      </c>
      <c r="D10106" s="3">
        <v>5.0</v>
      </c>
    </row>
    <row r="10107" ht="15.75" customHeight="1">
      <c r="A10107" s="1">
        <v>10886.0</v>
      </c>
      <c r="B10107" s="3" t="s">
        <v>9650</v>
      </c>
      <c r="C10107" s="3" t="str">
        <f>IFERROR(__xludf.DUMMYFUNCTION("GOOGLETRANSLATE(B10107,""id"",""en"")"),"['Network', 'rotten', '']")</f>
        <v>['Network', 'rotten', '']</v>
      </c>
      <c r="D10107" s="3">
        <v>1.0</v>
      </c>
    </row>
    <row r="10108" ht="15.75" customHeight="1">
      <c r="A10108" s="1">
        <v>10887.0</v>
      </c>
      <c r="B10108" s="3" t="s">
        <v>9651</v>
      </c>
      <c r="C10108" s="3" t="str">
        <f>IFERROR(__xludf.DUMMYFUNCTION("GOOGLETRANSLATE(B10108,""id"",""en"")"),"['Maytekomsel', 'Pingin', 'Paketan', 'Cheap', '']")</f>
        <v>['Maytekomsel', 'Pingin', 'Paketan', 'Cheap', '']</v>
      </c>
      <c r="D10108" s="3">
        <v>3.0</v>
      </c>
    </row>
    <row r="10109" ht="15.75" customHeight="1">
      <c r="A10109" s="1">
        <v>10889.0</v>
      </c>
      <c r="B10109" s="3" t="s">
        <v>9652</v>
      </c>
      <c r="C10109" s="3" t="str">
        <f>IFERROR(__xludf.DUMMYFUNCTION("GOOGLETRANSLATE(B10109,""id"",""en"")"),"['Telkomsel', 'disappointing', 'really', 'nomer', 'already', 'number', 'already', 'scorched', 'card', 'ilang', 'line', 'active', ' The number ',' recycled ',' reset ',' card ',' prime ',' sell ',' morning ',' account ',' ilang ',' check ',' already ',' pe"&amp;"rson ',' number ' , 'list', 'account', 'confirm', 'Telkomsel', 'tell', 'confirm', 'line', 'number', 'already', 'scorched', 'recycle', 'reset']")</f>
        <v>['Telkomsel', 'disappointing', 'really', 'nomer', 'already', 'number', 'already', 'scorched', 'card', 'ilang', 'line', 'active', ' The number ',' recycled ',' reset ',' card ',' prime ',' sell ',' morning ',' account ',' ilang ',' check ',' already ',' person ',' number ' , 'list', 'account', 'confirm', 'Telkomsel', 'tell', 'confirm', 'line', 'number', 'already', 'scorched', 'recycle', 'reset']</v>
      </c>
      <c r="D10109" s="3">
        <v>1.0</v>
      </c>
    </row>
    <row r="10110" ht="15.75" customHeight="1">
      <c r="A10110" s="1">
        <v>10890.0</v>
      </c>
      <c r="B10110" s="3" t="s">
        <v>9653</v>
      </c>
      <c r="C10110" s="3" t="str">
        <f>IFERROR(__xludf.DUMMYFUNCTION("GOOGLETRANSLATE(B10110,""id"",""en"")"),"['application', 'garbage', 'pulse', 'cut', 'package', 'data']")</f>
        <v>['application', 'garbage', 'pulse', 'cut', 'package', 'data']</v>
      </c>
      <c r="D10110" s="3">
        <v>1.0</v>
      </c>
    </row>
    <row r="10111" ht="15.75" customHeight="1">
      <c r="A10111" s="1">
        <v>10891.0</v>
      </c>
      <c r="B10111" s="3" t="s">
        <v>9654</v>
      </c>
      <c r="C10111" s="3" t="str">
        <f>IFERROR(__xludf.DUMMYFUNCTION("GOOGLETRANSLATE(B10111,""id"",""en"")"),"['min', 'try', 'network', 'Telkomsel', 'slow', '']")</f>
        <v>['min', 'try', 'network', 'Telkomsel', 'slow', '']</v>
      </c>
      <c r="D10111" s="3">
        <v>1.0</v>
      </c>
    </row>
    <row r="10112" ht="15.75" customHeight="1">
      <c r="A10112" s="1">
        <v>10892.0</v>
      </c>
      <c r="B10112" s="3" t="s">
        <v>9655</v>
      </c>
      <c r="C10112" s="3" t="str">
        <f>IFERROR(__xludf.DUMMYFUNCTION("GOOGLETRANSLATE(B10112,""id"",""en"")"),"['Help', 'Deng', 'Wear', 'Application', '']")</f>
        <v>['Help', 'Deng', 'Wear', 'Application', '']</v>
      </c>
      <c r="D10112" s="3">
        <v>3.0</v>
      </c>
    </row>
    <row r="10113" ht="15.75" customHeight="1">
      <c r="A10113" s="1">
        <v>10893.0</v>
      </c>
      <c r="B10113" s="3" t="s">
        <v>9656</v>
      </c>
      <c r="C10113" s="3" t="str">
        <f>IFERROR(__xludf.DUMMYFUNCTION("GOOGLETRANSLATE(B10113,""id"",""en"")"),"['Need', 'Help', 'Enter', 'Please', 'Help', 'Master']")</f>
        <v>['Need', 'Help', 'Enter', 'Please', 'Help', 'Master']</v>
      </c>
      <c r="D10113" s="3">
        <v>1.0</v>
      </c>
    </row>
    <row r="10114" ht="15.75" customHeight="1">
      <c r="A10114" s="1">
        <v>10895.0</v>
      </c>
      <c r="B10114" s="3" t="s">
        <v>9657</v>
      </c>
      <c r="C10114" s="3" t="str">
        <f>IFERROR(__xludf.DUMMYFUNCTION("GOOGLETRANSLATE(B10114,""id"",""en"")"),"['difficult', 'open', 'application']")</f>
        <v>['difficult', 'open', 'application']</v>
      </c>
      <c r="D10114" s="3">
        <v>1.0</v>
      </c>
    </row>
    <row r="10115" ht="15.75" customHeight="1">
      <c r="A10115" s="1">
        <v>10896.0</v>
      </c>
      <c r="B10115" s="3" t="s">
        <v>9658</v>
      </c>
      <c r="C10115" s="3" t="str">
        <f>IFERROR(__xludf.DUMMYFUNCTION("GOOGLETRANSLATE(B10115,""id"",""en"")"),"['package', 'expensive', 'network', 'rich', 'defecate']")</f>
        <v>['package', 'expensive', 'network', 'rich', 'defecate']</v>
      </c>
      <c r="D10115" s="3">
        <v>1.0</v>
      </c>
    </row>
    <row r="10116" ht="15.75" customHeight="1">
      <c r="A10116" s="1">
        <v>10897.0</v>
      </c>
      <c r="B10116" s="3" t="s">
        <v>9659</v>
      </c>
      <c r="C10116" s="3" t="str">
        <f>IFERROR(__xludf.DUMMYFUNCTION("GOOGLETRANSLATE(B10116,""id"",""en"")"),"['Price', 'package', 'expensive', '']")</f>
        <v>['Price', 'package', 'expensive', '']</v>
      </c>
      <c r="D10116" s="3">
        <v>1.0</v>
      </c>
    </row>
    <row r="10117" ht="15.75" customHeight="1">
      <c r="A10117" s="1">
        <v>10898.0</v>
      </c>
      <c r="B10117" s="3" t="s">
        <v>9660</v>
      </c>
      <c r="C10117" s="3" t="str">
        <f>IFERROR(__xludf.DUMMYFUNCTION("GOOGLETRANSLATE(B10117,""id"",""en"")"),"['Telkomsel', 'Disabled', 'The network', 'Severe', 'Mulu', 'lag', 'Severe', ""]")</f>
        <v>['Telkomsel', 'Disabled', 'The network', 'Severe', 'Mulu', 'lag', 'Severe', "]</v>
      </c>
      <c r="D10117" s="3">
        <v>1.0</v>
      </c>
    </row>
    <row r="10118" ht="15.75" customHeight="1">
      <c r="A10118" s="1">
        <v>10899.0</v>
      </c>
      <c r="B10118" s="3" t="s">
        <v>9661</v>
      </c>
      <c r="C10118" s="3" t="str">
        <f>IFERROR(__xludf.DUMMYFUNCTION("GOOGLETRANSLATE(B10118,""id"",""en"")"),"['signal', 'bad', 'price', 'Telkomsel', 'capital', 'broad', 'network', 'quality', 'lose', 'cheap']")</f>
        <v>['signal', 'bad', 'price', 'Telkomsel', 'capital', 'broad', 'network', 'quality', 'lose', 'cheap']</v>
      </c>
      <c r="D10118" s="3">
        <v>1.0</v>
      </c>
    </row>
    <row r="10119" ht="15.75" customHeight="1">
      <c r="A10119" s="1">
        <v>10900.0</v>
      </c>
      <c r="B10119" s="3" t="s">
        <v>9662</v>
      </c>
      <c r="C10119" s="3" t="str">
        <f>IFERROR(__xludf.DUMMYFUNCTION("GOOGLETRANSLATE(B10119,""id"",""en"")"),"['Please', 'aspect', 'signal', 'is repagable']")</f>
        <v>['Please', 'aspect', 'signal', 'is repagable']</v>
      </c>
      <c r="D10119" s="3">
        <v>5.0</v>
      </c>
    </row>
    <row r="10120" ht="15.75" customHeight="1">
      <c r="A10120" s="1">
        <v>10901.0</v>
      </c>
      <c r="B10120" s="3" t="s">
        <v>9663</v>
      </c>
      <c r="C10120" s="3" t="str">
        <f>IFERROR(__xludf.DUMMYFUNCTION("GOOGLETRANSLATE(B10120,""id"",""en"")"),"['GMna', 'App', ""]")</f>
        <v>['GMna', 'App', "]</v>
      </c>
      <c r="D10120" s="3">
        <v>2.0</v>
      </c>
    </row>
    <row r="10121" ht="15.75" customHeight="1">
      <c r="A10121" s="1">
        <v>10902.0</v>
      </c>
      <c r="B10121" s="3" t="s">
        <v>9664</v>
      </c>
      <c r="C10121" s="3" t="str">
        <f>IFERROR(__xludf.DUMMYFUNCTION("GOOGLETRANSLATE(B10121,""id"",""en"")"),"['Please', 'fix', 'signal', 'Gara', 'Nge', 'lag', 'cave', 'lose', 'treak']")</f>
        <v>['Please', 'fix', 'signal', 'Gara', 'Nge', 'lag', 'cave', 'lose', 'treak']</v>
      </c>
      <c r="D10121" s="3">
        <v>1.0</v>
      </c>
    </row>
    <row r="10122" ht="15.75" customHeight="1">
      <c r="A10122" s="1">
        <v>10904.0</v>
      </c>
      <c r="B10122" s="3" t="s">
        <v>9665</v>
      </c>
      <c r="C10122" s="3" t="str">
        <f>IFERROR(__xludf.DUMMYFUNCTION("GOOGLETRANSLATE(B10122,""id"",""en"")"),"['', 'Telkomsel', 'great']")</f>
        <v>['', 'Telkomsel', 'great']</v>
      </c>
      <c r="D10122" s="3">
        <v>1.0</v>
      </c>
    </row>
    <row r="10123" ht="15.75" customHeight="1">
      <c r="A10123" s="1">
        <v>10905.0</v>
      </c>
      <c r="B10123" s="3" t="s">
        <v>9666</v>
      </c>
      <c r="C10123" s="3" t="str">
        <f>IFERROR(__xludf.DUMMYFUNCTION("GOOGLETRANSLATE(B10123,""id"",""en"")"),"['', 'Bintang', 'dlu']")</f>
        <v>['', 'Bintang', 'dlu']</v>
      </c>
      <c r="D10123" s="3">
        <v>3.0</v>
      </c>
    </row>
    <row r="10124" ht="15.75" customHeight="1">
      <c r="A10124" s="1">
        <v>10906.0</v>
      </c>
      <c r="B10124" s="3" t="s">
        <v>9667</v>
      </c>
      <c r="C10124" s="3" t="str">
        <f>IFERROR(__xludf.DUMMYFUNCTION("GOOGLETRANSLATE(B10124,""id"",""en"")"),"['Transaction', 'JDI', 'fast', 'PKE', 'Application', 'Telcomsel', 'Ribet', '']")</f>
        <v>['Transaction', 'JDI', 'fast', 'PKE', 'Application', 'Telcomsel', 'Ribet', '']</v>
      </c>
      <c r="D10124" s="3">
        <v>5.0</v>
      </c>
    </row>
    <row r="10125" ht="15.75" customHeight="1">
      <c r="A10125" s="1">
        <v>10907.0</v>
      </c>
      <c r="B10125" s="3" t="s">
        <v>9668</v>
      </c>
      <c r="C10125" s="3" t="str">
        <f>IFERROR(__xludf.DUMMYFUNCTION("GOOGLETRANSLATE(B10125,""id"",""en"")"),"['Telkomsel', 'cheats',' purchase ',' package ',' benefit ',' access', 'Disney', 'hotstar', 'write', 'emang', 'use', 'service', ' ugly ',' temple ',' listen ']")</f>
        <v>['Telkomsel', 'cheats',' purchase ',' package ',' benefit ',' access', 'Disney', 'hotstar', 'write', 'emang', 'use', 'service', ' ugly ',' temple ',' listen ']</v>
      </c>
      <c r="D10125" s="3">
        <v>1.0</v>
      </c>
    </row>
    <row r="10126" ht="15.75" customHeight="1">
      <c r="A10126" s="1">
        <v>10908.0</v>
      </c>
      <c r="B10126" s="3" t="s">
        <v>9669</v>
      </c>
      <c r="C10126" s="3" t="str">
        <f>IFERROR(__xludf.DUMMYFUNCTION("GOOGLETRANSLATE(B10126,""id"",""en"")"),"['Contents', 'pulse', 'already', 'directly', 'cut', 'data', 'pat', 'hand', 'festive', 'thief', ""]")</f>
        <v>['Contents', 'pulse', 'already', 'directly', 'cut', 'data', 'pat', 'hand', 'festive', 'thief', "]</v>
      </c>
      <c r="D10126" s="3">
        <v>1.0</v>
      </c>
    </row>
    <row r="10127" ht="15.75" customHeight="1">
      <c r="A10127" s="1">
        <v>10909.0</v>
      </c>
      <c r="B10127" s="3" t="s">
        <v>9670</v>
      </c>
      <c r="C10127" s="3" t="str">
        <f>IFERROR(__xludf.DUMMYFUNCTION("GOOGLETRANSLATE(B10127,""id"",""en"")"),"['Download', 'right', 'login', 'difficult', 'forgiveness',' until ',' all day ',' if ',' choice ',' gave ',' star ',' Separo ',' I ',' Kasih ',' half ']")</f>
        <v>['Download', 'right', 'login', 'difficult', 'forgiveness',' until ',' all day ',' if ',' choice ',' gave ',' star ',' Separo ',' I ',' Kasih ',' half ']</v>
      </c>
      <c r="D10127" s="3">
        <v>1.0</v>
      </c>
    </row>
    <row r="10128" ht="15.75" customHeight="1">
      <c r="A10128" s="1">
        <v>10910.0</v>
      </c>
      <c r="B10128" s="3" t="s">
        <v>9671</v>
      </c>
      <c r="C10128" s="3" t="str">
        <f>IFERROR(__xludf.DUMMYFUNCTION("GOOGLETRANSLATE(B10128,""id"",""en"")"),"['Terbimah', 'ksih', 'Telkomsel', 'application', 'bgus',' makes it easy ',' sya ',' buy ',' plsa ',' koata ',' etc. ',' patch ',' The price ',' Affordable ',' ']")</f>
        <v>['Terbimah', 'ksih', 'Telkomsel', 'application', 'bgus',' makes it easy ',' sya ',' buy ',' plsa ',' koata ',' etc. ',' patch ',' The price ',' Affordable ',' ']</v>
      </c>
      <c r="D10128" s="3">
        <v>5.0</v>
      </c>
    </row>
    <row r="10129" ht="15.75" customHeight="1">
      <c r="A10129" s="1">
        <v>10911.0</v>
      </c>
      <c r="B10129" s="3" t="s">
        <v>9650</v>
      </c>
      <c r="C10129" s="3" t="str">
        <f>IFERROR(__xludf.DUMMYFUNCTION("GOOGLETRANSLATE(B10129,""id"",""en"")"),"['Network', 'rotten', '']")</f>
        <v>['Network', 'rotten', '']</v>
      </c>
      <c r="D10129" s="3">
        <v>1.0</v>
      </c>
    </row>
    <row r="10130" ht="15.75" customHeight="1">
      <c r="A10130" s="1">
        <v>10912.0</v>
      </c>
      <c r="B10130" s="3" t="s">
        <v>9672</v>
      </c>
      <c r="C10130" s="3" t="str">
        <f>IFERROR(__xludf.DUMMYFUNCTION("GOOGLETRANSLATE(B10130,""id"",""en"")"),"['', 'Love', 'Lock', 'Lock', 'Credit', 'User', 'harmed']")</f>
        <v>['', 'Love', 'Lock', 'Lock', 'Credit', 'User', 'harmed']</v>
      </c>
      <c r="D10130" s="3">
        <v>1.0</v>
      </c>
    </row>
    <row r="10131" ht="15.75" customHeight="1">
      <c r="A10131" s="1">
        <v>10913.0</v>
      </c>
      <c r="B10131" s="3" t="s">
        <v>9673</v>
      </c>
      <c r="C10131" s="3" t="str">
        <f>IFERROR(__xludf.DUMMYFUNCTION("GOOGLETRANSLATE(B10131,""id"",""en"")"),"['Hello', 'friend', 'friend', 'make', 'apikasih', 'delete', 'ajadeh', 'card', 'replace', 'Telkomsel', 'fix', 'quality', ' network']")</f>
        <v>['Hello', 'friend', 'friend', 'make', 'apikasih', 'delete', 'ajadeh', 'card', 'replace', 'Telkomsel', 'fix', 'quality', ' network']</v>
      </c>
      <c r="D10131" s="3">
        <v>1.0</v>
      </c>
    </row>
    <row r="10132" ht="15.75" customHeight="1">
      <c r="A10132" s="1">
        <v>10914.0</v>
      </c>
      <c r="B10132" s="3" t="s">
        <v>9674</v>
      </c>
      <c r="C10132" s="3" t="str">
        <f>IFERROR(__xludf.DUMMYFUNCTION("GOOGLETRANSLATE(B10132,""id"",""en"")"),"['Service', 'Sanget']")</f>
        <v>['Service', 'Sanget']</v>
      </c>
      <c r="D10132" s="3">
        <v>5.0</v>
      </c>
    </row>
    <row r="10133" ht="15.75" customHeight="1">
      <c r="A10133" s="1">
        <v>10915.0</v>
      </c>
      <c r="B10133" s="3" t="s">
        <v>9675</v>
      </c>
      <c r="C10133" s="3" t="str">
        <f>IFERROR(__xludf.DUMMYFUNCTION("GOOGLETRANSLATE(B10133,""id"",""en"")"),"['Satisfied', 'Signal', 'Patent']")</f>
        <v>['Satisfied', 'Signal', 'Patent']</v>
      </c>
      <c r="D10133" s="3">
        <v>3.0</v>
      </c>
    </row>
    <row r="10134" ht="15.75" customHeight="1">
      <c r="A10134" s="1">
        <v>10916.0</v>
      </c>
      <c r="B10134" s="3" t="s">
        <v>9676</v>
      </c>
      <c r="C10134" s="3" t="str">
        <f>IFERROR(__xludf.DUMMYFUNCTION("GOOGLETRANSLATE(B10134,""id"",""en"")"),"['Provider', 'Ngakunya', 'Network', 'Stable', 'The widest', 'In fact', 'Most expensive', 'slow', 'play', 'play', 'Kubar', 'Tauk', ' network ',' Telkom ',' rich ',' disorder ',' network ',' a week ',' rare ',' damaged ',' solution ',' help ',' pay ',' expe"&amp;"nsive ',' feedback ' , 'zero', '']")</f>
        <v>['Provider', 'Ngakunya', 'Network', 'Stable', 'The widest', 'In fact', 'Most expensive', 'slow', 'play', 'play', 'Kubar', 'Tauk', ' network ',' Telkom ',' rich ',' disorder ',' network ',' a week ',' rare ',' damaged ',' solution ',' help ',' pay ',' expensive ',' feedback ' , 'zero', '']</v>
      </c>
      <c r="D10134" s="3">
        <v>1.0</v>
      </c>
    </row>
    <row r="10135" ht="15.75" customHeight="1">
      <c r="A10135" s="1">
        <v>10917.0</v>
      </c>
      <c r="B10135" s="3" t="s">
        <v>9677</v>
      </c>
      <c r="C10135" s="3" t="str">
        <f>IFERROR(__xludf.DUMMYFUNCTION("GOOGLETRANSLATE(B10135,""id"",""en"")"),"['Bigss', 'bangetttt', 'application', 'nyaaa']")</f>
        <v>['Bigss', 'bangetttt', 'application', 'nyaaa']</v>
      </c>
      <c r="D10135" s="3">
        <v>5.0</v>
      </c>
    </row>
    <row r="10136" ht="15.75" customHeight="1">
      <c r="A10136" s="1">
        <v>10918.0</v>
      </c>
      <c r="B10136" s="3" t="s">
        <v>1550</v>
      </c>
      <c r="C10136" s="3" t="str">
        <f>IFERROR(__xludf.DUMMYFUNCTION("GOOGLETRANSLATE(B10136,""id"",""en"")"),"['beneficial']")</f>
        <v>['beneficial']</v>
      </c>
      <c r="D10136" s="3">
        <v>5.0</v>
      </c>
    </row>
    <row r="10137" ht="15.75" customHeight="1">
      <c r="A10137" s="1">
        <v>10919.0</v>
      </c>
      <c r="B10137" s="3" t="s">
        <v>9678</v>
      </c>
      <c r="C10137" s="3" t="str">
        <f>IFERROR(__xludf.DUMMYFUNCTION("GOOGLETRANSLATE(B10137,""id"",""en"")"),"['Telkomsel', 'expensive', 'package', 'card', '']")</f>
        <v>['Telkomsel', 'expensive', 'package', 'card', '']</v>
      </c>
      <c r="D10137" s="3">
        <v>5.0</v>
      </c>
    </row>
    <row r="10138" ht="15.75" customHeight="1">
      <c r="A10138" s="1">
        <v>10920.0</v>
      </c>
      <c r="B10138" s="3" t="s">
        <v>9679</v>
      </c>
      <c r="C10138" s="3" t="str">
        <f>IFERROR(__xludf.DUMMYFUNCTION("GOOGLETRANSLATE(B10138,""id"",""en"")"),"['Cool', 'The application']")</f>
        <v>['Cool', 'The application']</v>
      </c>
      <c r="D10138" s="3">
        <v>5.0</v>
      </c>
    </row>
    <row r="10139" ht="15.75" customHeight="1">
      <c r="A10139" s="1">
        <v>10921.0</v>
      </c>
      <c r="B10139" s="3" t="s">
        <v>9680</v>
      </c>
      <c r="C10139" s="3" t="str">
        <f>IFERROR(__xludf.DUMMYFUNCTION("GOOGLETRANSLATE(B10139,""id"",""en"")"),"['Reach', 'Movers', '']")</f>
        <v>['Reach', 'Movers', '']</v>
      </c>
      <c r="D10139" s="3">
        <v>4.0</v>
      </c>
    </row>
    <row r="10140" ht="15.75" customHeight="1">
      <c r="A10140" s="1">
        <v>10922.0</v>
      </c>
      <c r="B10140" s="3" t="s">
        <v>9681</v>
      </c>
      <c r="C10140" s="3" t="str">
        <f>IFERROR(__xludf.DUMMYFUNCTION("GOOGLETRANSLATE(B10140,""id"",""en"")"),"['Koutaa', 'gamemax', 'ngekame', 'slow', 'really', 'regret', 'Telkomsel', '']")</f>
        <v>['Koutaa', 'gamemax', 'ngekame', 'slow', 'really', 'regret', 'Telkomsel', '']</v>
      </c>
      <c r="D10140" s="3">
        <v>1.0</v>
      </c>
    </row>
    <row r="10141" ht="15.75" customHeight="1">
      <c r="A10141" s="1">
        <v>10923.0</v>
      </c>
      <c r="B10141" s="3" t="s">
        <v>9682</v>
      </c>
      <c r="C10141" s="3" t="str">
        <f>IFERROR(__xludf.DUMMYFUNCTION("GOOGLETRANSLATE(B10141,""id"",""en"")"),"['Maen', 'Nge', 'lag', 'Mulu', 'I', 'Try', 'card', 'tri', 'stable', 'shy', 'in', 'I', ' Tri ',' cheap ',' stable ', ""]")</f>
        <v>['Maen', 'Nge', 'lag', 'Mulu', 'I', 'Try', 'card', 'tri', 'stable', 'shy', 'in', 'I', ' Tri ',' cheap ',' stable ', "]</v>
      </c>
      <c r="D10141" s="3">
        <v>1.0</v>
      </c>
    </row>
    <row r="10142" ht="15.75" customHeight="1">
      <c r="A10142" s="1">
        <v>10924.0</v>
      </c>
      <c r="B10142" s="3" t="s">
        <v>4390</v>
      </c>
      <c r="C10142" s="3" t="str">
        <f>IFERROR(__xludf.DUMMYFUNCTION("GOOGLETRANSLATE(B10142,""id"",""en"")"),"['Function']")</f>
        <v>['Function']</v>
      </c>
      <c r="D10142" s="3">
        <v>4.0</v>
      </c>
    </row>
    <row r="10143" ht="15.75" customHeight="1">
      <c r="A10143" s="1">
        <v>10925.0</v>
      </c>
      <c r="B10143" s="3" t="s">
        <v>9683</v>
      </c>
      <c r="C10143" s="3" t="str">
        <f>IFERROR(__xludf.DUMMYFUNCTION("GOOGLETRANSLATE(B10143,""id"",""en"")"),"['Good', 'hope', 'promo']")</f>
        <v>['Good', 'hope', 'promo']</v>
      </c>
      <c r="D10143" s="3">
        <v>5.0</v>
      </c>
    </row>
    <row r="10144" ht="15.75" customHeight="1">
      <c r="A10144" s="1">
        <v>10926.0</v>
      </c>
      <c r="B10144" s="3" t="s">
        <v>9684</v>
      </c>
      <c r="C10144" s="3" t="str">
        <f>IFERROR(__xludf.DUMMYFUNCTION("GOOGLETRANSLATE(B10144,""id"",""en"")"),"['want', 'get', 'pulse', 'price', 'thousand']")</f>
        <v>['want', 'get', 'pulse', 'price', 'thousand']</v>
      </c>
      <c r="D10144" s="3">
        <v>5.0</v>
      </c>
    </row>
    <row r="10145" ht="15.75" customHeight="1">
      <c r="A10145" s="1">
        <v>10928.0</v>
      </c>
      <c r="B10145" s="3" t="s">
        <v>9685</v>
      </c>
      <c r="C10145" s="3" t="str">
        <f>IFERROR(__xludf.DUMMYFUNCTION("GOOGLETRANSLATE(B10145,""id"",""en"")"),"['Glad', 'Unlimitied', 'Hopefully', 'Telkomsel', 'Lost', '']")</f>
        <v>['Glad', 'Unlimitied', 'Hopefully', 'Telkomsel', 'Lost', '']</v>
      </c>
      <c r="D10145" s="3">
        <v>5.0</v>
      </c>
    </row>
    <row r="10146" ht="15.75" customHeight="1">
      <c r="A10146" s="1">
        <v>10929.0</v>
      </c>
      <c r="B10146" s="3" t="s">
        <v>9686</v>
      </c>
      <c r="C10146" s="3" t="str">
        <f>IFERROR(__xludf.DUMMYFUNCTION("GOOGLETRANSLATE(B10146,""id"",""en"")"),"['level', '']")</f>
        <v>['level', '']</v>
      </c>
      <c r="D10146" s="3">
        <v>5.0</v>
      </c>
    </row>
    <row r="10147" ht="15.75" customHeight="1">
      <c r="A10147" s="1">
        <v>10930.0</v>
      </c>
      <c r="B10147" s="3" t="s">
        <v>9687</v>
      </c>
      <c r="C10147" s="3" t="str">
        <f>IFERROR(__xludf.DUMMYFUNCTION("GOOGLETRANSLATE(B10147,""id"",""en"")"),"['Basic', 'network', 'ugly', 'fixed', 'price', '']")</f>
        <v>['Basic', 'network', 'ugly', 'fixed', 'price', '']</v>
      </c>
      <c r="D10147" s="3">
        <v>1.0</v>
      </c>
    </row>
    <row r="10148" ht="15.75" customHeight="1">
      <c r="A10148" s="1">
        <v>10931.0</v>
      </c>
      <c r="B10148" s="3" t="s">
        <v>9688</v>
      </c>
      <c r="C10148" s="3" t="str">
        <f>IFERROR(__xludf.DUMMYFUNCTION("GOOGLETRANSLATE(B10148,""id"",""en"")"),"['Network', 'kayak', 'garbage', 'here', 'good', 'destroyed', 'network', 'broken', 'then', 'trash']")</f>
        <v>['Network', 'kayak', 'garbage', 'here', 'good', 'destroyed', 'network', 'broken', 'then', 'trash']</v>
      </c>
      <c r="D10148" s="3">
        <v>1.0</v>
      </c>
    </row>
    <row r="10149" ht="15.75" customHeight="1">
      <c r="A10149" s="1">
        <v>10932.0</v>
      </c>
      <c r="B10149" s="3" t="s">
        <v>9689</v>
      </c>
      <c r="C10149" s="3" t="str">
        <f>IFERROR(__xludf.DUMMYFUNCTION("GOOGLETRANSLATE(B10149,""id"",""en"")"),"['Telkomsel', 'pig', 'network', 'good', 'eat', 'profit', 'bnyk', 'data', 'customers', 'Telkomsel', 'star']")</f>
        <v>['Telkomsel', 'pig', 'network', 'good', 'eat', 'profit', 'bnyk', 'data', 'customers', 'Telkomsel', 'star']</v>
      </c>
      <c r="D10149" s="3">
        <v>1.0</v>
      </c>
    </row>
    <row r="10150" ht="15.75" customHeight="1">
      <c r="A10150" s="1">
        <v>10933.0</v>
      </c>
      <c r="B10150" s="3" t="s">
        <v>9690</v>
      </c>
      <c r="C10150" s="3" t="str">
        <f>IFERROR(__xludf.DUMMYFUNCTION("GOOGLETRANSLATE(B10150,""id"",""en"")"),"['expensive', 'times', 'quota', 'kek', 'yesterday', 'GB', 'week', 'already', 'subscription', 'love', 'expensive', ""]")</f>
        <v>['expensive', 'times', 'quota', 'kek', 'yesterday', 'GB', 'week', 'already', 'subscription', 'love', 'expensive', "]</v>
      </c>
      <c r="D10150" s="3">
        <v>1.0</v>
      </c>
    </row>
    <row r="10151" ht="15.75" customHeight="1">
      <c r="A10151" s="1">
        <v>10934.0</v>
      </c>
      <c r="B10151" s="3" t="s">
        <v>271</v>
      </c>
      <c r="C10151" s="3" t="str">
        <f>IFERROR(__xludf.DUMMYFUNCTION("GOOGLETRANSLATE(B10151,""id"",""en"")"),"['It's easier for']")</f>
        <v>['It's easier for']</v>
      </c>
      <c r="D10151" s="3">
        <v>5.0</v>
      </c>
    </row>
    <row r="10152" ht="15.75" customHeight="1">
      <c r="A10152" s="1">
        <v>10936.0</v>
      </c>
      <c r="B10152" s="3" t="s">
        <v>9691</v>
      </c>
      <c r="C10152" s="3" t="str">
        <f>IFERROR(__xludf.DUMMYFUNCTION("GOOGLETRANSLATE(B10152,""id"",""en"")"),"['Paketan', 'expensive', 'Network', 'invite', 'Gelud', ""]")</f>
        <v>['Paketan', 'expensive', 'Network', 'invite', 'Gelud', "]</v>
      </c>
      <c r="D10152" s="3">
        <v>2.0</v>
      </c>
    </row>
    <row r="10153" ht="15.75" customHeight="1">
      <c r="A10153" s="1">
        <v>10937.0</v>
      </c>
      <c r="B10153" s="3" t="s">
        <v>9692</v>
      </c>
      <c r="C10153" s="3" t="str">
        <f>IFERROR(__xludf.DUMMYFUNCTION("GOOGLETRANSLATE(B10153,""id"",""en"")"),"['steady', 'wear', 'APK', 'usage', 'obstacle', 'pketan', 'cheap', 'price', 'tks']")</f>
        <v>['steady', 'wear', 'APK', 'usage', 'obstacle', 'pketan', 'cheap', 'price', 'tks']</v>
      </c>
      <c r="D10153" s="3">
        <v>5.0</v>
      </c>
    </row>
    <row r="10154" ht="15.75" customHeight="1">
      <c r="A10154" s="1">
        <v>10938.0</v>
      </c>
      <c r="B10154" s="3" t="s">
        <v>9693</v>
      </c>
      <c r="C10154" s="3" t="str">
        <f>IFERROR(__xludf.DUMMYFUNCTION("GOOGLETRANSLATE(B10154,""id"",""en"")"),"['', 'Telkomsel']")</f>
        <v>['', 'Telkomsel']</v>
      </c>
      <c r="D10154" s="3">
        <v>5.0</v>
      </c>
    </row>
    <row r="10155" ht="15.75" customHeight="1">
      <c r="A10155" s="1">
        <v>10939.0</v>
      </c>
      <c r="B10155" s="3" t="s">
        <v>9694</v>
      </c>
      <c r="C10155" s="3" t="str">
        <f>IFERROR(__xludf.DUMMYFUNCTION("GOOGLETRANSLATE(B10155,""id"",""en"")"),"['lbih', 'cheap', '']")</f>
        <v>['lbih', 'cheap', '']</v>
      </c>
      <c r="D10155" s="3">
        <v>3.0</v>
      </c>
    </row>
    <row r="10156" ht="15.75" customHeight="1">
      <c r="A10156" s="1">
        <v>10940.0</v>
      </c>
      <c r="B10156" s="3" t="s">
        <v>9695</v>
      </c>
      <c r="C10156" s="3" t="str">
        <f>IFERROR(__xludf.DUMMYFUNCTION("GOOGLETRANSLATE(B10156,""id"",""en"")"),"['Tolon', 'Add', 'Quality', 'Internet', 'Telkomsel', 'Free', 'Dlm', 'Use', 'Please', 'Sorry', 'Looks',' Not bad ',' weak ',' network ']")</f>
        <v>['Tolon', 'Add', 'Quality', 'Internet', 'Telkomsel', 'Free', 'Dlm', 'Use', 'Please', 'Sorry', 'Looks',' Not bad ',' weak ',' network ']</v>
      </c>
      <c r="D10156" s="3">
        <v>5.0</v>
      </c>
    </row>
    <row r="10157" ht="15.75" customHeight="1">
      <c r="A10157" s="1">
        <v>10941.0</v>
      </c>
      <c r="B10157" s="3" t="s">
        <v>9696</v>
      </c>
      <c r="C10157" s="3" t="str">
        <f>IFERROR(__xludf.DUMMYFUNCTION("GOOGLETRANSLATE(B10157,""id"",""en"")"),"['kagak', 'Telkomsel', 'UDH', 'package', 'data', 'UDH', 'Package', 'a week', 'right', 'nyakii', 'data', 'pulses',' Cut ',' rb ']")</f>
        <v>['kagak', 'Telkomsel', 'UDH', 'package', 'data', 'UDH', 'Package', 'a week', 'right', 'nyakii', 'data', 'pulses',' Cut ',' rb ']</v>
      </c>
      <c r="D10157" s="3">
        <v>1.0</v>
      </c>
    </row>
    <row r="10158" ht="15.75" customHeight="1">
      <c r="A10158" s="1">
        <v>10942.0</v>
      </c>
      <c r="B10158" s="3" t="s">
        <v>9697</v>
      </c>
      <c r="C10158" s="3" t="str">
        <f>IFERROR(__xludf.DUMMYFUNCTION("GOOGLETRANSLATE(B10158,""id"",""en"")"),"['Suck', 'pulse']")</f>
        <v>['Suck', 'pulse']</v>
      </c>
      <c r="D10158" s="3">
        <v>1.0</v>
      </c>
    </row>
    <row r="10159" ht="15.75" customHeight="1">
      <c r="A10159" s="1">
        <v>10944.0</v>
      </c>
      <c r="B10159" s="3" t="s">
        <v>4057</v>
      </c>
      <c r="C10159" s="3" t="str">
        <f>IFERROR(__xludf.DUMMYFUNCTION("GOOGLETRANSLATE(B10159,""id"",""en"")"),"['The application', 'steady']")</f>
        <v>['The application', 'steady']</v>
      </c>
      <c r="D10159" s="3">
        <v>5.0</v>
      </c>
    </row>
    <row r="10160" ht="15.75" customHeight="1">
      <c r="A10160" s="1">
        <v>10945.0</v>
      </c>
      <c r="B10160" s="3" t="s">
        <v>9698</v>
      </c>
      <c r="C10160" s="3" t="str">
        <f>IFERROR(__xludf.DUMMYFUNCTION("GOOGLETRANSLATE(B10160,""id"",""en"")"),"['Fix', 'network', 'Telkomsel', 'already', 'expensive', 'slow', 'mass',' lose ',' network ',' smartfren ',' package ',' internet ',' Cheap ',' huhuhu ',' telephone ',' goblog ']")</f>
        <v>['Fix', 'network', 'Telkomsel', 'already', 'expensive', 'slow', 'mass',' lose ',' network ',' smartfren ',' package ',' internet ',' Cheap ',' huhuhu ',' telephone ',' goblog ']</v>
      </c>
      <c r="D10160" s="3">
        <v>1.0</v>
      </c>
    </row>
    <row r="10161" ht="15.75" customHeight="1">
      <c r="A10161" s="1">
        <v>10946.0</v>
      </c>
      <c r="B10161" s="3" t="s">
        <v>9699</v>
      </c>
      <c r="C10161" s="3" t="str">
        <f>IFERROR(__xludf.DUMMYFUNCTION("GOOGLETRANSLATE(B10161,""id"",""en"")"),"['Good', 'signal', 'strong']")</f>
        <v>['Good', 'signal', 'strong']</v>
      </c>
      <c r="D10161" s="3">
        <v>5.0</v>
      </c>
    </row>
    <row r="10162" ht="15.75" customHeight="1">
      <c r="A10162" s="1">
        <v>10947.0</v>
      </c>
      <c r="B10162" s="3" t="s">
        <v>9700</v>
      </c>
      <c r="C10162" s="3" t="str">
        <f>IFERROR(__xludf.DUMMYFUNCTION("GOOGLETRANSLATE(B10162,""id"",""en"")"),"['Strength', 'signal', 'reinforced', '']")</f>
        <v>['Strength', 'signal', 'reinforced', '']</v>
      </c>
      <c r="D10162" s="3">
        <v>5.0</v>
      </c>
    </row>
    <row r="10163" ht="15.75" customHeight="1">
      <c r="A10163" s="1">
        <v>10948.0</v>
      </c>
      <c r="B10163" s="3" t="s">
        <v>9701</v>
      </c>
      <c r="C10163" s="3" t="str">
        <f>IFERROR(__xludf.DUMMYFUNCTION("GOOGLETRANSLATE(B10163,""id"",""en"")"),"['Star', 'Most', 'slow', '']")</f>
        <v>['Star', 'Most', 'slow', '']</v>
      </c>
      <c r="D10163" s="3">
        <v>2.0</v>
      </c>
    </row>
    <row r="10164" ht="15.75" customHeight="1">
      <c r="A10164" s="1">
        <v>10949.0</v>
      </c>
      <c r="B10164" s="3" t="s">
        <v>9702</v>
      </c>
      <c r="C10164" s="3" t="str">
        <f>IFERROR(__xludf.DUMMYFUNCTION("GOOGLETRANSLATE(B10164,""id"",""en"")"),"['Lemot', 'application']")</f>
        <v>['Lemot', 'application']</v>
      </c>
      <c r="D10164" s="3">
        <v>1.0</v>
      </c>
    </row>
    <row r="10165" ht="15.75" customHeight="1">
      <c r="A10165" s="1">
        <v>10950.0</v>
      </c>
      <c r="B10165" s="3" t="s">
        <v>9703</v>
      </c>
      <c r="C10165" s="3" t="str">
        <f>IFERROR(__xludf.DUMMYFUNCTION("GOOGLETRANSLATE(B10165,""id"",""en"")"),"['Login', 'Application', 'Response', 'Hadehhhh', ""]")</f>
        <v>['Login', 'Application', 'Response', 'Hadehhhh', "]</v>
      </c>
      <c r="D10165" s="3">
        <v>1.0</v>
      </c>
    </row>
    <row r="10166" ht="15.75" customHeight="1">
      <c r="A10166" s="1">
        <v>10951.0</v>
      </c>
      <c r="B10166" s="3" t="s">
        <v>9704</v>
      </c>
      <c r="C10166" s="3" t="str">
        <f>IFERROR(__xludf.DUMMYFUNCTION("GOOGLETRANSLATE(B10166,""id"",""en"")"),"['', 'Love', 'Dus', 'SERBA', 'Expensive']")</f>
        <v>['', 'Love', 'Dus', 'SERBA', 'Expensive']</v>
      </c>
      <c r="D10166" s="3">
        <v>2.0</v>
      </c>
    </row>
    <row r="10167" ht="15.75" customHeight="1">
      <c r="A10167" s="1">
        <v>10952.0</v>
      </c>
      <c r="B10167" s="3" t="s">
        <v>9705</v>
      </c>
      <c r="C10167" s="3" t="str">
        <f>IFERROR(__xludf.DUMMYFUNCTION("GOOGLETRANSLATE(B10167,""id"",""en"")"),"['hilarious',' provider ',' content ',' pulse ',' RbU ',' activated ',' mobile ',' banking ',' just ',' sms', 'check', 'sisal', ' Credit ',' Asih ',' thousand ',' pulse ',' call ',' because 'use', 'data', 'data', 'cellular', 'active', 'SIM', 'outside' , '"&amp;"on the road', 'Doang', 'Kekeke', 'at home', 'at the office', 'use', 'wifi', 'how', 'the story', 'Kekeke', 'SIM', 'data', ' Cellular ',' SIM ',' ']")</f>
        <v>['hilarious',' provider ',' content ',' pulse ',' RbU ',' activated ',' mobile ',' banking ',' just ',' sms', 'check', 'sisal', ' Credit ',' Asih ',' thousand ',' pulse ',' call ',' because 'use', 'data', 'data', 'cellular', 'active', 'SIM', 'outside' , 'on the road', 'Doang', 'Kekeke', 'at home', 'at the office', 'use', 'wifi', 'how', 'the story', 'Kekeke', 'SIM', 'data', ' Cellular ',' SIM ',' ']</v>
      </c>
      <c r="D10167" s="3">
        <v>1.0</v>
      </c>
    </row>
    <row r="10168" ht="15.75" customHeight="1">
      <c r="A10168" s="1">
        <v>10953.0</v>
      </c>
      <c r="B10168" s="3" t="s">
        <v>9706</v>
      </c>
      <c r="C10168" s="3" t="str">
        <f>IFERROR(__xludf.DUMMYFUNCTION("GOOGLETRANSLATE(B10168,""id"",""en"")"),"['Rahma', 'Wati', 'Network']")</f>
        <v>['Rahma', 'Wati', 'Network']</v>
      </c>
      <c r="D10168" s="3">
        <v>4.0</v>
      </c>
    </row>
    <row r="10169" ht="15.75" customHeight="1">
      <c r="A10169" s="1">
        <v>10954.0</v>
      </c>
      <c r="B10169" s="3" t="s">
        <v>9707</v>
      </c>
      <c r="C10169" s="3" t="str">
        <f>IFERROR(__xludf.DUMMYFUNCTION("GOOGLETRANSLATE(B10169,""id"",""en"")"),"['min', 'network', 'ugly', 'really', 'min', 'noon', 'min', ""]")</f>
        <v>['min', 'network', 'ugly', 'really', 'min', 'noon', 'min', "]</v>
      </c>
      <c r="D10169" s="3">
        <v>5.0</v>
      </c>
    </row>
    <row r="10170" ht="15.75" customHeight="1">
      <c r="A10170" s="1">
        <v>10955.0</v>
      </c>
      <c r="B10170" s="3" t="s">
        <v>9708</v>
      </c>
      <c r="C10170" s="3" t="str">
        <f>IFERROR(__xludf.DUMMYFUNCTION("GOOGLETRANSLATE(B10170,""id"",""en"")"),"['Love', 'Promo', 'Bener', 'Min', 'get', 'Notif', 'quota', 'beriki', 'giga', 'thousand', 'right', 'check', ' Promo ',' found "", '']")</f>
        <v>['Love', 'Promo', 'Bener', 'Min', 'get', 'Notif', 'quota', 'beriki', 'giga', 'thousand', 'right', 'check', ' Promo ',' found ", '']</v>
      </c>
      <c r="D10170" s="3">
        <v>2.0</v>
      </c>
    </row>
    <row r="10171" ht="15.75" customHeight="1">
      <c r="A10171" s="1">
        <v>10956.0</v>
      </c>
      <c r="B10171" s="3" t="s">
        <v>9709</v>
      </c>
      <c r="C10171" s="3" t="str">
        <f>IFERROR(__xludf.DUMMYFUNCTION("GOOGLETRANSLATE(B10171,""id"",""en"")"),"['open', 'displacement', 'page', 'slow', 'point', 'user', 'donate', 'hope', 'multiples',' donations', 'point', 'eat', ' Points', 'Please', 'multiples',' Donations', 'Lottery', 'Car', 'Motor', 'Hape', 'Win', 'Points',' Donate ', ""]")</f>
        <v>['open', 'displacement', 'page', 'slow', 'point', 'user', 'donate', 'hope', 'multiples',' donations', 'point', 'eat', ' Points', 'Please', 'multiples',' Donations', 'Lottery', 'Car', 'Motor', 'Hape', 'Win', 'Points',' Donate ', "]</v>
      </c>
      <c r="D10171" s="3">
        <v>5.0</v>
      </c>
    </row>
    <row r="10172" ht="15.75" customHeight="1">
      <c r="A10172" s="1">
        <v>10958.0</v>
      </c>
      <c r="B10172" s="3" t="s">
        <v>9710</v>
      </c>
      <c r="C10172" s="3" t="str">
        <f>IFERROR(__xludf.DUMMYFUNCTION("GOOGLETRANSLATE(B10172,""id"",""en"")"),"['best', 'application', 'makes it easier', 'purchase', 'pulse', 'anything', 'payment', 'use', 'application', 'support', ""]")</f>
        <v>['best', 'application', 'makes it easier', 'purchase', 'pulse', 'anything', 'payment', 'use', 'application', 'support', "]</v>
      </c>
      <c r="D10172" s="3">
        <v>4.0</v>
      </c>
    </row>
    <row r="10173" ht="15.75" customHeight="1">
      <c r="A10173" s="1">
        <v>10959.0</v>
      </c>
      <c r="B10173" s="3" t="s">
        <v>9711</v>
      </c>
      <c r="C10173" s="3" t="str">
        <f>IFERROR(__xludf.DUMMYFUNCTION("GOOGLETRANSLATE(B10173,""id"",""en"")"),"['Error', 'Telkomsel', 'already', 'Try', 'use', 'card', 'Sakti', 'Telkomsel', 'buy', 'quota', 'GB', 'RB', ' Dihp ',' feature ',' itung ',' use ',' quota ',' monthly ',' it was "", 'right', 'quota', 'app', 'features',' since 'use' , 'quota', 'card', 'Sakti"&amp;"', 'ilang', 'Mulu', 'quota', 'leftover', 'GB', 'GB', 'APP', 'already', 'leftover', ' MB ',' Kirain ',' it's on ',' Dihp ',' Error ',' it was', 'Telkomsel', 'kagak', 'charity', 'quota', 'owner', 'quota', 'his name' , '']")</f>
        <v>['Error', 'Telkomsel', 'already', 'Try', 'use', 'card', 'Sakti', 'Telkomsel', 'buy', 'quota', 'GB', 'RB', ' Dihp ',' feature ',' itung ',' use ',' quota ',' monthly ',' it was ", 'right', 'quota', 'app', 'features',' since 'use' , 'quota', 'card', 'Sakti', 'ilang', 'Mulu', 'quota', 'leftover', 'GB', 'GB', 'APP', 'already', 'leftover', ' MB ',' Kirain ',' it's on ',' Dihp ',' Error ',' it was', 'Telkomsel', 'kagak', 'charity', 'quota', 'owner', 'quota', 'his name' , '']</v>
      </c>
      <c r="D10173" s="3">
        <v>1.0</v>
      </c>
    </row>
    <row r="10174" ht="15.75" customHeight="1">
      <c r="A10174" s="1">
        <v>10960.0</v>
      </c>
      <c r="B10174" s="3" t="s">
        <v>9712</v>
      </c>
      <c r="C10174" s="3" t="str">
        <f>IFERROR(__xludf.DUMMYFUNCTION("GOOGLETRANSLATE(B10174,""id"",""en"")"),"['MyTelkomsel', 'satisfying', ""]")</f>
        <v>['MyTelkomsel', 'satisfying', "]</v>
      </c>
      <c r="D10174" s="3">
        <v>5.0</v>
      </c>
    </row>
    <row r="10175" ht="15.75" customHeight="1">
      <c r="A10175" s="1">
        <v>10961.0</v>
      </c>
      <c r="B10175" s="3" t="s">
        <v>9713</v>
      </c>
      <c r="C10175" s="3" t="str">
        <f>IFERROR(__xludf.DUMMYFUNCTION("GOOGLETRANSLATE(B10175,""id"",""en"")"),"['cave', 'buy', 'pulse', 'rb', 'buy', 'quota', 'promo', 'telkomsel', 'for', 'rb', 'GB', 'week', ' Enter ',' then ',' cave ',' check ',' ilang ',' SANANIY ',' RB ',' hadeeehh ']")</f>
        <v>['cave', 'buy', 'pulse', 'rb', 'buy', 'quota', 'promo', 'telkomsel', 'for', 'rb', 'GB', 'week', ' Enter ',' then ',' cave ',' check ',' ilang ',' SANANIY ',' RB ',' hadeeehh ']</v>
      </c>
      <c r="D10175" s="3">
        <v>1.0</v>
      </c>
    </row>
    <row r="10176" ht="15.75" customHeight="1">
      <c r="A10176" s="1">
        <v>10962.0</v>
      </c>
      <c r="B10176" s="3" t="s">
        <v>9714</v>
      </c>
      <c r="C10176" s="3" t="str">
        <f>IFERROR(__xludf.DUMMYFUNCTION("GOOGLETRANSLATE(B10176,""id"",""en"")"),"['please', 'package', 'unlimited', 'unlimited', 'buy', 'times', 'loss', 'really', 'please', 'Telkomsel', 'responsible']")</f>
        <v>['please', 'package', 'unlimited', 'unlimited', 'buy', 'times', 'loss', 'really', 'please', 'Telkomsel', 'responsible']</v>
      </c>
      <c r="D10176" s="3">
        <v>1.0</v>
      </c>
    </row>
    <row r="10177" ht="15.75" customHeight="1">
      <c r="A10177" s="1">
        <v>10963.0</v>
      </c>
      <c r="B10177" s="3" t="s">
        <v>9715</v>
      </c>
      <c r="C10177" s="3" t="str">
        <f>IFERROR(__xludf.DUMMYFUNCTION("GOOGLETRANSLATE(B10177,""id"",""en"")"),"['buy', 'package', 'fast']")</f>
        <v>['buy', 'package', 'fast']</v>
      </c>
      <c r="D10177" s="3">
        <v>5.0</v>
      </c>
    </row>
    <row r="10178" ht="15.75" customHeight="1">
      <c r="A10178" s="1">
        <v>10964.0</v>
      </c>
      <c r="B10178" s="3" t="s">
        <v>9716</v>
      </c>
      <c r="C10178" s="3" t="str">
        <f>IFERROR(__xludf.DUMMYFUNCTION("GOOGLETRANSLATE(B10178,""id"",""en"")"),"['Good', 'buy', 'package', 'promo', 'cheap']")</f>
        <v>['Good', 'buy', 'package', 'promo', 'cheap']</v>
      </c>
      <c r="D10178" s="3">
        <v>5.0</v>
      </c>
    </row>
    <row r="10179" ht="15.75" customHeight="1">
      <c r="A10179" s="1">
        <v>10965.0</v>
      </c>
      <c r="B10179" s="3" t="s">
        <v>9717</v>
      </c>
      <c r="C10179" s="3" t="str">
        <f>IFERROR(__xludf.DUMMYFUNCTION("GOOGLETRANSLATE(B10179,""id"",""en"")"),"['Price', 'expensive', 'quality', 'cheap', 'Telkomsel']")</f>
        <v>['Price', 'expensive', 'quality', 'cheap', 'Telkomsel']</v>
      </c>
      <c r="D10179" s="3">
        <v>1.0</v>
      </c>
    </row>
    <row r="10180" ht="15.75" customHeight="1">
      <c r="A10180" s="1">
        <v>10966.0</v>
      </c>
      <c r="B10180" s="3" t="s">
        <v>9718</v>
      </c>
      <c r="C10180" s="3" t="str">
        <f>IFERROR(__xludf.DUMMYFUNCTION("GOOGLETRANSLATE(B10180,""id"",""en"")"),"['cave', 'edit', 'nihh', 'star', 'star', 'cave', 'pay', 'bill', 'difficult', 'push', 'pay', 'virtual', ' account ',' screen ',' white ',' doang ',' strange ',' see ',' details', 'bill', 'bill', 'email', 'etc.', 'insinted', 'password' , 'told', 'enter', 'd"&amp;"ate', 'born', 'wrong', 'mulu', 'date', 'born', 'cave', 'emanggran', ""]")</f>
        <v>['cave', 'edit', 'nihh', 'star', 'star', 'cave', 'pay', 'bill', 'difficult', 'push', 'pay', 'virtual', ' account ',' screen ',' white ',' doang ',' strange ',' see ',' details', 'bill', 'bill', 'email', 'etc.', 'insinted', 'password' , 'told', 'enter', 'date', 'born', 'wrong', 'mulu', 'date', 'born', 'cave', 'emanggran', "]</v>
      </c>
      <c r="D10180" s="3">
        <v>1.0</v>
      </c>
    </row>
    <row r="10181" ht="15.75" customHeight="1">
      <c r="A10181" s="1">
        <v>10967.0</v>
      </c>
      <c r="B10181" s="3" t="s">
        <v>9719</v>
      </c>
      <c r="C10181" s="3" t="str">
        <f>IFERROR(__xludf.DUMMYFUNCTION("GOOGLETRANSLATE(B10181,""id"",""en"")"),"['promo', 'quota', 'expensive', 'how', 'udh', 'cave', 'make', 'card', 'Telkomsel', 'get', 'discount']")</f>
        <v>['promo', 'quota', 'expensive', 'how', 'udh', 'cave', 'make', 'card', 'Telkomsel', 'get', 'discount']</v>
      </c>
      <c r="D10181" s="3">
        <v>1.0</v>
      </c>
    </row>
    <row r="10182" ht="15.75" customHeight="1">
      <c r="A10182" s="1">
        <v>10968.0</v>
      </c>
      <c r="B10182" s="3" t="s">
        <v>9720</v>
      </c>
      <c r="C10182" s="3" t="str">
        <f>IFERROR(__xludf.DUMMYFUNCTION("GOOGLETRANSLATE(B10182,""id"",""en"")"),"['Notif', 'misleading', 'sms', 'connection', 'dead']")</f>
        <v>['Notif', 'misleading', 'sms', 'connection', 'dead']</v>
      </c>
      <c r="D10182" s="3">
        <v>1.0</v>
      </c>
    </row>
    <row r="10183" ht="15.75" customHeight="1">
      <c r="A10183" s="1">
        <v>10969.0</v>
      </c>
      <c r="B10183" s="3" t="s">
        <v>9721</v>
      </c>
      <c r="C10183" s="3" t="str">
        <f>IFERROR(__xludf.DUMMYFUNCTION("GOOGLETRANSLATE(B10183,""id"",""en"")"),"['hard', 'network', 'slow', 'decline', 'drastic', 'repaired', 'service', 'customer', 'disappointed', ""]")</f>
        <v>['hard', 'network', 'slow', 'decline', 'drastic', 'repaired', 'service', 'customer', 'disappointed', "]</v>
      </c>
      <c r="D10183" s="3">
        <v>1.0</v>
      </c>
    </row>
    <row r="10184" ht="15.75" customHeight="1">
      <c r="A10184" s="1">
        <v>10970.0</v>
      </c>
      <c r="B10184" s="3" t="s">
        <v>9722</v>
      </c>
      <c r="C10184" s="3" t="str">
        <f>IFERROR(__xludf.DUMMYFUNCTION("GOOGLETRANSLATE(B10184,""id"",""en"")"),"['The application', 'Cool', 'really']")</f>
        <v>['The application', 'Cool', 'really']</v>
      </c>
      <c r="D10184" s="3">
        <v>5.0</v>
      </c>
    </row>
    <row r="10185" ht="15.75" customHeight="1">
      <c r="A10185" s="1">
        <v>10971.0</v>
      </c>
      <c r="B10185" s="3" t="s">
        <v>9723</v>
      </c>
      <c r="C10185" s="3" t="str">
        <f>IFERROR(__xludf.DUMMYFUNCTION("GOOGLETRANSLATE(B10185,""id"",""en"")"),"['Network', 'Internet', 'Kayak', 'Kezel', 'really', 'That's',' Cut ',' Credit ',' KGK ',' PAS ',' CISSION ',' Credit ',' Buy ',' package ',' expensive ',' expensive ',' kayak ',' ']")</f>
        <v>['Network', 'Internet', 'Kayak', 'Kezel', 'really', 'That's',' Cut ',' Credit ',' KGK ',' PAS ',' CISSION ',' Credit ',' Buy ',' package ',' expensive ',' expensive ',' kayak ',' ']</v>
      </c>
      <c r="D10185" s="3">
        <v>1.0</v>
      </c>
    </row>
    <row r="10186" ht="15.75" customHeight="1">
      <c r="A10186" s="1">
        <v>10972.0</v>
      </c>
      <c r="B10186" s="3" t="s">
        <v>9724</v>
      </c>
      <c r="C10186" s="3" t="str">
        <f>IFERROR(__xludf.DUMMYFUNCTION("GOOGLETRANSLATE(B10186,""id"",""en"")"),"['Please', 'Package', 'Cheap', 'little', '']")</f>
        <v>['Please', 'Package', 'Cheap', 'little', '']</v>
      </c>
      <c r="D10186" s="3">
        <v>5.0</v>
      </c>
    </row>
    <row r="10187" ht="15.75" customHeight="1">
      <c r="A10187" s="1">
        <v>10973.0</v>
      </c>
      <c r="B10187" s="3" t="s">
        <v>912</v>
      </c>
      <c r="C10187" s="3" t="str">
        <f>IFERROR(__xludf.DUMMYFUNCTION("GOOGLETRANSLATE(B10187,""id"",""en"")"),"['network', '']")</f>
        <v>['network', '']</v>
      </c>
      <c r="D10187" s="3">
        <v>5.0</v>
      </c>
    </row>
    <row r="10188" ht="15.75" customHeight="1">
      <c r="A10188" s="1">
        <v>10975.0</v>
      </c>
      <c r="B10188" s="3" t="s">
        <v>9725</v>
      </c>
      <c r="C10188" s="3" t="str">
        <f>IFERROR(__xludf.DUMMYFUNCTION("GOOGLETRANSLATE(B10188,""id"",""en"")"),"['admit', 'application', 'good', 'yesterday', 'buy', 'pulse', 'reduced', 'subscribe', 'telkomsel', 'debt', 'pulse', 'please', ' Optimize ']")</f>
        <v>['admit', 'application', 'good', 'yesterday', 'buy', 'pulse', 'reduced', 'subscribe', 'telkomsel', 'debt', 'pulse', 'please', ' Optimize ']</v>
      </c>
      <c r="D10188" s="3">
        <v>5.0</v>
      </c>
    </row>
    <row r="10189" ht="15.75" customHeight="1">
      <c r="A10189" s="1">
        <v>10976.0</v>
      </c>
      <c r="B10189" s="3" t="s">
        <v>9726</v>
      </c>
      <c r="C10189" s="3" t="str">
        <f>IFERROR(__xludf.DUMMYFUNCTION("GOOGLETRANSLATE(B10189,""id"",""en"")"),"['Mantab', 'Anyway', 'Pakek', 'Cheap']")</f>
        <v>['Mantab', 'Anyway', 'Pakek', 'Cheap']</v>
      </c>
      <c r="D10189" s="3">
        <v>5.0</v>
      </c>
    </row>
    <row r="10190" ht="15.75" customHeight="1">
      <c r="A10190" s="1">
        <v>10977.0</v>
      </c>
      <c r="B10190" s="3" t="s">
        <v>9727</v>
      </c>
      <c r="C10190" s="3" t="str">
        <f>IFERROR(__xludf.DUMMYFUNCTION("GOOGLETRANSLATE(B10190,""id"",""en"")"),"['Bonus', 'BNG']")</f>
        <v>['Bonus', 'BNG']</v>
      </c>
      <c r="D10190" s="3">
        <v>5.0</v>
      </c>
    </row>
    <row r="10191" ht="15.75" customHeight="1">
      <c r="A10191" s="1">
        <v>10978.0</v>
      </c>
      <c r="B10191" s="3" t="s">
        <v>9728</v>
      </c>
      <c r="C10191" s="3" t="str">
        <f>IFERROR(__xludf.DUMMYFUNCTION("GOOGLETRANSLATE(B10191,""id"",""en"")"),"['Telkomsel', 'Severe', 'Top', 'Diamond', 'MLBB', 'Via', 'Google', 'Play', 'Failed', 'Credit', 'Adequate', 'Credit', ' Decreases', 'top', 'failed', 'already', 'reduced', 'regret', 'use', 'Telkomsel']")</f>
        <v>['Telkomsel', 'Severe', 'Top', 'Diamond', 'MLBB', 'Via', 'Google', 'Play', 'Failed', 'Credit', 'Adequate', 'Credit', ' Decreases', 'top', 'failed', 'already', 'reduced', 'regret', 'use', 'Telkomsel']</v>
      </c>
      <c r="D10191" s="3">
        <v>1.0</v>
      </c>
    </row>
    <row r="10192" ht="15.75" customHeight="1">
      <c r="A10192" s="1">
        <v>10979.0</v>
      </c>
      <c r="B10192" s="3" t="s">
        <v>9729</v>
      </c>
      <c r="C10192" s="3" t="str">
        <f>IFERROR(__xludf.DUMMYFUNCTION("GOOGLETRANSLATE(B10192,""id"",""en"")"),"['Hawk', 'Install', 'Google', 'Pixel', 'Update', 'Android', 'Please', 'Repair', ""]")</f>
        <v>['Hawk', 'Install', 'Google', 'Pixel', 'Update', 'Android', 'Please', 'Repair', "]</v>
      </c>
      <c r="D10192" s="3">
        <v>5.0</v>
      </c>
    </row>
    <row r="10193" ht="15.75" customHeight="1">
      <c r="A10193" s="1">
        <v>10980.0</v>
      </c>
      <c r="B10193" s="3" t="s">
        <v>9730</v>
      </c>
      <c r="C10193" s="3" t="str">
        <f>IFERROR(__xludf.DUMMYFUNCTION("GOOGLETRANSLATE(B10193,""id"",""en"")"),"['Muantap', 'Bener', 'Thank "",' Love ',' Telkomsel ',' Help ']")</f>
        <v>['Muantap', 'Bener', 'Thank ",' Love ',' Telkomsel ',' Help ']</v>
      </c>
      <c r="D10193" s="3">
        <v>5.0</v>
      </c>
    </row>
    <row r="10194" ht="15.75" customHeight="1">
      <c r="A10194" s="1">
        <v>10981.0</v>
      </c>
      <c r="B10194" s="3" t="s">
        <v>9731</v>
      </c>
      <c r="C10194" s="3" t="str">
        <f>IFERROR(__xludf.DUMMYFUNCTION("GOOGLETRANSLATE(B10194,""id"",""en"")"),"['Network', 'Men', '']")</f>
        <v>['Network', 'Men', '']</v>
      </c>
      <c r="D10194" s="3">
        <v>4.0</v>
      </c>
    </row>
    <row r="10195" ht="15.75" customHeight="1">
      <c r="A10195" s="1">
        <v>10982.0</v>
      </c>
      <c r="B10195" s="3" t="s">
        <v>9732</v>
      </c>
      <c r="C10195" s="3" t="str">
        <f>IFERROR(__xludf.DUMMYFUNCTION("GOOGLETRANSLATE(B10195,""id"",""en"")"),"['signal', 'easy', 'disrupted', 'price', 'package', 'expensive', '']")</f>
        <v>['signal', 'easy', 'disrupted', 'price', 'package', 'expensive', '']</v>
      </c>
      <c r="D10195" s="3">
        <v>1.0</v>
      </c>
    </row>
    <row r="10196" ht="15.75" customHeight="1">
      <c r="A10196" s="1">
        <v>10983.0</v>
      </c>
      <c r="B10196" s="3" t="s">
        <v>9733</v>
      </c>
      <c r="C10196" s="3" t="str">
        <f>IFERROR(__xludf.DUMMYFUNCTION("GOOGLETRANSLATE(B10196,""id"",""en"")"),"['Please', 'his attention', 'check', 'Region', 'Cidokom', 'Mountain', 'Sindur', 'Signal', 'Telkomsel', 'Maximal']")</f>
        <v>['Please', 'his attention', 'check', 'Region', 'Cidokom', 'Mountain', 'Sindur', 'Signal', 'Telkomsel', 'Maximal']</v>
      </c>
      <c r="D10196" s="3">
        <v>3.0</v>
      </c>
    </row>
    <row r="10197" ht="15.75" customHeight="1">
      <c r="A10197" s="1">
        <v>10984.0</v>
      </c>
      <c r="B10197" s="3" t="s">
        <v>9734</v>
      </c>
      <c r="C10197" s="3" t="str">
        <f>IFERROR(__xludf.DUMMYFUNCTION("GOOGLETRANSLATE(B10197,""id"",""en"")"),"['Telkomsel', 'Leet', 'Network', 'Open', 'Telkomsel', 'Ada', '']")</f>
        <v>['Telkomsel', 'Leet', 'Network', 'Open', 'Telkomsel', 'Ada', '']</v>
      </c>
      <c r="D10197" s="3">
        <v>2.0</v>
      </c>
    </row>
    <row r="10198" ht="15.75" customHeight="1">
      <c r="A10198" s="1">
        <v>10985.0</v>
      </c>
      <c r="B10198" s="3" t="s">
        <v>9735</v>
      </c>
      <c r="C10198" s="3" t="str">
        <f>IFERROR(__xludf.DUMMYFUNCTION("GOOGLETRANSLATE(B10198,""id"",""en"")"),"['', 'good', 'really', 'promo', 'nyessel', 'kalu', 'download']")</f>
        <v>['', 'good', 'really', 'promo', 'nyessel', 'kalu', 'download']</v>
      </c>
      <c r="D10198" s="3">
        <v>5.0</v>
      </c>
    </row>
    <row r="10199" ht="15.75" customHeight="1">
      <c r="A10199" s="1">
        <v>10986.0</v>
      </c>
      <c r="B10199" s="3" t="s">
        <v>9736</v>
      </c>
      <c r="C10199" s="3" t="str">
        <f>IFERROR(__xludf.DUMMYFUNCTION("GOOGLETRANSLATE(B10199,""id"",""en"")"),"['Gara', 'Gara', 'sympathy', 'quotes',' package ',' quota ',' used ',' internet ',' contents', 'pulse', 'pulses',' sucked ',' run out ',' Males', 'contents',' pulse ',' Is there '' solution ', ""]")</f>
        <v>['Gara', 'Gara', 'sympathy', 'quotes',' package ',' quota ',' used ',' internet ',' contents', 'pulse', 'pulses',' sucked ',' run out ',' Males', 'contents',' pulse ',' Is there '' solution ', "]</v>
      </c>
      <c r="D10199" s="3">
        <v>2.0</v>
      </c>
    </row>
    <row r="10200" ht="15.75" customHeight="1">
      <c r="A10200" s="1">
        <v>10987.0</v>
      </c>
      <c r="B10200" s="3" t="s">
        <v>9737</v>
      </c>
      <c r="C10200" s="3" t="str">
        <f>IFERROR(__xludf.DUMMYFUNCTION("GOOGLETRANSLATE(B10200,""id"",""en"")"),"['process', 'purchase', 'package', 'fast', 'cheap', 'compared', '']")</f>
        <v>['process', 'purchase', 'package', 'fast', 'cheap', 'compared', '']</v>
      </c>
      <c r="D10200" s="3">
        <v>5.0</v>
      </c>
    </row>
    <row r="10201" ht="15.75" customHeight="1">
      <c r="A10201" s="1">
        <v>10988.0</v>
      </c>
      <c r="B10201" s="3" t="s">
        <v>9738</v>
      </c>
      <c r="C10201" s="3" t="str">
        <f>IFERROR(__xludf.DUMMYFUNCTION("GOOGLETRANSLATE(B10201,""id"",""en"")"),"['Sometimes', 'Down', 'Sinyall', 'Quota', 'Credit', 'Safe']")</f>
        <v>['Sometimes', 'Down', 'Sinyall', 'Quota', 'Credit', 'Safe']</v>
      </c>
      <c r="D10201" s="3">
        <v>4.0</v>
      </c>
    </row>
    <row r="10202" ht="15.75" customHeight="1">
      <c r="A10202" s="1">
        <v>10989.0</v>
      </c>
      <c r="B10202" s="3" t="s">
        <v>9739</v>
      </c>
      <c r="C10202" s="3" t="str">
        <f>IFERROR(__xludf.DUMMYFUNCTION("GOOGLETRANSLATE(B10202,""id"",""en"")"),"['application', 'battered', 'responsive', 'complicable', 'week', 'process']")</f>
        <v>['application', 'battered', 'responsive', 'complicable', 'week', 'process']</v>
      </c>
      <c r="D10202" s="3">
        <v>1.0</v>
      </c>
    </row>
    <row r="10203" ht="15.75" customHeight="1">
      <c r="A10203" s="1">
        <v>10990.0</v>
      </c>
      <c r="B10203" s="3" t="s">
        <v>9740</v>
      </c>
      <c r="C10203" s="3" t="str">
        <f>IFERROR(__xludf.DUMMYFUNCTION("GOOGLETRANSLATE(B10203,""id"",""en"")"),"['Satisfied', 'service']")</f>
        <v>['Satisfied', 'service']</v>
      </c>
      <c r="D10203" s="3">
        <v>5.0</v>
      </c>
    </row>
    <row r="10204" ht="15.75" customHeight="1">
      <c r="A10204" s="1">
        <v>10992.0</v>
      </c>
      <c r="B10204" s="3" t="s">
        <v>9741</v>
      </c>
      <c r="C10204" s="3" t="str">
        <f>IFERROR(__xludf.DUMMYFUNCTION("GOOGLETRANSLATE(B10204,""id"",""en"")"),"['Easy', 'Han', 'in the future', '']")</f>
        <v>['Easy', 'Han', 'in the future', '']</v>
      </c>
      <c r="D10204" s="3">
        <v>4.0</v>
      </c>
    </row>
    <row r="10205" ht="15.75" customHeight="1">
      <c r="A10205" s="1">
        <v>10993.0</v>
      </c>
      <c r="B10205" s="3" t="s">
        <v>9742</v>
      </c>
      <c r="C10205" s="3" t="str">
        <f>IFERROR(__xludf.DUMMYFUNCTION("GOOGLETRANSLATE(B10205,""id"",""en"")"),"['Help', 'thank you']")</f>
        <v>['Help', 'thank you']</v>
      </c>
      <c r="D10205" s="3">
        <v>5.0</v>
      </c>
    </row>
    <row r="10206" ht="15.75" customHeight="1">
      <c r="A10206" s="1">
        <v>10994.0</v>
      </c>
      <c r="B10206" s="3" t="s">
        <v>9743</v>
      </c>
      <c r="C10206" s="3" t="str">
        <f>IFERROR(__xludf.DUMMYFUNCTION("GOOGLETRANSLATE(B10206,""id"",""en"")"),"['Signal', 'Internet', 'Telkomsel', 'Lost', 'City', 'Tetep', 'Good', 'Kyk', 'Gini', 'Mending', 'Use', 'Operator', ' cheap ',' signal ',' good ']")</f>
        <v>['Signal', 'Internet', 'Telkomsel', 'Lost', 'City', 'Tetep', 'Good', 'Kyk', 'Gini', 'Mending', 'Use', 'Operator', ' cheap ',' signal ',' good ']</v>
      </c>
      <c r="D10206" s="3">
        <v>3.0</v>
      </c>
    </row>
    <row r="10207" ht="15.75" customHeight="1">
      <c r="A10207" s="1">
        <v>10995.0</v>
      </c>
      <c r="B10207" s="3" t="s">
        <v>9744</v>
      </c>
      <c r="C10207" s="3" t="str">
        <f>IFERROR(__xludf.DUMMYFUNCTION("GOOGLETRANSLATE(B10207,""id"",""en"")"),"['weve', 'The', 'Best', 'Telkomsel', 'play', 'games',' games', 'data', 'little', 'really', 'clock', 'nyampe', ' Severe ',' Send ',' Tasks', 'really', 'just', 'Edit', 'Telkomsel', 'Day', 'Bener', 'Nets',' November ', ""]")</f>
        <v>['weve', 'The', 'Best', 'Telkomsel', 'play', 'games',' games', 'data', 'little', 'really', 'clock', 'nyampe', ' Severe ',' Send ',' Tasks', 'really', 'just', 'Edit', 'Telkomsel', 'Day', 'Bener', 'Nets',' November ', "]</v>
      </c>
      <c r="D10207" s="3">
        <v>1.0</v>
      </c>
    </row>
    <row r="10208" ht="15.75" customHeight="1">
      <c r="A10208" s="1">
        <v>10996.0</v>
      </c>
      <c r="B10208" s="3" t="s">
        <v>9745</v>
      </c>
      <c r="C10208" s="3" t="str">
        <f>IFERROR(__xludf.DUMMYFUNCTION("GOOGLETRANSLATE(B10208,""id"",""en"")"),"['Mending', 'Make', 'Indosat', 'Telkomsel', 'already', 'expensive', 'disorder', 'gajelas', 'service']")</f>
        <v>['Mending', 'Make', 'Indosat', 'Telkomsel', 'already', 'expensive', 'disorder', 'gajelas', 'service']</v>
      </c>
      <c r="D10208" s="3">
        <v>1.0</v>
      </c>
    </row>
    <row r="10209" ht="15.75" customHeight="1">
      <c r="A10209" s="1">
        <v>10997.0</v>
      </c>
      <c r="B10209" s="3" t="s">
        <v>9746</v>
      </c>
      <c r="C10209" s="3" t="str">
        <f>IFERROR(__xludf.DUMMYFUNCTION("GOOGLETRANSLATE(B10209,""id"",""en"")"),"['Please', 'Fix', 'Speed', 'Thanks']")</f>
        <v>['Please', 'Fix', 'Speed', 'Thanks']</v>
      </c>
      <c r="D10209" s="3">
        <v>4.0</v>
      </c>
    </row>
    <row r="10210" ht="15.75" customHeight="1">
      <c r="A10210" s="1">
        <v>10998.0</v>
      </c>
      <c r="B10210" s="3" t="s">
        <v>9747</v>
      </c>
      <c r="C10210" s="3" t="str">
        <f>IFERROR(__xludf.DUMMYFUNCTION("GOOGLETRANSLATE(B10210,""id"",""en"")"),"['Ngerti', 'Hold', 'Points', 'Exchange']")</f>
        <v>['Ngerti', 'Hold', 'Points', 'Exchange']</v>
      </c>
      <c r="D10210" s="3">
        <v>5.0</v>
      </c>
    </row>
    <row r="10211" ht="15.75" customHeight="1">
      <c r="A10211" s="1">
        <v>10999.0</v>
      </c>
      <c r="B10211" s="3" t="s">
        <v>9748</v>
      </c>
      <c r="C10211" s="3" t="str">
        <f>IFERROR(__xludf.DUMMYFUNCTION("GOOGLETRANSLATE(B10211,""id"",""en"")"),"['hope', 'expensive']")</f>
        <v>['hope', 'expensive']</v>
      </c>
      <c r="D10211" s="3">
        <v>5.0</v>
      </c>
    </row>
    <row r="10212" ht="15.75" customHeight="1">
      <c r="A10212" s="1">
        <v>11000.0</v>
      </c>
      <c r="B10212" s="3" t="s">
        <v>9749</v>
      </c>
      <c r="C10212" s="3" t="str">
        <f>IFERROR(__xludf.DUMMYFUNCTION("GOOGLETRANSLATE(B10212,""id"",""en"")"),"['Love', 'Promo', 'Sekirnaya', 'buy', 'buy', 'buy', 'package', 'package', 'nyampe', 'pulses',' ilang ',' note ',' complaint']")</f>
        <v>['Love', 'Promo', 'Sekirnaya', 'buy', 'buy', 'buy', 'package', 'package', 'nyampe', 'pulses',' ilang ',' note ',' complaint']</v>
      </c>
      <c r="D10212" s="3">
        <v>3.0</v>
      </c>
    </row>
    <row r="10213" ht="15.75" customHeight="1">
      <c r="A10213" s="1">
        <v>11001.0</v>
      </c>
      <c r="B10213" s="3" t="s">
        <v>9750</v>
      </c>
      <c r="C10213" s="3" t="str">
        <f>IFERROR(__xludf.DUMMYFUNCTION("GOOGLETRANSLATE(B10213,""id"",""en"")"),"['Contents', 'pulse', 'mbanking', 'succeed', 'pulse', 'enter', 'times', 'complain']")</f>
        <v>['Contents', 'pulse', 'mbanking', 'succeed', 'pulse', 'enter', 'times', 'complain']</v>
      </c>
      <c r="D10213" s="3">
        <v>1.0</v>
      </c>
    </row>
    <row r="10214" ht="15.75" customHeight="1">
      <c r="A10214" s="1">
        <v>11002.0</v>
      </c>
      <c r="B10214" s="3" t="s">
        <v>9751</v>
      </c>
      <c r="C10214" s="3" t="str">
        <f>IFERROR(__xludf.DUMMYFUNCTION("GOOGLETRANSLATE(B10214,""id"",""en"")"),"['Network', 'Telkom', 'Yesterday', 'noon', 'MLM', 'Error', 'Severe', 'internet', 'work', 'please', 'fix', 'network', ' internet ',' satisfaction ',' customer ',' progress', 'telkom', 'thanks',' concern ',' ']")</f>
        <v>['Network', 'Telkom', 'Yesterday', 'noon', 'MLM', 'Error', 'Severe', 'internet', 'work', 'please', 'fix', 'network', ' internet ',' satisfaction ',' customer ',' progress', 'telkom', 'thanks',' concern ',' ']</v>
      </c>
      <c r="D10214" s="3">
        <v>1.0</v>
      </c>
    </row>
    <row r="10215" ht="15.75" customHeight="1">
      <c r="A10215" s="1">
        <v>11003.0</v>
      </c>
      <c r="B10215" s="3" t="s">
        <v>9752</v>
      </c>
      <c r="C10215" s="3" t="str">
        <f>IFERROR(__xludf.DUMMYFUNCTION("GOOGLETRANSLATE(B10215,""id"",""en"")"),"['application', 'contents',' okay ',' okay ',' difference ',' promo ',' fatal ',' open ',' application ',' direct ',' hot ',' konsel ',' RAM ',' Defects', 'Application', 'Blom', 'Card', 'Card', 'Promo', 'Quota', 'Compared', 'Card', 'Severe', 'Telkomsel']")</f>
        <v>['application', 'contents',' okay ',' okay ',' difference ',' promo ',' fatal ',' open ',' application ',' direct ',' hot ',' konsel ',' RAM ',' Defects', 'Application', 'Blom', 'Card', 'Card', 'Promo', 'Quota', 'Compared', 'Card', 'Severe', 'Telkomsel']</v>
      </c>
      <c r="D10215" s="3">
        <v>1.0</v>
      </c>
    </row>
    <row r="10216" ht="15.75" customHeight="1">
      <c r="A10216" s="1">
        <v>11004.0</v>
      </c>
      <c r="B10216" s="3" t="s">
        <v>9753</v>
      </c>
      <c r="C10216" s="3" t="str">
        <f>IFERROR(__xludf.DUMMYFUNCTION("GOOGLETRANSLATE(B10216,""id"",""en"")"),"['use', 'Telkomsel', 'Byk', 'gift', 'promo', 'signal']")</f>
        <v>['use', 'Telkomsel', 'Byk', 'gift', 'promo', 'signal']</v>
      </c>
      <c r="D10216" s="3">
        <v>5.0</v>
      </c>
    </row>
    <row r="10217" ht="15.75" customHeight="1">
      <c r="A10217" s="1">
        <v>11006.0</v>
      </c>
      <c r="B10217" s="3" t="s">
        <v>9754</v>
      </c>
      <c r="C10217" s="3" t="str">
        <f>IFERROR(__xludf.DUMMYFUNCTION("GOOGLETRANSLATE(B10217,""id"",""en"")"),"['application', 'easy', 'purchase', 'package', 'internet', 'promoa', '']")</f>
        <v>['application', 'easy', 'purchase', 'package', 'internet', 'promoa', '']</v>
      </c>
      <c r="D10217" s="3">
        <v>5.0</v>
      </c>
    </row>
    <row r="10218" ht="15.75" customHeight="1">
      <c r="A10218" s="1">
        <v>11007.0</v>
      </c>
      <c r="B10218" s="3" t="s">
        <v>9755</v>
      </c>
      <c r="C10218" s="3" t="str">
        <f>IFERROR(__xludf.DUMMYFUNCTION("GOOGLETRANSLATE(B10218,""id"",""en"")"),"['signal', 'ugly', 'season', 'rain', 'gini', 'pepahhhh']")</f>
        <v>['signal', 'ugly', 'season', 'rain', 'gini', 'pepahhhh']</v>
      </c>
      <c r="D10218" s="3">
        <v>1.0</v>
      </c>
    </row>
    <row r="10219" ht="15.75" customHeight="1">
      <c r="A10219" s="1">
        <v>11009.0</v>
      </c>
      <c r="B10219" s="3" t="s">
        <v>9756</v>
      </c>
      <c r="C10219" s="3" t="str">
        <f>IFERROR(__xludf.DUMMYFUNCTION("GOOGLETRANSLATE(B10219,""id"",""en"")"),"['good', 'price', 'decent', 'quantity', 'quality', 'maknyuss',' rain ',' storm ',' wind ',' noise ',' halilintar ',' tetep ',' Lanvcar ',' Win ',' Quality ',' ']")</f>
        <v>['good', 'price', 'decent', 'quantity', 'quality', 'maknyuss',' rain ',' storm ',' wind ',' noise ',' halilintar ',' tetep ',' Lanvcar ',' Win ',' Quality ',' ']</v>
      </c>
      <c r="D10219" s="3">
        <v>5.0</v>
      </c>
    </row>
    <row r="10220" ht="15.75" customHeight="1">
      <c r="A10220" s="1">
        <v>11010.0</v>
      </c>
      <c r="B10220" s="3" t="s">
        <v>9757</v>
      </c>
      <c r="C10220" s="3" t="str">
        <f>IFERROR(__xludf.DUMMYFUNCTION("GOOGLETRANSLATE(B10220,""id"",""en"")"),"['', 'contents',' pulse ',' date ',' Nov ',' date ',' Nov ',' check ',' credit ',' reduced ',' already ',' package ',' Tlp ',' Internet ',' Times', 'JT', 'Customer', 'Telkomsel', 'already', 'utung', 'per week', '']")</f>
        <v>['', 'contents',' pulse ',' date ',' Nov ',' date ',' Nov ',' check ',' credit ',' reduced ',' already ',' package ',' Tlp ',' Internet ',' Times', 'JT', 'Customer', 'Telkomsel', 'already', 'utung', 'per week', '']</v>
      </c>
      <c r="D10220" s="3">
        <v>1.0</v>
      </c>
    </row>
    <row r="10221" ht="15.75" customHeight="1">
      <c r="A10221" s="1">
        <v>11011.0</v>
      </c>
      <c r="B10221" s="3" t="s">
        <v>9758</v>
      </c>
      <c r="C10221" s="3" t="str">
        <f>IFERROR(__xludf.DUMMYFUNCTION("GOOGLETRANSLATE(B10221,""id"",""en"")"),"['Gilllaa', 'Cheap', 'Bangett', 'Package', 'GB', 'A WEIR', 'Play', 'Game', 'All Day']")</f>
        <v>['Gilllaa', 'Cheap', 'Bangett', 'Package', 'GB', 'A WEIR', 'Play', 'Game', 'All Day']</v>
      </c>
      <c r="D10221" s="3">
        <v>5.0</v>
      </c>
    </row>
    <row r="10222" ht="15.75" customHeight="1">
      <c r="A10222" s="1">
        <v>11012.0</v>
      </c>
      <c r="B10222" s="3" t="s">
        <v>8214</v>
      </c>
      <c r="C10222" s="3" t="str">
        <f>IFERROR(__xludf.DUMMYFUNCTION("GOOGLETRANSLATE(B10222,""id"",""en"")"),"['Application', 'Bagsss']")</f>
        <v>['Application', 'Bagsss']</v>
      </c>
      <c r="D10222" s="3">
        <v>5.0</v>
      </c>
    </row>
    <row r="10223" ht="15.75" customHeight="1">
      <c r="A10223" s="1">
        <v>11013.0</v>
      </c>
      <c r="B10223" s="3" t="s">
        <v>9759</v>
      </c>
      <c r="C10223" s="3" t="str">
        <f>IFERROR(__xludf.DUMMYFUNCTION("GOOGLETRANSLATE(B10223,""id"",""en"")"),"['quota', 'cheap']")</f>
        <v>['quota', 'cheap']</v>
      </c>
      <c r="D10223" s="3">
        <v>4.0</v>
      </c>
    </row>
    <row r="10224" ht="15.75" customHeight="1">
      <c r="A10224" s="1">
        <v>11014.0</v>
      </c>
      <c r="B10224" s="3" t="s">
        <v>9760</v>
      </c>
      <c r="C10224" s="3" t="str">
        <f>IFERROR(__xludf.DUMMYFUNCTION("GOOGLETRANSLATE(B10224,""id"",""en"")"),"['Please', 'discount', 'yaa', ""]")</f>
        <v>['Please', 'discount', 'yaa', "]</v>
      </c>
      <c r="D10224" s="3">
        <v>5.0</v>
      </c>
    </row>
    <row r="10225" ht="15.75" customHeight="1">
      <c r="A10225" s="1">
        <v>11015.0</v>
      </c>
      <c r="B10225" s="3" t="s">
        <v>9761</v>
      </c>
      <c r="C10225" s="3" t="str">
        <f>IFERROR(__xludf.DUMMYFUNCTION("GOOGLETRANSLATE(B10225,""id"",""en"")"),"['happy', 'Telkomsel', 'fed up', 'signal', 'stable', 'down', 'game', 'game', 'user', 'Telkomsel', 'gamers',' unfortunate ',' consumers', 'the biggest', 'experience', 'disappointment', 'deep', 'switch', 'provider', 'have', 'quality', 'signal', 'good', 'sta"&amp;"ble', 'play' , 'Game', 'Telkom', 'Please', 'Listen', 'complained', 'Kisah', 'Quality', 'Your Signal', 'Seindah', ""]")</f>
        <v>['happy', 'Telkomsel', 'fed up', 'signal', 'stable', 'down', 'game', 'game', 'user', 'Telkomsel', 'gamers',' unfortunate ',' consumers', 'the biggest', 'experience', 'disappointment', 'deep', 'switch', 'provider', 'have', 'quality', 'signal', 'good', 'stable', 'play' , 'Game', 'Telkom', 'Please', 'Listen', 'complained', 'Kisah', 'Quality', 'Your Signal', 'Seindah', "]</v>
      </c>
      <c r="D10225" s="3">
        <v>2.0</v>
      </c>
    </row>
    <row r="10226" ht="15.75" customHeight="1">
      <c r="A10226" s="1">
        <v>11016.0</v>
      </c>
      <c r="B10226" s="3" t="s">
        <v>9762</v>
      </c>
      <c r="C10226" s="3" t="str">
        <f>IFERROR(__xludf.DUMMYFUNCTION("GOOGLETRANSLATE(B10226,""id"",""en"")"),"['Helpful', 'Control', 'use', '']")</f>
        <v>['Helpful', 'Control', 'use', '']</v>
      </c>
      <c r="D10226" s="3">
        <v>5.0</v>
      </c>
    </row>
    <row r="10227" ht="15.75" customHeight="1">
      <c r="A10227" s="1">
        <v>11017.0</v>
      </c>
      <c r="B10227" s="3" t="s">
        <v>9763</v>
      </c>
      <c r="C10227" s="3" t="str">
        <f>IFERROR(__xludf.DUMMYFUNCTION("GOOGLETRANSLATE(B10227,""id"",""en"")"),"['Help', 'home', 'fill out', 'pulse', 'data']")</f>
        <v>['Help', 'home', 'fill out', 'pulse', 'data']</v>
      </c>
      <c r="D10227" s="3">
        <v>5.0</v>
      </c>
    </row>
    <row r="10228" ht="15.75" customHeight="1">
      <c r="A10228" s="1">
        <v>11019.0</v>
      </c>
      <c r="B10228" s="3" t="s">
        <v>9764</v>
      </c>
      <c r="C10228" s="3" t="str">
        <f>IFERROR(__xludf.DUMMYFUNCTION("GOOGLETRANSLATE(B10228,""id"",""en"")"),"['Lope', 'Lope', 'pkkny']")</f>
        <v>['Lope', 'Lope', 'pkkny']</v>
      </c>
      <c r="D10228" s="3">
        <v>5.0</v>
      </c>
    </row>
    <row r="10229" ht="15.75" customHeight="1">
      <c r="A10229" s="1">
        <v>11021.0</v>
      </c>
      <c r="B10229" s="3" t="s">
        <v>9765</v>
      </c>
      <c r="C10229" s="3" t="str">
        <f>IFERROR(__xludf.DUMMYFUNCTION("GOOGLETRANSLATE(B10229,""id"",""en"")"),"['TOP', 'Cool', 'Mantap']")</f>
        <v>['TOP', 'Cool', 'Mantap']</v>
      </c>
      <c r="D10229" s="3">
        <v>5.0</v>
      </c>
    </row>
    <row r="10230" ht="15.75" customHeight="1">
      <c r="A10230" s="1">
        <v>11022.0</v>
      </c>
      <c r="B10230" s="3" t="s">
        <v>8980</v>
      </c>
      <c r="C10230" s="3" t="str">
        <f>IFERROR(__xludf.DUMMYFUNCTION("GOOGLETRANSLATE(B10230,""id"",""en"")"),"['Mantap', 'Application']")</f>
        <v>['Mantap', 'Application']</v>
      </c>
      <c r="D10230" s="3">
        <v>5.0</v>
      </c>
    </row>
    <row r="10231" ht="15.75" customHeight="1">
      <c r="A10231" s="1">
        <v>11023.0</v>
      </c>
      <c r="B10231" s="3" t="s">
        <v>9766</v>
      </c>
      <c r="C10231" s="3" t="str">
        <f>IFERROR(__xludf.DUMMYFUNCTION("GOOGLETRANSLATE(B10231,""id"",""en"")"),"['Login', '']")</f>
        <v>['Login', '']</v>
      </c>
      <c r="D10231" s="3">
        <v>1.0</v>
      </c>
    </row>
    <row r="10232" ht="15.75" customHeight="1">
      <c r="A10232" s="1">
        <v>11025.0</v>
      </c>
      <c r="B10232" s="3" t="s">
        <v>7216</v>
      </c>
      <c r="C10232" s="3" t="str">
        <f>IFERROR(__xludf.DUMMYFUNCTION("GOOGLETRANSLATE(B10232,""id"",""en"")"),"['Good', 'Enhanced']")</f>
        <v>['Good', 'Enhanced']</v>
      </c>
      <c r="D10232" s="3">
        <v>5.0</v>
      </c>
    </row>
    <row r="10233" ht="15.75" customHeight="1">
      <c r="A10233" s="1">
        <v>11026.0</v>
      </c>
      <c r="B10233" s="3" t="s">
        <v>9767</v>
      </c>
      <c r="C10233" s="3" t="str">
        <f>IFERROR(__xludf.DUMMYFUNCTION("GOOGLETRANSLATE(B10233,""id"",""en"")"),"['Thanks', 'Telkomsel', 'Caskek', 'Package']")</f>
        <v>['Thanks', 'Telkomsel', 'Caskek', 'Package']</v>
      </c>
      <c r="D10233" s="3">
        <v>5.0</v>
      </c>
    </row>
    <row r="10234" ht="15.75" customHeight="1">
      <c r="A10234" s="1">
        <v>11028.0</v>
      </c>
      <c r="B10234" s="3" t="s">
        <v>9768</v>
      </c>
      <c r="C10234" s="3" t="str">
        <f>IFERROR(__xludf.DUMMYFUNCTION("GOOGLETRANSLATE(B10234,""id"",""en"")"),"['Application', 'Asik', 'Operator', 'Cellular', 'Telkomsel', '']")</f>
        <v>['Application', 'Asik', 'Operator', 'Cellular', 'Telkomsel', '']</v>
      </c>
      <c r="D10234" s="3">
        <v>5.0</v>
      </c>
    </row>
    <row r="10235" ht="15.75" customHeight="1">
      <c r="A10235" s="1">
        <v>11029.0</v>
      </c>
      <c r="B10235" s="3" t="s">
        <v>9769</v>
      </c>
      <c r="C10235" s="3" t="str">
        <f>IFERROR(__xludf.DUMMYFUNCTION("GOOGLETRANSLATE(B10235,""id"",""en"")"),"['It's easy', '']")</f>
        <v>['It's easy', '']</v>
      </c>
      <c r="D10235" s="3">
        <v>5.0</v>
      </c>
    </row>
    <row r="10236" ht="15.75" customHeight="1">
      <c r="A10236" s="1">
        <v>11030.0</v>
      </c>
      <c r="B10236" s="3" t="s">
        <v>9770</v>
      </c>
      <c r="C10236" s="3" t="str">
        <f>IFERROR(__xludf.DUMMYFUNCTION("GOOGLETRANSLATE(B10236,""id"",""en"")"),"['Fix', 'signal', 'voucher', 'expensive', 'signal', 'kek', 'kntl', 'play', 'game', 'ping', 'play', 'game', ' good ',' ping ',' fix ',' signal ',' dlu ',' taik ']")</f>
        <v>['Fix', 'signal', 'voucher', 'expensive', 'signal', 'kek', 'kntl', 'play', 'game', 'ping', 'play', 'game', ' good ',' ping ',' fix ',' signal ',' dlu ',' taik ']</v>
      </c>
      <c r="D10236" s="3">
        <v>1.0</v>
      </c>
    </row>
    <row r="10237" ht="15.75" customHeight="1">
      <c r="A10237" s="1">
        <v>11031.0</v>
      </c>
      <c r="B10237" s="3" t="s">
        <v>9771</v>
      </c>
      <c r="C10237" s="3" t="str">
        <f>IFERROR(__xludf.DUMMYFUNCTION("GOOGLETRANSLATE(B10237,""id"",""en"")"),"['Redem', 'Point', 'Fanta', 'Alfamart', 'shop', 'Alfamart', 'Wrong', 'Fanta', 'road', 'bamboo', 'cashier', 'understand', ' funny ',' shop ',' road ',' fishing pan ',' terrain ',' stock ',' empty ',' promo ',' stock ',' conclude ',' Telkomsel ',' promo ','"&amp;" coordination ' , 'Merchat', 'Alfamart', 'travel', 'Pass', 'spend', 'road', 'foot', 'results', 'times', 'brave', 'try', ""]")</f>
        <v>['Redem', 'Point', 'Fanta', 'Alfamart', 'shop', 'Alfamart', 'Wrong', 'Fanta', 'road', 'bamboo', 'cashier', 'understand', ' funny ',' shop ',' road ',' fishing pan ',' terrain ',' stock ',' empty ',' promo ',' stock ',' conclude ',' Telkomsel ',' promo ',' coordination ' , 'Merchat', 'Alfamart', 'travel', 'Pass', 'spend', 'road', 'foot', 'results', 'times', 'brave', 'try', "]</v>
      </c>
      <c r="D10237" s="3">
        <v>1.0</v>
      </c>
    </row>
    <row r="10238" ht="15.75" customHeight="1">
      <c r="A10238" s="1">
        <v>11032.0</v>
      </c>
      <c r="B10238" s="3" t="s">
        <v>9772</v>
      </c>
      <c r="C10238" s="3" t="str">
        <f>IFERROR(__xludf.DUMMYFUNCTION("GOOGLETRANSLATE(B10238,""id"",""en"")"),"['check', 'pulse', 'easy']")</f>
        <v>['check', 'pulse', 'easy']</v>
      </c>
      <c r="D10238" s="3">
        <v>1.0</v>
      </c>
    </row>
    <row r="10239" ht="15.75" customHeight="1">
      <c r="A10239" s="1">
        <v>11033.0</v>
      </c>
      <c r="B10239" s="3" t="s">
        <v>9773</v>
      </c>
      <c r="C10239" s="3" t="str">
        <f>IFERROR(__xludf.DUMMYFUNCTION("GOOGLETRANSLATE(B10239,""id"",""en"")"),"['lbh', 'cpt', 'dlm', 'check', 'quota']")</f>
        <v>['lbh', 'cpt', 'dlm', 'check', 'quota']</v>
      </c>
      <c r="D10239" s="3">
        <v>5.0</v>
      </c>
    </row>
    <row r="10240" ht="15.75" customHeight="1">
      <c r="A10240" s="1">
        <v>11034.0</v>
      </c>
      <c r="B10240" s="3" t="s">
        <v>9774</v>
      </c>
      <c r="C10240" s="3" t="str">
        <f>IFERROR(__xludf.DUMMYFUNCTION("GOOGLETRANSLATE(B10240,""id"",""en"")"),"['Package', 'Sakti', 'Cheap']")</f>
        <v>['Package', 'Sakti', 'Cheap']</v>
      </c>
      <c r="D10240" s="3">
        <v>5.0</v>
      </c>
    </row>
    <row r="10241" ht="15.75" customHeight="1">
      <c r="A10241" s="1">
        <v>11035.0</v>
      </c>
      <c r="B10241" s="3" t="s">
        <v>9775</v>
      </c>
      <c r="C10241" s="3" t="str">
        <f>IFERROR(__xludf.DUMMYFUNCTION("GOOGLETRANSLATE(B10241,""id"",""en"")"),"['App', 'Telkomsel', 'Menu', 'Combo', 'Sakti', 'Unlimited', '']")</f>
        <v>['App', 'Telkomsel', 'Menu', 'Combo', 'Sakti', 'Unlimited', '']</v>
      </c>
      <c r="D10241" s="3">
        <v>1.0</v>
      </c>
    </row>
    <row r="10242" ht="15.75" customHeight="1">
      <c r="A10242" s="1">
        <v>11036.0</v>
      </c>
      <c r="B10242" s="3" t="s">
        <v>9776</v>
      </c>
      <c r="C10242" s="3" t="str">
        <f>IFERROR(__xludf.DUMMYFUNCTION("GOOGLETRANSLATE(B10242,""id"",""en"")"),"['watch', 'youtube', 'pketan', 'main', 'reduced', 'package', 'youtube', 'cheater']")</f>
        <v>['watch', 'youtube', 'pketan', 'main', 'reduced', 'package', 'youtube', 'cheater']</v>
      </c>
      <c r="D10242" s="3">
        <v>1.0</v>
      </c>
    </row>
    <row r="10243" ht="15.75" customHeight="1">
      <c r="A10243" s="1">
        <v>11037.0</v>
      </c>
      <c r="B10243" s="3" t="s">
        <v>9777</v>
      </c>
      <c r="C10243" s="3" t="str">
        <f>IFERROR(__xludf.DUMMYFUNCTION("GOOGLETRANSLATE(B10243,""id"",""en"")"),"['My APK', 'Bags']")</f>
        <v>['My APK', 'Bags']</v>
      </c>
      <c r="D10243" s="3">
        <v>5.0</v>
      </c>
    </row>
    <row r="10244" ht="15.75" customHeight="1">
      <c r="A10244" s="1">
        <v>11038.0</v>
      </c>
      <c r="B10244" s="3" t="s">
        <v>3616</v>
      </c>
      <c r="C10244" s="3" t="str">
        <f>IFERROR(__xludf.DUMMYFUNCTION("GOOGLETRANSLATE(B10244,""id"",""en"")"),"['application', 'good']")</f>
        <v>['application', 'good']</v>
      </c>
      <c r="D10244" s="3">
        <v>5.0</v>
      </c>
    </row>
    <row r="10245" ht="15.75" customHeight="1">
      <c r="A10245" s="1">
        <v>11039.0</v>
      </c>
      <c r="B10245" s="3" t="s">
        <v>9778</v>
      </c>
      <c r="C10245" s="3" t="str">
        <f>IFERROR(__xludf.DUMMYFUNCTION("GOOGLETRANSLATE(B10245,""id"",""en"")"),"['Disappointed', 'really', 'provider', 'Telkomsel', 'times',' experience ',' package ',' data ',' active ',' package ',' data ',' GB ',' Please '""explanation']")</f>
        <v>['Disappointed', 'really', 'provider', 'Telkomsel', 'times',' experience ',' package ',' data ',' active ',' package ',' data ',' GB ',' Please '"explanation']</v>
      </c>
      <c r="D10245" s="3">
        <v>1.0</v>
      </c>
    </row>
    <row r="10246" ht="15.75" customHeight="1">
      <c r="A10246" s="1">
        <v>11040.0</v>
      </c>
      <c r="B10246" s="3" t="s">
        <v>9779</v>
      </c>
      <c r="C10246" s="3" t="str">
        <f>IFERROR(__xludf.DUMMYFUNCTION("GOOGLETRANSLATE(B10246,""id"",""en"")"),"['Please', 'expensive', 'good', 'network', 'price', 'Minah', 'kada', 'good', 'network', 'expensive', 'pig', '']")</f>
        <v>['Please', 'expensive', 'good', 'network', 'price', 'Minah', 'kada', 'good', 'network', 'expensive', 'pig', '']</v>
      </c>
      <c r="D10246" s="3">
        <v>1.0</v>
      </c>
    </row>
    <row r="10247" ht="15.75" customHeight="1">
      <c r="A10247" s="1">
        <v>11041.0</v>
      </c>
      <c r="B10247" s="3" t="s">
        <v>9780</v>
      </c>
      <c r="C10247" s="3" t="str">
        <f>IFERROR(__xludf.DUMMYFUNCTION("GOOGLETRANSLATE(B10247,""id"",""en"")"),"['Steady', 'staple', ""]")</f>
        <v>['Steady', 'staple', "]</v>
      </c>
      <c r="D10247" s="3">
        <v>5.0</v>
      </c>
    </row>
    <row r="10248" ht="15.75" customHeight="1">
      <c r="A10248" s="1">
        <v>11042.0</v>
      </c>
      <c r="B10248" s="3" t="s">
        <v>9781</v>
      </c>
      <c r="C10248" s="3" t="str">
        <f>IFERROR(__xludf.DUMMYFUNCTION("GOOGLETRANSLATE(B10248,""id"",""en"")"),"['steady', 'signal']")</f>
        <v>['steady', 'signal']</v>
      </c>
      <c r="D10248" s="3">
        <v>5.0</v>
      </c>
    </row>
    <row r="10249" ht="15.75" customHeight="1">
      <c r="A10249" s="1">
        <v>11043.0</v>
      </c>
      <c r="B10249" s="3" t="s">
        <v>5198</v>
      </c>
      <c r="C10249" s="3" t="str">
        <f>IFERROR(__xludf.DUMMYFUNCTION("GOOGLETRANSLATE(B10249,""id"",""en"")"),"['Useful', 'help']")</f>
        <v>['Useful', 'help']</v>
      </c>
      <c r="D10249" s="3">
        <v>5.0</v>
      </c>
    </row>
    <row r="10250" ht="15.75" customHeight="1">
      <c r="A10250" s="1">
        <v>11044.0</v>
      </c>
      <c r="B10250" s="3" t="s">
        <v>9782</v>
      </c>
      <c r="C10250" s="3" t="str">
        <f>IFERROR(__xludf.DUMMYFUNCTION("GOOGLETRANSLATE(B10250,""id"",""en"")"),"['Review', 'concise', 'Language', 'Society', 'Simple', 'Simple', 'Enchanting']")</f>
        <v>['Review', 'concise', 'Language', 'Society', 'Simple', 'Simple', 'Enchanting']</v>
      </c>
      <c r="D10250" s="3">
        <v>5.0</v>
      </c>
    </row>
    <row r="10251" ht="15.75" customHeight="1">
      <c r="A10251" s="1">
        <v>11045.0</v>
      </c>
      <c r="B10251" s="3" t="s">
        <v>9783</v>
      </c>
      <c r="C10251" s="3" t="str">
        <f>IFERROR(__xludf.DUMMYFUNCTION("GOOGLETRANSLATE(B10251,""id"",""en"")"),"['oath', 'bangse', 'application', 'already', 'mah', 'signal', 'ilang', 'mulu', 'package', 'expensive', 'quality', 'collapse', ' Parahhh ',' Open ',' ']")</f>
        <v>['oath', 'bangse', 'application', 'already', 'mah', 'signal', 'ilang', 'mulu', 'package', 'expensive', 'quality', 'collapse', ' Parahhh ',' Open ',' ']</v>
      </c>
      <c r="D10251" s="3">
        <v>1.0</v>
      </c>
    </row>
    <row r="10252" ht="15.75" customHeight="1">
      <c r="A10252" s="1">
        <v>11046.0</v>
      </c>
      <c r="B10252" s="3" t="s">
        <v>9784</v>
      </c>
      <c r="C10252" s="3" t="str">
        <f>IFERROR(__xludf.DUMMYFUNCTION("GOOGLETRANSLATE(B10252,""id"",""en"")"),"['easy', 'check', 'quota', 'buy', 'package', 'data']")</f>
        <v>['easy', 'check', 'quota', 'buy', 'package', 'data']</v>
      </c>
      <c r="D10252" s="3">
        <v>5.0</v>
      </c>
    </row>
    <row r="10253" ht="15.75" customHeight="1">
      <c r="A10253" s="1">
        <v>11047.0</v>
      </c>
      <c r="B10253" s="3" t="s">
        <v>2423</v>
      </c>
      <c r="C10253" s="3" t="str">
        <f>IFERROR(__xludf.DUMMYFUNCTION("GOOGLETRANSLATE(B10253,""id"",""en"")"),"['Steady', 'help']")</f>
        <v>['Steady', 'help']</v>
      </c>
      <c r="D10253" s="3">
        <v>5.0</v>
      </c>
    </row>
    <row r="10254" ht="15.75" customHeight="1">
      <c r="A10254" s="1">
        <v>11048.0</v>
      </c>
      <c r="B10254" s="3" t="s">
        <v>9785</v>
      </c>
      <c r="C10254" s="3" t="str">
        <f>IFERROR(__xludf.DUMMYFUNCTION("GOOGLETRANSLATE(B10254,""id"",""en"")"),"['Telkomsel', 'Quota', 'Watch', 'Local', 'Sumpot', 'Quota', 'Regular', 'Quota', 'Watch', 'Local', 'Reduced']")</f>
        <v>['Telkomsel', 'Quota', 'Watch', 'Local', 'Sumpot', 'Quota', 'Regular', 'Quota', 'Watch', 'Local', 'Reduced']</v>
      </c>
      <c r="D10254" s="3">
        <v>4.0</v>
      </c>
    </row>
    <row r="10255" ht="15.75" customHeight="1">
      <c r="A10255" s="1">
        <v>11050.0</v>
      </c>
      <c r="B10255" s="3" t="s">
        <v>9786</v>
      </c>
      <c r="C10255" s="3" t="str">
        <f>IFERROR(__xludf.DUMMYFUNCTION("GOOGLETRANSLATE(B10255,""id"",""en"")"),"['quota', 'expensive', 'ganguan', 'Telkomsel', 'lose', 'tri', '']")</f>
        <v>['quota', 'expensive', 'ganguan', 'Telkomsel', 'lose', 'tri', '']</v>
      </c>
      <c r="D10255" s="3">
        <v>1.0</v>
      </c>
    </row>
    <row r="10256" ht="15.75" customHeight="1">
      <c r="A10256" s="1">
        <v>11051.0</v>
      </c>
      <c r="B10256" s="3" t="s">
        <v>9787</v>
      </c>
      <c r="C10256" s="3" t="str">
        <f>IFERROR(__xludf.DUMMYFUNCTION("GOOGLETRANSLATE(B10256,""id"",""en"")"),"['Your Network', 'Rich', 'Fool', 'Play', 'Game', 'Online', 'Kaga', 'Current', 'Gonta', 'Change', ""]")</f>
        <v>['Your Network', 'Rich', 'Fool', 'Play', 'Game', 'Online', 'Kaga', 'Current', 'Gonta', 'Change', "]</v>
      </c>
      <c r="D10256" s="3">
        <v>1.0</v>
      </c>
    </row>
    <row r="10257" ht="15.75" customHeight="1">
      <c r="A10257" s="1">
        <v>11052.0</v>
      </c>
      <c r="B10257" s="3" t="s">
        <v>9788</v>
      </c>
      <c r="C10257" s="3" t="str">
        <f>IFERROR(__xludf.DUMMYFUNCTION("GOOGLETRANSLATE(B10257,""id"",""en"")"),"['signal', 'ugly', 'room', 'mah']")</f>
        <v>['signal', 'ugly', 'room', 'mah']</v>
      </c>
      <c r="D10257" s="3">
        <v>1.0</v>
      </c>
    </row>
    <row r="10258" ht="15.75" customHeight="1">
      <c r="A10258" s="1">
        <v>11053.0</v>
      </c>
      <c r="B10258" s="3" t="s">
        <v>9789</v>
      </c>
      <c r="C10258" s="3" t="str">
        <f>IFERROR(__xludf.DUMMYFUNCTION("GOOGLETRANSLATE(B10258,""id"",""en"")"),"['Help', 'Purchase', 'Package', 'Data']")</f>
        <v>['Help', 'Purchase', 'Package', 'Data']</v>
      </c>
      <c r="D10258" s="3">
        <v>5.0</v>
      </c>
    </row>
    <row r="10259" ht="15.75" customHeight="1">
      <c r="A10259" s="1">
        <v>11054.0</v>
      </c>
      <c r="B10259" s="3" t="s">
        <v>9790</v>
      </c>
      <c r="C10259" s="3" t="str">
        <f>IFERROR(__xludf.DUMMYFUNCTION("GOOGLETRANSLATE(B10259,""id"",""en"")"),"['bsa', 'log', 'difficult', 'fill in', 'package', 'data', 'sodara', 'dokupung', '']")</f>
        <v>['bsa', 'log', 'difficult', 'fill in', 'package', 'data', 'sodara', 'dokupung', '']</v>
      </c>
      <c r="D10259" s="3">
        <v>1.0</v>
      </c>
    </row>
    <row r="10260" ht="15.75" customHeight="1">
      <c r="A10260" s="1">
        <v>11055.0</v>
      </c>
      <c r="B10260" s="3" t="s">
        <v>9791</v>
      </c>
      <c r="C10260" s="3" t="str">
        <f>IFERROR(__xludf.DUMMYFUNCTION("GOOGLETRANSLATE(B10260,""id"",""en"")"),"['Telkomsel', 'closed', 'opened', 'please', 'admin', 'explorer']")</f>
        <v>['Telkomsel', 'closed', 'opened', 'please', 'admin', 'explorer']</v>
      </c>
      <c r="D10260" s="3">
        <v>1.0</v>
      </c>
    </row>
    <row r="10261" ht="15.75" customHeight="1">
      <c r="A10261" s="1">
        <v>11056.0</v>
      </c>
      <c r="B10261" s="3" t="s">
        <v>9792</v>
      </c>
      <c r="C10261" s="3" t="str">
        <f>IFERROR(__xludf.DUMMYFUNCTION("GOOGLETRANSLATE(B10261,""id"",""en"")"),"['Good', 'really', 'cheap']")</f>
        <v>['Good', 'really', 'cheap']</v>
      </c>
      <c r="D10261" s="3">
        <v>5.0</v>
      </c>
    </row>
    <row r="10262" ht="15.75" customHeight="1">
      <c r="A10262" s="1">
        <v>11057.0</v>
      </c>
      <c r="B10262" s="3" t="s">
        <v>2264</v>
      </c>
      <c r="C10262" s="3" t="str">
        <f>IFERROR(__xludf.DUMMYFUNCTION("GOOGLETRANSLATE(B10262,""id"",""en"")"),"['APK', 'good']")</f>
        <v>['APK', 'good']</v>
      </c>
      <c r="D10262" s="3">
        <v>5.0</v>
      </c>
    </row>
    <row r="10263" ht="15.75" customHeight="1">
      <c r="A10263" s="1">
        <v>11058.0</v>
      </c>
      <c r="B10263" s="3" t="s">
        <v>9793</v>
      </c>
      <c r="C10263" s="3" t="str">
        <f>IFERROR(__xludf.DUMMYFUNCTION("GOOGLETRANSLATE(B10263,""id"",""en"")"),"['Failed', 'Download', 'Mulu', 'Memory', 'Full', 'Already', 'Delete', 'APK', ""]")</f>
        <v>['Failed', 'Download', 'Mulu', 'Memory', 'Full', 'Already', 'Delete', 'APK', "]</v>
      </c>
      <c r="D10263" s="3">
        <v>3.0</v>
      </c>
    </row>
    <row r="10264" ht="15.75" customHeight="1">
      <c r="A10264" s="1">
        <v>11059.0</v>
      </c>
      <c r="B10264" s="3" t="s">
        <v>9794</v>
      </c>
      <c r="C10264" s="3" t="str">
        <f>IFERROR(__xludf.DUMMYFUNCTION("GOOGLETRANSLATE(B10264,""id"",""en"")"),"['Tower', 'Tower', 'Telkomsel', 'in the area', 'abai', 'sangir', 'batabg', 'district', 'solok', 'south', 'user', 'causing', ' Lola ']")</f>
        <v>['Tower', 'Tower', 'Telkomsel', 'in the area', 'abai', 'sangir', 'batabg', 'district', 'solok', 'south', 'user', 'causing', ' Lola ']</v>
      </c>
      <c r="D10264" s="3">
        <v>5.0</v>
      </c>
    </row>
    <row r="10265" ht="15.75" customHeight="1">
      <c r="A10265" s="1">
        <v>11060.0</v>
      </c>
      <c r="B10265" s="3" t="s">
        <v>9795</v>
      </c>
      <c r="C10265" s="3" t="str">
        <f>IFERROR(__xludf.DUMMYFUNCTION("GOOGLETRANSLATE(B10265,""id"",""en"")"),"['Out' 'download', 'Application', 'Register', 'Internet', 'Direct', 'Ngeleg', 'Current']")</f>
        <v>['Out' 'download', 'Application', 'Register', 'Internet', 'Direct', 'Ngeleg', 'Current']</v>
      </c>
      <c r="D10265" s="3">
        <v>1.0</v>
      </c>
    </row>
    <row r="10266" ht="15.75" customHeight="1">
      <c r="A10266" s="1">
        <v>11061.0</v>
      </c>
      <c r="B10266" s="3" t="s">
        <v>9796</v>
      </c>
      <c r="C10266" s="3" t="str">
        <f>IFERROR(__xludf.DUMMYFUNCTION("GOOGLETRANSLATE(B10266,""id"",""en"")"),"['dear', 'Sometimes', 'sms', 'promo', 'check', 'ndak']")</f>
        <v>['dear', 'Sometimes', 'sms', 'promo', 'check', 'ndak']</v>
      </c>
      <c r="D10266" s="3">
        <v>5.0</v>
      </c>
    </row>
    <row r="10267" ht="15.75" customHeight="1">
      <c r="A10267" s="1">
        <v>11063.0</v>
      </c>
      <c r="B10267" s="3" t="s">
        <v>9797</v>
      </c>
      <c r="C10267" s="3" t="str">
        <f>IFERROR(__xludf.DUMMYFUNCTION("GOOGLETRANSLATE(B10267,""id"",""en"")"),"['Good', 'Helping', 'Application', 'Telkomsel', 'Lotsin', 'Promo', 'Coupon', ""]")</f>
        <v>['Good', 'Helping', 'Application', 'Telkomsel', 'Lotsin', 'Promo', 'Coupon', "]</v>
      </c>
      <c r="D10267" s="3">
        <v>5.0</v>
      </c>
    </row>
    <row r="10268" ht="15.75" customHeight="1">
      <c r="A10268" s="1">
        <v>11064.0</v>
      </c>
      <c r="B10268" s="3" t="s">
        <v>9798</v>
      </c>
      <c r="C10268" s="3" t="str">
        <f>IFERROR(__xludf.DUMMYFUNCTION("GOOGLETRANSLATE(B10268,""id"",""en"")"),"['payment', 'via', 'Ovo', 'problematic', 'right', 'udh', 'fill in', 'pulse', 'payment', 'package', 'tetep', 'wish', ' Application ',' Mending ',' Delete ',' Payment ']")</f>
        <v>['payment', 'via', 'Ovo', 'problematic', 'right', 'udh', 'fill in', 'pulse', 'payment', 'package', 'tetep', 'wish', ' Application ',' Mending ',' Delete ',' Payment ']</v>
      </c>
      <c r="D10268" s="3">
        <v>1.0</v>
      </c>
    </row>
    <row r="10269" ht="15.75" customHeight="1">
      <c r="A10269" s="1">
        <v>11065.0</v>
      </c>
      <c r="B10269" s="3" t="s">
        <v>9799</v>
      </c>
      <c r="C10269" s="3" t="str">
        <f>IFERROR(__xludf.DUMMYFUNCTION("GOOGLETRANSLATE(B10269,""id"",""en"")"),"['Increase', 'purchase', 'quality', 'additional']")</f>
        <v>['Increase', 'purchase', 'quality', 'additional']</v>
      </c>
      <c r="D10269" s="3">
        <v>5.0</v>
      </c>
    </row>
    <row r="10270" ht="15.75" customHeight="1">
      <c r="A10270" s="1">
        <v>11066.0</v>
      </c>
      <c r="B10270" s="3" t="s">
        <v>9800</v>
      </c>
      <c r="C10270" s="3" t="str">
        <f>IFERROR(__xludf.DUMMYFUNCTION("GOOGLETRANSLATE(B10270,""id"",""en"")"),"['Come', 'ugly', 'application', 'open', 'difficult', 'uninstall', 'download', 'that's',' so ',' trs', 'bkn', 'problematic', ' people ',' experience ',' constraints', 'fix', 'application', 'satisfaction', 'customers',' Telkomsel ',' thank ',' love ', ""]")</f>
        <v>['Come', 'ugly', 'application', 'open', 'difficult', 'uninstall', 'download', 'that's',' so ',' trs', 'bkn', 'problematic', ' people ',' experience ',' constraints', 'fix', 'application', 'satisfaction', 'customers',' Telkomsel ',' thank ',' love ', "]</v>
      </c>
      <c r="D10270" s="3">
        <v>1.0</v>
      </c>
    </row>
    <row r="10271" ht="15.75" customHeight="1">
      <c r="A10271" s="1">
        <v>11067.0</v>
      </c>
      <c r="B10271" s="3" t="s">
        <v>9801</v>
      </c>
      <c r="C10271" s="3" t="str">
        <f>IFERROR(__xludf.DUMMYFUNCTION("GOOGLETRANSLATE(B10271,""id"",""en"")"),"['see', 'contents', 'aaakeet', 'buy', 'package']")</f>
        <v>['see', 'contents', 'aaakeet', 'buy', 'package']</v>
      </c>
      <c r="D10271" s="3">
        <v>5.0</v>
      </c>
    </row>
    <row r="10272" ht="15.75" customHeight="1">
      <c r="A10272" s="1">
        <v>11068.0</v>
      </c>
      <c r="B10272" s="3" t="s">
        <v>9802</v>
      </c>
      <c r="C10272" s="3" t="str">
        <f>IFERROR(__xludf.DUMMYFUNCTION("GOOGLETRANSLATE(B10272,""id"",""en"")"),"['Signal', 'like', 'ilang', 'emang', 'Telkom', 'Try', 'Alesan', ""]")</f>
        <v>['Signal', 'like', 'ilang', 'emang', 'Telkom', 'Try', 'Alesan', "]</v>
      </c>
      <c r="D10272" s="3">
        <v>1.0</v>
      </c>
    </row>
    <row r="10273" ht="15.75" customHeight="1">
      <c r="A10273" s="1">
        <v>11069.0</v>
      </c>
      <c r="B10273" s="3" t="s">
        <v>9803</v>
      </c>
      <c r="C10273" s="3" t="str">
        <f>IFERROR(__xludf.DUMMYFUNCTION("GOOGLETRANSLATE(B10273,""id"",""en"")"),"['Sangan', 'it's easy']")</f>
        <v>['Sangan', 'it's easy']</v>
      </c>
      <c r="D10273" s="3">
        <v>5.0</v>
      </c>
    </row>
    <row r="10274" ht="15.75" customHeight="1">
      <c r="A10274" s="1">
        <v>11070.0</v>
      </c>
      <c r="B10274" s="3" t="s">
        <v>9804</v>
      </c>
      <c r="C10274" s="3" t="str">
        <f>IFERROR(__xludf.DUMMYFUNCTION("GOOGLETRANSLATE(B10274,""id"",""en"")"),"['pulse', 'drained', 'package', 'internet']")</f>
        <v>['pulse', 'drained', 'package', 'internet']</v>
      </c>
      <c r="D10274" s="3">
        <v>1.0</v>
      </c>
    </row>
    <row r="10275" ht="15.75" customHeight="1">
      <c r="A10275" s="1">
        <v>11071.0</v>
      </c>
      <c r="B10275" s="3" t="s">
        <v>9805</v>
      </c>
      <c r="C10275" s="3" t="str">
        <f>IFERROR(__xludf.DUMMYFUNCTION("GOOGLETRANSLATE(B10275,""id"",""en"")"),"['Telkomsel', 'Points']")</f>
        <v>['Telkomsel', 'Points']</v>
      </c>
      <c r="D10275" s="3">
        <v>1.0</v>
      </c>
    </row>
    <row r="10276" ht="15.75" customHeight="1">
      <c r="A10276" s="1">
        <v>11072.0</v>
      </c>
      <c r="B10276" s="3" t="s">
        <v>9806</v>
      </c>
      <c r="C10276" s="3" t="str">
        <f>IFERROR(__xludf.DUMMYFUNCTION("GOOGLETRANSLATE(B10276,""id"",""en"")"),"['Severe', 'Credit', 'Out', 'Cut', 'Package', 'Internet', 'On', '']")</f>
        <v>['Severe', 'Credit', 'Out', 'Cut', 'Package', 'Internet', 'On', '']</v>
      </c>
      <c r="D10276" s="3">
        <v>1.0</v>
      </c>
    </row>
    <row r="10277" ht="15.75" customHeight="1">
      <c r="A10277" s="1">
        <v>11073.0</v>
      </c>
      <c r="B10277" s="3" t="s">
        <v>9807</v>
      </c>
      <c r="C10277" s="3" t="str">
        <f>IFERROR(__xludf.DUMMYFUNCTION("GOOGLETRANSLATE(B10277,""id"",""en"")"),"['expensive', 'doang', 'signal', 'rich', 'make', 'provider', 'cheap', 'slow', 'really', ""]")</f>
        <v>['expensive', 'doang', 'signal', 'rich', 'make', 'provider', 'cheap', 'slow', 'really', "]</v>
      </c>
      <c r="D10277" s="3">
        <v>1.0</v>
      </c>
    </row>
    <row r="10278" ht="15.75" customHeight="1">
      <c r="A10278" s="1">
        <v>11074.0</v>
      </c>
      <c r="B10278" s="3" t="s">
        <v>9808</v>
      </c>
      <c r="C10278" s="3" t="str">
        <f>IFERROR(__xludf.DUMMYFUNCTION("GOOGLETRANSLATE(B10278,""id"",""en"")"),"['Thank', 'You', 'Service', 'Good', '']")</f>
        <v>['Thank', 'You', 'Service', 'Good', '']</v>
      </c>
      <c r="D10278" s="3">
        <v>1.0</v>
      </c>
    </row>
    <row r="10279" ht="15.75" customHeight="1">
      <c r="A10279" s="1">
        <v>11077.0</v>
      </c>
      <c r="B10279" s="3" t="s">
        <v>9809</v>
      </c>
      <c r="C10279" s="3" t="str">
        <f>IFERROR(__xludf.DUMMYFUNCTION("GOOGLETRANSLATE(B10279,""id"",""en"")"),"['Network', 'internet', 'slow']")</f>
        <v>['Network', 'internet', 'slow']</v>
      </c>
      <c r="D10279" s="3">
        <v>1.0</v>
      </c>
    </row>
    <row r="10280" ht="15.75" customHeight="1">
      <c r="A10280" s="1">
        <v>11078.0</v>
      </c>
      <c r="B10280" s="3" t="s">
        <v>9810</v>
      </c>
      <c r="C10280" s="3" t="str">
        <f>IFERROR(__xludf.DUMMYFUNCTION("GOOGLETRANSLATE(B10280,""id"",""en"")"),"['Casik', 'star', 'signal', 'Telkomsel', 'at home', 'Package', 'Unlimeted', 'Pakek', 'Telkomsel', 'Region', 'home', 'Tenggelist', ' Mejoyo ',' Kendang ',' Sari ',' Please ',' Assisted ',' ']")</f>
        <v>['Casik', 'star', 'signal', 'Telkomsel', 'at home', 'Package', 'Unlimeted', 'Pakek', 'Telkomsel', 'Region', 'home', 'Tenggelist', ' Mejoyo ',' Kendang ',' Sari ',' Please ',' Assisted ',' ']</v>
      </c>
      <c r="D10280" s="3">
        <v>1.0</v>
      </c>
    </row>
    <row r="10281" ht="15.75" customHeight="1">
      <c r="A10281" s="1">
        <v>11079.0</v>
      </c>
      <c r="B10281" s="3" t="s">
        <v>9811</v>
      </c>
      <c r="C10281" s="3" t="str">
        <f>IFERROR(__xludf.DUMMYFUNCTION("GOOGLETRANSLATE(B10281,""id"",""en"")"),"['open', 'application', 'slow', 'really', 'company', 'state', 'service', 'really', 'appeal', 'product', 'private', 'internet', ' slow ',' really ',' price ',' expensive ',' really ',' woooooy ',' minister ',' BUMN ',' investigated ',' pangs', 'corruption'"&amp;"]")</f>
        <v>['open', 'application', 'slow', 'really', 'company', 'state', 'service', 'really', 'appeal', 'product', 'private', 'internet', ' slow ',' really ',' price ',' expensive ',' really ',' woooooy ',' minister ',' BUMN ',' investigated ',' pangs', 'corruption']</v>
      </c>
      <c r="D10281" s="3">
        <v>1.0</v>
      </c>
    </row>
    <row r="10282" ht="15.75" customHeight="1">
      <c r="A10282" s="1">
        <v>11080.0</v>
      </c>
      <c r="B10282" s="3" t="s">
        <v>9812</v>
      </c>
      <c r="C10282" s="3" t="str">
        <f>IFERROR(__xludf.DUMMYFUNCTION("GOOGLETRANSLATE(B10282,""id"",""en"")"),"['Disappointed', 'Package', 'Combo', 'Sakti', 'Unlimited', 'Multimedia', 'Use', 'Internet', 'Main', 'Out', 'sosmed', 'Contents',' package', '']")</f>
        <v>['Disappointed', 'Package', 'Combo', 'Sakti', 'Unlimited', 'Multimedia', 'Use', 'Internet', 'Main', 'Out', 'sosmed', 'Contents',' package', '']</v>
      </c>
      <c r="D10282" s="3">
        <v>3.0</v>
      </c>
    </row>
    <row r="10283" ht="15.75" customHeight="1">
      <c r="A10283" s="1">
        <v>11081.0</v>
      </c>
      <c r="B10283" s="3" t="s">
        <v>9813</v>
      </c>
      <c r="C10283" s="3" t="str">
        <f>IFERROR(__xludf.DUMMYFUNCTION("GOOGLETRANSLATE(B10283,""id"",""en"")"),"['Help', 'need', 'sosmed', '']")</f>
        <v>['Help', 'need', 'sosmed', '']</v>
      </c>
      <c r="D10283" s="3">
        <v>5.0</v>
      </c>
    </row>
    <row r="10284" ht="15.75" customHeight="1">
      <c r="A10284" s="1">
        <v>11082.0</v>
      </c>
      <c r="B10284" s="3" t="s">
        <v>9814</v>
      </c>
      <c r="C10284" s="3" t="str">
        <f>IFERROR(__xludf.DUMMYFUNCTION("GOOGLETRANSLATE(B10284,""id"",""en"")"),"['Package', 'KOMBO', 'SAKTI', 'APP', 'YAA', 'Please', 'Enlightenment', '']")</f>
        <v>['Package', 'KOMBO', 'SAKTI', 'APP', 'YAA', 'Please', 'Enlightenment', '']</v>
      </c>
      <c r="D10284" s="3">
        <v>4.0</v>
      </c>
    </row>
    <row r="10285" ht="15.75" customHeight="1">
      <c r="A10285" s="1">
        <v>11083.0</v>
      </c>
      <c r="B10285" s="3" t="s">
        <v>9815</v>
      </c>
      <c r="C10285" s="3" t="str">
        <f>IFERROR(__xludf.DUMMYFUNCTION("GOOGLETRANSLATE(B10285,""id"",""en"")"),"['like', '']")</f>
        <v>['like', '']</v>
      </c>
      <c r="D10285" s="3">
        <v>5.0</v>
      </c>
    </row>
    <row r="10286" ht="15.75" customHeight="1">
      <c r="A10286" s="1">
        <v>11084.0</v>
      </c>
      <c r="B10286" s="3" t="s">
        <v>9816</v>
      </c>
      <c r="C10286" s="3" t="str">
        <f>IFERROR(__xludf.DUMMYFUNCTION("GOOGLETRANSLATE(B10286,""id"",""en"")"),"['easy', 'choice']")</f>
        <v>['easy', 'choice']</v>
      </c>
      <c r="D10286" s="3">
        <v>5.0</v>
      </c>
    </row>
    <row r="10287" ht="15.75" customHeight="1">
      <c r="A10287" s="1">
        <v>11085.0</v>
      </c>
      <c r="B10287" s="3" t="s">
        <v>9817</v>
      </c>
      <c r="C10287" s="3" t="str">
        <f>IFERROR(__xludf.DUMMYFUNCTION("GOOGLETRANSLATE(B10287,""id"",""en"")"),"['Position', 'Genting', 'Life', 'Dead', 'Search', 'Help', 'TLP', 'Use', 'Internet', 'Telkomsel', 'Jamin', 'People', ' Dead ',' Helped ',' ']")</f>
        <v>['Position', 'Genting', 'Life', 'Dead', 'Search', 'Help', 'TLP', 'Use', 'Internet', 'Telkomsel', 'Jamin', 'People', ' Dead ',' Helped ',' ']</v>
      </c>
      <c r="D10287" s="3">
        <v>1.0</v>
      </c>
    </row>
    <row r="10288" ht="15.75" customHeight="1">
      <c r="A10288" s="1">
        <v>11086.0</v>
      </c>
      <c r="B10288" s="3" t="s">
        <v>9818</v>
      </c>
      <c r="C10288" s="3" t="str">
        <f>IFERROR(__xludf.DUMMYFUNCTION("GOOGLETRANSLATE(B10288,""id"",""en"")"),"['Wonder', 'Telkomsel', 'internet', 'pulse', 'take']")</f>
        <v>['Wonder', 'Telkomsel', 'internet', 'pulse', 'take']</v>
      </c>
      <c r="D10288" s="3">
        <v>1.0</v>
      </c>
    </row>
    <row r="10289" ht="15.75" customHeight="1">
      <c r="A10289" s="1">
        <v>11087.0</v>
      </c>
      <c r="B10289" s="3" t="s">
        <v>9819</v>
      </c>
      <c r="C10289" s="3" t="str">
        <f>IFERROR(__xludf.DUMMYFUNCTION("GOOGLETRANSLATE(B10289,""id"",""en"")"),"['Telkomsel', 'promo']")</f>
        <v>['Telkomsel', 'promo']</v>
      </c>
      <c r="D10289" s="3">
        <v>5.0</v>
      </c>
    </row>
    <row r="10290" ht="15.75" customHeight="1">
      <c r="A10290" s="1">
        <v>11088.0</v>
      </c>
      <c r="B10290" s="3" t="s">
        <v>9820</v>
      </c>
      <c r="C10290" s="3" t="str">
        <f>IFERROR(__xludf.DUMMYFUNCTION("GOOGLETRANSLATE(B10290,""id"",""en"")"),"['application', 'buy', 'quota', 'cheap', 'promo', 'satisfying', 'network', 'decent', 'good', ""]")</f>
        <v>['application', 'buy', 'quota', 'cheap', 'promo', 'satisfying', 'network', 'decent', 'good', "]</v>
      </c>
      <c r="D10290" s="3">
        <v>4.0</v>
      </c>
    </row>
    <row r="10291" ht="15.75" customHeight="1">
      <c r="A10291" s="1">
        <v>11089.0</v>
      </c>
      <c r="B10291" s="3" t="s">
        <v>9821</v>
      </c>
      <c r="C10291" s="3" t="str">
        <f>IFERROR(__xludf.DUMMYFUNCTION("GOOGLETRANSLATE(B10291,""id"",""en"")"),"['loyal', 'user', 'Telkomsel']")</f>
        <v>['loyal', 'user', 'Telkomsel']</v>
      </c>
      <c r="D10291" s="3">
        <v>4.0</v>
      </c>
    </row>
    <row r="10292" ht="15.75" customHeight="1">
      <c r="A10292" s="1">
        <v>11090.0</v>
      </c>
      <c r="B10292" s="3" t="s">
        <v>9822</v>
      </c>
      <c r="C10292" s="3" t="str">
        <f>IFERROR(__xludf.DUMMYFUNCTION("GOOGLETRANSLATE(B10292,""id"",""en"")"),"['Please', 'package', 'emergency', 'gausah', 'content', 'pulse', 'truncated', 'looked', 'error', ""]")</f>
        <v>['Please', 'package', 'emergency', 'gausah', 'content', 'pulse', 'truncated', 'looked', 'error', "]</v>
      </c>
      <c r="D10292" s="3">
        <v>1.0</v>
      </c>
    </row>
    <row r="10293" ht="15.75" customHeight="1">
      <c r="A10293" s="1">
        <v>11091.0</v>
      </c>
      <c r="B10293" s="3" t="s">
        <v>9823</v>
      </c>
      <c r="C10293" s="3" t="str">
        <f>IFERROR(__xludf.DUMMYFUNCTION("GOOGLETRANSLATE(B10293,""id"",""en"")"),"['Sya', 'complain', 'tdak', 'sms',' kluar ',' sdgkan ',' suggestion ',' telkomsel ',' sya ',' jlnkan ',' ttpi ',' tdak ',' sms', 'kluar', 'gmna', 'mhon', 'explanation']")</f>
        <v>['Sya', 'complain', 'tdak', 'sms',' kluar ',' sdgkan ',' suggestion ',' telkomsel ',' sya ',' jlnkan ',' ttpi ',' tdak ',' sms', 'kluar', 'gmna', 'mhon', 'explanation']</v>
      </c>
      <c r="D10293" s="3">
        <v>1.0</v>
      </c>
    </row>
    <row r="10294" ht="15.75" customHeight="1">
      <c r="A10294" s="1">
        <v>11092.0</v>
      </c>
      <c r="B10294" s="3" t="s">
        <v>9824</v>
      </c>
      <c r="C10294" s="3" t="str">
        <f>IFERROR(__xludf.DUMMYFUNCTION("GOOGLETRANSLATE(B10294,""id"",""en"")"),"['price', 'exorbitant', 'network', 'ngelag']")</f>
        <v>['price', 'exorbitant', 'network', 'ngelag']</v>
      </c>
      <c r="D10294" s="3">
        <v>1.0</v>
      </c>
    </row>
    <row r="10295" ht="15.75" customHeight="1">
      <c r="A10295" s="1">
        <v>11094.0</v>
      </c>
      <c r="B10295" s="3" t="s">
        <v>9825</v>
      </c>
      <c r="C10295" s="3" t="str">
        <f>IFERROR(__xludf.DUMMYFUNCTION("GOOGLETRANSLATE(B10295,""id"",""en"")"),"['Applikasih', 'ugly', 'enter', 'application']")</f>
        <v>['Applikasih', 'ugly', 'enter', 'application']</v>
      </c>
      <c r="D10295" s="3">
        <v>1.0</v>
      </c>
    </row>
    <row r="10296" ht="15.75" customHeight="1">
      <c r="A10296" s="1">
        <v>11095.0</v>
      </c>
      <c r="B10296" s="3" t="s">
        <v>9826</v>
      </c>
      <c r="C10296" s="3" t="str">
        <f>IFERROR(__xludf.DUMMYFUNCTION("GOOGLETRANSLATE(B10296,""id"",""en"")"),"['Sometimes', 'network', 'like', 'slow']")</f>
        <v>['Sometimes', 'network', 'like', 'slow']</v>
      </c>
      <c r="D10296" s="3">
        <v>4.0</v>
      </c>
    </row>
    <row r="10297" ht="15.75" customHeight="1">
      <c r="A10297" s="1">
        <v>11096.0</v>
      </c>
      <c r="B10297" s="3" t="s">
        <v>9827</v>
      </c>
      <c r="C10297" s="3" t="str">
        <f>IFERROR(__xludf.DUMMYFUNCTION("GOOGLETRANSLATE(B10297,""id"",""en"")"),"['kouta', 'unlimited', 'game', 'writing', 'unlimited', 'game', 'strange']")</f>
        <v>['kouta', 'unlimited', 'game', 'writing', 'unlimited', 'game', 'strange']</v>
      </c>
      <c r="D10297" s="3">
        <v>1.0</v>
      </c>
    </row>
    <row r="10298" ht="15.75" customHeight="1">
      <c r="A10298" s="1">
        <v>11097.0</v>
      </c>
      <c r="B10298" s="3" t="s">
        <v>9828</v>
      </c>
      <c r="C10298" s="3" t="str">
        <f>IFERROR(__xludf.DUMMYFUNCTION("GOOGLETRANSLATE(B10298,""id"",""en"")"),"['Satisfied', 'Telkomsel', '']")</f>
        <v>['Satisfied', 'Telkomsel', '']</v>
      </c>
      <c r="D10298" s="3">
        <v>5.0</v>
      </c>
    </row>
    <row r="10299" ht="15.75" customHeight="1">
      <c r="A10299" s="1">
        <v>11098.0</v>
      </c>
      <c r="B10299" s="3" t="s">
        <v>9829</v>
      </c>
      <c r="C10299" s="3" t="str">
        <f>IFERROR(__xludf.DUMMYFUNCTION("GOOGLETRANSLATE(B10299,""id"",""en"")"),"['Unreg', 'Package', 'Data']")</f>
        <v>['Unreg', 'Package', 'Data']</v>
      </c>
      <c r="D10299" s="3">
        <v>4.0</v>
      </c>
    </row>
    <row r="10300" ht="15.75" customHeight="1">
      <c r="A10300" s="1">
        <v>11099.0</v>
      </c>
      <c r="B10300" s="3" t="s">
        <v>9830</v>
      </c>
      <c r="C10300" s="3" t="str">
        <f>IFERROR(__xludf.DUMMYFUNCTION("GOOGLETRANSLATE(B10300,""id"",""en"")"),"['Okay', 'Jaya', 'Defend', 'Kulitasnya']")</f>
        <v>['Okay', 'Jaya', 'Defend', 'Kulitasnya']</v>
      </c>
      <c r="D10300" s="3">
        <v>5.0</v>
      </c>
    </row>
    <row r="10301" ht="15.75" customHeight="1">
      <c r="A10301" s="1">
        <v>11101.0</v>
      </c>
      <c r="B10301" s="3" t="s">
        <v>9831</v>
      </c>
      <c r="C10301" s="3" t="str">
        <f>IFERROR(__xludf.DUMMYFUNCTION("GOOGLETRANSLATE(B10301,""id"",""en"")"),"['Good', 'easy', 'fast']")</f>
        <v>['Good', 'easy', 'fast']</v>
      </c>
      <c r="D10301" s="3">
        <v>5.0</v>
      </c>
    </row>
    <row r="10302" ht="15.75" customHeight="1">
      <c r="A10302" s="1">
        <v>11102.0</v>
      </c>
      <c r="B10302" s="3" t="s">
        <v>9832</v>
      </c>
      <c r="C10302" s="3" t="str">
        <f>IFERROR(__xludf.DUMMYFUNCTION("GOOGLETRANSLATE(B10302,""id"",""en"")"),"['Good', 'buy']")</f>
        <v>['Good', 'buy']</v>
      </c>
      <c r="D10302" s="3">
        <v>5.0</v>
      </c>
    </row>
    <row r="10303" ht="15.75" customHeight="1">
      <c r="A10303" s="1">
        <v>11103.0</v>
      </c>
      <c r="B10303" s="3" t="s">
        <v>9833</v>
      </c>
      <c r="C10303" s="3" t="str">
        <f>IFERROR(__xludf.DUMMYFUNCTION("GOOGLETRANSLATE(B10303,""id"",""en"")"),"['', 'area', 'signal', 'lost']")</f>
        <v>['', 'area', 'signal', 'lost']</v>
      </c>
      <c r="D10303" s="3">
        <v>3.0</v>
      </c>
    </row>
    <row r="10304" ht="15.75" customHeight="1">
      <c r="A10304" s="1">
        <v>11104.0</v>
      </c>
      <c r="B10304" s="3" t="s">
        <v>9834</v>
      </c>
      <c r="C10304" s="3" t="str">
        <f>IFERROR(__xludf.DUMMYFUNCTION("GOOGLETRANSLATE(B10304,""id"",""en"")"),"['operator', 'the most expensive', 'use', 'because', 'forced', 'operaor', 'pulse', 'thousand', 'card', 'speech', 'list', 'package', ' wasteful', '']")</f>
        <v>['operator', 'the most expensive', 'use', 'because', 'forced', 'operaor', 'pulse', 'thousand', 'card', 'speech', 'list', 'package', ' wasteful', '']</v>
      </c>
      <c r="D10304" s="3">
        <v>1.0</v>
      </c>
    </row>
    <row r="10305" ht="15.75" customHeight="1">
      <c r="A10305" s="1">
        <v>11105.0</v>
      </c>
      <c r="B10305" s="3" t="s">
        <v>9835</v>
      </c>
      <c r="C10305" s="3" t="str">
        <f>IFERROR(__xludf.DUMMYFUNCTION("GOOGLETRANSLATE(B10305,""id"",""en"")"),"['steady', 'the application', 'buy', 'pulse']")</f>
        <v>['steady', 'the application', 'buy', 'pulse']</v>
      </c>
      <c r="D10305" s="3">
        <v>4.0</v>
      </c>
    </row>
    <row r="10306" ht="15.75" customHeight="1">
      <c r="A10306" s="1">
        <v>11106.0</v>
      </c>
      <c r="B10306" s="3" t="s">
        <v>9836</v>
      </c>
      <c r="C10306" s="3" t="str">
        <f>IFERROR(__xludf.DUMMYFUNCTION("GOOGLETRANSLATE(B10306,""id"",""en"")"),"['Bad', 'connection', 'Telkomsel', 'mainstay', 'lose', 'IM', 'slow', 'pulse', 'ilang', 'TNPA', 'please']")</f>
        <v>['Bad', 'connection', 'Telkomsel', 'mainstay', 'lose', 'IM', 'slow', 'pulse', 'ilang', 'TNPA', 'please']</v>
      </c>
      <c r="D10306" s="3">
        <v>1.0</v>
      </c>
    </row>
    <row r="10307" ht="15.75" customHeight="1">
      <c r="A10307" s="1">
        <v>11107.0</v>
      </c>
      <c r="B10307" s="3" t="s">
        <v>9837</v>
      </c>
      <c r="C10307" s="3" t="str">
        <f>IFERROR(__xludf.DUMMYFUNCTION("GOOGLETRANSLATE(B10307,""id"",""en"")"),"['Paketan', 'good', 'cheap', 'unfortunate', 'pulse', 'key', 'APK', 'AXIS', 'NET', 'signal', 'knp', 'luplep', ' Please, 'repaired', '']")</f>
        <v>['Paketan', 'good', 'cheap', 'unfortunate', 'pulse', 'key', 'APK', 'AXIS', 'NET', 'signal', 'knp', 'luplep', ' Please, 'repaired', '']</v>
      </c>
      <c r="D10307" s="3">
        <v>3.0</v>
      </c>
    </row>
    <row r="10308" ht="15.75" customHeight="1">
      <c r="A10308" s="1">
        <v>11108.0</v>
      </c>
      <c r="B10308" s="3" t="s">
        <v>9838</v>
      </c>
      <c r="C10308" s="3" t="str">
        <f>IFERROR(__xludf.DUMMYFUNCTION("GOOGLETRANSLATE(B10308,""id"",""en"")"),"['bro', 'fix', 'cave', 'war', 'mobalegend', 'red', 'signal', 'ajigg', 'kenpa', 'cave', 'love', 'star', ' Lahk ']")</f>
        <v>['bro', 'fix', 'cave', 'war', 'mobalegend', 'red', 'signal', 'ajigg', 'kenpa', 'cave', 'love', 'star', ' Lahk ']</v>
      </c>
      <c r="D10308" s="3">
        <v>1.0</v>
      </c>
    </row>
    <row r="10309" ht="15.75" customHeight="1">
      <c r="A10309" s="1">
        <v>11109.0</v>
      </c>
      <c r="B10309" s="3" t="s">
        <v>9839</v>
      </c>
      <c r="C10309" s="3" t="str">
        <f>IFERROR(__xludf.DUMMYFUNCTION("GOOGLETRANSLATE(B10309,""id"",""en"")"),"['Help', 'package', 'cheerful', '']")</f>
        <v>['Help', 'package', 'cheerful', '']</v>
      </c>
      <c r="D10309" s="3">
        <v>4.0</v>
      </c>
    </row>
    <row r="10310" ht="15.75" customHeight="1">
      <c r="A10310" s="1">
        <v>11110.0</v>
      </c>
      <c r="B10310" s="3" t="s">
        <v>4607</v>
      </c>
      <c r="C10310" s="3" t="str">
        <f>IFERROR(__xludf.DUMMYFUNCTION("GOOGLETRANSLATE(B10310,""id"",""en"")"),"['Application', 'Help', 'Good']")</f>
        <v>['Application', 'Help', 'Good']</v>
      </c>
      <c r="D10310" s="3">
        <v>5.0</v>
      </c>
    </row>
    <row r="10311" ht="15.75" customHeight="1">
      <c r="A10311" s="1">
        <v>11111.0</v>
      </c>
      <c r="B10311" s="3" t="s">
        <v>9840</v>
      </c>
      <c r="C10311" s="3" t="str">
        <f>IFERROR(__xludf.DUMMYFUNCTION("GOOGLETRANSLATE(B10311,""id"",""en"")"),"['Sangaaat', 'steady', 'bissmillah', 'hope', 'gift', 'yeah']")</f>
        <v>['Sangaaat', 'steady', 'bissmillah', 'hope', 'gift', 'yeah']</v>
      </c>
      <c r="D10311" s="3">
        <v>5.0</v>
      </c>
    </row>
    <row r="10312" ht="15.75" customHeight="1">
      <c r="A10312" s="1">
        <v>11112.0</v>
      </c>
      <c r="B10312" s="3" t="s">
        <v>9841</v>
      </c>
      <c r="C10312" s="3" t="str">
        <f>IFERROR(__xludf.DUMMYFUNCTION("GOOGLETRANSLATE(B10312,""id"",""en"")"),"['Kasi', 'Bintang', 'HARD', 'CUSTOMER', 'FIELD', 'work', 'HUUFT', '']")</f>
        <v>['Kasi', 'Bintang', 'HARD', 'CUSTOMER', 'FIELD', 'work', 'HUUFT', '']</v>
      </c>
      <c r="D10312" s="3">
        <v>1.0</v>
      </c>
    </row>
    <row r="10313" ht="15.75" customHeight="1">
      <c r="A10313" s="1">
        <v>11113.0</v>
      </c>
      <c r="B10313" s="3" t="s">
        <v>9842</v>
      </c>
      <c r="C10313" s="3" t="str">
        <f>IFERROR(__xludf.DUMMYFUNCTION("GOOGLETRANSLATE(B10313,""id"",""en"")"),"['Ribet', 'easy']")</f>
        <v>['Ribet', 'easy']</v>
      </c>
      <c r="D10313" s="3">
        <v>4.0</v>
      </c>
    </row>
    <row r="10314" ht="15.75" customHeight="1">
      <c r="A10314" s="1">
        <v>11114.0</v>
      </c>
      <c r="B10314" s="3" t="s">
        <v>9843</v>
      </c>
      <c r="C10314" s="3" t="str">
        <f>IFERROR(__xludf.DUMMYFUNCTION("GOOGLETRANSLATE(B10314,""id"",""en"")"),"['signal', 'kenceng', 'really', 'expensive', 'no', 'quality', 'okay', 'signal', 'slow', 'disappointed', 'quality', 'tsel', ' Skrg ',' Quality ',' Quantity ',' ']")</f>
        <v>['signal', 'kenceng', 'really', 'expensive', 'no', 'quality', 'okay', 'signal', 'slow', 'disappointed', 'quality', 'tsel', ' Skrg ',' Quality ',' Quantity ',' ']</v>
      </c>
      <c r="D10314" s="3">
        <v>1.0</v>
      </c>
    </row>
    <row r="10315" ht="15.75" customHeight="1">
      <c r="A10315" s="1">
        <v>11115.0</v>
      </c>
      <c r="B10315" s="3" t="s">
        <v>9844</v>
      </c>
      <c r="C10315" s="3" t="str">
        <f>IFERROR(__xludf.DUMMYFUNCTION("GOOGLETRANSLATE(B10315,""id"",""en"")"),"['Mantulll', 'cheap', 'festive', 'package', 'hri', 'help', 'thank', 'love', ""]")</f>
        <v>['Mantulll', 'cheap', 'festive', 'package', 'hri', 'help', 'thank', 'love', "]</v>
      </c>
      <c r="D10315" s="3">
        <v>5.0</v>
      </c>
    </row>
    <row r="10316" ht="15.75" customHeight="1">
      <c r="A10316" s="1">
        <v>11116.0</v>
      </c>
      <c r="B10316" s="3" t="s">
        <v>7759</v>
      </c>
      <c r="C10316" s="3" t="str">
        <f>IFERROR(__xludf.DUMMYFUNCTION("GOOGLETRANSLATE(B10316,""id"",""en"")"),"['slow']")</f>
        <v>['slow']</v>
      </c>
      <c r="D10316" s="3">
        <v>3.0</v>
      </c>
    </row>
    <row r="10317" ht="15.75" customHeight="1">
      <c r="A10317" s="1">
        <v>11117.0</v>
      </c>
      <c r="B10317" s="3" t="s">
        <v>9845</v>
      </c>
      <c r="C10317" s="3" t="str">
        <f>IFERROR(__xludf.DUMMYFUNCTION("GOOGLETRANSLATE(B10317,""id"",""en"")"),"['really', 'AnnjiiIIR', 'Load', 'Page', 'Need', 'Difficult', 'Bener', 'Error', 'System', 'Error', 'System', 'Taikkkk']")</f>
        <v>['really', 'AnnjiiIIR', 'Load', 'Page', 'Need', 'Difficult', 'Bener', 'Error', 'System', 'Error', 'System', 'Taikkkk']</v>
      </c>
      <c r="D10317" s="3">
        <v>1.0</v>
      </c>
    </row>
    <row r="10318" ht="15.75" customHeight="1">
      <c r="A10318" s="1">
        <v>11118.0</v>
      </c>
      <c r="B10318" s="3" t="s">
        <v>9846</v>
      </c>
      <c r="C10318" s="3" t="str">
        <f>IFERROR(__xludf.DUMMYFUNCTION("GOOGLETRANSLATE(B10318,""id"",""en"")"),"['Good', 'bang', 'Thanks', 'Developer', 'Telkomsel', 'bias', 'makes it easier', 'buy', 'quota', ""]")</f>
        <v>['Good', 'bang', 'Thanks', 'Developer', 'Telkomsel', 'bias', 'makes it easier', 'buy', 'quota', "]</v>
      </c>
      <c r="D10318" s="3">
        <v>5.0</v>
      </c>
    </row>
    <row r="10319" ht="15.75" customHeight="1">
      <c r="A10319" s="1">
        <v>11119.0</v>
      </c>
      <c r="B10319" s="3" t="s">
        <v>9847</v>
      </c>
      <c r="C10319" s="3" t="str">
        <f>IFERROR(__xludf.DUMMYFUNCTION("GOOGLETRANSLATE(B10319,""id"",""en"")"),"['Thank you', 'Telkomsel', 'makes it easy', '']")</f>
        <v>['Thank you', 'Telkomsel', 'makes it easy', '']</v>
      </c>
      <c r="D10319" s="3">
        <v>5.0</v>
      </c>
    </row>
    <row r="10320" ht="15.75" customHeight="1">
      <c r="A10320" s="1">
        <v>11120.0</v>
      </c>
      <c r="B10320" s="3" t="s">
        <v>9848</v>
      </c>
      <c r="C10320" s="3" t="str">
        <f>IFERROR(__xludf.DUMMYFUNCTION("GOOGLETRANSLATE(B10320,""id"",""en"")"),"['Miss's']")</f>
        <v>['Miss's']</v>
      </c>
      <c r="D10320" s="3">
        <v>2.0</v>
      </c>
    </row>
    <row r="10321" ht="15.75" customHeight="1">
      <c r="A10321" s="1">
        <v>11121.0</v>
      </c>
      <c r="B10321" s="3" t="s">
        <v>9849</v>
      </c>
      <c r="C10321" s="3" t="str">
        <f>IFERROR(__xludf.DUMMYFUNCTION("GOOGLETRANSLATE(B10321,""id"",""en"")"),"['Ngelagg', 'Test', 'Main', 'Game']")</f>
        <v>['Ngelagg', 'Test', 'Main', 'Game']</v>
      </c>
      <c r="D10321" s="3">
        <v>1.0</v>
      </c>
    </row>
    <row r="10322" ht="15.75" customHeight="1">
      <c r="A10322" s="1">
        <v>11122.0</v>
      </c>
      <c r="B10322" s="3" t="s">
        <v>9850</v>
      </c>
      <c r="C10322" s="3" t="str">
        <f>IFERROR(__xludf.DUMMYFUNCTION("GOOGLETRANSLATE(B10322,""id"",""en"")"),"['Hopefully', 'Cool']")</f>
        <v>['Hopefully', 'Cool']</v>
      </c>
      <c r="D10322" s="3">
        <v>5.0</v>
      </c>
    </row>
    <row r="10323" ht="15.75" customHeight="1">
      <c r="A10323" s="1">
        <v>11123.0</v>
      </c>
      <c r="B10323" s="3" t="s">
        <v>2844</v>
      </c>
      <c r="C10323" s="3" t="str">
        <f>IFERROR(__xludf.DUMMYFUNCTION("GOOGLETRANSLATE(B10323,""id"",""en"")"),"['wide network']")</f>
        <v>['wide network']</v>
      </c>
      <c r="D10323" s="3">
        <v>4.0</v>
      </c>
    </row>
    <row r="10324" ht="15.75" customHeight="1">
      <c r="A10324" s="1">
        <v>11124.0</v>
      </c>
      <c r="B10324" s="3" t="s">
        <v>9851</v>
      </c>
      <c r="C10324" s="3" t="str">
        <f>IFERROR(__xludf.DUMMYFUNCTION("GOOGLETRANSLATE(B10324,""id"",""en"")"),"['network', 'Telkomsel', 'throughout', 'Indonesia', 'Bahka', 'throughout', 'the world', 'easy', 'get it', 'suggest', 'user', 'network', ' Telkomsel ',' fluency ',' communication ', ""]")</f>
        <v>['network', 'Telkomsel', 'throughout', 'Indonesia', 'Bahka', 'throughout', 'the world', 'easy', 'get it', 'suggest', 'user', 'network', ' Telkomsel ',' fluency ',' communication ', "]</v>
      </c>
      <c r="D10324" s="3">
        <v>5.0</v>
      </c>
    </row>
    <row r="10325" ht="15.75" customHeight="1">
      <c r="A10325" s="1">
        <v>11125.0</v>
      </c>
      <c r="B10325" s="3" t="s">
        <v>9852</v>
      </c>
      <c r="C10325" s="3" t="str">
        <f>IFERROR(__xludf.DUMMYFUNCTION("GOOGLETRANSLATE(B10325,""id"",""en"")"),"['Siyala', 'ugly', 'price', 'expensive', 'state', 'neighbor']")</f>
        <v>['Siyala', 'ugly', 'price', 'expensive', 'state', 'neighbor']</v>
      </c>
      <c r="D10325" s="3">
        <v>1.0</v>
      </c>
    </row>
    <row r="10326" ht="15.75" customHeight="1">
      <c r="A10326" s="1">
        <v>11126.0</v>
      </c>
      <c r="B10326" s="3" t="s">
        <v>9853</v>
      </c>
      <c r="C10326" s="3" t="str">
        <f>IFERROR(__xludf.DUMMYFUNCTION("GOOGLETRANSLATE(B10326,""id"",""en"")"),"['', 'Region', 'Good', 'Sinyal', '']")</f>
        <v>['', 'Region', 'Good', 'Sinyal', '']</v>
      </c>
      <c r="D10326" s="3">
        <v>3.0</v>
      </c>
    </row>
    <row r="10327" ht="15.75" customHeight="1">
      <c r="A10327" s="1">
        <v>11127.0</v>
      </c>
      <c r="B10327" s="3" t="s">
        <v>9854</v>
      </c>
      <c r="C10327" s="3" t="str">
        <f>IFERROR(__xludf.DUMMYFUNCTION("GOOGLETRANSLATE(B10327,""id"",""en"")"),"['Approved', 'package', 'emergency', 'message', 'return', 'pulse', 'use', 'package', 'emergency']")</f>
        <v>['Approved', 'package', 'emergency', 'message', 'return', 'pulse', 'use', 'package', 'emergency']</v>
      </c>
      <c r="D10327" s="3">
        <v>1.0</v>
      </c>
    </row>
    <row r="10328" ht="15.75" customHeight="1">
      <c r="A10328" s="1">
        <v>11128.0</v>
      </c>
      <c r="B10328" s="3" t="s">
        <v>9855</v>
      </c>
      <c r="C10328" s="3" t="str">
        <f>IFERROR(__xludf.DUMMYFUNCTION("GOOGLETRANSLATE(B10328,""id"",""en"")"),"['Use', 'Understand']")</f>
        <v>['Use', 'Understand']</v>
      </c>
      <c r="D10328" s="3">
        <v>5.0</v>
      </c>
    </row>
    <row r="10329" ht="15.75" customHeight="1">
      <c r="A10329" s="1">
        <v>11129.0</v>
      </c>
      <c r="B10329" s="3" t="s">
        <v>9856</v>
      </c>
      <c r="C10329" s="3" t="str">
        <f>IFERROR(__xludf.DUMMYFUNCTION("GOOGLETRANSLATE(B10329,""id"",""en"")"),"['', 'staple']")</f>
        <v>['', 'staple']</v>
      </c>
      <c r="D10329" s="3">
        <v>5.0</v>
      </c>
    </row>
    <row r="10330" ht="15.75" customHeight="1">
      <c r="A10330" s="1">
        <v>11130.0</v>
      </c>
      <c r="B10330" s="3" t="s">
        <v>9857</v>
      </c>
      <c r="C10330" s="3" t="str">
        <f>IFERROR(__xludf.DUMMYFUNCTION("GOOGLETRANSLATE(B10330,""id"",""en"")"),"['Android', 'tidam', 'support', 'Telkomsel', 'version', 'newest', 'take', 'APK', 'Google', 'Playstore']")</f>
        <v>['Android', 'tidam', 'support', 'Telkomsel', 'version', 'newest', 'take', 'APK', 'Google', 'Playstore']</v>
      </c>
      <c r="D10330" s="3">
        <v>1.0</v>
      </c>
    </row>
    <row r="10331" ht="15.75" customHeight="1">
      <c r="A10331" s="1">
        <v>11131.0</v>
      </c>
      <c r="B10331" s="3" t="s">
        <v>9858</v>
      </c>
      <c r="C10331" s="3" t="str">
        <f>IFERROR(__xludf.DUMMYFUNCTION("GOOGLETRANSLATE(B10331,""id"",""en"")"),"['signal', 'woiiii', 'please', 'fix', 'expensive', 'doang', 'signal', 'slow', 'idiot', ""]")</f>
        <v>['signal', 'woiiii', 'please', 'fix', 'expensive', 'doang', 'signal', 'slow', 'idiot', "]</v>
      </c>
      <c r="D10331" s="3">
        <v>1.0</v>
      </c>
    </row>
    <row r="10332" ht="15.75" customHeight="1">
      <c r="A10332" s="1">
        <v>11132.0</v>
      </c>
      <c r="B10332" s="3" t="s">
        <v>9859</v>
      </c>
      <c r="C10332" s="3" t="str">
        <f>IFERROR(__xludf.DUMMYFUNCTION("GOOGLETRANSLATE(B10332,""id"",""en"")"),"['expensive', 'Kasian', 'community', 'annoying', 'down', '']")</f>
        <v>['expensive', 'Kasian', 'community', 'annoying', 'down', '']</v>
      </c>
      <c r="D10332" s="3">
        <v>3.0</v>
      </c>
    </row>
    <row r="10333" ht="15.75" customHeight="1">
      <c r="A10333" s="1">
        <v>11133.0</v>
      </c>
      <c r="B10333" s="3" t="s">
        <v>9860</v>
      </c>
      <c r="C10333" s="3" t="str">
        <f>IFERROR(__xludf.DUMMYFUNCTION("GOOGLETRANSLATE(B10333,""id"",""en"")"),"['Telkomsel', 'regret', 'user', 'NOT', 'Signal', 'Good']")</f>
        <v>['Telkomsel', 'regret', 'user', 'NOT', 'Signal', 'Good']</v>
      </c>
      <c r="D10333" s="3">
        <v>1.0</v>
      </c>
    </row>
    <row r="10334" ht="15.75" customHeight="1">
      <c r="A10334" s="1">
        <v>11134.0</v>
      </c>
      <c r="B10334" s="3" t="s">
        <v>9861</v>
      </c>
      <c r="C10334" s="3" t="str">
        <f>IFERROR(__xludf.DUMMYFUNCTION("GOOGLETRANSLATE(B10334,""id"",""en"")"),"['leftover', 'quota', 'pkt', 'talk', 'scorched', 'extend', 'package', 'try', 'consider', 'input']")</f>
        <v>['leftover', 'quota', 'pkt', 'talk', 'scorched', 'extend', 'package', 'try', 'consider', 'input']</v>
      </c>
      <c r="D10334" s="3">
        <v>1.0</v>
      </c>
    </row>
    <row r="10335" ht="15.75" customHeight="1">
      <c r="A10335" s="1">
        <v>11136.0</v>
      </c>
      <c r="B10335" s="3" t="s">
        <v>9862</v>
      </c>
      <c r="C10335" s="3" t="str">
        <f>IFERROR(__xludf.DUMMYFUNCTION("GOOGLETRANSLATE(B10335,""id"",""en"")"),"['Anyway', 'Good', '']")</f>
        <v>['Anyway', 'Good', '']</v>
      </c>
      <c r="D10335" s="3">
        <v>5.0</v>
      </c>
    </row>
    <row r="10336" ht="15.75" customHeight="1">
      <c r="A10336" s="1">
        <v>11137.0</v>
      </c>
      <c r="B10336" s="3" t="s">
        <v>9863</v>
      </c>
      <c r="C10336" s="3" t="str">
        <f>IFERROR(__xludf.DUMMYFUNCTION("GOOGLETRANSLATE(B10336,""id"",""en"")"),"['Hedeh', 'contents', 'quota', 'point', 'already', 'exchanged', 'quota', 'ajah', 'better', 'moved', 'operator', ""]")</f>
        <v>['Hedeh', 'contents', 'quota', 'point', 'already', 'exchanged', 'quota', 'ajah', 'better', 'moved', 'operator', "]</v>
      </c>
      <c r="D10336" s="3">
        <v>1.0</v>
      </c>
    </row>
    <row r="10337" ht="15.75" customHeight="1">
      <c r="A10337" s="1">
        <v>11138.0</v>
      </c>
      <c r="B10337" s="3" t="s">
        <v>9864</v>
      </c>
      <c r="C10337" s="3" t="str">
        <f>IFERROR(__xludf.DUMMYFUNCTION("GOOGLETRANSLATE(B10337,""id"",""en"")"),"['updated', 'Telkomsel', 'open', '']")</f>
        <v>['updated', 'Telkomsel', 'open', '']</v>
      </c>
      <c r="D10337" s="3">
        <v>1.0</v>
      </c>
    </row>
    <row r="10338" ht="15.75" customHeight="1">
      <c r="A10338" s="1">
        <v>11139.0</v>
      </c>
      <c r="B10338" s="3" t="s">
        <v>9865</v>
      </c>
      <c r="C10338" s="3" t="str">
        <f>IFERROR(__xludf.DUMMYFUNCTION("GOOGLETRANSLATE(B10338,""id"",""en"")"),"['easy', 'use', 'signal', 'ok']")</f>
        <v>['easy', 'use', 'signal', 'ok']</v>
      </c>
      <c r="D10338" s="3">
        <v>5.0</v>
      </c>
    </row>
    <row r="10339" ht="15.75" customHeight="1">
      <c r="A10339" s="1">
        <v>11140.0</v>
      </c>
      <c r="B10339" s="3" t="s">
        <v>9866</v>
      </c>
      <c r="C10339" s="3" t="str">
        <f>IFERROR(__xludf.DUMMYFUNCTION("GOOGLETRANSLATE(B10339,""id"",""en"")"),"['Package', 'cheap', 'festive']")</f>
        <v>['Package', 'cheap', 'festive']</v>
      </c>
      <c r="D10339" s="3">
        <v>5.0</v>
      </c>
    </row>
    <row r="10340" ht="15.75" customHeight="1">
      <c r="A10340" s="1">
        <v>11141.0</v>
      </c>
      <c r="B10340" s="3" t="s">
        <v>3539</v>
      </c>
      <c r="C10340" s="3" t="str">
        <f>IFERROR(__xludf.DUMMYFUNCTION("GOOGLETRANSLATE(B10340,""id"",""en"")"),"['easy']")</f>
        <v>['easy']</v>
      </c>
      <c r="D10340" s="3">
        <v>5.0</v>
      </c>
    </row>
    <row r="10341" ht="15.75" customHeight="1">
      <c r="A10341" s="1">
        <v>11142.0</v>
      </c>
      <c r="B10341" s="3" t="s">
        <v>9867</v>
      </c>
      <c r="C10341" s="3" t="str">
        <f>IFERROR(__xludf.DUMMYFUNCTION("GOOGLETRANSLATE(B10341,""id"",""en"")"),"['apk', 'Telkomsel', 'good', '']")</f>
        <v>['apk', 'Telkomsel', 'good', '']</v>
      </c>
      <c r="D10341" s="3">
        <v>5.0</v>
      </c>
    </row>
    <row r="10342" ht="15.75" customHeight="1">
      <c r="A10342" s="1">
        <v>11143.0</v>
      </c>
      <c r="B10342" s="3" t="s">
        <v>9868</v>
      </c>
      <c r="C10342" s="3" t="str">
        <f>IFERROR(__xludf.DUMMYFUNCTION("GOOGLETRANSLATE(B10342,""id"",""en"")"),"['signal', 'down', 'right', 'Ujan', ""]")</f>
        <v>['signal', 'down', 'right', 'Ujan', "]</v>
      </c>
      <c r="D10342" s="3">
        <v>3.0</v>
      </c>
    </row>
    <row r="10343" ht="15.75" customHeight="1">
      <c r="A10343" s="1">
        <v>11144.0</v>
      </c>
      <c r="B10343" s="3" t="s">
        <v>9869</v>
      </c>
      <c r="C10343" s="3" t="str">
        <f>IFERROR(__xludf.DUMMYFUNCTION("GOOGLETRANSLATE(B10343,""id"",""en"")"),"['Network', 'okay', 'dech']")</f>
        <v>['Network', 'okay', 'dech']</v>
      </c>
      <c r="D10343" s="3">
        <v>5.0</v>
      </c>
    </row>
    <row r="10344" ht="15.75" customHeight="1">
      <c r="A10344" s="1">
        <v>11145.0</v>
      </c>
      <c r="B10344" s="3" t="s">
        <v>9870</v>
      </c>
      <c r="C10344" s="3" t="str">
        <f>IFERROR(__xludf.DUMMYFUNCTION("GOOGLETRANSLATE(B10344,""id"",""en"")"),"['Love', 'promo', 'interesting']")</f>
        <v>['Love', 'promo', 'interesting']</v>
      </c>
      <c r="D10344" s="3">
        <v>4.0</v>
      </c>
    </row>
    <row r="10345" ht="15.75" customHeight="1">
      <c r="A10345" s="1">
        <v>11146.0</v>
      </c>
      <c r="B10345" s="3" t="s">
        <v>9871</v>
      </c>
      <c r="C10345" s="3" t="str">
        <f>IFERROR(__xludf.DUMMYFUNCTION("GOOGLETRANSLATE(B10345,""id"",""en"")"),"['Help', 'application']")</f>
        <v>['Help', 'application']</v>
      </c>
      <c r="D10345" s="3">
        <v>5.0</v>
      </c>
    </row>
    <row r="10346" ht="15.75" customHeight="1">
      <c r="A10346" s="1">
        <v>11147.0</v>
      </c>
      <c r="B10346" s="3" t="s">
        <v>9872</v>
      </c>
      <c r="C10346" s="3" t="str">
        <f>IFERROR(__xludf.DUMMYFUNCTION("GOOGLETRANSLATE(B10346,""id"",""en"")"),"['Credit', 'cut', 'internet', 'turned on']")</f>
        <v>['Credit', 'cut', 'internet', 'turned on']</v>
      </c>
      <c r="D10346" s="3">
        <v>1.0</v>
      </c>
    </row>
    <row r="10347" ht="15.75" customHeight="1">
      <c r="A10347" s="1">
        <v>11148.0</v>
      </c>
      <c r="B10347" s="3" t="s">
        <v>286</v>
      </c>
      <c r="C10347" s="3" t="str">
        <f>IFERROR(__xludf.DUMMYFUNCTION("GOOGLETRANSLATE(B10347,""id"",""en"")"),"['good']")</f>
        <v>['good']</v>
      </c>
      <c r="D10347" s="3">
        <v>5.0</v>
      </c>
    </row>
    <row r="10348" ht="15.75" customHeight="1">
      <c r="A10348" s="1">
        <v>11149.0</v>
      </c>
      <c r="B10348" s="3" t="s">
        <v>9873</v>
      </c>
      <c r="C10348" s="3" t="str">
        <f>IFERROR(__xludf.DUMMYFUNCTION("GOOGLETRANSLATE(B10348,""id"",""en"")"),"['', 'enter', 'application', 'bad', 'face', 'kau']")</f>
        <v>['', 'enter', 'application', 'bad', 'face', 'kau']</v>
      </c>
      <c r="D10348" s="3">
        <v>1.0</v>
      </c>
    </row>
    <row r="10349" ht="15.75" customHeight="1">
      <c r="A10349" s="1">
        <v>11150.0</v>
      </c>
      <c r="B10349" s="3" t="s">
        <v>9874</v>
      </c>
      <c r="C10349" s="3" t="str">
        <f>IFERROR(__xludf.DUMMYFUNCTION("GOOGLETRANSLATE(B10349,""id"",""en"")"),"['confused', 'package', 'multimedia', 'really', 'sosmed', 'open', 'music', 'open', 'sosmed', 'kouta', 'main', 'drained', ' Package ',' Multimedia ',' used ',' Ngeapain ',' Distribution ',' Package ',' ']")</f>
        <v>['confused', 'package', 'multimedia', 'really', 'sosmed', 'open', 'music', 'open', 'sosmed', 'kouta', 'main', 'drained', ' Package ',' Multimedia ',' used ',' Ngeapain ',' Distribution ',' Package ',' ']</v>
      </c>
      <c r="D10349" s="3">
        <v>2.0</v>
      </c>
    </row>
    <row r="10350" ht="15.75" customHeight="1">
      <c r="A10350" s="1">
        <v>11151.0</v>
      </c>
      <c r="B10350" s="3" t="s">
        <v>9875</v>
      </c>
      <c r="C10350" s="3" t="str">
        <f>IFERROR(__xludf.DUMMYFUNCTION("GOOGLETRANSLATE(B10350,""id"",""en"")"),"['', 'Android', 'Google', 'Pixel', 'Install', 'Reset', 'Settings', 'Factory', 'installed']")</f>
        <v>['', 'Android', 'Google', 'Pixel', 'Install', 'Reset', 'Settings', 'Factory', 'installed']</v>
      </c>
      <c r="D10350" s="3">
        <v>1.0</v>
      </c>
    </row>
    <row r="10351" ht="15.75" customHeight="1">
      <c r="A10351" s="1">
        <v>11152.0</v>
      </c>
      <c r="B10351" s="3" t="s">
        <v>9740</v>
      </c>
      <c r="C10351" s="3" t="str">
        <f>IFERROR(__xludf.DUMMYFUNCTION("GOOGLETRANSLATE(B10351,""id"",""en"")"),"['Satisfied', 'service']")</f>
        <v>['Satisfied', 'service']</v>
      </c>
      <c r="D10351" s="3">
        <v>5.0</v>
      </c>
    </row>
    <row r="10352" ht="15.75" customHeight="1">
      <c r="A10352" s="1">
        <v>11154.0</v>
      </c>
      <c r="B10352" s="3" t="s">
        <v>9876</v>
      </c>
      <c r="C10352" s="3" t="str">
        <f>IFERROR(__xludf.DUMMYFUNCTION("GOOGLETRANSLATE(B10352,""id"",""en"")"),"['easy', 'hope', 'can', 'lottery']")</f>
        <v>['easy', 'hope', 'can', 'lottery']</v>
      </c>
      <c r="D10352" s="3">
        <v>5.0</v>
      </c>
    </row>
    <row r="10353" ht="15.75" customHeight="1">
      <c r="A10353" s="1">
        <v>11155.0</v>
      </c>
      <c r="B10353" s="3" t="s">
        <v>9877</v>
      </c>
      <c r="C10353" s="3" t="str">
        <f>IFERROR(__xludf.DUMMYFUNCTION("GOOGLETRANSLATE(B10353,""id"",""en"")"),"['Entrance']")</f>
        <v>['Entrance']</v>
      </c>
      <c r="D10353" s="3">
        <v>5.0</v>
      </c>
    </row>
    <row r="10354" ht="15.75" customHeight="1">
      <c r="A10354" s="1">
        <v>11156.0</v>
      </c>
      <c r="B10354" s="3" t="s">
        <v>9878</v>
      </c>
      <c r="C10354" s="3" t="str">
        <f>IFERROR(__xludf.DUMMYFUNCTION("GOOGLETRANSLATE(B10354,""id"",""en"")"),"['ckup', 'help', 'piece', 'price', 'package', 'hope', 'network', 'dumpered', 'area', 'ploll', 'kemaja', 'satisfying']")</f>
        <v>['ckup', 'help', 'piece', 'price', 'package', 'hope', 'network', 'dumpered', 'area', 'ploll', 'kemaja', 'satisfying']</v>
      </c>
      <c r="D10354" s="3">
        <v>3.0</v>
      </c>
    </row>
    <row r="10355" ht="15.75" customHeight="1">
      <c r="A10355" s="1">
        <v>11157.0</v>
      </c>
      <c r="B10355" s="3" t="s">
        <v>217</v>
      </c>
      <c r="C10355" s="3" t="str">
        <f>IFERROR(__xludf.DUMMYFUNCTION("GOOGLETRANSLATE(B10355,""id"",""en"")"),"['satisfying', '']")</f>
        <v>['satisfying', '']</v>
      </c>
      <c r="D10355" s="3">
        <v>5.0</v>
      </c>
    </row>
    <row r="10356" ht="15.75" customHeight="1">
      <c r="A10356" s="1">
        <v>11158.0</v>
      </c>
      <c r="B10356" s="3" t="s">
        <v>9879</v>
      </c>
      <c r="C10356" s="3" t="str">
        <f>IFERROR(__xludf.DUMMYFUNCTION("GOOGLETRANSLATE(B10356,""id"",""en"")"),"['Right', 'Internet', 'Lemoot']")</f>
        <v>['Right', 'Internet', 'Lemoot']</v>
      </c>
      <c r="D10356" s="3">
        <v>5.0</v>
      </c>
    </row>
    <row r="10357" ht="15.75" customHeight="1">
      <c r="A10357" s="1">
        <v>11159.0</v>
      </c>
      <c r="B10357" s="3" t="s">
        <v>9880</v>
      </c>
      <c r="C10357" s="3" t="str">
        <f>IFERROR(__xludf.DUMMYFUNCTION("GOOGLETRANSLATE(B10357,""id"",""en"")"),"['Sometimes', 'Package', 'telephone', 'Wait', 'complain', 'pulse', 'main', 'ilang', 'package', 'coakes', 'sad', ""]")</f>
        <v>['Sometimes', 'Package', 'telephone', 'Wait', 'complain', 'pulse', 'main', 'ilang', 'package', 'coakes', 'sad', "]</v>
      </c>
      <c r="D10357" s="3">
        <v>3.0</v>
      </c>
    </row>
    <row r="10358" ht="15.75" customHeight="1">
      <c r="A10358" s="1">
        <v>11160.0</v>
      </c>
      <c r="B10358" s="3" t="s">
        <v>9881</v>
      </c>
      <c r="C10358" s="3" t="str">
        <f>IFERROR(__xludf.DUMMYFUNCTION("GOOGLETRANSLATE(B10358,""id"",""en"")"),"['', 'Telkomsel', 'Pilhan', 'best', 'for me', 'at the moment', 'Signal', 'Telkomsel', 'smooth', 'Jaya', 'pokonya', 'steady', 'deh ']")</f>
        <v>['', 'Telkomsel', 'Pilhan', 'best', 'for me', 'at the moment', 'Signal', 'Telkomsel', 'smooth', 'Jaya', 'pokonya', 'steady', 'deh ']</v>
      </c>
      <c r="D10358" s="3">
        <v>5.0</v>
      </c>
    </row>
    <row r="10359" ht="15.75" customHeight="1">
      <c r="A10359" s="1">
        <v>11161.0</v>
      </c>
      <c r="B10359" s="3" t="s">
        <v>9882</v>
      </c>
      <c r="C10359" s="3" t="str">
        <f>IFERROR(__xludf.DUMMYFUNCTION("GOOGLETRANSLATE(B10359,""id"",""en"")"),"['application', 'good', 'mandatory', 'download']")</f>
        <v>['application', 'good', 'mandatory', 'download']</v>
      </c>
      <c r="D10359" s="3">
        <v>5.0</v>
      </c>
    </row>
    <row r="10360" ht="15.75" customHeight="1">
      <c r="A10360" s="1">
        <v>11162.0</v>
      </c>
      <c r="B10360" s="3" t="s">
        <v>9883</v>
      </c>
      <c r="C10360" s="3" t="str">
        <f>IFERROR(__xludf.DUMMYFUNCTION("GOOGLETRANSLATE(B10360,""id"",""en"")"),"['', 'Telkomsel', 'emang', 'steady']")</f>
        <v>['', 'Telkomsel', 'emang', 'steady']</v>
      </c>
      <c r="D10360" s="3">
        <v>5.0</v>
      </c>
    </row>
    <row r="10361" ht="15.75" customHeight="1">
      <c r="A10361" s="1">
        <v>11163.0</v>
      </c>
      <c r="B10361" s="3" t="s">
        <v>9884</v>
      </c>
      <c r="C10361" s="3" t="str">
        <f>IFERROR(__xludf.DUMMYFUNCTION("GOOGLETRANSLATE(B10361,""id"",""en"")"),"['subscription', 'Install', 'Telkomsel', 'notification', 'subscription', 'Disney', 'Hotstar', 'active', 'watch', 'wandavision', 'soul', 'gray', ' anatomy ',' impressions', 'global', 'local', 'best', 'tsel', 'dp', 'mm']")</f>
        <v>['subscription', 'Install', 'Telkomsel', 'notification', 'subscription', 'Disney', 'Hotstar', 'active', 'watch', 'wandavision', 'soul', 'gray', ' anatomy ',' impressions', 'global', 'local', 'best', 'tsel', 'dp', 'mm']</v>
      </c>
      <c r="D10361" s="3">
        <v>2.0</v>
      </c>
    </row>
    <row r="10362" ht="15.75" customHeight="1">
      <c r="A10362" s="1">
        <v>11164.0</v>
      </c>
      <c r="B10362" s="3" t="s">
        <v>9885</v>
      </c>
      <c r="C10362" s="3" t="str">
        <f>IFERROR(__xludf.DUMMYFUNCTION("GOOGLETRANSLATE(B10362,""id"",""en"")"),"['Stable', 'smooth']")</f>
        <v>['Stable', 'smooth']</v>
      </c>
      <c r="D10362" s="3">
        <v>5.0</v>
      </c>
    </row>
    <row r="10363" ht="15.75" customHeight="1">
      <c r="A10363" s="1">
        <v>11165.0</v>
      </c>
      <c r="B10363" s="3" t="s">
        <v>9886</v>
      </c>
      <c r="C10363" s="3" t="str">
        <f>IFERROR(__xludf.DUMMYFUNCTION("GOOGLETRANSLATE(B10363,""id"",""en"")"),"['Package', 'Telkomsel', 'satisfying', 'Good']")</f>
        <v>['Package', 'Telkomsel', 'satisfying', 'Good']</v>
      </c>
      <c r="D10363" s="3">
        <v>4.0</v>
      </c>
    </row>
    <row r="10364" ht="15.75" customHeight="1">
      <c r="A10364" s="1">
        <v>11166.0</v>
      </c>
      <c r="B10364" s="3" t="s">
        <v>9887</v>
      </c>
      <c r="C10364" s="3" t="str">
        <f>IFERROR(__xludf.DUMMYFUNCTION("GOOGLETRANSLATE(B10364,""id"",""en"")"),"['Star', 'Astaghfirullah', 'experience', 'damage', 'alternating', 'grapari', 'UDH', 'upgrade', 'network', 'number', 'remember', 'Maybe', ' UDH ',' Discard ',' number ',' Please ',' Network ',' Benerin ',' Nemu ',' Current ',' A Life ',' Life ',' Abang ','"&amp;" Doang ' , 'Paketan', 'expensive', 'used', '']")</f>
        <v>['Star', 'Astaghfirullah', 'experience', 'damage', 'alternating', 'grapari', 'UDH', 'upgrade', 'network', 'number', 'remember', 'Maybe', ' UDH ',' Discard ',' number ',' Please ',' Network ',' Benerin ',' Nemu ',' Current ',' A Life ',' Life ',' Abang ',' Doang ' , 'Paketan', 'expensive', 'used', '']</v>
      </c>
      <c r="D10364" s="3">
        <v>1.0</v>
      </c>
    </row>
    <row r="10365" ht="15.75" customHeight="1">
      <c r="A10365" s="1">
        <v>11167.0</v>
      </c>
      <c r="B10365" s="3" t="s">
        <v>6686</v>
      </c>
      <c r="C10365" s="3" t="str">
        <f>IFERROR(__xludf.DUMMYFUNCTION("GOOGLETRANSLATE(B10365,""id"",""en"")"),"['application', 'easy']")</f>
        <v>['application', 'easy']</v>
      </c>
      <c r="D10365" s="3">
        <v>5.0</v>
      </c>
    </row>
    <row r="10366" ht="15.75" customHeight="1">
      <c r="A10366" s="1">
        <v>11168.0</v>
      </c>
      <c r="B10366" s="3" t="s">
        <v>9888</v>
      </c>
      <c r="C10366" s="3" t="str">
        <f>IFERROR(__xludf.DUMMYFUNCTION("GOOGLETRANSLATE(B10366,""id"",""en"")"),"['signal', 'strong', 'Rada', 'expensive', 'skrang']")</f>
        <v>['signal', 'strong', 'Rada', 'expensive', 'skrang']</v>
      </c>
      <c r="D10366" s="3">
        <v>4.0</v>
      </c>
    </row>
    <row r="10367" ht="15.75" customHeight="1">
      <c r="A10367" s="1">
        <v>11169.0</v>
      </c>
      <c r="B10367" s="3" t="s">
        <v>9889</v>
      </c>
      <c r="C10367" s="3" t="str">
        <f>IFERROR(__xludf.DUMMYFUNCTION("GOOGLETRANSLATE(B10367,""id"",""en"")"),"['Goodnbangt', 'gini', 'pulse', 'checked', 'contents', 'pulse']")</f>
        <v>['Goodnbangt', 'gini', 'pulse', 'checked', 'contents', 'pulse']</v>
      </c>
      <c r="D10367" s="3">
        <v>4.0</v>
      </c>
    </row>
    <row r="10368" ht="15.75" customHeight="1">
      <c r="A10368" s="1">
        <v>11170.0</v>
      </c>
      <c r="B10368" s="3" t="s">
        <v>9890</v>
      </c>
      <c r="C10368" s="3" t="str">
        <f>IFERROR(__xludf.DUMMYFUNCTION("GOOGLETRANSLATE(B10368,""id"",""en"")"),"['difficult', 'access']")</f>
        <v>['difficult', 'access']</v>
      </c>
      <c r="D10368" s="3">
        <v>2.0</v>
      </c>
    </row>
    <row r="10369" ht="15.75" customHeight="1">
      <c r="A10369" s="1">
        <v>11171.0</v>
      </c>
      <c r="B10369" s="3" t="s">
        <v>9891</v>
      </c>
      <c r="C10369" s="3" t="str">
        <f>IFERROR(__xludf.DUMMYFUNCTION("GOOGLETRANSLATE(B10369,""id"",""en"")"),"['Application', 'Telkomsel', 'buy', 'Kouta', 'etc.', 'contents',' reset ',' pulse ',' buy ',' kouta ',' apk ',' Telkomsel ',' turn on ',' data ',' turn ',' data ',' pulse ',' direct ',' run out ',' GBLK ',' ']")</f>
        <v>['Application', 'Telkomsel', 'buy', 'Kouta', 'etc.', 'contents',' reset ',' pulse ',' buy ',' kouta ',' apk ',' Telkomsel ',' turn on ',' data ',' turn ',' data ',' pulse ',' direct ',' run out ',' GBLK ',' ']</v>
      </c>
      <c r="D10369" s="3">
        <v>1.0</v>
      </c>
    </row>
    <row r="10370" ht="15.75" customHeight="1">
      <c r="A10370" s="1">
        <v>11172.0</v>
      </c>
      <c r="B10370" s="3" t="s">
        <v>4117</v>
      </c>
      <c r="C10370" s="3" t="str">
        <f>IFERROR(__xludf.DUMMYFUNCTION("GOOGLETRANSLATE(B10370,""id"",""en"")"),"['okay']")</f>
        <v>['okay']</v>
      </c>
      <c r="D10370" s="3">
        <v>5.0</v>
      </c>
    </row>
    <row r="10371" ht="15.75" customHeight="1">
      <c r="A10371" s="1">
        <v>11173.0</v>
      </c>
      <c r="B10371" s="3" t="s">
        <v>9892</v>
      </c>
      <c r="C10371" s="3" t="str">
        <f>IFERROR(__xludf.DUMMYFUNCTION("GOOGLETRANSLATE(B10371,""id"",""en"")"),"['buy', 'internet', 'night', 'yesterday', 'package', 'data', 'bought', 'little', 'bought', 'expensive']")</f>
        <v>['buy', 'internet', 'night', 'yesterday', 'package', 'data', 'bought', 'little', 'bought', 'expensive']</v>
      </c>
      <c r="D10371" s="3">
        <v>2.0</v>
      </c>
    </row>
    <row r="10372" ht="15.75" customHeight="1">
      <c r="A10372" s="1">
        <v>11174.0</v>
      </c>
      <c r="B10372" s="3" t="s">
        <v>9893</v>
      </c>
      <c r="C10372" s="3" t="str">
        <f>IFERROR(__xludf.DUMMYFUNCTION("GOOGLETRANSLATE(B10372,""id"",""en"")"),"['Alhamdulillah', 'package', 'internet', 'number', 'cheap', 'festive', 'mkasih', 'telkomsel']")</f>
        <v>['Alhamdulillah', 'package', 'internet', 'number', 'cheap', 'festive', 'mkasih', 'telkomsel']</v>
      </c>
      <c r="D10372" s="3">
        <v>5.0</v>
      </c>
    </row>
    <row r="10373" ht="15.75" customHeight="1">
      <c r="A10373" s="1">
        <v>11175.0</v>
      </c>
      <c r="B10373" s="3" t="s">
        <v>9894</v>
      </c>
      <c r="C10373" s="3" t="str">
        <f>IFERROR(__xludf.DUMMYFUNCTION("GOOGLETRANSLATE(B10373,""id"",""en"")"),"['woilah', 'application', 'times',' buy ',' package ',' failure ',' error ',' contents', 'reset', 'credit', 'pulse', 'sumps',' run out ',' pulses', 'a dime', 'package', 'internet', 'times',' already ',' repeated ',' times', 'Gosh', 'easy', 'Telkomsel', 'i"&amp;"n the future' , 'Features', 'protection', 'pulses']")</f>
        <v>['woilah', 'application', 'times',' buy ',' package ',' failure ',' error ',' contents', 'reset', 'credit', 'pulse', 'sumps',' run out ',' pulses', 'a dime', 'package', 'internet', 'times',' already ',' repeated ',' times', 'Gosh', 'easy', 'Telkomsel', 'in the future' , 'Features', 'protection', 'pulses']</v>
      </c>
      <c r="D10373" s="3">
        <v>1.0</v>
      </c>
    </row>
    <row r="10374" ht="15.75" customHeight="1">
      <c r="A10374" s="1">
        <v>11176.0</v>
      </c>
      <c r="B10374" s="3" t="s">
        <v>9895</v>
      </c>
      <c r="C10374" s="3" t="str">
        <f>IFERROR(__xludf.DUMMYFUNCTION("GOOGLETRANSLATE(B10374,""id"",""en"")"),"['The application', 'ugly', 'heavy', 'runs', 'slow', 'ad', 'sekarag', 'login', 'just', 'enter', ""]")</f>
        <v>['The application', 'ugly', 'heavy', 'runs', 'slow', 'ad', 'sekarag', 'login', 'just', 'enter', "]</v>
      </c>
      <c r="D10374" s="3">
        <v>1.0</v>
      </c>
    </row>
    <row r="10375" ht="15.75" customHeight="1">
      <c r="A10375" s="1">
        <v>11178.0</v>
      </c>
      <c r="B10375" s="3" t="s">
        <v>9896</v>
      </c>
      <c r="C10375" s="3" t="str">
        <f>IFERROR(__xludf.DUMMYFUNCTION("GOOGLETRANSLATE(B10375,""id"",""en"")"),"['Easy', 'hopefully', 'prize', 'Telkomsel', 'mantaaap']")</f>
        <v>['Easy', 'hopefully', 'prize', 'Telkomsel', 'mantaaap']</v>
      </c>
      <c r="D10375" s="3">
        <v>4.0</v>
      </c>
    </row>
    <row r="10376" ht="15.75" customHeight="1">
      <c r="A10376" s="1">
        <v>11179.0</v>
      </c>
      <c r="B10376" s="3" t="s">
        <v>9897</v>
      </c>
      <c r="C10376" s="3" t="str">
        <f>IFERROR(__xludf.DUMMYFUNCTION("GOOGLETRANSLATE(B10376,""id"",""en"")"),"['Okay', 'really', 'just']")</f>
        <v>['Okay', 'really', 'just']</v>
      </c>
      <c r="D10376" s="3">
        <v>5.0</v>
      </c>
    </row>
    <row r="10377" ht="15.75" customHeight="1">
      <c r="A10377" s="1">
        <v>11180.0</v>
      </c>
      <c r="B10377" s="3" t="s">
        <v>9898</v>
      </c>
      <c r="C10377" s="3" t="str">
        <f>IFERROR(__xludf.DUMMYFUNCTION("GOOGLETRANSLATE(B10377,""id"",""en"")"),"['Applikasih', 'Good']")</f>
        <v>['Applikasih', 'Good']</v>
      </c>
      <c r="D10377" s="3">
        <v>5.0</v>
      </c>
    </row>
    <row r="10378" ht="15.75" customHeight="1">
      <c r="A10378" s="1">
        <v>11181.0</v>
      </c>
      <c r="B10378" s="3" t="s">
        <v>9899</v>
      </c>
      <c r="C10378" s="3" t="str">
        <f>IFERROR(__xludf.DUMMYFUNCTION("GOOGLETRANSLATE(B10378,""id"",""en"")"),"['satisfaction']")</f>
        <v>['satisfaction']</v>
      </c>
      <c r="D10378" s="3">
        <v>3.0</v>
      </c>
    </row>
    <row r="10379" ht="15.75" customHeight="1">
      <c r="A10379" s="1">
        <v>11182.0</v>
      </c>
      <c r="B10379" s="3" t="s">
        <v>9900</v>
      </c>
      <c r="C10379" s="3" t="str">
        <f>IFERROR(__xludf.DUMMYFUNCTION("GOOGLETRANSLATE(B10379,""id"",""en"")"),"['Good', 'please', 'level', 'login', 'fast', '']")</f>
        <v>['Good', 'please', 'level', 'login', 'fast', '']</v>
      </c>
      <c r="D10379" s="3">
        <v>4.0</v>
      </c>
    </row>
    <row r="10380" ht="15.75" customHeight="1">
      <c r="A10380" s="1">
        <v>11183.0</v>
      </c>
      <c r="B10380" s="3" t="s">
        <v>9901</v>
      </c>
      <c r="C10380" s="3" t="str">
        <f>IFERROR(__xludf.DUMMYFUNCTION("GOOGLETRANSLATE(B10380,""id"",""en"")"),"['process', 'fast', 'language', 'information', 'easy', 'understood', 'display', 'feature', 'application', 'simple']")</f>
        <v>['process', 'fast', 'language', 'information', 'easy', 'understood', 'display', 'feature', 'application', 'simple']</v>
      </c>
      <c r="D10380" s="3">
        <v>5.0</v>
      </c>
    </row>
    <row r="10381" ht="15.75" customHeight="1">
      <c r="A10381" s="1">
        <v>11184.0</v>
      </c>
      <c r="B10381" s="3" t="s">
        <v>9902</v>
      </c>
      <c r="C10381" s="3" t="str">
        <f>IFERROR(__xludf.DUMMYFUNCTION("GOOGLETRANSLATE(B10381,""id"",""en"")"),"['Quality', 'Network', 'Good', 'Difference', 'Price', 'Package', 'Data', 'Telkomsel', 'Sometimes',' Promo ',' Different ',' Price ',' Data ',' expensive ',' compare ',' operator ',' ']")</f>
        <v>['Quality', 'Network', 'Good', 'Difference', 'Price', 'Package', 'Data', 'Telkomsel', 'Sometimes',' Promo ',' Different ',' Price ',' Data ',' expensive ',' compare ',' operator ',' ']</v>
      </c>
      <c r="D10381" s="3">
        <v>5.0</v>
      </c>
    </row>
    <row r="10382" ht="15.75" customHeight="1">
      <c r="A10382" s="1">
        <v>11185.0</v>
      </c>
      <c r="B10382" s="3" t="s">
        <v>9903</v>
      </c>
      <c r="C10382" s="3" t="str">
        <f>IFERROR(__xludf.DUMMYFUNCTION("GOOGLETRANSLATE(B10382,""id"",""en"")"),"['Recommended', 'really', 'application']")</f>
        <v>['Recommended', 'really', 'application']</v>
      </c>
      <c r="D10382" s="3">
        <v>5.0</v>
      </c>
    </row>
    <row r="10383" ht="15.75" customHeight="1">
      <c r="A10383" s="1">
        <v>11186.0</v>
      </c>
      <c r="B10383" s="3" t="s">
        <v>9904</v>
      </c>
      <c r="C10383" s="3" t="str">
        <f>IFERROR(__xludf.DUMMYFUNCTION("GOOGLETRANSLATE(B10383,""id"",""en"")"),"['Steady', 'makes it easy']")</f>
        <v>['Steady', 'makes it easy']</v>
      </c>
      <c r="D10383" s="3">
        <v>5.0</v>
      </c>
    </row>
    <row r="10384" ht="15.75" customHeight="1">
      <c r="A10384" s="1">
        <v>11188.0</v>
      </c>
      <c r="B10384" s="3" t="s">
        <v>9905</v>
      </c>
      <c r="C10384" s="3" t="str">
        <f>IFERROR(__xludf.DUMMYFUNCTION("GOOGLETRANSLATE(B10384,""id"",""en"")"),"['signal', 'bad', 'position', 'city', 'then', '']")</f>
        <v>['signal', 'bad', 'position', 'city', 'then', '']</v>
      </c>
      <c r="D10384" s="3">
        <v>1.0</v>
      </c>
    </row>
    <row r="10385" ht="15.75" customHeight="1">
      <c r="A10385" s="1">
        <v>11189.0</v>
      </c>
      <c r="B10385" s="3" t="s">
        <v>9906</v>
      </c>
      <c r="C10385" s="3" t="str">
        <f>IFERROR(__xludf.DUMMYFUNCTION("GOOGLETRANSLATE(B10385,""id"",""en"")"),"['steady', 'try', 'tsel', 'tasty', 'really', 'mkasih', 'telkomselll', 'love', 'uuu', '']")</f>
        <v>['steady', 'try', 'tsel', 'tasty', 'really', 'mkasih', 'telkomselll', 'love', 'uuu', '']</v>
      </c>
      <c r="D10385" s="3">
        <v>5.0</v>
      </c>
    </row>
    <row r="10386" ht="15.75" customHeight="1">
      <c r="A10386" s="1">
        <v>11190.0</v>
      </c>
      <c r="B10386" s="3" t="s">
        <v>9907</v>
      </c>
      <c r="C10386" s="3" t="str">
        <f>IFERROR(__xludf.DUMMYFUNCTION("GOOGLETRANSLATE(B10386,""id"",""en"")"),"['pulse', 'sumps',' package ',' data ',' strange ',' bankrank ',' gini ',' search ',' profit ',' offered ',' moved ',' card ',' Hello ',' Untung ',' Tanggepin ',' Mending ',' Change ',' Number ',' Change ',' ']")</f>
        <v>['pulse', 'sumps',' package ',' data ',' strange ',' bankrank ',' gini ',' search ',' profit ',' offered ',' moved ',' card ',' Hello ',' Untung ',' Tanggepin ',' Mending ',' Change ',' Number ',' Change ',' ']</v>
      </c>
      <c r="D10386" s="3">
        <v>1.0</v>
      </c>
    </row>
    <row r="10387" ht="15.75" customHeight="1">
      <c r="A10387" s="1">
        <v>11191.0</v>
      </c>
      <c r="B10387" s="3" t="s">
        <v>9908</v>
      </c>
      <c r="C10387" s="3" t="str">
        <f>IFERROR(__xludf.DUMMYFUNCTION("GOOGLETRANSLATE(B10387,""id"",""en"")"),"['App', 'Telkomsel', 'sophisticated', 'SERBA', 'SERBA', '']")</f>
        <v>['App', 'Telkomsel', 'sophisticated', 'SERBA', 'SERBA', '']</v>
      </c>
      <c r="D10387" s="3">
        <v>5.0</v>
      </c>
    </row>
    <row r="10388" ht="15.75" customHeight="1">
      <c r="A10388" s="1">
        <v>11193.0</v>
      </c>
      <c r="B10388" s="3" t="s">
        <v>9909</v>
      </c>
      <c r="C10388" s="3" t="str">
        <f>IFERROR(__xludf.DUMMYFUNCTION("GOOGLETRANSLATE(B10388,""id"",""en"")"),"['Exchange', 'Points', 'Exchange', 'Example', 'Exchange', 'Points', 'Lottery', 'Ngeclik', 'Males']")</f>
        <v>['Exchange', 'Points', 'Exchange', 'Example', 'Exchange', 'Points', 'Lottery', 'Ngeclik', 'Males']</v>
      </c>
      <c r="D10388" s="3">
        <v>3.0</v>
      </c>
    </row>
    <row r="10389" ht="15.75" customHeight="1">
      <c r="A10389" s="1">
        <v>11194.0</v>
      </c>
      <c r="B10389" s="3" t="s">
        <v>9910</v>
      </c>
      <c r="C10389" s="3" t="str">
        <f>IFERROR(__xludf.DUMMYFUNCTION("GOOGLETRANSLATE(B10389,""id"",""en"")"),"['buy', 'card', 'ebleg', 'signal', 'red', 'truss', 'elorrr']")</f>
        <v>['buy', 'card', 'ebleg', 'signal', 'red', 'truss', 'elorrr']</v>
      </c>
      <c r="D10389" s="3">
        <v>2.0</v>
      </c>
    </row>
    <row r="10390" ht="15.75" customHeight="1">
      <c r="A10390" s="1">
        <v>11195.0</v>
      </c>
      <c r="B10390" s="3" t="s">
        <v>9911</v>
      </c>
      <c r="C10390" s="3" t="str">
        <f>IFERROR(__xludf.DUMMYFUNCTION("GOOGLETRANSLATE(B10390,""id"",""en"")"),"['application', 'slow', 'open', '']")</f>
        <v>['application', 'slow', 'open', '']</v>
      </c>
      <c r="D10390" s="3">
        <v>1.0</v>
      </c>
    </row>
    <row r="10391" ht="15.75" customHeight="1">
      <c r="A10391" s="1">
        <v>11196.0</v>
      </c>
      <c r="B10391" s="3" t="s">
        <v>9912</v>
      </c>
      <c r="C10391" s="3" t="str">
        <f>IFERROR(__xludf.DUMMYFUNCTION("GOOGLETRANSLATE(B10391,""id"",""en"")"),"['best', 'easy', 'fast', 'practical']")</f>
        <v>['best', 'easy', 'fast', 'practical']</v>
      </c>
      <c r="D10391" s="3">
        <v>5.0</v>
      </c>
    </row>
    <row r="10392" ht="15.75" customHeight="1">
      <c r="A10392" s="1">
        <v>11197.0</v>
      </c>
      <c r="B10392" s="3" t="s">
        <v>9913</v>
      </c>
      <c r="C10392" s="3" t="str">
        <f>IFERROR(__xludf.DUMMYFUNCTION("GOOGLETRANSLATE(B10392,""id"",""en"")"),"['Helpful', 'Easy', 'Looking', 'Features', 'Card', 'Telkomsel']")</f>
        <v>['Helpful', 'Easy', 'Looking', 'Features', 'Card', 'Telkomsel']</v>
      </c>
      <c r="D10392" s="3">
        <v>5.0</v>
      </c>
    </row>
    <row r="10393" ht="15.75" customHeight="1">
      <c r="A10393" s="1">
        <v>11198.0</v>
      </c>
      <c r="B10393" s="3" t="s">
        <v>9914</v>
      </c>
      <c r="C10393" s="3" t="str">
        <f>IFERROR(__xludf.DUMMYFUNCTION("GOOGLETRANSLATE(B10393,""id"",""en"")"),"['It's easy', 'business']")</f>
        <v>['It's easy', 'business']</v>
      </c>
      <c r="D10393" s="3">
        <v>5.0</v>
      </c>
    </row>
    <row r="10394" ht="15.75" customHeight="1">
      <c r="A10394" s="1">
        <v>11199.0</v>
      </c>
      <c r="B10394" s="3" t="s">
        <v>9915</v>
      </c>
      <c r="C10394" s="3" t="str">
        <f>IFERROR(__xludf.DUMMYFUNCTION("GOOGLETRANSLATE(B10394,""id"",""en"")"),"['Satisfied', 'with', 'application']")</f>
        <v>['Satisfied', 'with', 'application']</v>
      </c>
      <c r="D10394" s="3">
        <v>4.0</v>
      </c>
    </row>
    <row r="10395" ht="15.75" customHeight="1">
      <c r="A10395" s="1">
        <v>11200.0</v>
      </c>
      <c r="B10395" s="3" t="s">
        <v>9916</v>
      </c>
      <c r="C10395" s="3" t="str">
        <f>IFERROR(__xludf.DUMMYFUNCTION("GOOGLETRANSLATE(B10395,""id"",""en"")"),"['Increase', 'gift', 'bonus', 'taskkan', 'discount', 'price', 'package', 'hehehe']")</f>
        <v>['Increase', 'gift', 'bonus', 'taskkan', 'discount', 'price', 'package', 'hehehe']</v>
      </c>
      <c r="D10395" s="3">
        <v>4.0</v>
      </c>
    </row>
    <row r="10396" ht="15.75" customHeight="1">
      <c r="A10396" s="1">
        <v>11202.0</v>
      </c>
      <c r="B10396" s="3" t="s">
        <v>9917</v>
      </c>
      <c r="C10396" s="3" t="str">
        <f>IFERROR(__xludf.DUMMYFUNCTION("GOOGLETRANSLATE(B10396,""id"",""en"")"),"['Paketan', 'expensive', 'donk']")</f>
        <v>['Paketan', 'expensive', 'donk']</v>
      </c>
      <c r="D10396" s="3">
        <v>3.0</v>
      </c>
    </row>
    <row r="10397" ht="15.75" customHeight="1">
      <c r="A10397" s="1">
        <v>11203.0</v>
      </c>
      <c r="B10397" s="3" t="s">
        <v>9918</v>
      </c>
      <c r="C10397" s="3" t="str">
        <f>IFERROR(__xludf.DUMMYFUNCTION("GOOGLETRANSLATE(B10397,""id"",""en"")"),"['Direct', 'Cut', 'Credit', 'Customer', 'BGitu', 'Package', 'Internet', 'Hbs',' yes', 'brp', 'second', 'Cut', ' Credit ',' tutens', 'thousand', 'really', 'miss']")</f>
        <v>['Direct', 'Cut', 'Credit', 'Customer', 'BGitu', 'Package', 'Internet', 'Hbs',' yes', 'brp', 'second', 'Cut', ' Credit ',' tutens', 'thousand', 'really', 'miss']</v>
      </c>
      <c r="D10397" s="3">
        <v>3.0</v>
      </c>
    </row>
    <row r="10398" ht="15.75" customHeight="1">
      <c r="A10398" s="1">
        <v>11204.0</v>
      </c>
      <c r="B10398" s="3" t="s">
        <v>9919</v>
      </c>
      <c r="C10398" s="3" t="str">
        <f>IFERROR(__xludf.DUMMYFUNCTION("GOOGLETRANSLATE(B10398,""id"",""en"")"),"['buy', 'pulse', 'use', 'virtual', 'account', 'pay', 'pulse', 'enter']")</f>
        <v>['buy', 'pulse', 'use', 'virtual', 'account', 'pay', 'pulse', 'enter']</v>
      </c>
      <c r="D10398" s="3">
        <v>1.0</v>
      </c>
    </row>
    <row r="10399" ht="15.75" customHeight="1">
      <c r="A10399" s="1">
        <v>11205.0</v>
      </c>
      <c r="B10399" s="3" t="s">
        <v>9920</v>
      </c>
      <c r="C10399" s="3" t="str">
        <f>IFERROR(__xludf.DUMMYFUNCTION("GOOGLETRANSLATE(B10399,""id"",""en"")"),"['Number', 'Telkomsel', 'Connected', 'Wallet', 'Fund', 'Gopay', 'Shopeepay', 'Linkaja', 'Paypal', 'Etc.', 'Connected', 'Bank', ' Mandiri ',' Bank ',' Mandiri ',' Bank ',' Mandiri ',' On ',' Blocked ',' Upgrade ',' Telkomsel ',' GraPARI ',' Nearest ',' Fea"&amp;"r ',' Upgrade ' , 'Khan', 'Sia', 'Sia', 'GraPARI', 'Please', 'Replied', 'Thank you']")</f>
        <v>['Number', 'Telkomsel', 'Connected', 'Wallet', 'Fund', 'Gopay', 'Shopeepay', 'Linkaja', 'Paypal', 'Etc.', 'Connected', 'Bank', ' Mandiri ',' Bank ',' Mandiri ',' Bank ',' Mandiri ',' On ',' Blocked ',' Upgrade ',' Telkomsel ',' GraPARI ',' Nearest ',' Fear ',' Upgrade ' , 'Khan', 'Sia', 'Sia', 'GraPARI', 'Please', 'Replied', 'Thank you']</v>
      </c>
      <c r="D10399" s="3">
        <v>5.0</v>
      </c>
    </row>
    <row r="10400" ht="15.75" customHeight="1">
      <c r="A10400" s="1">
        <v>11206.0</v>
      </c>
      <c r="B10400" s="3" t="s">
        <v>1352</v>
      </c>
      <c r="C10400" s="3" t="str">
        <f>IFERROR(__xludf.DUMMYFUNCTION("GOOGLETRANSLATE(B10400,""id"",""en"")"),"['']")</f>
        <v>['']</v>
      </c>
      <c r="D10400" s="3">
        <v>5.0</v>
      </c>
    </row>
    <row r="10401" ht="15.75" customHeight="1">
      <c r="A10401" s="1">
        <v>11207.0</v>
      </c>
      <c r="B10401" s="3" t="s">
        <v>9921</v>
      </c>
      <c r="C10401" s="3" t="str">
        <f>IFERROR(__xludf.DUMMYFUNCTION("GOOGLETRANSLATE(B10401,""id"",""en"")"),"['Please', 'promo', 'internet']")</f>
        <v>['Please', 'promo', 'internet']</v>
      </c>
      <c r="D10401" s="3">
        <v>5.0</v>
      </c>
    </row>
    <row r="10402" ht="15.75" customHeight="1">
      <c r="A10402" s="1">
        <v>11208.0</v>
      </c>
      <c r="B10402" s="3" t="s">
        <v>9922</v>
      </c>
      <c r="C10402" s="3" t="str">
        <f>IFERROR(__xludf.DUMMYFUNCTION("GOOGLETRANSLATE(B10402,""id"",""en"")"),"['Sorry', 'Tapukan', 'Star', 'Because', 'Network', 'Internet', 'Stable', 'Please', 'Say', 'Top', 'Games',' Make ',' method ',' payment ',' pulse ',' yes', 'no', 'admin']")</f>
        <v>['Sorry', 'Tapukan', 'Star', 'Because', 'Network', 'Internet', 'Stable', 'Please', 'Say', 'Top', 'Games',' Make ',' method ',' payment ',' pulse ',' yes', 'no', 'admin']</v>
      </c>
      <c r="D10402" s="3">
        <v>3.0</v>
      </c>
    </row>
    <row r="10403" ht="15.75" customHeight="1">
      <c r="A10403" s="1">
        <v>11209.0</v>
      </c>
      <c r="B10403" s="3" t="s">
        <v>9923</v>
      </c>
      <c r="C10403" s="3" t="str">
        <f>IFERROR(__xludf.DUMMYFUNCTION("GOOGLETRANSLATE(B10403,""id"",""en"")"),"['', 'Star', 'SINGX', 'Try', 'AFK']")</f>
        <v>['', 'Star', 'SINGX', 'Try', 'AFK']</v>
      </c>
      <c r="D10403" s="3">
        <v>2.0</v>
      </c>
    </row>
    <row r="10404" ht="15.75" customHeight="1">
      <c r="A10404" s="1">
        <v>11210.0</v>
      </c>
      <c r="B10404" s="3" t="s">
        <v>9924</v>
      </c>
      <c r="C10404" s="3" t="str">
        <f>IFERROR(__xludf.DUMMYFUNCTION("GOOGLETRANSLATE(B10404,""id"",""en"")"),"['Please', 'Sorry', 'Knp', 'Payment', 'Gopay', 'Dijilanin', '']")</f>
        <v>['Please', 'Sorry', 'Knp', 'Payment', 'Gopay', 'Dijilanin', '']</v>
      </c>
      <c r="D10404" s="3">
        <v>4.0</v>
      </c>
    </row>
    <row r="10405" ht="15.75" customHeight="1">
      <c r="A10405" s="1">
        <v>11211.0</v>
      </c>
      <c r="B10405" s="3" t="s">
        <v>9925</v>
      </c>
      <c r="C10405" s="3" t="str">
        <f>IFERROR(__xludf.DUMMYFUNCTION("GOOGLETRANSLATE(B10405,""id"",""en"")"),"['Impressed', 'Pengkunay', 'Telkomsel', 'school', 'thank', 'love', 'Telkomsel', 'Jaya', 'continued', 'increase', 'quality']")</f>
        <v>['Impressed', 'Pengkunay', 'Telkomsel', 'school', 'thank', 'love', 'Telkomsel', 'Jaya', 'continued', 'increase', 'quality']</v>
      </c>
      <c r="D10405" s="3">
        <v>5.0</v>
      </c>
    </row>
    <row r="10406" ht="15.75" customHeight="1">
      <c r="A10406" s="1">
        <v>11212.0</v>
      </c>
      <c r="B10406" s="3" t="s">
        <v>9926</v>
      </c>
      <c r="C10406" s="3" t="str">
        <f>IFERROR(__xludf.DUMMYFUNCTION("GOOGLETRANSLATE(B10406,""id"",""en"")"),"['', 'already', 'enter', 'plus']")</f>
        <v>['', 'already', 'enter', 'plus']</v>
      </c>
      <c r="D10406" s="3">
        <v>3.0</v>
      </c>
    </row>
    <row r="10407" ht="15.75" customHeight="1">
      <c r="A10407" s="1">
        <v>11213.0</v>
      </c>
      <c r="B10407" s="3" t="s">
        <v>9927</v>
      </c>
      <c r="C10407" s="3" t="str">
        <f>IFERROR(__xludf.DUMMYFUNCTION("GOOGLETRANSLATE(B10407,""id"",""en"")"),"['Credit', 'Cut', 'Package', 'Data']")</f>
        <v>['Credit', 'Cut', 'Package', 'Data']</v>
      </c>
      <c r="D10407" s="3">
        <v>1.0</v>
      </c>
    </row>
    <row r="10408" ht="15.75" customHeight="1">
      <c r="A10408" s="1">
        <v>11214.0</v>
      </c>
      <c r="B10408" s="3" t="s">
        <v>9928</v>
      </c>
      <c r="C10408" s="3" t="str">
        <f>IFERROR(__xludf.DUMMYFUNCTION("GOOGLETRANSLATE(B10408,""id"",""en"")"),"['Wowwwwww', 'Telkomsel', 'help', 'find', 'package', 'cheap', 'bikessssssssd']")</f>
        <v>['Wowwwwww', 'Telkomsel', 'help', 'find', 'package', 'cheap', 'bikessssssssd']</v>
      </c>
      <c r="D10408" s="3">
        <v>5.0</v>
      </c>
    </row>
    <row r="10409" ht="15.75" customHeight="1">
      <c r="A10409" s="1">
        <v>11215.0</v>
      </c>
      <c r="B10409" s="3" t="s">
        <v>9929</v>
      </c>
      <c r="C10409" s="3" t="str">
        <f>IFERROR(__xludf.DUMMYFUNCTION("GOOGLETRANSLATE(B10409,""id"",""en"")"),"['The widest', 'widest', 'reach', 'remote', 'country', 'ploll', 'city', 'suburbs',' city ',' signal ',' lift ',' browsing ',' Google ',' play ',' game ',' NNTN ',' YouTube ',' trpksa ',' broken ',' card ',' prime ',' pdhl ',' many years', 'subscribe', 'Te"&amp;"lkomsel' , 'brtahan', 'bkl', 'good', 'network', 'internet', 'mlh', 'maybe', 'maybe', 'severe', 'Telkomsel', 'thank you', 'SLMA', ' Inhibit ',' activity ',' emotions', 'network', 'lmot']")</f>
        <v>['The widest', 'widest', 'reach', 'remote', 'country', 'ploll', 'city', 'suburbs',' city ',' signal ',' lift ',' browsing ',' Google ',' play ',' game ',' NNTN ',' YouTube ',' trpksa ',' broken ',' card ',' prime ',' pdhl ',' many years', 'subscribe', 'Telkomsel' , 'brtahan', 'bkl', 'good', 'network', 'internet', 'mlh', 'maybe', 'maybe', 'severe', 'Telkomsel', 'thank you', 'SLMA', ' Inhibit ',' activity ',' emotions', 'network', 'lmot']</v>
      </c>
      <c r="D10409" s="3">
        <v>1.0</v>
      </c>
    </row>
    <row r="10410" ht="15.75" customHeight="1">
      <c r="A10410" s="1">
        <v>11216.0</v>
      </c>
      <c r="B10410" s="3" t="s">
        <v>9930</v>
      </c>
      <c r="C10410" s="3" t="str">
        <f>IFERROR(__xludf.DUMMYFUNCTION("GOOGLETRANSLATE(B10410,""id"",""en"")"),"['method', 'payment', 'ilang', 'mulu']")</f>
        <v>['method', 'payment', 'ilang', 'mulu']</v>
      </c>
      <c r="D10410" s="3">
        <v>2.0</v>
      </c>
    </row>
    <row r="10411" ht="15.75" customHeight="1">
      <c r="A10411" s="1">
        <v>11217.0</v>
      </c>
      <c r="B10411" s="3" t="s">
        <v>9931</v>
      </c>
      <c r="C10411" s="3" t="str">
        <f>IFERROR(__xludf.DUMMYFUNCTION("GOOGLETRANSLATE(B10411,""id"",""en"")"),"['', 'borrow', 'pulse']")</f>
        <v>['', 'borrow', 'pulse']</v>
      </c>
      <c r="D10411" s="3">
        <v>5.0</v>
      </c>
    </row>
    <row r="10412" ht="15.75" customHeight="1">
      <c r="A10412" s="1">
        <v>11218.0</v>
      </c>
      <c r="B10412" s="3" t="s">
        <v>9932</v>
      </c>
      <c r="C10412" s="3" t="str">
        <f>IFERROR(__xludf.DUMMYFUNCTION("GOOGLETRANSLATE(B10412,""id"",""en"")"),"['', 'Angel', 'ilang', 'package', 'sek', 'cheap', 'monkey', 'star', 'wae']")</f>
        <v>['', 'Angel', 'ilang', 'package', 'sek', 'cheap', 'monkey', 'star', 'wae']</v>
      </c>
      <c r="D10412" s="3">
        <v>1.0</v>
      </c>
    </row>
    <row r="10413" ht="15.75" customHeight="1">
      <c r="A10413" s="1">
        <v>11219.0</v>
      </c>
      <c r="B10413" s="3" t="s">
        <v>3701</v>
      </c>
      <c r="C10413" s="3" t="str">
        <f>IFERROR(__xludf.DUMMYFUNCTION("GOOGLETRANSLATE(B10413,""id"",""en"")"),"['Cool', 'really', 'the application']")</f>
        <v>['Cool', 'really', 'the application']</v>
      </c>
      <c r="D10413" s="3">
        <v>1.0</v>
      </c>
    </row>
    <row r="10414" ht="15.75" customHeight="1">
      <c r="A10414" s="1">
        <v>11220.0</v>
      </c>
      <c r="B10414" s="3" t="s">
        <v>9933</v>
      </c>
      <c r="C10414" s="3" t="str">
        <f>IFERROR(__xludf.DUMMYFUNCTION("GOOGLETRANSLATE(B10414,""id"",""en"")"),"['Good', 'easy', 'undergo', 'purchase', 'pulse', 'package']")</f>
        <v>['Good', 'easy', 'undergo', 'purchase', 'pulse', 'package']</v>
      </c>
      <c r="D10414" s="3">
        <v>4.0</v>
      </c>
    </row>
    <row r="10415" ht="15.75" customHeight="1">
      <c r="A10415" s="1">
        <v>11221.0</v>
      </c>
      <c r="B10415" s="3" t="s">
        <v>9934</v>
      </c>
      <c r="C10415" s="3" t="str">
        <f>IFERROR(__xludf.DUMMYFUNCTION("GOOGLETRANSLATE(B10415,""id"",""en"")"),"['Alhamdulillah', 'Telkomsel', 'smooth', '']")</f>
        <v>['Alhamdulillah', 'Telkomsel', 'smooth', '']</v>
      </c>
      <c r="D10415" s="3">
        <v>5.0</v>
      </c>
    </row>
    <row r="10416" ht="15.75" customHeight="1">
      <c r="A10416" s="1">
        <v>11222.0</v>
      </c>
      <c r="B10416" s="3" t="s">
        <v>9935</v>
      </c>
      <c r="C10416" s="3" t="str">
        <f>IFERROR(__xludf.DUMMYFUNCTION("GOOGLETRANSLATE(B10416,""id"",""en"")"),"['Telkomsel', 'Yahud']")</f>
        <v>['Telkomsel', 'Yahud']</v>
      </c>
      <c r="D10416" s="3">
        <v>4.0</v>
      </c>
    </row>
    <row r="10417" ht="15.75" customHeight="1">
      <c r="A10417" s="1">
        <v>11223.0</v>
      </c>
      <c r="B10417" s="3" t="s">
        <v>9936</v>
      </c>
      <c r="C10417" s="3" t="str">
        <f>IFERROR(__xludf.DUMMYFUNCTION("GOOGLETRANSLATE(B10417,""id"",""en"")"),"['method', 'payment', 'ngilance']")</f>
        <v>['method', 'payment', 'ngilance']</v>
      </c>
      <c r="D10417" s="3">
        <v>1.0</v>
      </c>
    </row>
    <row r="10418" ht="15.75" customHeight="1">
      <c r="A10418" s="1">
        <v>11224.0</v>
      </c>
      <c r="B10418" s="3" t="s">
        <v>9937</v>
      </c>
      <c r="C10418" s="3" t="str">
        <f>IFERROR(__xludf.DUMMYFUNCTION("GOOGLETRANSLATE(B10418,""id"",""en"")"),"['Main', 'tetep', 'sucked', 'credit', 'automatic', 'package', 'data', 'run out', 'kayak', 'provider', 'next door', '']")</f>
        <v>['Main', 'tetep', 'sucked', 'credit', 'automatic', 'package', 'data', 'run out', 'kayak', 'provider', 'next door', '']</v>
      </c>
      <c r="D10418" s="3">
        <v>1.0</v>
      </c>
    </row>
    <row r="10419" ht="15.75" customHeight="1">
      <c r="A10419" s="1">
        <v>11225.0</v>
      </c>
      <c r="B10419" s="3" t="s">
        <v>9938</v>
      </c>
      <c r="C10419" s="3" t="str">
        <f>IFERROR(__xludf.DUMMYFUNCTION("GOOGLETRANSLATE(B10419,""id"",""en"")"),"['Satisfied', 'responsive', '']")</f>
        <v>['Satisfied', 'responsive', '']</v>
      </c>
      <c r="D10419" s="3">
        <v>5.0</v>
      </c>
    </row>
    <row r="10420" ht="15.75" customHeight="1">
      <c r="A10420" s="1">
        <v>11227.0</v>
      </c>
      <c r="B10420" s="3" t="s">
        <v>9939</v>
      </c>
      <c r="C10420" s="3" t="str">
        <f>IFERROR(__xludf.DUMMYFUNCTION("GOOGLETRANSLATE(B10420,""id"",""en"")"),"['easy', 'transaction', 'direct', '']")</f>
        <v>['easy', 'transaction', 'direct', '']</v>
      </c>
      <c r="D10420" s="3">
        <v>5.0</v>
      </c>
    </row>
    <row r="10421" ht="15.75" customHeight="1">
      <c r="A10421" s="1">
        <v>11228.0</v>
      </c>
      <c r="B10421" s="3" t="s">
        <v>9940</v>
      </c>
      <c r="C10421" s="3" t="str">
        <f>IFERROR(__xludf.DUMMYFUNCTION("GOOGLETRANSLATE(B10421,""id"",""en"")"),"['Telkomsel', 'Chapter', 'Card', 'Signal', 'Stay', 'City', '']")</f>
        <v>['Telkomsel', 'Chapter', 'Card', 'Signal', 'Stay', 'City', '']</v>
      </c>
      <c r="D10421" s="3">
        <v>1.0</v>
      </c>
    </row>
    <row r="10422" ht="15.75" customHeight="1">
      <c r="A10422" s="1">
        <v>11229.0</v>
      </c>
      <c r="B10422" s="3" t="s">
        <v>9941</v>
      </c>
      <c r="C10422" s="3" t="str">
        <f>IFERROR(__xludf.DUMMYFUNCTION("GOOGLETRANSLATE(B10422,""id"",""en"")"),"['application', 'change', 'display', 'change', 'contents',' function ',' check ',' balance ',' pulse ',' check ',' balance ',' kouta ',' data ',' internet ',' balance ',' bonus', 'telephone', 'sms',' number ',' prime ',' the rest ',' add ',' star ',' appl"&amp;"ication ',' service ' , 'according to', 'offer', 'Kebohonggan', 'please', 'APK', 'bug', 'payment']")</f>
        <v>['application', 'change', 'display', 'change', 'contents',' function ',' check ',' balance ',' pulse ',' check ',' balance ',' kouta ',' data ',' internet ',' balance ',' bonus', 'telephone', 'sms',' number ',' prime ',' the rest ',' add ',' star ',' application ',' service ' , 'according to', 'offer', 'Kebohonggan', 'please', 'APK', 'bug', 'payment']</v>
      </c>
      <c r="D10422" s="3">
        <v>2.0</v>
      </c>
    </row>
    <row r="10423" ht="15.75" customHeight="1">
      <c r="A10423" s="1">
        <v>11230.0</v>
      </c>
      <c r="B10423" s="3" t="s">
        <v>9942</v>
      </c>
      <c r="C10423" s="3" t="str">
        <f>IFERROR(__xludf.DUMMYFUNCTION("GOOGLETRANSLATE(B10423,""id"",""en"")"),"['Disappointed', 'Telkomsel', 'byk', 'love', 'bonus',' contents', 'quota', 'given', 'bonus',' pulse ',' hny ',' dipake ',' Calls', 'SMS', 'apply', 'given', 'pulses',' trilyun ',' used ',' pelitt ',' severe ',' contents', 'package', 'contents',' pulses' , "&amp;"'choice', 'pay', 'use', 'link', 'choice', 'use', 'card', 'credit', 'indomaret', 'it's wrong', 'entered', 'choice', ' Link ',' Severe ',' Pelitnya ',' ']")</f>
        <v>['Disappointed', 'Telkomsel', 'byk', 'love', 'bonus',' contents', 'quota', 'given', 'bonus',' pulse ',' hny ',' dipake ',' Calls', 'SMS', 'apply', 'given', 'pulses',' trilyun ',' used ',' pelitt ',' severe ',' contents', 'package', 'contents',' pulses' , 'choice', 'pay', 'use', 'link', 'choice', 'use', 'card', 'credit', 'indomaret', 'it's wrong', 'entered', 'choice', ' Link ',' Severe ',' Pelitnya ',' ']</v>
      </c>
      <c r="D10423" s="3">
        <v>3.0</v>
      </c>
    </row>
    <row r="10424" ht="15.75" customHeight="1">
      <c r="A10424" s="1">
        <v>11231.0</v>
      </c>
      <c r="B10424" s="3" t="s">
        <v>9943</v>
      </c>
      <c r="C10424" s="3" t="str">
        <f>IFERROR(__xludf.DUMMYFUNCTION("GOOGLETRANSLATE(B10424,""id"",""en"")"),"['pulse', 'free']")</f>
        <v>['pulse', 'free']</v>
      </c>
      <c r="D10424" s="3">
        <v>5.0</v>
      </c>
    </row>
    <row r="10425" ht="15.75" customHeight="1">
      <c r="A10425" s="1">
        <v>11232.0</v>
      </c>
      <c r="B10425" s="3" t="s">
        <v>9944</v>
      </c>
      <c r="C10425" s="3" t="str">
        <f>IFERROR(__xludf.DUMMYFUNCTION("GOOGLETRANSLATE(B10425,""id"",""en"")"),"['Developer', 'Please', 'considered', 'umpsecuch', 'times',' fill out ',' pulse ',' pulses', 'reduced', 'notification', 'Telkomsel', 'and then', ' The distance ',' second ',' fill out ',' pulse ',' buy ',' package ',' data ',' balance ',' sufficient ',' r"&amp;"efresh ',' balance ',' reduced ',' where ' , 'truma', 'love']")</f>
        <v>['Developer', 'Please', 'considered', 'umpsecuch', 'times',' fill out ',' pulse ',' pulses', 'reduced', 'notification', 'Telkomsel', 'and then', ' The distance ',' second ',' fill out ',' pulse ',' buy ',' package ',' data ',' balance ',' sufficient ',' refresh ',' balance ',' reduced ',' where ' , 'truma', 'love']</v>
      </c>
      <c r="D10425" s="3">
        <v>1.0</v>
      </c>
    </row>
    <row r="10426" ht="15.75" customHeight="1">
      <c r="A10426" s="1">
        <v>11233.0</v>
      </c>
      <c r="B10426" s="3" t="s">
        <v>9945</v>
      </c>
      <c r="C10426" s="3" t="str">
        <f>IFERROR(__xludf.DUMMYFUNCTION("GOOGLETRANSLATE(B10426,""id"",""en"")"),"['package', 'internet', 'expensive', 'compared to', 'next door', 'speed', 'compete', 'Please', 'Lower', 'Price']")</f>
        <v>['package', 'internet', 'expensive', 'compared to', 'next door', 'speed', 'compete', 'Please', 'Lower', 'Price']</v>
      </c>
      <c r="D10426" s="3">
        <v>5.0</v>
      </c>
    </row>
    <row r="10427" ht="15.75" customHeight="1">
      <c r="A10427" s="1">
        <v>11234.0</v>
      </c>
      <c r="B10427" s="3" t="s">
        <v>3145</v>
      </c>
      <c r="C10427" s="3" t="str">
        <f>IFERROR(__xludf.DUMMYFUNCTION("GOOGLETRANSLATE(B10427,""id"",""en"")"),"['like']")</f>
        <v>['like']</v>
      </c>
      <c r="D10427" s="3">
        <v>5.0</v>
      </c>
    </row>
    <row r="10428" ht="15.75" customHeight="1">
      <c r="A10428" s="1">
        <v>11235.0</v>
      </c>
      <c r="B10428" s="3" t="s">
        <v>9946</v>
      </c>
      <c r="C10428" s="3" t="str">
        <f>IFERROR(__xludf.DUMMYFUNCTION("GOOGLETRANSLATE(B10428,""id"",""en"")"),"['Please', 'Fix', 'Open', 'Telkomsel', 'sucked', 'really']")</f>
        <v>['Please', 'Fix', 'Open', 'Telkomsel', 'sucked', 'really']</v>
      </c>
      <c r="D10428" s="3">
        <v>1.0</v>
      </c>
    </row>
    <row r="10429" ht="15.75" customHeight="1">
      <c r="A10429" s="1">
        <v>11236.0</v>
      </c>
      <c r="B10429" s="3" t="s">
        <v>9947</v>
      </c>
      <c r="C10429" s="3" t="str">
        <f>IFERROR(__xludf.DUMMYFUNCTION("GOOGLETRANSLATE(B10429,""id"",""en"")"),"['petrified', 'information', 'facilitated']")</f>
        <v>['petrified', 'information', 'facilitated']</v>
      </c>
      <c r="D10429" s="3">
        <v>5.0</v>
      </c>
    </row>
    <row r="10430" ht="15.75" customHeight="1">
      <c r="A10430" s="1">
        <v>11237.0</v>
      </c>
      <c r="B10430" s="3" t="s">
        <v>9948</v>
      </c>
      <c r="C10430" s="3" t="str">
        <f>IFERROR(__xludf.DUMMYFUNCTION("GOOGLETRANSLATE(B10430,""id"",""en"")"),"['transaction', 'use', 'Gopay', 'Shopee', 'Pay', 'Biyasa', ""]")</f>
        <v>['transaction', 'use', 'Gopay', 'Shopee', 'Pay', 'Biyasa', "]</v>
      </c>
      <c r="D10430" s="3">
        <v>1.0</v>
      </c>
    </row>
    <row r="10431" ht="15.75" customHeight="1">
      <c r="A10431" s="1">
        <v>11239.0</v>
      </c>
      <c r="B10431" s="3" t="s">
        <v>9949</v>
      </c>
      <c r="C10431" s="3" t="str">
        <f>IFERROR(__xludf.DUMMYFUNCTION("GOOGLETRANSLATE(B10431,""id"",""en"")"),"['Net', 'already', 'ugly', 'intenet', 'slow', 'already', 'th', 'advanced', 'jelekkkkkkkk', 'jakekkkkk', ""]")</f>
        <v>['Net', 'already', 'ugly', 'intenet', 'slow', 'already', 'th', 'advanced', 'jelekkkkkkkk', 'jakekkkkk', "]</v>
      </c>
      <c r="D10431" s="3">
        <v>1.0</v>
      </c>
    </row>
    <row r="10432" ht="15.75" customHeight="1">
      <c r="A10432" s="1">
        <v>11240.0</v>
      </c>
      <c r="B10432" s="3" t="s">
        <v>9950</v>
      </c>
      <c r="C10432" s="3" t="str">
        <f>IFERROR(__xludf.DUMMYFUNCTION("GOOGLETRANSLATE(B10432,""id"",""en"")"),"['Fix', 'network']")</f>
        <v>['Fix', 'network']</v>
      </c>
      <c r="D10432" s="3">
        <v>1.0</v>
      </c>
    </row>
    <row r="10433" ht="15.75" customHeight="1">
      <c r="A10433" s="1">
        <v>11241.0</v>
      </c>
      <c r="B10433" s="3" t="s">
        <v>9951</v>
      </c>
      <c r="C10433" s="3" t="str">
        <f>IFERROR(__xludf.DUMMYFUNCTION("GOOGLETRANSLATE(B10433,""id"",""en"")"),"['Network', 'Most expensive', 'Seindonesia', 'Quality', 'Worst', 'World', 'In', 'Corruptor', ""]")</f>
        <v>['Network', 'Most expensive', 'Seindonesia', 'Quality', 'Worst', 'World', 'In', 'Corruptor', "]</v>
      </c>
      <c r="D10433" s="3">
        <v>1.0</v>
      </c>
    </row>
    <row r="10434" ht="15.75" customHeight="1">
      <c r="A10434" s="1">
        <v>11242.0</v>
      </c>
      <c r="B10434" s="3" t="s">
        <v>9952</v>
      </c>
      <c r="C10434" s="3" t="str">
        <f>IFERROR(__xludf.DUMMYFUNCTION("GOOGLETRANSLATE(B10434,""id"",""en"")"),"['Hadehhh', 'Price', 'Ride', 'Network', 'Lemot']")</f>
        <v>['Hadehhh', 'Price', 'Ride', 'Network', 'Lemot']</v>
      </c>
      <c r="D10434" s="3">
        <v>1.0</v>
      </c>
    </row>
    <row r="10435" ht="15.75" customHeight="1">
      <c r="A10435" s="1">
        <v>11243.0</v>
      </c>
      <c r="B10435" s="3" t="s">
        <v>9953</v>
      </c>
      <c r="C10435" s="3" t="str">
        <f>IFERROR(__xludf.DUMMYFUNCTION("GOOGLETRANSLATE(B10435,""id"",""en"")"),"['application', 'easy', 'user', 'MyTelkomsel', 'trsonsaxic', 'purchase', 'pulse', 'quota', 'cheap', 'sometimes',' at the time ',' quota ',' pulses', 'ads',' enter ',' quota ',' run out ',' make sure ',' data ',' cellular ',' data ',' dumped ',' pulse ',' "&amp;"name ',' user ' , 'Understand', 'buy', 'pulse', 'quota', 'know', 'kormal', 'SPT', 'study', 'reset', 'name', 'mytelkomsel', 'heart', ' inhabitant', '']")</f>
        <v>['application', 'easy', 'user', 'MyTelkomsel', 'trsonsaxic', 'purchase', 'pulse', 'quota', 'cheap', 'sometimes',' at the time ',' quota ',' pulses', 'ads',' enter ',' quota ',' run out ',' make sure ',' data ',' cellular ',' data ',' dumped ',' pulse ',' name ',' user ' , 'Understand', 'buy', 'pulse', 'quota', 'know', 'kormal', 'SPT', 'study', 'reset', 'name', 'mytelkomsel', 'heart', ' inhabitant', '']</v>
      </c>
      <c r="D10435" s="3">
        <v>5.0</v>
      </c>
    </row>
    <row r="10436" ht="15.75" customHeight="1">
      <c r="A10436" s="1">
        <v>11244.0</v>
      </c>
      <c r="B10436" s="3" t="s">
        <v>9954</v>
      </c>
      <c r="C10436" s="3" t="str">
        <f>IFERROR(__xludf.DUMMYFUNCTION("GOOGLETRANSLATE(B10436,""id"",""en"")"),"['package', 'expensive', 'quality', 'signal', 'quality', 'severe']")</f>
        <v>['package', 'expensive', 'quality', 'signal', 'quality', 'severe']</v>
      </c>
      <c r="D10436" s="3">
        <v>1.0</v>
      </c>
    </row>
    <row r="10437" ht="15.75" customHeight="1">
      <c r="A10437" s="1">
        <v>11245.0</v>
      </c>
      <c r="B10437" s="3" t="s">
        <v>9955</v>
      </c>
      <c r="C10437" s="3" t="str">
        <f>IFERROR(__xludf.DUMMYFUNCTION("GOOGLETRANSLATE(B10437,""id"",""en"")"),"['very', 'good', 'hope', 'get', 'Lucky', 'Draw', 'date', 'December']")</f>
        <v>['very', 'good', 'hope', 'get', 'Lucky', 'Draw', 'date', 'December']</v>
      </c>
      <c r="D10437" s="3">
        <v>5.0</v>
      </c>
    </row>
    <row r="10438" ht="15.75" customHeight="1">
      <c r="A10438" s="1">
        <v>11246.0</v>
      </c>
      <c r="B10438" s="3" t="s">
        <v>9956</v>
      </c>
      <c r="C10438" s="3" t="str">
        <f>IFERROR(__xludf.DUMMYFUNCTION("GOOGLETRANSLATE(B10438,""id"",""en"")"),"['Pesen', 'Mending', 'Smartfreen', 'Indosat', 'Oath', 'Different', 'Class',' Shy ',' Cave ',' Stay ',' City ',' Yaa ',' BKN ',' Dipepay ',' BKN ',' Coast ',' Sea ',' Jga ',' Telkomsel ',' Morning ',' noon ',' Afternoon ',' BLM ',' MLM ',' MLM ' , 'Down', "&amp;"'Sampe', 'Clock', 'Morning', 'Under', 'Hour', 'Morning', 'Signal', 'UDH', 'Epeti', 'Maen', 'ping', ' red ',' yellow ',' trs', 'streaming', 'slow', 'lbh', 'load', 'rather than', 'mutera', 'smooth', 'send', 'chat', 'doang' , 'send', 'photo', 'vidio', 'buset"&amp;"', 'dahh', 'oath', 'load', 'anjirr']")</f>
        <v>['Pesen', 'Mending', 'Smartfreen', 'Indosat', 'Oath', 'Different', 'Class',' Shy ',' Cave ',' Stay ',' City ',' Yaa ',' BKN ',' Dipepay ',' BKN ',' Coast ',' Sea ',' Jga ',' Telkomsel ',' Morning ',' noon ',' Afternoon ',' BLM ',' MLM ',' MLM ' , 'Down', 'Sampe', 'Clock', 'Morning', 'Under', 'Hour', 'Morning', 'Signal', 'UDH', 'Epeti', 'Maen', 'ping', ' red ',' yellow ',' trs', 'streaming', 'slow', 'lbh', 'load', 'rather than', 'mutera', 'smooth', 'send', 'chat', 'doang' , 'send', 'photo', 'vidio', 'buset', 'dahh', 'oath', 'load', 'anjirr']</v>
      </c>
      <c r="D10438" s="3">
        <v>1.0</v>
      </c>
    </row>
    <row r="10439" ht="15.75" customHeight="1">
      <c r="A10439" s="1">
        <v>11247.0</v>
      </c>
      <c r="B10439" s="3" t="s">
        <v>9957</v>
      </c>
      <c r="C10439" s="3" t="str">
        <f>IFERROR(__xludf.DUMMYFUNCTION("GOOGLETRANSLATE(B10439,""id"",""en"")"),"['gabisa', 'buy', 'Package', 'Pia', 'Fund', 'Prasaan', 'yesterday', 'payment', 'deleted', 'deleted', 'disappointed', 'already', ' network ',' slow ',' pay ',' payment ',' dahlah ',' ']")</f>
        <v>['gabisa', 'buy', 'Package', 'Pia', 'Fund', 'Prasaan', 'yesterday', 'payment', 'deleted', 'deleted', 'disappointed', 'already', ' network ',' slow ',' pay ',' payment ',' dahlah ',' ']</v>
      </c>
      <c r="D10439" s="3">
        <v>1.0</v>
      </c>
    </row>
    <row r="10440" ht="15.75" customHeight="1">
      <c r="A10440" s="1">
        <v>11248.0</v>
      </c>
      <c r="B10440" s="3" t="s">
        <v>9958</v>
      </c>
      <c r="C10440" s="3" t="str">
        <f>IFERROR(__xludf.DUMMYFUNCTION("GOOGLETRANSLATE(B10440,""id"",""en"")"),"['knp', 'skrg', 'use', 'gopay', '']")</f>
        <v>['knp', 'skrg', 'use', 'gopay', '']</v>
      </c>
      <c r="D10440" s="3">
        <v>5.0</v>
      </c>
    </row>
    <row r="10441" ht="15.75" customHeight="1">
      <c r="A10441" s="1">
        <v>11249.0</v>
      </c>
      <c r="B10441" s="3" t="s">
        <v>9959</v>
      </c>
      <c r="C10441" s="3" t="str">
        <f>IFERROR(__xludf.DUMMYFUNCTION("GOOGLETRANSLATE(B10441,""id"",""en"")"),"['Indonesia', 'Lengah', 'Degan', 'cheerful', 'barsama']")</f>
        <v>['Indonesia', 'Lengah', 'Degan', 'cheerful', 'barsama']</v>
      </c>
      <c r="D10441" s="3">
        <v>5.0</v>
      </c>
    </row>
    <row r="10442" ht="15.75" customHeight="1">
      <c r="A10442" s="1">
        <v>11250.0</v>
      </c>
      <c r="B10442" s="3" t="s">
        <v>9960</v>
      </c>
      <c r="C10442" s="3" t="str">
        <f>IFERROR(__xludf.DUMMYFUNCTION("GOOGLETRANSLATE(B10442,""id"",""en"")"),"['Please', 'Degan', 'Sagat', 'Network', 'Telkomsel', 'jammed', 'jammed', 'Lelet', 'Lubai', 'Muwarenim', 'Please', 'Tanggulangi', ' ']")</f>
        <v>['Please', 'Degan', 'Sagat', 'Network', 'Telkomsel', 'jammed', 'jammed', 'Lelet', 'Lubai', 'Muwarenim', 'Please', 'Tanggulangi', ' ']</v>
      </c>
      <c r="D10442" s="3">
        <v>3.0</v>
      </c>
    </row>
    <row r="10443" ht="15.75" customHeight="1">
      <c r="A10443" s="1">
        <v>11251.0</v>
      </c>
      <c r="B10443" s="3" t="s">
        <v>9961</v>
      </c>
      <c r="C10443" s="3" t="str">
        <f>IFERROR(__xludf.DUMMYFUNCTION("GOOGLETRANSLATE(B10443,""id"",""en"")"),"['Card', 'Damn', 'buy', 'pulse', 'langung', 'dumped', 'get', 'sms',' rich ',' gini ',' wear ',' pulses', ' rp ',' access', 'internet', 'non', 'package', 'buy', 'package', 'tsel', 'tsel', 'mode', 'airplane', 'oath', 'card' , 'pulse', 'missing', 'reason', '"&amp;"love', 'change', 'loss', ""]")</f>
        <v>['Card', 'Damn', 'buy', 'pulse', 'langung', 'dumped', 'get', 'sms',' rich ',' gini ',' wear ',' pulses', ' rp ',' access', 'internet', 'non', 'package', 'buy', 'package', 'tsel', 'tsel', 'mode', 'airplane', 'oath', 'card' , 'pulse', 'missing', 'reason', 'love', 'change', 'loss', "]</v>
      </c>
      <c r="D10443" s="3">
        <v>1.0</v>
      </c>
    </row>
    <row r="10444" ht="15.75" customHeight="1">
      <c r="A10444" s="1">
        <v>11252.0</v>
      </c>
      <c r="B10444" s="3" t="s">
        <v>9962</v>
      </c>
      <c r="C10444" s="3" t="str">
        <f>IFERROR(__xludf.DUMMYFUNCTION("GOOGLETRANSLATE(B10444,""id"",""en"")"),"['hope', 'in the future', 'signal', 'good', 'again', 'Telkom', 'emang', 'Asikk', 'Thank you', 'Telkom', ""]")</f>
        <v>['hope', 'in the future', 'signal', 'good', 'again', 'Telkom', 'emang', 'Asikk', 'Thank you', 'Telkom', "]</v>
      </c>
      <c r="D10444" s="3">
        <v>5.0</v>
      </c>
    </row>
    <row r="10445" ht="15.75" customHeight="1">
      <c r="A10445" s="1">
        <v>11253.0</v>
      </c>
      <c r="B10445" s="3" t="s">
        <v>9963</v>
      </c>
      <c r="C10445" s="3" t="str">
        <f>IFERROR(__xludf.DUMMYFUNCTION("GOOGLETRANSLATE(B10445,""id"",""en"")"),"['Connected', 'payment', 'link']")</f>
        <v>['Connected', 'payment', 'link']</v>
      </c>
      <c r="D10445" s="3">
        <v>1.0</v>
      </c>
    </row>
    <row r="10446" ht="15.75" customHeight="1">
      <c r="A10446" s="1">
        <v>11254.0</v>
      </c>
      <c r="B10446" s="3" t="s">
        <v>5603</v>
      </c>
      <c r="C10446" s="3" t="str">
        <f>IFERROR(__xludf.DUMMYFUNCTION("GOOGLETRANSLATE(B10446,""id"",""en"")"),"['Steady', 'Maintain']")</f>
        <v>['Steady', 'Maintain']</v>
      </c>
      <c r="D10446" s="3">
        <v>5.0</v>
      </c>
    </row>
    <row r="10447" ht="15.75" customHeight="1">
      <c r="A10447" s="1">
        <v>11256.0</v>
      </c>
      <c r="B10447" s="3" t="s">
        <v>9964</v>
      </c>
      <c r="C10447" s="3" t="str">
        <f>IFERROR(__xludf.DUMMYFUNCTION("GOOGLETRANSLATE(B10447,""id"",""en"")"),"['Good', 'affordable']")</f>
        <v>['Good', 'affordable']</v>
      </c>
      <c r="D10447" s="3">
        <v>3.0</v>
      </c>
    </row>
    <row r="10448" ht="15.75" customHeight="1">
      <c r="A10448" s="1">
        <v>11258.0</v>
      </c>
      <c r="B10448" s="3" t="s">
        <v>9965</v>
      </c>
      <c r="C10448" s="3" t="str">
        <f>IFERROR(__xludf.DUMMYFUNCTION("GOOGLETRANSLATE(B10448,""id"",""en"")"),"['Please', 'Donk', 'Signal', 'Increase', 'LGI', 'DSNI', 'BNR', 'sympathy', 'kyk', 'dlu', 'skrg', 'lose', ' Providers', 'BNYK', 'enthusiasts',' ']")</f>
        <v>['Please', 'Donk', 'Signal', 'Increase', 'LGI', 'DSNI', 'BNR', 'sympathy', 'kyk', 'dlu', 'skrg', 'lose', ' Providers', 'BNYK', 'enthusiasts',' ']</v>
      </c>
      <c r="D10448" s="3">
        <v>1.0</v>
      </c>
    </row>
    <row r="10449" ht="15.75" customHeight="1">
      <c r="A10449" s="1">
        <v>11259.0</v>
      </c>
      <c r="B10449" s="3" t="s">
        <v>9966</v>
      </c>
      <c r="C10449" s="3" t="str">
        <f>IFERROR(__xludf.DUMMYFUNCTION("GOOGLETRANSLATE(B10449,""id"",""en"")"),"['Price', 'expensive', 'signal', 'card', 'revenge', 'ape', 'you', 'crew', ""]")</f>
        <v>['Price', 'expensive', 'signal', 'card', 'revenge', 'ape', 'you', 'crew', "]</v>
      </c>
      <c r="D10449" s="3">
        <v>1.0</v>
      </c>
    </row>
    <row r="10450" ht="15.75" customHeight="1">
      <c r="A10450" s="1">
        <v>11261.0</v>
      </c>
      <c r="B10450" s="3" t="s">
        <v>9967</v>
      </c>
      <c r="C10450" s="3" t="str">
        <f>IFERROR(__xludf.DUMMYFUNCTION("GOOGLETRANSLATE(B10450,""id"",""en"")"),"['Mantab', 'times', 'Cool', 'Anyway']")</f>
        <v>['Mantab', 'times', 'Cool', 'Anyway']</v>
      </c>
      <c r="D10450" s="3">
        <v>5.0</v>
      </c>
    </row>
    <row r="10451" ht="15.75" customHeight="1">
      <c r="A10451" s="1">
        <v>11262.0</v>
      </c>
      <c r="B10451" s="3" t="s">
        <v>9968</v>
      </c>
      <c r="C10451" s="3" t="str">
        <f>IFERROR(__xludf.DUMMYFUNCTION("GOOGLETRANSLATE(B10451,""id"",""en"")"),"['knpa', 'skrng', 'transaction', 'via', 'fund']")</f>
        <v>['knpa', 'skrng', 'transaction', 'via', 'fund']</v>
      </c>
      <c r="D10451" s="3">
        <v>1.0</v>
      </c>
    </row>
    <row r="10452" ht="15.75" customHeight="1">
      <c r="A10452" s="1">
        <v>11263.0</v>
      </c>
      <c r="B10452" s="3" t="s">
        <v>9969</v>
      </c>
      <c r="C10452" s="3" t="str">
        <f>IFERROR(__xludf.DUMMYFUNCTION("GOOGLETRANSLATE(B10452,""id"",""en"")"),"['Please', 'Telkomsel', 'promo', 'cheap', 'card', 'trimakasih']")</f>
        <v>['Please', 'Telkomsel', 'promo', 'cheap', 'card', 'trimakasih']</v>
      </c>
      <c r="D10452" s="3">
        <v>5.0</v>
      </c>
    </row>
    <row r="10453" ht="15.75" customHeight="1">
      <c r="A10453" s="1">
        <v>11264.0</v>
      </c>
      <c r="B10453" s="3" t="s">
        <v>9970</v>
      </c>
      <c r="C10453" s="3" t="str">
        <f>IFERROR(__xludf.DUMMYFUNCTION("GOOGLETRANSLATE(B10453,""id"",""en"")"),"['Satisfied', 'promo', 'GB', 'Rp']")</f>
        <v>['Satisfied', 'promo', 'GB', 'Rp']</v>
      </c>
      <c r="D10453" s="3">
        <v>5.0</v>
      </c>
    </row>
    <row r="10454" ht="15.75" customHeight="1">
      <c r="A10454" s="1">
        <v>11265.0</v>
      </c>
      <c r="B10454" s="3" t="s">
        <v>9971</v>
      </c>
      <c r="C10454" s="3" t="str">
        <f>IFERROR(__xludf.DUMMYFUNCTION("GOOGLETRANSLATE(B10454,""id"",""en"")"),"['Min', 'Pay', 'Quota', 'Via', 'Dana', ""]")</f>
        <v>['Min', 'Pay', 'Quota', 'Via', 'Dana', "]</v>
      </c>
      <c r="D10454" s="3">
        <v>3.0</v>
      </c>
    </row>
    <row r="10455" ht="15.75" customHeight="1">
      <c r="A10455" s="1">
        <v>11266.0</v>
      </c>
      <c r="B10455" s="3" t="s">
        <v>9972</v>
      </c>
      <c r="C10455" s="3" t="str">
        <f>IFERROR(__xludf.DUMMYFUNCTION("GOOGLETRANSLATE(B10455,""id"",""en"")"),"['Appllaikasii', 'Bagguuss', '']")</f>
        <v>['Appllaikasii', 'Bagguuss', '']</v>
      </c>
      <c r="D10455" s="3">
        <v>5.0</v>
      </c>
    </row>
    <row r="10456" ht="15.75" customHeight="1">
      <c r="A10456" s="1">
        <v>11267.0</v>
      </c>
      <c r="B10456" s="3" t="s">
        <v>9973</v>
      </c>
      <c r="C10456" s="3" t="str">
        <f>IFERROR(__xludf.DUMMYFUNCTION("GOOGLETRANSLATE(B10456,""id"",""en"")"),"['Knpa', 'failed', 'in', 'payment']")</f>
        <v>['Knpa', 'failed', 'in', 'payment']</v>
      </c>
      <c r="D10456" s="3">
        <v>3.0</v>
      </c>
    </row>
    <row r="10457" ht="15.75" customHeight="1">
      <c r="A10457" s="1">
        <v>11268.0</v>
      </c>
      <c r="B10457" s="3" t="s">
        <v>9974</v>
      </c>
      <c r="C10457" s="3" t="str">
        <f>IFERROR(__xludf.DUMMYFUNCTION("GOOGLETRANSLATE(B10457,""id"",""en"")"),"['special', 'makes it easier', 'process',' selection ',' package ',' monitor ',' use ',' quota ',' use ',' leftover ',' left ',' kouata ',' Published ',' finished ',' Mudab ',' understood ']")</f>
        <v>['special', 'makes it easier', 'process',' selection ',' package ',' monitor ',' use ',' quota ',' use ',' leftover ',' left ',' kouata ',' Published ',' finished ',' Mudab ',' understood ']</v>
      </c>
      <c r="D10457" s="3">
        <v>5.0</v>
      </c>
    </row>
    <row r="10458" ht="15.75" customHeight="1">
      <c r="A10458" s="1">
        <v>11269.0</v>
      </c>
      <c r="B10458" s="3" t="s">
        <v>9975</v>
      </c>
      <c r="C10458" s="3" t="str">
        <f>IFERROR(__xludf.DUMMYFUNCTION("GOOGLETRANSLATE(B10458,""id"",""en"")"),"['Satisfied', 'serve', 'makes it easy', 'user', 'beginner', ""]")</f>
        <v>['Satisfied', 'serve', 'makes it easy', 'user', 'beginner', "]</v>
      </c>
      <c r="D10458" s="3">
        <v>5.0</v>
      </c>
    </row>
    <row r="10459" ht="15.75" customHeight="1">
      <c r="A10459" s="1">
        <v>11270.0</v>
      </c>
      <c r="B10459" s="3" t="s">
        <v>9976</v>
      </c>
      <c r="C10459" s="3" t="str">
        <f>IFERROR(__xludf.DUMMYFUNCTION("GOOGLETRANSLATE(B10459,""id"",""en"")"),"['Steady', 'Please', 'Help', 'Card', 'The Network', 'ugly', ""]")</f>
        <v>['Steady', 'Please', 'Help', 'Card', 'The Network', 'ugly', "]</v>
      </c>
      <c r="D10459" s="3">
        <v>4.0</v>
      </c>
    </row>
    <row r="10460" ht="15.75" customHeight="1">
      <c r="A10460" s="1">
        <v>11271.0</v>
      </c>
      <c r="B10460" s="3" t="s">
        <v>9977</v>
      </c>
      <c r="C10460" s="3" t="str">
        <f>IFERROR(__xludf.DUMMYFUNCTION("GOOGLETRANSLATE(B10460,""id"",""en"")"),"['Please', 'Kasi', 'Cheap', 'Price', 'Data', 'Telkomsel']")</f>
        <v>['Please', 'Kasi', 'Cheap', 'Price', 'Data', 'Telkomsel']</v>
      </c>
      <c r="D10460" s="3">
        <v>5.0</v>
      </c>
    </row>
    <row r="10461" ht="15.75" customHeight="1">
      <c r="A10461" s="1">
        <v>11272.0</v>
      </c>
      <c r="B10461" s="3" t="s">
        <v>9978</v>
      </c>
      <c r="C10461" s="3" t="str">
        <f>IFERROR(__xludf.DUMMYFUNCTION("GOOGLETRANSLATE(B10461,""id"",""en"")"),"['Edit', 'Review', 'Application', 'Error']")</f>
        <v>['Edit', 'Review', 'Application', 'Error']</v>
      </c>
      <c r="D10461" s="3">
        <v>1.0</v>
      </c>
    </row>
    <row r="10462" ht="15.75" customHeight="1">
      <c r="A10462" s="1">
        <v>11273.0</v>
      </c>
      <c r="B10462" s="3" t="s">
        <v>9979</v>
      </c>
      <c r="C10462" s="3" t="str">
        <f>IFERROR(__xludf.DUMMYFUNCTION("GOOGLETRANSLATE(B10462,""id"",""en"")"),"['signal', 'area', 'down', 'drastically', 'difficult', 'communicating', 'signal', 'Telkomsel']")</f>
        <v>['signal', 'area', 'down', 'drastically', 'difficult', 'communicating', 'signal', 'Telkomsel']</v>
      </c>
      <c r="D10462" s="3">
        <v>2.0</v>
      </c>
    </row>
    <row r="10463" ht="15.75" customHeight="1">
      <c r="A10463" s="1">
        <v>11274.0</v>
      </c>
      <c r="B10463" s="3" t="s">
        <v>9980</v>
      </c>
      <c r="C10463" s="3" t="str">
        <f>IFERROR(__xludf.DUMMYFUNCTION("GOOGLETRANSLATE(B10463,""id"",""en"")"),"['Gabisa', 'BYR', 'PKE', 'Gopay']")</f>
        <v>['Gabisa', 'BYR', 'PKE', 'Gopay']</v>
      </c>
      <c r="D10463" s="3">
        <v>5.0</v>
      </c>
    </row>
    <row r="10464" ht="15.75" customHeight="1">
      <c r="A10464" s="1">
        <v>11275.0</v>
      </c>
      <c r="B10464" s="3" t="s">
        <v>9981</v>
      </c>
      <c r="C10464" s="3" t="str">
        <f>IFERROR(__xludf.DUMMYFUNCTION("GOOGLETRANSLATE(B10464,""id"",""en"")"),"['', 'Boong']")</f>
        <v>['', 'Boong']</v>
      </c>
      <c r="D10464" s="3">
        <v>5.0</v>
      </c>
    </row>
    <row r="10465" ht="15.75" customHeight="1">
      <c r="A10465" s="1">
        <v>11276.0</v>
      </c>
      <c r="B10465" s="3" t="s">
        <v>9982</v>
      </c>
      <c r="C10465" s="3" t="str">
        <f>IFERROR(__xludf.DUMMYFUNCTION("GOOGLETRANSLATE(B10465,""id"",""en"")"),"['already', 'no', 'features',' Pay ',' Shoppe ',' Pay ',' min ',' dlu ',' TPI ',' skarng ',' no ',' please ',' The explanation ',' min ',' ']")</f>
        <v>['already', 'no', 'features',' Pay ',' Shoppe ',' Pay ',' min ',' dlu ',' TPI ',' skarng ',' no ',' please ',' The explanation ',' min ',' ']</v>
      </c>
      <c r="D10465" s="3">
        <v>3.0</v>
      </c>
    </row>
    <row r="10466" ht="15.75" customHeight="1">
      <c r="A10466" s="1">
        <v>11277.0</v>
      </c>
      <c r="B10466" s="3" t="s">
        <v>9983</v>
      </c>
      <c r="C10466" s="3" t="str">
        <f>IFERROR(__xludf.DUMMYFUNCTION("GOOGLETRANSLATE(B10466,""id"",""en"")"),"['Telkomsel', 'taik', 'already', 'expensive', 'ugly', 'network', 'nda', 'rain', 'wind', 'lightning', 'tower', 'until', ' TPI ',' right ',' Main ',' Game ',' ']")</f>
        <v>['Telkomsel', 'taik', 'already', 'expensive', 'ugly', 'network', 'nda', 'rain', 'wind', 'lightning', 'tower', 'until', ' TPI ',' right ',' Main ',' Game ',' ']</v>
      </c>
      <c r="D10466" s="3">
        <v>1.0</v>
      </c>
    </row>
    <row r="10467" ht="15.75" customHeight="1">
      <c r="A10467" s="1">
        <v>11278.0</v>
      </c>
      <c r="B10467" s="3" t="s">
        <v>9984</v>
      </c>
      <c r="C10467" s="3" t="str">
        <f>IFERROR(__xludf.DUMMYFUNCTION("GOOGLETRANSLATE(B10467,""id"",""en"")"),"['', 'sgt', 'happy']")</f>
        <v>['', 'sgt', 'happy']</v>
      </c>
      <c r="D10467" s="3">
        <v>5.0</v>
      </c>
    </row>
    <row r="10468" ht="15.75" customHeight="1">
      <c r="A10468" s="1">
        <v>11279.0</v>
      </c>
      <c r="B10468" s="3" t="s">
        <v>9985</v>
      </c>
      <c r="C10468" s="3" t="str">
        <f>IFERROR(__xludf.DUMMYFUNCTION("GOOGLETRANSLATE(B10468,""id"",""en"")"),"['network', 'weak', 'provider', 'okay', 'Indonesia', 'Telkomsel', 'weak', 'troble', 'canal', 'package', 'data', 'expensive', ' in accordance', '']")</f>
        <v>['network', 'weak', 'provider', 'okay', 'Indonesia', 'Telkomsel', 'weak', 'troble', 'canal', 'package', 'data', 'expensive', ' in accordance', '']</v>
      </c>
      <c r="D10468" s="3">
        <v>1.0</v>
      </c>
    </row>
    <row r="10469" ht="15.75" customHeight="1">
      <c r="A10469" s="1">
        <v>11280.0</v>
      </c>
      <c r="B10469" s="3" t="s">
        <v>2620</v>
      </c>
      <c r="C10469" s="3" t="str">
        <f>IFERROR(__xludf.DUMMYFUNCTION("GOOGLETRANSLATE(B10469,""id"",""en"")"),"Of course")</f>
        <v>Of course</v>
      </c>
      <c r="D10469" s="3">
        <v>4.0</v>
      </c>
    </row>
    <row r="10470" ht="15.75" customHeight="1">
      <c r="A10470" s="1">
        <v>11281.0</v>
      </c>
      <c r="B10470" s="3" t="s">
        <v>9986</v>
      </c>
      <c r="C10470" s="3" t="str">
        <f>IFERROR(__xludf.DUMMYFUNCTION("GOOGLETRANSLATE(B10470,""id"",""en"")"),"['Application', 'kereen']")</f>
        <v>['Application', 'kereen']</v>
      </c>
      <c r="D10470" s="3">
        <v>4.0</v>
      </c>
    </row>
    <row r="10471" ht="15.75" customHeight="1">
      <c r="A10471" s="1">
        <v>11282.0</v>
      </c>
      <c r="B10471" s="3" t="s">
        <v>9987</v>
      </c>
      <c r="C10471" s="3" t="str">
        <f>IFERROR(__xludf.DUMMYFUNCTION("GOOGLETRANSLATE(B10471,""id"",""en"")"),"['Please', 'Sis',' Knapa ',' Setial ',' Rain ',' Maen ',' Game ',' Gini ',' ugly ',' Signal ',' Nyy ',' Please ',' repair']")</f>
        <v>['Please', 'Sis',' Knapa ',' Setial ',' Rain ',' Maen ',' Game ',' Gini ',' ugly ',' Signal ',' Nyy ',' Please ',' repair']</v>
      </c>
      <c r="D10471" s="3">
        <v>2.0</v>
      </c>
    </row>
    <row r="10472" ht="15.75" customHeight="1">
      <c r="A10472" s="1">
        <v>11283.0</v>
      </c>
      <c r="B10472" s="3" t="s">
        <v>9988</v>
      </c>
      <c r="C10472" s="3" t="str">
        <f>IFERROR(__xludf.DUMMYFUNCTION("GOOGLETRANSLATE(B10472,""id"",""en"")"),"['Telkomsel', 'helped', 'advanced', 'keep']")</f>
        <v>['Telkomsel', 'helped', 'advanced', 'keep']</v>
      </c>
      <c r="D10472" s="3">
        <v>4.0</v>
      </c>
    </row>
    <row r="10473" ht="15.75" customHeight="1">
      <c r="A10473" s="1">
        <v>11284.0</v>
      </c>
      <c r="B10473" s="3" t="s">
        <v>9989</v>
      </c>
      <c r="C10473" s="3" t="str">
        <f>IFERROR(__xludf.DUMMYFUNCTION("GOOGLETRANSLATE(B10473,""id"",""en"")"),"['Signal', 'Strong', 'anywhere']")</f>
        <v>['Signal', 'Strong', 'anywhere']</v>
      </c>
      <c r="D10473" s="3">
        <v>5.0</v>
      </c>
    </row>
    <row r="10474" ht="15.75" customHeight="1">
      <c r="A10474" s="1">
        <v>11285.0</v>
      </c>
      <c r="B10474" s="3" t="s">
        <v>6067</v>
      </c>
      <c r="C10474" s="3" t="str">
        <f>IFERROR(__xludf.DUMMYFUNCTION("GOOGLETRANSLATE(B10474,""id"",""en"")"),"['hope', 'gift']")</f>
        <v>['hope', 'gift']</v>
      </c>
      <c r="D10474" s="3">
        <v>1.0</v>
      </c>
    </row>
    <row r="10475" ht="15.75" customHeight="1">
      <c r="A10475" s="1">
        <v>11286.0</v>
      </c>
      <c r="B10475" s="3" t="s">
        <v>9990</v>
      </c>
      <c r="C10475" s="3" t="str">
        <f>IFERROR(__xludf.DUMMYFUNCTION("GOOGLETRANSLATE(B10475,""id"",""en"")"),"['Telkomsel', 'pulse', 'drained', 'silver', 'thousand', 'hadehh', 'annoyed']")</f>
        <v>['Telkomsel', 'pulse', 'drained', 'silver', 'thousand', 'hadehh', 'annoyed']</v>
      </c>
      <c r="D10475" s="3">
        <v>1.0</v>
      </c>
    </row>
    <row r="10476" ht="15.75" customHeight="1">
      <c r="A10476" s="1">
        <v>11288.0</v>
      </c>
      <c r="B10476" s="3" t="s">
        <v>9991</v>
      </c>
      <c r="C10476" s="3" t="str">
        <f>IFERROR(__xludf.DUMMYFUNCTION("GOOGLETRANSLATE(B10476,""id"",""en"")"),"['Network', 'Best', 'Indonesia', 'Play', 'Game', 'Ngelag', 'Severe', 'PDHAL', 'UDH', 'Signal', 'Full', 'Telkom', ' monkeys', 'UDH', 'quota', 'expensive', 'play', 'games',' gloomy ',' hdehh ',' looked ',' luck ',' doank ',' think ',' thinking ' , 'Consumer"&amp;"s']")</f>
        <v>['Network', 'Best', 'Indonesia', 'Play', 'Game', 'Ngelag', 'Severe', 'PDHAL', 'UDH', 'Signal', 'Full', 'Telkom', ' monkeys', 'UDH', 'quota', 'expensive', 'play', 'games',' gloomy ',' hdehh ',' looked ',' luck ',' doank ',' think ',' thinking ' , 'Consumers']</v>
      </c>
      <c r="D10476" s="3">
        <v>1.0</v>
      </c>
    </row>
    <row r="10477" ht="15.75" customHeight="1">
      <c r="A10477" s="1">
        <v>11289.0</v>
      </c>
      <c r="B10477" s="3" t="s">
        <v>9992</v>
      </c>
      <c r="C10477" s="3" t="str">
        <f>IFERROR(__xludf.DUMMYFUNCTION("GOOGLETRANSLATE(B10477,""id"",""en"")"),"['card', 'pig', 'price', 'according to', 'Ama', 'quality', 'idiot', 'card', 'pulp', 'lose', 'streak', 'mending', ' replace ',' signal ',' cheap ',' rich ',' expensive ',' doang ']")</f>
        <v>['card', 'pig', 'price', 'according to', 'Ama', 'quality', 'idiot', 'card', 'pulp', 'lose', 'streak', 'mending', ' replace ',' signal ',' cheap ',' rich ',' expensive ',' doang ']</v>
      </c>
      <c r="D10477" s="3">
        <v>1.0</v>
      </c>
    </row>
    <row r="10478" ht="15.75" customHeight="1">
      <c r="A10478" s="1">
        <v>11290.0</v>
      </c>
      <c r="B10478" s="3" t="s">
        <v>9993</v>
      </c>
      <c r="C10478" s="3" t="str">
        <f>IFERROR(__xludf.DUMMYFUNCTION("GOOGLETRANSLATE(B10478,""id"",""en"")"),"['Telkomsel', 'service', 'best', 'consumers', 'hope', 'develop', 'system', 'network', 'internet', 'remote', 'Negri', ""]")</f>
        <v>['Telkomsel', 'service', 'best', 'consumers', 'hope', 'develop', 'system', 'network', 'internet', 'remote', 'Negri', "]</v>
      </c>
      <c r="D10478" s="3">
        <v>5.0</v>
      </c>
    </row>
    <row r="10479" ht="15.75" customHeight="1">
      <c r="A10479" s="1">
        <v>11291.0</v>
      </c>
      <c r="B10479" s="3" t="s">
        <v>9994</v>
      </c>
      <c r="C10479" s="3" t="str">
        <f>IFERROR(__xludf.DUMMYFUNCTION("GOOGLETRANSLATE(B10479,""id"",""en"")"),"['Sagat', 'petrified']")</f>
        <v>['Sagat', 'petrified']</v>
      </c>
      <c r="D10479" s="3">
        <v>4.0</v>
      </c>
    </row>
    <row r="10480" ht="15.75" customHeight="1">
      <c r="A10480" s="1">
        <v>11292.0</v>
      </c>
      <c r="B10480" s="3" t="s">
        <v>9995</v>
      </c>
      <c r="C10480" s="3" t="str">
        <f>IFERROR(__xludf.DUMMYFUNCTION("GOOGLETRANSLATE(B10480,""id"",""en"")"),"['Close', 'outlets',' focus', 'content', 'network', 'kayak', 'taik', 'package', 'expensive', 'network', 'kayak', 'card', ' cheap ',' closed ',' outlets', 'focus',' YouTube ',' network ',' region ',' pekanbaru ',' especially ',' tumbai ',' west ',' network"&amp;" ',' Telkomsel ' , 'destroyed', 'bad']")</f>
        <v>['Close', 'outlets',' focus', 'content', 'network', 'kayak', 'taik', 'package', 'expensive', 'network', 'kayak', 'card', ' cheap ',' closed ',' outlets', 'focus',' YouTube ',' network ',' region ',' pekanbaru ',' especially ',' tumbai ',' west ',' network ',' Telkomsel ' , 'destroyed', 'bad']</v>
      </c>
      <c r="D10480" s="3">
        <v>1.0</v>
      </c>
    </row>
    <row r="10481" ht="15.75" customHeight="1">
      <c r="A10481" s="1">
        <v>11293.0</v>
      </c>
      <c r="B10481" s="3" t="s">
        <v>9996</v>
      </c>
      <c r="C10481" s="3" t="str">
        <f>IFERROR(__xludf.DUMMYFUNCTION("GOOGLETRANSLATE(B10481,""id"",""en"")"),"['Application', 'Anyway', '']")</f>
        <v>['Application', 'Anyway', '']</v>
      </c>
      <c r="D10481" s="3">
        <v>5.0</v>
      </c>
    </row>
    <row r="10482" ht="15.75" customHeight="1">
      <c r="A10482" s="1">
        <v>11294.0</v>
      </c>
      <c r="B10482" s="3" t="s">
        <v>9997</v>
      </c>
      <c r="C10482" s="3" t="str">
        <f>IFERROR(__xludf.DUMMYFUNCTION("GOOGLETRANSLATE(B10482,""id"",""en"")"),"['Vitur', 'Payment', 'Wallet', 'Confused', 'Luhut', 'Binsar', 'Min', ""]")</f>
        <v>['Vitur', 'Payment', 'Wallet', 'Confused', 'Luhut', 'Binsar', 'Min', "]</v>
      </c>
      <c r="D10482" s="3">
        <v>3.0</v>
      </c>
    </row>
    <row r="10483" ht="15.75" customHeight="1">
      <c r="A10483" s="1">
        <v>11295.0</v>
      </c>
      <c r="B10483" s="3" t="s">
        <v>9998</v>
      </c>
      <c r="C10483" s="3" t="str">
        <f>IFERROR(__xludf.DUMMYFUNCTION("GOOGLETRANSLATE(B10483,""id"",""en"")"),"['signal', 'TPI', 'Maen', 'Game', 'Hairy', 'Buy', 'Package', 'Expensive', 'Signal', 'Weak', 'Teros', 'Telkomsel']")</f>
        <v>['signal', 'TPI', 'Maen', 'Game', 'Hairy', 'Buy', 'Package', 'Expensive', 'Signal', 'Weak', 'Teros', 'Telkomsel']</v>
      </c>
      <c r="D10483" s="3">
        <v>1.0</v>
      </c>
    </row>
    <row r="10484" ht="15.75" customHeight="1">
      <c r="A10484" s="1">
        <v>11296.0</v>
      </c>
      <c r="B10484" s="3" t="s">
        <v>9999</v>
      </c>
      <c r="C10484" s="3" t="str">
        <f>IFERROR(__xludf.DUMMYFUNCTION("GOOGLETRANSLATE(B10484,""id"",""en"")"),"['product', 'Bagus', 'real', 'rain', 'little', 'aduuh', 'tlol']")</f>
        <v>['product', 'Bagus', 'real', 'rain', 'little', 'aduuh', 'tlol']</v>
      </c>
      <c r="D10484" s="3">
        <v>1.0</v>
      </c>
    </row>
    <row r="10485" ht="15.75" customHeight="1">
      <c r="A10485" s="1">
        <v>11297.0</v>
      </c>
      <c r="B10485" s="3" t="s">
        <v>10000</v>
      </c>
      <c r="C10485" s="3" t="str">
        <f>IFERROR(__xludf.DUMMYFUNCTION("GOOGLETRANSLATE(B10485,""id"",""en"")"),"['', 'telephone', 'operator', 'Telkomsel', 'call', 'nawarin', 'moved', 'telkomsel', 'hello', 'no', 'interest', 'then', 'ask ',' Alesan ',' Blom ',' already ',' Matiin ',' Litu ',' operator ',' Telkomsel ',' polite ']")</f>
        <v>['', 'telephone', 'operator', 'Telkomsel', 'call', 'nawarin', 'moved', 'telkomsel', 'hello', 'no', 'interest', 'then', 'ask ',' Alesan ',' Blom ',' already ',' Matiin ',' Litu ',' operator ',' Telkomsel ',' polite ']</v>
      </c>
      <c r="D10485" s="3">
        <v>1.0</v>
      </c>
    </row>
    <row r="10486" ht="15.75" customHeight="1">
      <c r="A10486" s="1">
        <v>11298.0</v>
      </c>
      <c r="B10486" s="3" t="s">
        <v>10001</v>
      </c>
      <c r="C10486" s="3" t="str">
        <f>IFERROR(__xludf.DUMMYFUNCTION("GOOGLETRANSLATE(B10486,""id"",""en"")"),"['Wear', 'Telkom', 'Network', 'Lag', 'Telkom', 'Disorders', 'Signal', 'Originally', '']")</f>
        <v>['Wear', 'Telkom', 'Network', 'Lag', 'Telkom', 'Disorders', 'Signal', 'Originally', '']</v>
      </c>
      <c r="D10486" s="3">
        <v>1.0</v>
      </c>
    </row>
    <row r="10487" ht="15.75" customHeight="1">
      <c r="A10487" s="1">
        <v>11299.0</v>
      </c>
      <c r="B10487" s="3" t="s">
        <v>10002</v>
      </c>
      <c r="C10487" s="3" t="str">
        <f>IFERROR(__xludf.DUMMYFUNCTION("GOOGLETRANSLATE(B10487,""id"",""en"")"),"['Application', 'help', 'promo']")</f>
        <v>['Application', 'help', 'promo']</v>
      </c>
      <c r="D10487" s="3">
        <v>5.0</v>
      </c>
    </row>
    <row r="10488" ht="15.75" customHeight="1">
      <c r="A10488" s="1">
        <v>11300.0</v>
      </c>
      <c r="B10488" s="3" t="s">
        <v>10003</v>
      </c>
      <c r="C10488" s="3" t="str">
        <f>IFERROR(__xludf.DUMMYFUNCTION("GOOGLETRANSLATE(B10488,""id"",""en"")"),"['satisfied', 'Telkomsel', 'skarang', 'network', 'ugly', 'really', 'already', 'price', 'expensive', 'according to', 'network', 'Telkomsel', ' BAI ',' Gausah ',' Make ',' Telkomsel ',' Disappointed ']")</f>
        <v>['satisfied', 'Telkomsel', 'skarang', 'network', 'ugly', 'really', 'already', 'price', 'expensive', 'according to', 'network', 'Telkomsel', ' BAI ',' Gausah ',' Make ',' Telkomsel ',' Disappointed ']</v>
      </c>
      <c r="D10488" s="3">
        <v>1.0</v>
      </c>
    </row>
    <row r="10489" ht="15.75" customHeight="1">
      <c r="A10489" s="1">
        <v>11301.0</v>
      </c>
      <c r="B10489" s="3" t="s">
        <v>10004</v>
      </c>
      <c r="C10489" s="3" t="str">
        <f>IFERROR(__xludf.DUMMYFUNCTION("GOOGLETRANSLATE(B10489,""id"",""en"")"),"['spam', 'ask', 'Mulu', 'Quality', 'GMNA', 'Assessment', 'Disrupt', 'Display', 'App', 'MyTelkomsel', 'Loading', 'Download', ' Told ',' Download ',' UDH ',' Download ',' Content ',' Emotion ',' Already ',' Assessed ',' Value ', ""]")</f>
        <v>['spam', 'ask', 'Mulu', 'Quality', 'GMNA', 'Assessment', 'Disrupt', 'Display', 'App', 'MyTelkomsel', 'Loading', 'Download', ' Told ',' Download ',' UDH ',' Download ',' Content ',' Emotion ',' Already ',' Assessed ',' Value ', "]</v>
      </c>
      <c r="D10489" s="3">
        <v>1.0</v>
      </c>
    </row>
    <row r="10490" ht="15.75" customHeight="1">
      <c r="A10490" s="1">
        <v>11302.0</v>
      </c>
      <c r="B10490" s="3" t="s">
        <v>10005</v>
      </c>
      <c r="C10490" s="3" t="str">
        <f>IFERROR(__xludf.DUMMYFUNCTION("GOOGLETRANSLATE(B10490,""id"",""en"")"),"['Helping', 'makes it easy', '']")</f>
        <v>['Helping', 'makes it easy', '']</v>
      </c>
      <c r="D10490" s="3">
        <v>5.0</v>
      </c>
    </row>
    <row r="10491" ht="15.75" customHeight="1">
      <c r="A10491" s="1">
        <v>11304.0</v>
      </c>
      <c r="B10491" s="3" t="s">
        <v>10006</v>
      </c>
      <c r="C10491" s="3" t="str">
        <f>IFERROR(__xludf.DUMMYFUNCTION("GOOGLETRANSLATE(B10491,""id"",""en"")"),"['pulse', 'reduced', 'package', 'internet', 'active', 'please', 'improving', 'reduced', ""]")</f>
        <v>['pulse', 'reduced', 'package', 'internet', 'active', 'please', 'improving', 'reduced', "]</v>
      </c>
      <c r="D10491" s="3">
        <v>2.0</v>
      </c>
    </row>
    <row r="10492" ht="15.75" customHeight="1">
      <c r="A10492" s="1">
        <v>11305.0</v>
      </c>
      <c r="B10492" s="3" t="s">
        <v>10007</v>
      </c>
      <c r="C10492" s="3" t="str">
        <f>IFERROR(__xludf.DUMMYFUNCTION("GOOGLETRANSLATE(B10492,""id"",""en"")"),"['knpa', 'sympathy', 'slow', 'pdahal', 'city', 'signal', 'ilng']")</f>
        <v>['knpa', 'sympathy', 'slow', 'pdahal', 'city', 'signal', 'ilng']</v>
      </c>
      <c r="D10492" s="3">
        <v>3.0</v>
      </c>
    </row>
    <row r="10493" ht="15.75" customHeight="1">
      <c r="A10493" s="1">
        <v>11306.0</v>
      </c>
      <c r="B10493" s="3" t="s">
        <v>10008</v>
      </c>
      <c r="C10493" s="3" t="str">
        <f>IFERROR(__xludf.DUMMYFUNCTION("GOOGLETRANSLATE(B10493,""id"",""en"")"),"['Application', 'Top', 'really', 'lasting', 'telkosel', '']")</f>
        <v>['Application', 'Top', 'really', 'lasting', 'telkosel', '']</v>
      </c>
      <c r="D10493" s="3">
        <v>5.0</v>
      </c>
    </row>
    <row r="10494" ht="15.75" customHeight="1">
      <c r="A10494" s="1">
        <v>11307.0</v>
      </c>
      <c r="B10494" s="3" t="s">
        <v>10009</v>
      </c>
      <c r="C10494" s="3" t="str">
        <f>IFERROR(__xludf.DUMMYFUNCTION("GOOGLETRANSLATE(B10494,""id"",""en"")"),"['APASI', 'WILL', 'Telkomsel', 'Males',' Use ',' Telkomsel ',' Network ',' Good ',' Telkomsel ',' Good ',' Stay ',' City ',' ',' basic ',' rotten ',' network ',' Telkomsel ',' responsibility ',' answer ',' chairman ',' telkomsel ',' already ',' felt ',' m"&amp;"onths', 'network' , 'Telkomsel', 'night', 'rotten', 'times',' network ',' gaguna ',' times', 'regret', 'use', 'Telkomsel', 'gaguna', 'he said', ' Fix ',' as soon as possible ',' Bacot ',' Doang ',' Gaada ',' Proof ',' Taikk ',' Gaguna ',' Telkomsel ', ""]")</f>
        <v>['APASI', 'WILL', 'Telkomsel', 'Males',' Use ',' Telkomsel ',' Network ',' Good ',' Telkomsel ',' Good ',' Stay ',' City ',' ',' basic ',' rotten ',' network ',' Telkomsel ',' responsibility ',' answer ',' chairman ',' telkomsel ',' already ',' felt ',' months', 'network' , 'Telkomsel', 'night', 'rotten', 'times',' network ',' gaguna ',' times', 'regret', 'use', 'Telkomsel', 'gaguna', 'he said', ' Fix ',' as soon as possible ',' Bacot ',' Doang ',' Gaada ',' Proof ',' Taikk ',' Gaguna ',' Telkomsel ', "]</v>
      </c>
      <c r="D10494" s="3">
        <v>1.0</v>
      </c>
    </row>
    <row r="10495" ht="15.75" customHeight="1">
      <c r="A10495" s="1">
        <v>11308.0</v>
      </c>
      <c r="B10495" s="3" t="s">
        <v>10010</v>
      </c>
      <c r="C10495" s="3" t="str">
        <f>IFERROR(__xludf.DUMMYFUNCTION("GOOGLETRANSLATE(B10495,""id"",""en"")"),"['Exchange', 'Points', 'Ending', 'Buy', 'Package', 'Telkomsel', 'Enter', 'Wonder', ""]")</f>
        <v>['Exchange', 'Points', 'Ending', 'Buy', 'Package', 'Telkomsel', 'Enter', 'Wonder', "]</v>
      </c>
      <c r="D10495" s="3">
        <v>1.0</v>
      </c>
    </row>
    <row r="10496" ht="15.75" customHeight="1">
      <c r="A10496" s="1">
        <v>11309.0</v>
      </c>
      <c r="B10496" s="3" t="s">
        <v>10011</v>
      </c>
      <c r="C10496" s="3" t="str">
        <f>IFERROR(__xludf.DUMMYFUNCTION("GOOGLETRANSLATE(B10496,""id"",""en"")"),"['times', 'try', 'app', 'hope', 'help']")</f>
        <v>['times', 'try', 'app', 'hope', 'help']</v>
      </c>
      <c r="D10496" s="3">
        <v>5.0</v>
      </c>
    </row>
    <row r="10497" ht="15.75" customHeight="1">
      <c r="A10497" s="1">
        <v>11310.0</v>
      </c>
      <c r="B10497" s="3" t="s">
        <v>10012</v>
      </c>
      <c r="C10497" s="3" t="str">
        <f>IFERROR(__xludf.DUMMYFUNCTION("GOOGLETRANSLATE(B10497,""id"",""en"")"),"['Better', 'APK', 'Update', 'Super', 'Duper', 'Lemot', 'Pol', 'Polan', 'Allah', ""]")</f>
        <v>['Better', 'APK', 'Update', 'Super', 'Duper', 'Lemot', 'Pol', 'Polan', 'Allah', "]</v>
      </c>
      <c r="D10497" s="3">
        <v>2.0</v>
      </c>
    </row>
    <row r="10498" ht="15.75" customHeight="1">
      <c r="A10498" s="1">
        <v>11311.0</v>
      </c>
      <c r="B10498" s="3" t="s">
        <v>10013</v>
      </c>
      <c r="C10498" s="3" t="str">
        <f>IFERROR(__xludf.DUMMYFUNCTION("GOOGLETRANSLATE(B10498,""id"",""en"")"),"['Try', 'ultimax', 'cheap', 'quota']")</f>
        <v>['Try', 'ultimax', 'cheap', 'quota']</v>
      </c>
      <c r="D10498" s="3">
        <v>5.0</v>
      </c>
    </row>
    <row r="10499" ht="15.75" customHeight="1">
      <c r="A10499" s="1">
        <v>11312.0</v>
      </c>
      <c r="B10499" s="3" t="s">
        <v>10014</v>
      </c>
      <c r="C10499" s="3" t="str">
        <f>IFERROR(__xludf.DUMMYFUNCTION("GOOGLETRANSLATE(B10499,""id"",""en"")"),"['Keep', 'Quality', 'Network', 'Location', 'Connected', 'Setabil', 'trimakasih']")</f>
        <v>['Keep', 'Quality', 'Network', 'Location', 'Connected', 'Setabil', 'trimakasih']</v>
      </c>
      <c r="D10499" s="3">
        <v>5.0</v>
      </c>
    </row>
    <row r="10500" ht="15.75" customHeight="1">
      <c r="A10500" s="1">
        <v>11313.0</v>
      </c>
      <c r="B10500" s="3" t="s">
        <v>10015</v>
      </c>
      <c r="C10500" s="3" t="str">
        <f>IFERROR(__xludf.DUMMYFUNCTION("GOOGLETRANSLATE(B10500,""id"",""en"")"),"['Trima', 'love', 'steady', '']")</f>
        <v>['Trima', 'love', 'steady', '']</v>
      </c>
      <c r="D10500" s="3">
        <v>5.0</v>
      </c>
    </row>
    <row r="10501" ht="15.75" customHeight="1">
      <c r="A10501" s="1">
        <v>11314.0</v>
      </c>
      <c r="B10501" s="3" t="s">
        <v>10016</v>
      </c>
      <c r="C10501" s="3" t="str">
        <f>IFERROR(__xludf.DUMMYFUNCTION("GOOGLETRANSLATE(B10501,""id"",""en"")"),"['pulse', 'drained', 'missing', 'me', 'use', 'pulse', 'missing', 'total', 'rb', 'turn on', 'data', ""]")</f>
        <v>['pulse', 'drained', 'missing', 'me', 'use', 'pulse', 'missing', 'total', 'rb', 'turn on', 'data', "]</v>
      </c>
      <c r="D10501" s="3">
        <v>1.0</v>
      </c>
    </row>
    <row r="10502" ht="15.75" customHeight="1">
      <c r="A10502" s="1">
        <v>11316.0</v>
      </c>
      <c r="B10502" s="3" t="s">
        <v>181</v>
      </c>
      <c r="C10502" s="3" t="str">
        <f>IFERROR(__xludf.DUMMYFUNCTION("GOOGLETRANSLATE(B10502,""id"",""en"")"),"['help']")</f>
        <v>['help']</v>
      </c>
      <c r="D10502" s="3">
        <v>5.0</v>
      </c>
    </row>
    <row r="10503" ht="15.75" customHeight="1">
      <c r="A10503" s="1">
        <v>11317.0</v>
      </c>
      <c r="B10503" s="3" t="s">
        <v>10017</v>
      </c>
      <c r="C10503" s="3" t="str">
        <f>IFERROR(__xludf.DUMMYFUNCTION("GOOGLETRANSLATE(B10503,""id"",""en"")"),"['package', 'expensive', 'slow', 'signal', 'maximum', 'unfollow']")</f>
        <v>['package', 'expensive', 'slow', 'signal', 'maximum', 'unfollow']</v>
      </c>
      <c r="D10503" s="3">
        <v>1.0</v>
      </c>
    </row>
    <row r="10504" ht="15.75" customHeight="1">
      <c r="A10504" s="1">
        <v>11318.0</v>
      </c>
      <c r="B10504" s="3" t="s">
        <v>10018</v>
      </c>
      <c r="C10504" s="3" t="str">
        <f>IFERROR(__xludf.DUMMYFUNCTION("GOOGLETRANSLATE(B10504,""id"",""en"")"),"['Network', 'here', 'ugly', 'haha']")</f>
        <v>['Network', 'here', 'ugly', 'haha']</v>
      </c>
      <c r="D10504" s="3">
        <v>2.0</v>
      </c>
    </row>
    <row r="10505" ht="15.75" customHeight="1">
      <c r="A10505" s="1">
        <v>11319.0</v>
      </c>
      <c r="B10505" s="3" t="s">
        <v>10019</v>
      </c>
      <c r="C10505" s="3" t="str">
        <f>IFERROR(__xludf.DUMMYFUNCTION("GOOGLETRANSLATE(B10505,""id"",""en"")"),"['Star', 'yaa', 'choice', 'package', 'expensive', '']")</f>
        <v>['Star', 'yaa', 'choice', 'package', 'expensive', '']</v>
      </c>
      <c r="D10505" s="3">
        <v>2.0</v>
      </c>
    </row>
    <row r="10506" ht="15.75" customHeight="1">
      <c r="A10506" s="1">
        <v>11320.0</v>
      </c>
      <c r="B10506" s="3" t="s">
        <v>10020</v>
      </c>
      <c r="C10506" s="3" t="str">
        <f>IFERROR(__xludf.DUMMYFUNCTION("GOOGLETRANSLATE(B10506,""id"",""en"")"),"['already', 'money', 'contents',' credit ',' money ',' pulled ',' pulses', 'enter', 'prayer', 'hope', 'kept', ' karma ',' bad ',' thank ',' love ']")</f>
        <v>['already', 'money', 'contents',' credit ',' money ',' pulled ',' pulses', 'enter', 'prayer', 'hope', 'kept', ' karma ',' bad ',' thank ',' love ']</v>
      </c>
      <c r="D10506" s="3">
        <v>1.0</v>
      </c>
    </row>
    <row r="10507" ht="15.75" customHeight="1">
      <c r="A10507" s="1">
        <v>11321.0</v>
      </c>
      <c r="B10507" s="3" t="s">
        <v>10021</v>
      </c>
      <c r="C10507" s="3" t="str">
        <f>IFERROR(__xludf.DUMMYFUNCTION("GOOGLETRANSLATE(B10507,""id"",""en"")"),"['signal', 'ugly', 'really', 'already', 'package', 'expensive', 'region', 'happen', 'already', 'deket', 'sute', 'please', ' repaired ',' take into account ',' fix ',' signal ',' remote ']")</f>
        <v>['signal', 'ugly', 'really', 'already', 'package', 'expensive', 'region', 'happen', 'already', 'deket', 'sute', 'please', ' repaired ',' take into account ',' fix ',' signal ',' remote ']</v>
      </c>
      <c r="D10507" s="3">
        <v>1.0</v>
      </c>
    </row>
    <row r="10508" ht="15.75" customHeight="1">
      <c r="A10508" s="1">
        <v>11322.0</v>
      </c>
      <c r="B10508" s="3" t="s">
        <v>10022</v>
      </c>
      <c r="C10508" s="3" t="str">
        <f>IFERROR(__xludf.DUMMYFUNCTION("GOOGLETRANSLATE(B10508,""id"",""en"")"),"['Help', 'check', 'quota', 'buy', 'package']")</f>
        <v>['Help', 'check', 'quota', 'buy', 'package']</v>
      </c>
      <c r="D10508" s="3">
        <v>5.0</v>
      </c>
    </row>
    <row r="10509" ht="15.75" customHeight="1">
      <c r="A10509" s="1">
        <v>11323.0</v>
      </c>
      <c r="B10509" s="3" t="s">
        <v>10023</v>
      </c>
      <c r="C10509" s="3" t="str">
        <f>IFERROR(__xludf.DUMMYFUNCTION("GOOGLETRANSLATE(B10509,""id"",""en"")"),"['application', 'Telkomsel', 'help', 'consumers',' ber ',' transaction ',' form ',' anything ',' hopefully ',' Telkomsel ',' forward ',' Ungul ',' Mertain ',' Indonesia ',' Greetings', 'People', 'Aceh', '']")</f>
        <v>['application', 'Telkomsel', 'help', 'consumers',' ber ',' transaction ',' form ',' anything ',' hopefully ',' Telkomsel ',' forward ',' Ungul ',' Mertain ',' Indonesia ',' Greetings', 'People', 'Aceh', '']</v>
      </c>
      <c r="D10509" s="3">
        <v>5.0</v>
      </c>
    </row>
    <row r="10510" ht="15.75" customHeight="1">
      <c r="A10510" s="1">
        <v>11324.0</v>
      </c>
      <c r="B10510" s="3" t="s">
        <v>10024</v>
      </c>
      <c r="C10510" s="3" t="str">
        <f>IFERROR(__xludf.DUMMYFUNCTION("GOOGLETRANSLATE(B10510,""id"",""en"")"),"['transaction', 'purchase', 'pulse', 'method', 'payment', 'gopay', 'chasback', 'promised', '']")</f>
        <v>['transaction', 'purchase', 'pulse', 'method', 'payment', 'gopay', 'chasback', 'promised', '']</v>
      </c>
      <c r="D10510" s="3">
        <v>2.0</v>
      </c>
    </row>
    <row r="10511" ht="15.75" customHeight="1">
      <c r="A10511" s="1">
        <v>11325.0</v>
      </c>
      <c r="B10511" s="3" t="s">
        <v>10025</v>
      </c>
      <c r="C10511" s="3" t="str">
        <f>IFERROR(__xludf.DUMMYFUNCTION("GOOGLETRANSLATE(B10511,""id"",""en"")"),"['Help', 'daily', 'task', 'school', 'extra', 'curricular']")</f>
        <v>['Help', 'daily', 'task', 'school', 'extra', 'curricular']</v>
      </c>
      <c r="D10511" s="3">
        <v>5.0</v>
      </c>
    </row>
    <row r="10512" ht="15.75" customHeight="1">
      <c r="A10512" s="1">
        <v>11326.0</v>
      </c>
      <c r="B10512" s="3" t="s">
        <v>10026</v>
      </c>
      <c r="C10512" s="3" t="str">
        <f>IFERROR(__xludf.DUMMYFUNCTION("GOOGLETRANSLATE(B10512,""id"",""en"")"),"['already', 'expensive', 'Nge', 'lag', 'lgi']")</f>
        <v>['already', 'expensive', 'Nge', 'lag', 'lgi']</v>
      </c>
      <c r="D10512" s="3">
        <v>1.0</v>
      </c>
    </row>
    <row r="10513" ht="15.75" customHeight="1">
      <c r="A10513" s="1">
        <v>11327.0</v>
      </c>
      <c r="B10513" s="3" t="s">
        <v>10027</v>
      </c>
      <c r="C10513" s="3" t="str">
        <f>IFERROR(__xludf.DUMMYFUNCTION("GOOGLETRANSLATE(B10513,""id"",""en"")"),"['Bagut', 'supports']")</f>
        <v>['Bagut', 'supports']</v>
      </c>
      <c r="D10513" s="3">
        <v>4.0</v>
      </c>
    </row>
    <row r="10514" ht="15.75" customHeight="1">
      <c r="A10514" s="1">
        <v>11328.0</v>
      </c>
      <c r="B10514" s="3" t="s">
        <v>10028</v>
      </c>
      <c r="C10514" s="3" t="str">
        <f>IFERROR(__xludf.DUMMYFUNCTION("GOOGLETRANSLATE(B10514,""id"",""en"")"),"['Love', 'Star', 'Network', 'Error']")</f>
        <v>['Love', 'Star', 'Network', 'Error']</v>
      </c>
      <c r="D10514" s="3">
        <v>1.0</v>
      </c>
    </row>
    <row r="10515" ht="15.75" customHeight="1">
      <c r="A10515" s="1">
        <v>11329.0</v>
      </c>
      <c r="B10515" s="3" t="s">
        <v>10029</v>
      </c>
      <c r="C10515" s="3" t="str">
        <f>IFERROR(__xludf.DUMMYFUNCTION("GOOGLETRANSLATE(B10515,""id"",""en"")"),"['Thank you', 'application', 'help']")</f>
        <v>['Thank you', 'application', 'help']</v>
      </c>
      <c r="D10515" s="3">
        <v>5.0</v>
      </c>
    </row>
    <row r="10516" ht="15.75" customHeight="1">
      <c r="A10516" s="1">
        <v>11330.0</v>
      </c>
      <c r="B10516" s="3" t="s">
        <v>1435</v>
      </c>
      <c r="C10516" s="3" t="str">
        <f>IFERROR(__xludf.DUMMYFUNCTION("GOOGLETRANSLATE(B10516,""id"",""en"")"),"['help', '']")</f>
        <v>['help', '']</v>
      </c>
      <c r="D10516" s="3">
        <v>5.0</v>
      </c>
    </row>
    <row r="10517" ht="15.75" customHeight="1">
      <c r="A10517" s="1">
        <v>11331.0</v>
      </c>
      <c r="B10517" s="3" t="s">
        <v>10030</v>
      </c>
      <c r="C10517" s="3" t="str">
        <f>IFERROR(__xludf.DUMMYFUNCTION("GOOGLETRANSLATE(B10517,""id"",""en"")"),"['Allhamd', 'Lillah', 'user', 'sng', 'Lots', 'Bonuss', 'Nya']")</f>
        <v>['Allhamd', 'Lillah', 'user', 'sng', 'Lots', 'Bonuss', 'Nya']</v>
      </c>
      <c r="D10517" s="3">
        <v>5.0</v>
      </c>
    </row>
    <row r="10518" ht="15.75" customHeight="1">
      <c r="A10518" s="1">
        <v>11332.0</v>
      </c>
      <c r="B10518" s="3" t="s">
        <v>10031</v>
      </c>
      <c r="C10518" s="3" t="str">
        <f>IFERROR(__xludf.DUMMYFUNCTION("GOOGLETRANSLATE(B10518,""id"",""en"")"),"['Increase', 'Quality', 'Signal', 'Good']")</f>
        <v>['Increase', 'Quality', 'Signal', 'Good']</v>
      </c>
      <c r="D10518" s="3">
        <v>4.0</v>
      </c>
    </row>
    <row r="10519" ht="15.75" customHeight="1">
      <c r="A10519" s="1">
        <v>11333.0</v>
      </c>
      <c r="B10519" s="3" t="s">
        <v>10032</v>
      </c>
      <c r="C10519" s="3" t="str">
        <f>IFERROR(__xludf.DUMMYFUNCTION("GOOGLETRANSLATE(B10519,""id"",""en"")"),"['signal', 'please', 'mnurun', 'his perperm']")</f>
        <v>['signal', 'please', 'mnurun', 'his perperm']</v>
      </c>
      <c r="D10519" s="3">
        <v>1.0</v>
      </c>
    </row>
    <row r="10520" ht="15.75" customHeight="1">
      <c r="A10520" s="1">
        <v>11334.0</v>
      </c>
      <c r="B10520" s="3" t="s">
        <v>10033</v>
      </c>
      <c r="C10520" s="3" t="str">
        <f>IFERROR(__xludf.DUMMYFUNCTION("GOOGLETRANSLATE(B10520,""id"",""en"")"),"['Congratulations',' night ',' admin ',' transfer ',' pulse ',' pulse ',' sufficient ',' transfer ',' nominal ',' so ',' thank ',' ']")</f>
        <v>['Congratulations',' night ',' admin ',' transfer ',' pulse ',' pulse ',' sufficient ',' transfer ',' nominal ',' so ',' thank ',' ']</v>
      </c>
      <c r="D10520" s="3">
        <v>3.0</v>
      </c>
    </row>
    <row r="10521" ht="15.75" customHeight="1">
      <c r="A10521" s="1">
        <v>11335.0</v>
      </c>
      <c r="B10521" s="3" t="s">
        <v>10034</v>
      </c>
      <c r="C10521" s="3" t="str">
        <f>IFERROR(__xludf.DUMMYFUNCTION("GOOGLETRANSLATE(B10521,""id"",""en"")"),"['Network', 'ugly', 'buy', 'package', 'expensive', 'network', 'ugly', 'job', 'via', 'internet', 'ORDER', 'replace', ' Card ',' Ajalah ']")</f>
        <v>['Network', 'ugly', 'buy', 'package', 'expensive', 'network', 'ugly', 'job', 'via', 'internet', 'ORDER', 'replace', ' Card ',' Ajalah ']</v>
      </c>
      <c r="D10521" s="3">
        <v>1.0</v>
      </c>
    </row>
    <row r="10522" ht="15.75" customHeight="1">
      <c r="A10522" s="1">
        <v>11336.0</v>
      </c>
      <c r="B10522" s="3" t="s">
        <v>10035</v>
      </c>
      <c r="C10522" s="3" t="str">
        <f>IFERROR(__xludf.DUMMYFUNCTION("GOOGLETRANSLATE(B10522,""id"",""en"")"),"['signal', 'ugly', 'need', 'work', 'change', 'service', '']")</f>
        <v>['signal', 'ugly', 'need', 'work', 'change', 'service', '']</v>
      </c>
      <c r="D10522" s="3">
        <v>1.0</v>
      </c>
    </row>
    <row r="10523" ht="15.75" customHeight="1">
      <c r="A10523" s="1">
        <v>11337.0</v>
      </c>
      <c r="B10523" s="3" t="s">
        <v>10036</v>
      </c>
      <c r="C10523" s="3" t="str">
        <f>IFERROR(__xludf.DUMMYFUNCTION("GOOGLETRANSLATE(B10523,""id"",""en"")"),"['puss', 'darling', 'price', 'package', 'expensive']")</f>
        <v>['puss', 'darling', 'price', 'package', 'expensive']</v>
      </c>
      <c r="D10523" s="3">
        <v>4.0</v>
      </c>
    </row>
    <row r="10524" ht="15.75" customHeight="1">
      <c r="A10524" s="1">
        <v>11338.0</v>
      </c>
      <c r="B10524" s="3" t="s">
        <v>10037</v>
      </c>
      <c r="C10524" s="3" t="str">
        <f>IFERROR(__xludf.DUMMYFUNCTION("GOOGLETRANSLATE(B10524,""id"",""en"")"),"['loyal', 'Telkomsel', 'hope', 'TOP']")</f>
        <v>['loyal', 'Telkomsel', 'hope', 'TOP']</v>
      </c>
      <c r="D10524" s="3">
        <v>5.0</v>
      </c>
    </row>
    <row r="10525" ht="15.75" customHeight="1">
      <c r="A10525" s="1">
        <v>11339.0</v>
      </c>
      <c r="B10525" s="3" t="s">
        <v>10038</v>
      </c>
      <c r="C10525" s="3" t="str">
        <f>IFERROR(__xludf.DUMMYFUNCTION("GOOGLETRANSLATE(B10525,""id"",""en"")"),"['difficult', 'transaction', 'instructions', 'try', 'minutes', 'that's']")</f>
        <v>['difficult', 'transaction', 'instructions', 'try', 'minutes', 'that's']</v>
      </c>
      <c r="D10525" s="3">
        <v>2.0</v>
      </c>
    </row>
    <row r="10526" ht="15.75" customHeight="1">
      <c r="A10526" s="1">
        <v>11340.0</v>
      </c>
      <c r="B10526" s="3" t="s">
        <v>10039</v>
      </c>
      <c r="C10526" s="3" t="str">
        <f>IFERROR(__xludf.DUMMYFUNCTION("GOOGLETRANSLATE(B10526,""id"",""en"")"),"['siip', '']")</f>
        <v>['siip', '']</v>
      </c>
      <c r="D10526" s="3">
        <v>5.0</v>
      </c>
    </row>
    <row r="10527" ht="15.75" customHeight="1">
      <c r="A10527" s="1">
        <v>11341.0</v>
      </c>
      <c r="B10527" s="3" t="s">
        <v>10040</v>
      </c>
      <c r="C10527" s="3" t="str">
        <f>IFERROR(__xludf.DUMMYFUNCTION("GOOGLETRANSLATE(B10527,""id"",""en"")"),"['Overcome', 'pndahin', 'card', 'hello', 'internet', 'jdi', 'slow', 'bnget', 'please', 'fix', 'pls']")</f>
        <v>['Overcome', 'pndahin', 'card', 'hello', 'internet', 'jdi', 'slow', 'bnget', 'please', 'fix', 'pls']</v>
      </c>
      <c r="D10527" s="3">
        <v>1.0</v>
      </c>
    </row>
    <row r="10528" ht="15.75" customHeight="1">
      <c r="A10528" s="1">
        <v>11342.0</v>
      </c>
      <c r="B10528" s="3" t="s">
        <v>10041</v>
      </c>
      <c r="C10528" s="3" t="str">
        <f>IFERROR(__xludf.DUMMYFUNCTION("GOOGLETRANSLATE(B10528,""id"",""en"")"),"['signal', 'nyh', 'good']")</f>
        <v>['signal', 'nyh', 'good']</v>
      </c>
      <c r="D10528" s="3">
        <v>1.0</v>
      </c>
    </row>
    <row r="10529" ht="15.75" customHeight="1">
      <c r="A10529" s="1">
        <v>11343.0</v>
      </c>
      <c r="B10529" s="3" t="s">
        <v>10042</v>
      </c>
      <c r="C10529" s="3" t="str">
        <f>IFERROR(__xludf.DUMMYFUNCTION("GOOGLETRANSLATE(B10529,""id"",""en"")"),"['', 'replace', 'card', 'signalaging', 'tros', 'quota', 'expensive']")</f>
        <v>['', 'replace', 'card', 'signalaging', 'tros', 'quota', 'expensive']</v>
      </c>
      <c r="D10529" s="3">
        <v>1.0</v>
      </c>
    </row>
    <row r="10530" ht="15.75" customHeight="1">
      <c r="A10530" s="1">
        <v>11344.0</v>
      </c>
      <c r="B10530" s="3" t="s">
        <v>10043</v>
      </c>
      <c r="C10530" s="3" t="str">
        <f>IFERROR(__xludf.DUMMYFUNCTION("GOOGLETRANSLATE(B10530,""id"",""en"")"),"['hope', 'promo', 'product', 'increases', 'sya', 'like', 'application', '']")</f>
        <v>['hope', 'promo', 'product', 'increases', 'sya', 'like', 'application', '']</v>
      </c>
      <c r="D10530" s="3">
        <v>5.0</v>
      </c>
    </row>
    <row r="10531" ht="15.75" customHeight="1">
      <c r="A10531" s="1">
        <v>11345.0</v>
      </c>
      <c r="B10531" s="3" t="s">
        <v>10044</v>
      </c>
      <c r="C10531" s="3" t="str">
        <f>IFERROR(__xludf.DUMMYFUNCTION("GOOGLETRANSLATE(B10531,""id"",""en"")"),"['buy', 'quota', 'promo', 'failed', 'sms',' information ',' March ',' February ',' already ',' gabisa ',' bought ',' purchase ',' Failed ',' Description ',' Sorry ',' Sitem ',' Busy ',' Disappointed ',' Very ']")</f>
        <v>['buy', 'quota', 'promo', 'failed', 'sms',' information ',' March ',' February ',' already ',' gabisa ',' bought ',' purchase ',' Failed ',' Description ',' Sorry ',' Sitem ',' Busy ',' Disappointed ',' Very ']</v>
      </c>
      <c r="D10531" s="3">
        <v>1.0</v>
      </c>
    </row>
    <row r="10532" ht="15.75" customHeight="1">
      <c r="A10532" s="1">
        <v>11346.0</v>
      </c>
      <c r="B10532" s="3" t="s">
        <v>10045</v>
      </c>
      <c r="C10532" s="3" t="str">
        <f>IFERROR(__xludf.DUMMYFUNCTION("GOOGLETRANSLATE(B10532,""id"",""en"")"),"['Exchange', 'Points',' SMS ',' Network ',' Busy ',' Try ',' Tetep ',' Right ',' Nukerin ',' Points', 'Persulit', 'Star', ' It's good, 'direct', 'star', 'because', 'fact', 'ugly', 'try', 'fix', 'owner', 'application', '']")</f>
        <v>['Exchange', 'Points',' SMS ',' Network ',' Busy ',' Try ',' Tetep ',' Right ',' Nukerin ',' Points', 'Persulit', 'Star', ' It's good, 'direct', 'star', 'because', 'fact', 'ugly', 'try', 'fix', 'owner', 'application', '']</v>
      </c>
      <c r="D10532" s="3">
        <v>1.0</v>
      </c>
    </row>
    <row r="10533" ht="15.75" customHeight="1">
      <c r="A10533" s="1">
        <v>11347.0</v>
      </c>
      <c r="B10533" s="3" t="s">
        <v>10046</v>
      </c>
      <c r="C10533" s="3" t="str">
        <f>IFERROR(__xludf.DUMMYFUNCTION("GOOGLETRANSLATE(B10533,""id"",""en"")"),"['likes',' trm ',' love ',' package ',' data ',' buy ',' extended ',' automatic ',' content ',' pulse ',' package ',' thank ',' Love ',' Please ',' Enhanced ',' Sousal ',' Seputaran ',' Kec ',' Labui ',' Housing ',' BTN ',' Muhajirin ',' Asri ', ""]")</f>
        <v>['likes',' trm ',' love ',' package ',' data ',' buy ',' extended ',' automatic ',' content ',' pulse ',' package ',' thank ',' Love ',' Please ',' Enhanced ',' Sousal ',' Seputaran ',' Kec ',' Labui ',' Housing ',' BTN ',' Muhajirin ',' Asri ', "]</v>
      </c>
      <c r="D10533" s="3">
        <v>5.0</v>
      </c>
    </row>
    <row r="10534" ht="15.75" customHeight="1">
      <c r="A10534" s="1">
        <v>11348.0</v>
      </c>
      <c r="B10534" s="3" t="s">
        <v>10047</v>
      </c>
      <c r="C10534" s="3" t="str">
        <f>IFERROR(__xludf.DUMMYFUNCTION("GOOGLETRANSLATE(B10534,""id"",""en"")"),"['Slow', 'really', 'network', 'astagaaaaaaaa']")</f>
        <v>['Slow', 'really', 'network', 'astagaaaaaaaa']</v>
      </c>
      <c r="D10534" s="3">
        <v>1.0</v>
      </c>
    </row>
    <row r="10535" ht="15.75" customHeight="1">
      <c r="A10535" s="1">
        <v>11349.0</v>
      </c>
      <c r="B10535" s="3" t="s">
        <v>10048</v>
      </c>
      <c r="C10535" s="3" t="str">
        <f>IFERROR(__xludf.DUMMYFUNCTION("GOOGLETRANSLATE(B10535,""id"",""en"")"),"['Recommended', 'really', 'download']")</f>
        <v>['Recommended', 'really', 'download']</v>
      </c>
      <c r="D10535" s="3">
        <v>5.0</v>
      </c>
    </row>
    <row r="10536" ht="15.75" customHeight="1">
      <c r="A10536" s="1">
        <v>11351.0</v>
      </c>
      <c r="B10536" s="3" t="s">
        <v>10049</v>
      </c>
      <c r="C10536" s="3" t="str">
        <f>IFERROR(__xludf.DUMMYFUNCTION("GOOGLETRANSLATE(B10536,""id"",""en"")"),"['App', 'satisfying', 'steady']")</f>
        <v>['App', 'satisfying', 'steady']</v>
      </c>
      <c r="D10536" s="3">
        <v>5.0</v>
      </c>
    </row>
    <row r="10537" ht="15.75" customHeight="1">
      <c r="A10537" s="1">
        <v>11352.0</v>
      </c>
      <c r="B10537" s="3" t="s">
        <v>10050</v>
      </c>
      <c r="C10537" s="3" t="str">
        <f>IFERROR(__xludf.DUMMYFUNCTION("GOOGLETRANSLATE(B10537,""id"",""en"")"),"['Game', 'Recommendation', 'Lost', 'Blue']")</f>
        <v>['Game', 'Recommendation', 'Lost', 'Blue']</v>
      </c>
      <c r="D10537" s="3">
        <v>1.0</v>
      </c>
    </row>
    <row r="10538" ht="15.75" customHeight="1">
      <c r="A10538" s="1">
        <v>11353.0</v>
      </c>
      <c r="B10538" s="3" t="s">
        <v>10051</v>
      </c>
      <c r="C10538" s="3" t="str">
        <f>IFERROR(__xludf.DUMMYFUNCTION("GOOGLETRANSLATE(B10538,""id"",""en"")"),"['has', 'package', 'internet', 'pakwt', 'unlimited', 'package', 'internet', 'reduced', 'unlimited']")</f>
        <v>['has', 'package', 'internet', 'pakwt', 'unlimited', 'package', 'internet', 'reduced', 'unlimited']</v>
      </c>
      <c r="D10538" s="3">
        <v>1.0</v>
      </c>
    </row>
    <row r="10539" ht="15.75" customHeight="1">
      <c r="A10539" s="1">
        <v>11354.0</v>
      </c>
      <c r="B10539" s="3" t="s">
        <v>10052</v>
      </c>
      <c r="C10539" s="3" t="str">
        <f>IFERROR(__xludf.DUMMYFUNCTION("GOOGLETRANSLATE(B10539,""id"",""en"")"),"['here', 'Telkomsel', 'cave', 'disgust', 'Couta', 'tens',' open ',' slow ',' open ',' slow ',' cave ',' risih ',' signal ',' ugly ',' Couta ',' drained ',' fast ',' actually ',' spent ',' money ',' cave ',' doang ',' fix ',' krna ',' buy ' , 'pay', 'free'"&amp;", 'user', 'Telkomsel', 'Member', '']")</f>
        <v>['here', 'Telkomsel', 'cave', 'disgust', 'Couta', 'tens',' open ',' slow ',' open ',' slow ',' cave ',' risih ',' signal ',' ugly ',' Couta ',' drained ',' fast ',' actually ',' spent ',' money ',' cave ',' doang ',' fix ',' krna ',' buy ' , 'pay', 'free', 'user', 'Telkomsel', 'Member', '']</v>
      </c>
      <c r="D10539" s="3">
        <v>1.0</v>
      </c>
    </row>
    <row r="10540" ht="15.75" customHeight="1">
      <c r="A10540" s="1">
        <v>11355.0</v>
      </c>
      <c r="B10540" s="3" t="s">
        <v>4334</v>
      </c>
      <c r="C10540" s="3" t="str">
        <f>IFERROR(__xludf.DUMMYFUNCTION("GOOGLETRANSLATE(B10540,""id"",""en"")"),"['bad signal']")</f>
        <v>['bad signal']</v>
      </c>
      <c r="D10540" s="3">
        <v>1.0</v>
      </c>
    </row>
    <row r="10541" ht="15.75" customHeight="1">
      <c r="A10541" s="1">
        <v>11356.0</v>
      </c>
      <c r="B10541" s="3" t="s">
        <v>6307</v>
      </c>
      <c r="C10541" s="3" t="str">
        <f>IFERROR(__xludf.DUMMYFUNCTION("GOOGLETRANSLATE(B10541,""id"",""en"")"),"['slow', '']")</f>
        <v>['slow', '']</v>
      </c>
      <c r="D10541" s="3">
        <v>1.0</v>
      </c>
    </row>
    <row r="10542" ht="15.75" customHeight="1">
      <c r="A10542" s="1">
        <v>11357.0</v>
      </c>
      <c r="B10542" s="3" t="s">
        <v>10053</v>
      </c>
      <c r="C10542" s="3" t="str">
        <f>IFERROR(__xludf.DUMMYFUNCTION("GOOGLETRANSLATE(B10542,""id"",""en"")"),"['Telkomsel', 'area', 'wood', 'Agung', 'low', 'response', 'signal', 'kdang', 'kdang', 'difficult', '']")</f>
        <v>['Telkomsel', 'area', 'wood', 'Agung', 'low', 'response', 'signal', 'kdang', 'kdang', 'difficult', '']</v>
      </c>
      <c r="D10542" s="3">
        <v>3.0</v>
      </c>
    </row>
    <row r="10543" ht="15.75" customHeight="1">
      <c r="A10543" s="1">
        <v>11358.0</v>
      </c>
      <c r="B10543" s="3" t="s">
        <v>10054</v>
      </c>
      <c r="C10543" s="3" t="str">
        <f>IFERROR(__xludf.DUMMYFUNCTION("GOOGLETRANSLATE(B10543,""id"",""en"")"),"['Rely on']")</f>
        <v>['Rely on']</v>
      </c>
      <c r="D10543" s="3">
        <v>3.0</v>
      </c>
    </row>
    <row r="10544" ht="15.75" customHeight="1">
      <c r="A10544" s="1">
        <v>11359.0</v>
      </c>
      <c r="B10544" s="3" t="s">
        <v>10055</v>
      </c>
      <c r="C10544" s="3" t="str">
        <f>IFERROR(__xludf.DUMMYFUNCTION("GOOGLETRANSLATE(B10544,""id"",""en"")"),"['What', 'buy', 'Paketan', 'TELKOM', 'Enter', 'Enter', 'How', 'Weve', 'Credit', 'Children', 'Paketan', 'Enter', ' enter']")</f>
        <v>['What', 'buy', 'Paketan', 'TELKOM', 'Enter', 'Enter', 'How', 'Weve', 'Credit', 'Children', 'Paketan', 'Enter', ' enter']</v>
      </c>
      <c r="D10544" s="3">
        <v>2.0</v>
      </c>
    </row>
    <row r="10545" ht="15.75" customHeight="1">
      <c r="A10545" s="1">
        <v>11360.0</v>
      </c>
      <c r="B10545" s="3" t="s">
        <v>10056</v>
      </c>
      <c r="C10545" s="3" t="str">
        <f>IFERROR(__xludf.DUMMYFUNCTION("GOOGLETRANSLATE(B10545,""id"",""en"")"),"['', 'Telkomsel', 'emang', 'okay', 'lock', 'pulse', 'run out', 'data', 'bryar', 'take']")</f>
        <v>['', 'Telkomsel', 'emang', 'okay', 'lock', 'pulse', 'run out', 'data', 'bryar', 'take']</v>
      </c>
      <c r="D10545" s="3">
        <v>5.0</v>
      </c>
    </row>
    <row r="10546" ht="15.75" customHeight="1">
      <c r="A10546" s="1">
        <v>11361.0</v>
      </c>
      <c r="B10546" s="3" t="s">
        <v>10057</v>
      </c>
      <c r="C10546" s="3" t="str">
        <f>IFERROR(__xludf.DUMMYFUNCTION("GOOGLETRANSLATE(B10546,""id"",""en"")"),"['Telkomsel', 'password', 'network', 'slow', 'bother', 'person', 'skuy', 'move', 'operator', 'ngeecap', 'suck', 'pulses',' Fast ',' Network ',' Slow ',' Telkomsel ',' UDH ',' BNYK ',' Ngirim ',' Review ',' Bad ',' Network ',' Telkomsel ',' TPI ',' Bnerin "&amp;"' , 'Mmang', 'idiot', 'use', 'Telkomsel', 'disappointed', 'Yuk', 'moved', 'operator']")</f>
        <v>['Telkomsel', 'password', 'network', 'slow', 'bother', 'person', 'skuy', 'move', 'operator', 'ngeecap', 'suck', 'pulses',' Fast ',' Network ',' Slow ',' Telkomsel ',' UDH ',' BNYK ',' Ngirim ',' Review ',' Bad ',' Network ',' Telkomsel ',' TPI ',' Bnerin ' , 'Mmang', 'idiot', 'use', 'Telkomsel', 'disappointed', 'Yuk', 'moved', 'operator']</v>
      </c>
      <c r="D10546" s="3">
        <v>1.0</v>
      </c>
    </row>
    <row r="10547" ht="15.75" customHeight="1">
      <c r="A10547" s="1">
        <v>11362.0</v>
      </c>
      <c r="B10547" s="3" t="s">
        <v>10058</v>
      </c>
      <c r="C10547" s="3" t="str">
        <f>IFERROR(__xludf.DUMMYFUNCTION("GOOGLETRANSLATE(B10547,""id"",""en"")"),"['Buy', 'Package', 'night', 'GB', 'HRI', 'Gabisa', 'Pay', 'Gopay', 'Please', 'Fix']")</f>
        <v>['Buy', 'Package', 'night', 'GB', 'HRI', 'Gabisa', 'Pay', 'Gopay', 'Please', 'Fix']</v>
      </c>
      <c r="D10547" s="3">
        <v>3.0</v>
      </c>
    </row>
    <row r="10548" ht="15.75" customHeight="1">
      <c r="A10548" s="1">
        <v>11364.0</v>
      </c>
      <c r="B10548" s="3" t="s">
        <v>10059</v>
      </c>
      <c r="C10548" s="3" t="str">
        <f>IFERROR(__xludf.DUMMYFUNCTION("GOOGLETRANSLATE(B10548,""id"",""en"")"),"['fast', 'process', '']")</f>
        <v>['fast', 'process', '']</v>
      </c>
      <c r="D10548" s="3">
        <v>5.0</v>
      </c>
    </row>
    <row r="10549" ht="15.75" customHeight="1">
      <c r="A10549" s="1">
        <v>11365.0</v>
      </c>
      <c r="B10549" s="3" t="s">
        <v>10060</v>
      </c>
      <c r="C10549" s="3" t="str">
        <f>IFERROR(__xludf.DUMMYFUNCTION("GOOGLETRANSLATE(B10549,""id"",""en"")"),"['kalaw', 'system', 'accessed', 'right', 'buy', 'pulse', 'given', 'access',' payment ',' turn ',' already ',' bought ',' Credit ',' Enter ',' Awaited ',' Kaga ',' Hadeh ',' payaaaj ',' APK ']")</f>
        <v>['kalaw', 'system', 'accessed', 'right', 'buy', 'pulse', 'given', 'access',' payment ',' turn ',' already ',' bought ',' Credit ',' Enter ',' Awaited ',' Kaga ',' Hadeh ',' payaaaj ',' APK ']</v>
      </c>
      <c r="D10549" s="3">
        <v>1.0</v>
      </c>
    </row>
    <row r="10550" ht="15.75" customHeight="1">
      <c r="A10550" s="1">
        <v>11366.0</v>
      </c>
      <c r="B10550" s="3" t="s">
        <v>10061</v>
      </c>
      <c r="C10550" s="3" t="str">
        <f>IFERROR(__xludf.DUMMYFUNCTION("GOOGLETRANSLATE(B10550,""id"",""en"")"),"['bgs', 'makes it easy', 'fix', 'package', 'easy']")</f>
        <v>['bgs', 'makes it easy', 'fix', 'package', 'easy']</v>
      </c>
      <c r="D10550" s="3">
        <v>4.0</v>
      </c>
    </row>
    <row r="10551" ht="15.75" customHeight="1">
      <c r="A10551" s="1">
        <v>11367.0</v>
      </c>
      <c r="B10551" s="3" t="s">
        <v>10062</v>
      </c>
      <c r="C10551" s="3" t="str">
        <f>IFERROR(__xludf.DUMMYFUNCTION("GOOGLETRANSLATE(B10551,""id"",""en"")"),"['Ngasinya', 'star', 'yaaa', 'package', 'annual', 'buy', 'combo', 'max', 'GB', 'appears',' menu ',' buy ',' GB ',' A month ',' Eeeh ',' After ',' Mincul ', ""]")</f>
        <v>['Ngasinya', 'star', 'yaaa', 'package', 'annual', 'buy', 'combo', 'max', 'GB', 'appears',' menu ',' buy ',' GB ',' A month ',' Eeeh ',' After ',' Mincul ', "]</v>
      </c>
      <c r="D10551" s="3">
        <v>3.0</v>
      </c>
    </row>
    <row r="10552" ht="15.75" customHeight="1">
      <c r="A10552" s="1">
        <v>11368.0</v>
      </c>
      <c r="B10552" s="3" t="s">
        <v>10063</v>
      </c>
      <c r="C10552" s="3" t="str">
        <f>IFERROR(__xludf.DUMMYFUNCTION("GOOGLETRANSLATE(B10552,""id"",""en"")"),"['The application', 'used', 'buy', 'package', '']")</f>
        <v>['The application', 'used', 'buy', 'package', '']</v>
      </c>
      <c r="D10552" s="3">
        <v>1.0</v>
      </c>
    </row>
    <row r="10553" ht="15.75" customHeight="1">
      <c r="A10553" s="1">
        <v>11369.0</v>
      </c>
      <c r="B10553" s="3" t="s">
        <v>10064</v>
      </c>
      <c r="C10553" s="3" t="str">
        <f>IFERROR(__xludf.DUMMYFUNCTION("GOOGLETRANSLATE(B10553,""id"",""en"")"),"['uda', 'play', 'game', 'signal', 'good', 'actual', 'play', 'game', 'pink', 'san', 'red', 'really', ' motion ',' ngebug ',' play ',' game ',' retirement ',' must ',' support ',' signal ',' signal ',' wifi ',' good ',' pairs', 'wifi' , 'Full', 'slot', 'are"&amp;"a', 'Must', 'Nambah', 'cable', 'adehhh']")</f>
        <v>['uda', 'play', 'game', 'signal', 'good', 'actual', 'play', 'game', 'pink', 'san', 'red', 'really', ' motion ',' ngebug ',' play ',' game ',' retirement ',' must ',' support ',' signal ',' signal ',' wifi ',' good ',' pairs', 'wifi' , 'Full', 'slot', 'area', 'Must', 'Nambah', 'cable', 'adehhh']</v>
      </c>
      <c r="D10553" s="3">
        <v>2.0</v>
      </c>
    </row>
    <row r="10554" ht="15.75" customHeight="1">
      <c r="A10554" s="1">
        <v>11370.0</v>
      </c>
      <c r="B10554" s="3" t="s">
        <v>10065</v>
      </c>
      <c r="C10554" s="3" t="str">
        <f>IFERROR(__xludf.DUMMYFUNCTION("GOOGLETRANSLATE(B10554,""id"",""en"")"),"['easy', 'transact', 'purchase', 'package', 'data', 'bnyak', 'promo']")</f>
        <v>['easy', 'transact', 'purchase', 'package', 'data', 'bnyak', 'promo']</v>
      </c>
      <c r="D10554" s="3">
        <v>4.0</v>
      </c>
    </row>
    <row r="10555" ht="15.75" customHeight="1">
      <c r="A10555" s="1">
        <v>11372.0</v>
      </c>
      <c r="B10555" s="3" t="s">
        <v>217</v>
      </c>
      <c r="C10555" s="3" t="str">
        <f>IFERROR(__xludf.DUMMYFUNCTION("GOOGLETRANSLATE(B10555,""id"",""en"")"),"['satisfying', '']")</f>
        <v>['satisfying', '']</v>
      </c>
      <c r="D10555" s="3">
        <v>5.0</v>
      </c>
    </row>
    <row r="10556" ht="15.75" customHeight="1">
      <c r="A10556" s="1">
        <v>11373.0</v>
      </c>
      <c r="B10556" s="3" t="s">
        <v>10066</v>
      </c>
      <c r="C10556" s="3" t="str">
        <f>IFERROR(__xludf.DUMMYFUNCTION("GOOGLETRANSLATE(B10556,""id"",""en"")"),"['Signal', 'Telkomsel', 'Ujan', 'destroyed', 'Ujan', 'expensive', 'fix', 'network', 'difficult', 'already', 'keelel']")</f>
        <v>['Signal', 'Telkomsel', 'Ujan', 'destroyed', 'Ujan', 'expensive', 'fix', 'network', 'difficult', 'already', 'keelel']</v>
      </c>
      <c r="D10556" s="3">
        <v>1.0</v>
      </c>
    </row>
    <row r="10557" ht="15.75" customHeight="1">
      <c r="A10557" s="1">
        <v>11374.0</v>
      </c>
      <c r="B10557" s="3" t="s">
        <v>10067</v>
      </c>
      <c r="C10557" s="3" t="str">
        <f>IFERROR(__xludf.DUMMYFUNCTION("GOOGLETRANSLATE(B10557,""id"",""en"")"),"['Cover', 'Telkomsel', 'Benerin', 'connection', 'quota', 'expensive', 'doank']")</f>
        <v>['Cover', 'Telkomsel', 'Benerin', 'connection', 'quota', 'expensive', 'doank']</v>
      </c>
      <c r="D10557" s="3">
        <v>1.0</v>
      </c>
    </row>
    <row r="10558" ht="15.75" customHeight="1">
      <c r="A10558" s="1">
        <v>11375.0</v>
      </c>
      <c r="B10558" s="3" t="s">
        <v>10068</v>
      </c>
      <c r="C10558" s="3" t="str">
        <f>IFERROR(__xludf.DUMMYFUNCTION("GOOGLETRANSLATE(B10558,""id"",""en"")"),"['week', 'signal', 'disorder', 'mulu', ""]")</f>
        <v>['week', 'signal', 'disorder', 'mulu', "]</v>
      </c>
      <c r="D10558" s="3">
        <v>1.0</v>
      </c>
    </row>
    <row r="10559" ht="15.75" customHeight="1">
      <c r="A10559" s="1">
        <v>11376.0</v>
      </c>
      <c r="B10559" s="3" t="s">
        <v>10069</v>
      </c>
      <c r="C10559" s="3" t="str">
        <f>IFERROR(__xludf.DUMMYFUNCTION("GOOGLETRANSLATE(B10559,""id"",""en"")"),"['Package', 'Save', 'Rich', 'Combo', 'Sakti', 'Affordable', '']")</f>
        <v>['Package', 'Save', 'Rich', 'Combo', 'Sakti', 'Affordable', '']</v>
      </c>
      <c r="D10559" s="3">
        <v>5.0</v>
      </c>
    </row>
    <row r="10560" ht="15.75" customHeight="1">
      <c r="A10560" s="1">
        <v>11377.0</v>
      </c>
      <c r="B10560" s="3" t="s">
        <v>10070</v>
      </c>
      <c r="C10560" s="3" t="str">
        <f>IFERROR(__xludf.DUMMYFUNCTION("GOOGLETRANSLATE(B10560,""id"",""en"")"),"['Mksih', 'might', 'forward', 'Telkomsel']")</f>
        <v>['Mksih', 'might', 'forward', 'Telkomsel']</v>
      </c>
      <c r="D10560" s="3">
        <v>5.0</v>
      </c>
    </row>
    <row r="10561" ht="15.75" customHeight="1">
      <c r="A10561" s="1">
        <v>11378.0</v>
      </c>
      <c r="B10561" s="3" t="s">
        <v>10071</v>
      </c>
      <c r="C10561" s="3" t="str">
        <f>IFERROR(__xludf.DUMMYFUNCTION("GOOGLETRANSLATE(B10561,""id"",""en"")"),"['nice']")</f>
        <v>['nice']</v>
      </c>
      <c r="D10561" s="3">
        <v>5.0</v>
      </c>
    </row>
    <row r="10562" ht="15.75" customHeight="1">
      <c r="A10562" s="1">
        <v>11379.0</v>
      </c>
      <c r="B10562" s="3" t="s">
        <v>10072</v>
      </c>
      <c r="C10562" s="3" t="str">
        <f>IFERROR(__xludf.DUMMYFUNCTION("GOOGLETRANSLATE(B10562,""id"",""en"")"),"['application', 'Anjiiiiing', 'see', 'see', 'emang', 'Anjiiing']")</f>
        <v>['application', 'Anjiiiiing', 'see', 'see', 'emang', 'Anjiiing']</v>
      </c>
      <c r="D10562" s="3">
        <v>5.0</v>
      </c>
    </row>
    <row r="10563" ht="15.75" customHeight="1">
      <c r="A10563" s="1">
        <v>11380.0</v>
      </c>
      <c r="B10563" s="3" t="s">
        <v>10073</v>
      </c>
      <c r="C10563" s="3" t="str">
        <f>IFERROR(__xludf.DUMMYFUNCTION("GOOGLETRANSLATE(B10563,""id"",""en"")"),"['buy', 'package', 'failure', 'information', 'disorder', 'system', 'becus', ""]")</f>
        <v>['buy', 'package', 'failure', 'information', 'disorder', 'system', 'becus', "]</v>
      </c>
      <c r="D10563" s="3">
        <v>1.0</v>
      </c>
    </row>
    <row r="10564" ht="15.75" customHeight="1">
      <c r="A10564" s="1">
        <v>11381.0</v>
      </c>
      <c r="B10564" s="3" t="s">
        <v>10074</v>
      </c>
      <c r="C10564" s="3" t="str">
        <f>IFERROR(__xludf.DUMMYFUNCTION("GOOGLETRANSLATE(B10564,""id"",""en"")"),"['Just', 'Buy', 'Package', 'Telkomsel', 'Paying', 'Shopee', 'Pay', 'Success', 'Pay', 'Quotes', 'Enter']")</f>
        <v>['Just', 'Buy', 'Package', 'Telkomsel', 'Paying', 'Shopee', 'Pay', 'Success', 'Pay', 'Quotes', 'Enter']</v>
      </c>
      <c r="D10564" s="3">
        <v>1.0</v>
      </c>
    </row>
    <row r="10565" ht="15.75" customHeight="1">
      <c r="A10565" s="1">
        <v>11382.0</v>
      </c>
      <c r="B10565" s="3" t="s">
        <v>10075</v>
      </c>
      <c r="C10565" s="3" t="str">
        <f>IFERROR(__xludf.DUMMYFUNCTION("GOOGLETRANSLATE(B10565,""id"",""en"")"),"['Package', 'Data', 'Out', 'Controlled', 'Sucking', 'Credit', 'Out', 'Open', 'Browser', 'Telkomsel', 'Said Said', 'Telkomsel', ' ']")</f>
        <v>['Package', 'Data', 'Out', 'Controlled', 'Sucking', 'Credit', 'Out', 'Open', 'Browser', 'Telkomsel', 'Said Said', 'Telkomsel', ' ']</v>
      </c>
      <c r="D10565" s="3">
        <v>1.0</v>
      </c>
    </row>
    <row r="10566" ht="15.75" customHeight="1">
      <c r="A10566" s="1">
        <v>11383.0</v>
      </c>
      <c r="B10566" s="3" t="s">
        <v>10076</v>
      </c>
      <c r="C10566" s="3" t="str">
        <f>IFERROR(__xludf.DUMMYFUNCTION("GOOGLETRANSLATE(B10566,""id"",""en"")"),"['hope', 'package', 'extra', 'unlimited', 'help']")</f>
        <v>['hope', 'package', 'extra', 'unlimited', 'help']</v>
      </c>
      <c r="D10566" s="3">
        <v>1.0</v>
      </c>
    </row>
    <row r="10567" ht="15.75" customHeight="1">
      <c r="A10567" s="1">
        <v>11384.0</v>
      </c>
      <c r="B10567" s="3" t="s">
        <v>10077</v>
      </c>
      <c r="C10567" s="3" t="str">
        <f>IFERROR(__xludf.DUMMYFUNCTION("GOOGLETRANSLATE(B10567,""id"",""en"")"),"['users',' Telkomsel ',' package ',' internet ',' no ',' get ',' cheap ',' user ',' a year ',' package ',' quota ',' cheap ',' how', '']")</f>
        <v>['users',' Telkomsel ',' package ',' internet ',' no ',' get ',' cheap ',' user ',' a year ',' package ',' quota ',' cheap ',' how', '']</v>
      </c>
      <c r="D10567" s="3">
        <v>1.0</v>
      </c>
    </row>
    <row r="10568" ht="15.75" customHeight="1">
      <c r="A10568" s="1">
        <v>11385.0</v>
      </c>
      <c r="B10568" s="3" t="s">
        <v>10078</v>
      </c>
      <c r="C10568" s="3" t="str">
        <f>IFERROR(__xludf.DUMMYFUNCTION("GOOGLETRANSLATE(B10568,""id"",""en"")"),"['satisfying', 'Telkomsel', 'love', 'star', 'card', 'Say', 'promo', 'cheap']")</f>
        <v>['satisfying', 'Telkomsel', 'love', 'star', 'card', 'Say', 'promo', 'cheap']</v>
      </c>
      <c r="D10568" s="3">
        <v>5.0</v>
      </c>
    </row>
    <row r="10569" ht="15.75" customHeight="1">
      <c r="A10569" s="1">
        <v>11386.0</v>
      </c>
      <c r="B10569" s="3" t="s">
        <v>10079</v>
      </c>
      <c r="C10569" s="3" t="str">
        <f>IFERROR(__xludf.DUMMYFUNCTION("GOOGLETRANSLATE(B10569,""id"",""en"")"),"['try', 'love', 'star', 'dlu', '']")</f>
        <v>['try', 'love', 'star', 'dlu', '']</v>
      </c>
      <c r="D10569" s="3">
        <v>4.0</v>
      </c>
    </row>
    <row r="10570" ht="15.75" customHeight="1">
      <c r="A10570" s="1">
        <v>11387.0</v>
      </c>
      <c r="B10570" s="3" t="s">
        <v>5445</v>
      </c>
      <c r="C10570" s="3" t="str">
        <f>IFERROR(__xludf.DUMMYFUNCTION("GOOGLETRANSLATE(B10570,""id"",""en"")"),"['fast']")</f>
        <v>['fast']</v>
      </c>
      <c r="D10570" s="3">
        <v>4.0</v>
      </c>
    </row>
    <row r="10571" ht="15.75" customHeight="1">
      <c r="A10571" s="1">
        <v>11388.0</v>
      </c>
      <c r="B10571" s="3" t="s">
        <v>10080</v>
      </c>
      <c r="C10571" s="3" t="str">
        <f>IFERROR(__xludf.DUMMYFUNCTION("GOOGLETRANSLATE(B10571,""id"",""en"")"),"['Nyesel', 'PSG', 'Application']")</f>
        <v>['Nyesel', 'PSG', 'Application']</v>
      </c>
      <c r="D10571" s="3">
        <v>5.0</v>
      </c>
    </row>
    <row r="10572" ht="15.75" customHeight="1">
      <c r="A10572" s="1">
        <v>11389.0</v>
      </c>
      <c r="B10572" s="3" t="s">
        <v>10081</v>
      </c>
      <c r="C10572" s="3" t="str">
        <f>IFERROR(__xludf.DUMMYFUNCTION("GOOGLETRANSLATE(B10572,""id"",""en"")"),"['Sorry', 'star', 'pull', 'signal', 'Telkomsel', 'disappointing', '']")</f>
        <v>['Sorry', 'star', 'pull', 'signal', 'Telkomsel', 'disappointing', '']</v>
      </c>
      <c r="D10572" s="3">
        <v>1.0</v>
      </c>
    </row>
    <row r="10573" ht="15.75" customHeight="1">
      <c r="A10573" s="1">
        <v>11390.0</v>
      </c>
      <c r="B10573" s="3" t="s">
        <v>10082</v>
      </c>
      <c r="C10573" s="3" t="str">
        <f>IFERROR(__xludf.DUMMYFUNCTION("GOOGLETRANSLATE(B10573,""id"",""en"")"),"['regret', 'after', 'loyal', 'difficult', 'parents',' card ',' scorched ',' try ',' dibalikin ',' yahhh ',' mending ',' card ',' Cheap ',' good ']")</f>
        <v>['regret', 'after', 'loyal', 'difficult', 'parents',' card ',' scorched ',' try ',' dibalikin ',' yahhh ',' mending ',' card ',' Cheap ',' good ']</v>
      </c>
      <c r="D10573" s="3">
        <v>1.0</v>
      </c>
    </row>
    <row r="10574" ht="15.75" customHeight="1">
      <c r="A10574" s="1">
        <v>11391.0</v>
      </c>
      <c r="B10574" s="3" t="s">
        <v>3616</v>
      </c>
      <c r="C10574" s="3" t="str">
        <f>IFERROR(__xludf.DUMMYFUNCTION("GOOGLETRANSLATE(B10574,""id"",""en"")"),"['application', 'good']")</f>
        <v>['application', 'good']</v>
      </c>
      <c r="D10574" s="3">
        <v>5.0</v>
      </c>
    </row>
    <row r="10575" ht="15.75" customHeight="1">
      <c r="A10575" s="1">
        <v>11392.0</v>
      </c>
      <c r="B10575" s="3" t="s">
        <v>10083</v>
      </c>
      <c r="C10575" s="3" t="str">
        <f>IFERROR(__xludf.DUMMYFUNCTION("GOOGLETRANSLATE(B10575,""id"",""en"")"),"['network', 'Telkomsel', 'relied on', 'open', 'website', 'video', 'porn', 'adult', 'compared to', 'provider', 'recommended', ""]")</f>
        <v>['network', 'Telkomsel', 'relied on', 'open', 'website', 'video', 'porn', 'adult', 'compared to', 'provider', 'recommended', "]</v>
      </c>
      <c r="D10575" s="3">
        <v>5.0</v>
      </c>
    </row>
    <row r="10576" ht="15.75" customHeight="1">
      <c r="A10576" s="1">
        <v>11393.0</v>
      </c>
      <c r="B10576" s="3" t="s">
        <v>10084</v>
      </c>
      <c r="C10576" s="3" t="str">
        <f>IFERROR(__xludf.DUMMYFUNCTION("GOOGLETRANSLATE(B10576,""id"",""en"")"),"['Update', 'Good']")</f>
        <v>['Update', 'Good']</v>
      </c>
      <c r="D10576" s="3">
        <v>4.0</v>
      </c>
    </row>
    <row r="10577" ht="15.75" customHeight="1">
      <c r="A10577" s="1">
        <v>11394.0</v>
      </c>
      <c r="B10577" s="3" t="s">
        <v>10085</v>
      </c>
      <c r="C10577" s="3" t="str">
        <f>IFERROR(__xludf.DUMMYFUNCTION("GOOGLETRANSLATE(B10577,""id"",""en"")"),"['Exstra', 'unlimited', 'pub', 'playstore', 'slow', 'kyak', 'kmaren', ""]")</f>
        <v>['Exstra', 'unlimited', 'pub', 'playstore', 'slow', 'kyak', 'kmaren', "]</v>
      </c>
      <c r="D10577" s="3">
        <v>1.0</v>
      </c>
    </row>
    <row r="10578" ht="15.75" customHeight="1">
      <c r="A10578" s="1">
        <v>11395.0</v>
      </c>
      <c r="B10578" s="3" t="s">
        <v>10086</v>
      </c>
      <c r="C10578" s="3" t="str">
        <f>IFERROR(__xludf.DUMMYFUNCTION("GOOGLETRANSLATE(B10578,""id"",""en"")"),"['Applications', 'Helpful', '']")</f>
        <v>['Applications', 'Helpful', '']</v>
      </c>
      <c r="D10578" s="3">
        <v>5.0</v>
      </c>
    </row>
    <row r="10579" ht="15.75" customHeight="1">
      <c r="A10579" s="1">
        <v>11396.0</v>
      </c>
      <c r="B10579" s="3" t="s">
        <v>10087</v>
      </c>
      <c r="C10579" s="3" t="str">
        <f>IFERROR(__xludf.DUMMYFUNCTION("GOOGLETRANSLATE(B10579,""id"",""en"")"),"['Dear', 'Contact', 'Center', 'StroomNet', 'Please', 'Help', 'Open', 'Ticket', 'Disorders',' Customer ',' Name ',' PLN ',' address', 'email', 'package', 'disorder', 'thank', 'love', 'device', 'wifi', 'lights',' green ',' abg ',' told ',' restart ' , 'Do',"&amp;" 'Sis', ""]")</f>
        <v>['Dear', 'Contact', 'Center', 'StroomNet', 'Please', 'Help', 'Open', 'Ticket', 'Disorders',' Customer ',' Name ',' PLN ',' address', 'email', 'package', 'disorder', 'thank', 'love', 'device', 'wifi', 'lights',' green ',' abg ',' told ',' restart ' , 'Do', 'Sis', "]</v>
      </c>
      <c r="D10579" s="3">
        <v>4.0</v>
      </c>
    </row>
    <row r="10580" ht="15.75" customHeight="1">
      <c r="A10580" s="1">
        <v>11397.0</v>
      </c>
      <c r="B10580" s="3" t="s">
        <v>10088</v>
      </c>
      <c r="C10580" s="3" t="str">
        <f>IFERROR(__xludf.DUMMYFUNCTION("GOOGLETRANSLATE(B10580,""id"",""en"")"),"['', 'play', 'game', 'network', 'stable', '']")</f>
        <v>['', 'play', 'game', 'network', 'stable', '']</v>
      </c>
      <c r="D10580" s="3">
        <v>1.0</v>
      </c>
    </row>
    <row r="10581" ht="15.75" customHeight="1">
      <c r="A10581" s="1">
        <v>11398.0</v>
      </c>
      <c r="B10581" s="3" t="s">
        <v>10089</v>
      </c>
      <c r="C10581" s="3" t="str">
        <f>IFERROR(__xludf.DUMMYFUNCTION("GOOGLETRANSLATE(B10581,""id"",""en"")"),"['Okay', 'Not bad', 'good', 'hope', 'making it easier', 'business']")</f>
        <v>['Okay', 'Not bad', 'good', 'hope', 'making it easier', 'business']</v>
      </c>
      <c r="D10581" s="3">
        <v>5.0</v>
      </c>
    </row>
    <row r="10582" ht="15.75" customHeight="1">
      <c r="A10582" s="1">
        <v>11399.0</v>
      </c>
      <c r="B10582" s="3" t="s">
        <v>10090</v>
      </c>
      <c r="C10582" s="3" t="str">
        <f>IFERROR(__xludf.DUMMYFUNCTION("GOOGLETRANSLATE(B10582,""id"",""en"")"),"['Bagus', 'Application', 'Love', 'Guard']")</f>
        <v>['Bagus', 'Application', 'Love', 'Guard']</v>
      </c>
      <c r="D10582" s="3">
        <v>5.0</v>
      </c>
    </row>
    <row r="10583" ht="15.75" customHeight="1">
      <c r="A10583" s="1">
        <v>11400.0</v>
      </c>
      <c r="B10583" s="3" t="s">
        <v>10091</v>
      </c>
      <c r="C10583" s="3" t="str">
        <f>IFERROR(__xludf.DUMMYFUNCTION("GOOGLETRANSLATE(B10583,""id"",""en"")"),"['topup', 'credit', 'Telkomsel', 'balance', 'reduced', 'TPI', 'Credit', 'enter', 'clock', 'pulse', 'enter', 'knp', ' Telkomsel ',' down ',' service ',' ']")</f>
        <v>['topup', 'credit', 'Telkomsel', 'balance', 'reduced', 'TPI', 'Credit', 'enter', 'clock', 'pulse', 'enter', 'knp', ' Telkomsel ',' down ',' service ',' ']</v>
      </c>
      <c r="D10583" s="3">
        <v>1.0</v>
      </c>
    </row>
    <row r="10584" ht="15.75" customHeight="1">
      <c r="A10584" s="1">
        <v>11401.0</v>
      </c>
      <c r="B10584" s="3" t="s">
        <v>10092</v>
      </c>
      <c r="C10584" s="3" t="str">
        <f>IFERROR(__xludf.DUMMYFUNCTION("GOOGLETRANSLATE(B10584,""id"",""en"")"),"['Satisfied', 'Application', 'Telkomsel']")</f>
        <v>['Satisfied', 'Application', 'Telkomsel']</v>
      </c>
      <c r="D10584" s="3">
        <v>5.0</v>
      </c>
    </row>
    <row r="10585" ht="15.75" customHeight="1">
      <c r="A10585" s="1">
        <v>11402.0</v>
      </c>
      <c r="B10585" s="3" t="s">
        <v>10093</v>
      </c>
      <c r="C10585" s="3" t="str">
        <f>IFERROR(__xludf.DUMMYFUNCTION("GOOGLETRANSLATE(B10585,""id"",""en"")"),"['People', 'late', 'pay', 'fall', 'tempo', 'date', 'already', 'called', 'date', 'a day', 'customer', 'debt', ' ']")</f>
        <v>['People', 'late', 'pay', 'fall', 'tempo', 'date', 'already', 'called', 'date', 'a day', 'customer', 'debt', ' ']</v>
      </c>
      <c r="D10585" s="3">
        <v>2.0</v>
      </c>
    </row>
    <row r="10586" ht="15.75" customHeight="1">
      <c r="A10586" s="1">
        <v>11403.0</v>
      </c>
      <c r="B10586" s="3" t="s">
        <v>10094</v>
      </c>
      <c r="C10586" s="3" t="str">
        <f>IFERROR(__xludf.DUMMYFUNCTION("GOOGLETRANSLATE(B10586,""id"",""en"")"),"['Satisfied', 'Telkomsel', 'APL', 'Nua', 'Easy', '']")</f>
        <v>['Satisfied', 'Telkomsel', 'APL', 'Nua', 'Easy', '']</v>
      </c>
      <c r="D10586" s="3">
        <v>5.0</v>
      </c>
    </row>
    <row r="10587" ht="15.75" customHeight="1">
      <c r="A10587" s="1">
        <v>11404.0</v>
      </c>
      <c r="B10587" s="3" t="s">
        <v>10095</v>
      </c>
      <c r="C10587" s="3" t="str">
        <f>IFERROR(__xludf.DUMMYFUNCTION("GOOGLETRANSLATE(B10587,""id"",""en"")"),"['Uda', 'Nukar', 'Points', '']")</f>
        <v>['Uda', 'Nukar', 'Points', '']</v>
      </c>
      <c r="D10587" s="3">
        <v>5.0</v>
      </c>
    </row>
    <row r="10588" ht="15.75" customHeight="1">
      <c r="A10588" s="1">
        <v>11406.0</v>
      </c>
      <c r="B10588" s="3" t="s">
        <v>10096</v>
      </c>
      <c r="C10588" s="3" t="str">
        <f>IFERROR(__xludf.DUMMYFUNCTION("GOOGLETRANSLATE(B10588,""id"",""en"")"),"['signal', 'ugly', 'play', 'games', 'online', '']")</f>
        <v>['signal', 'ugly', 'play', 'games', 'online', '']</v>
      </c>
      <c r="D10588" s="3">
        <v>4.0</v>
      </c>
    </row>
    <row r="10589" ht="15.75" customHeight="1">
      <c r="A10589" s="1">
        <v>11407.0</v>
      </c>
      <c r="B10589" s="3" t="s">
        <v>10097</v>
      </c>
      <c r="C10589" s="3" t="str">
        <f>IFERROR(__xludf.DUMMYFUNCTION("GOOGLETRANSLATE(B10589,""id"",""en"")"),"['pulse', 'guaa', 'reduced', 'already', 'mah', 'sinyaa', 'nambahh', 'ugly', '']")</f>
        <v>['pulse', 'guaa', 'reduced', 'already', 'mah', 'sinyaa', 'nambahh', 'ugly', '']</v>
      </c>
      <c r="D10589" s="3">
        <v>1.0</v>
      </c>
    </row>
    <row r="10590" ht="15.75" customHeight="1">
      <c r="A10590" s="1">
        <v>11409.0</v>
      </c>
      <c r="B10590" s="3" t="s">
        <v>10098</v>
      </c>
      <c r="C10590" s="3" t="str">
        <f>IFERROR(__xludf.DUMMYFUNCTION("GOOGLETRANSLATE(B10590,""id"",""en"")"),"['Telkomsel', 'slow']")</f>
        <v>['Telkomsel', 'slow']</v>
      </c>
      <c r="D10590" s="3">
        <v>5.0</v>
      </c>
    </row>
    <row r="10591" ht="15.75" customHeight="1">
      <c r="A10591" s="1">
        <v>11411.0</v>
      </c>
      <c r="B10591" s="3" t="s">
        <v>10099</v>
      </c>
      <c r="C10591" s="3" t="str">
        <f>IFERROR(__xludf.DUMMYFUNCTION("GOOGLETRANSLATE(B10591,""id"",""en"")"),"['keep', 'developed', 'work', '']")</f>
        <v>['keep', 'developed', 'work', '']</v>
      </c>
      <c r="D10591" s="3">
        <v>5.0</v>
      </c>
    </row>
    <row r="10592" ht="15.75" customHeight="1">
      <c r="A10592" s="1">
        <v>11412.0</v>
      </c>
      <c r="B10592" s="3" t="s">
        <v>10100</v>
      </c>
      <c r="C10592" s="3" t="str">
        <f>IFERROR(__xludf.DUMMYFUNCTION("GOOGLETRANSLATE(B10592,""id"",""en"")"),"['Durable', 'promo', '']")</f>
        <v>['Durable', 'promo', '']</v>
      </c>
      <c r="D10592" s="3">
        <v>5.0</v>
      </c>
    </row>
    <row r="10593" ht="15.75" customHeight="1">
      <c r="A10593" s="1">
        <v>11413.0</v>
      </c>
      <c r="B10593" s="3" t="s">
        <v>10101</v>
      </c>
      <c r="C10593" s="3" t="str">
        <f>IFERROR(__xludf.DUMMYFUNCTION("GOOGLETRANSLATE(B10593,""id"",""en"")"),"['function', 'quota', 'multimedia', 'use', 'APK', 'Disney', 'right', 'watch', 'quota', 'main', 'sumps',' kayak ',' Such is', 'Mending', 'eliminated', 'Multimedia', 'Ujung', 'tip', 'quota', 'main', 'Sumpot', ""]")</f>
        <v>['function', 'quota', 'multimedia', 'use', 'APK', 'Disney', 'right', 'watch', 'quota', 'main', 'sumps',' kayak ',' Such is', 'Mending', 'eliminated', 'Multimedia', 'Ujung', 'tip', 'quota', 'main', 'Sumpot', "]</v>
      </c>
      <c r="D10593" s="3">
        <v>1.0</v>
      </c>
    </row>
    <row r="10594" ht="15.75" customHeight="1">
      <c r="A10594" s="1">
        <v>11414.0</v>
      </c>
      <c r="B10594" s="3" t="s">
        <v>10102</v>
      </c>
      <c r="C10594" s="3" t="str">
        <f>IFERROR(__xludf.DUMMYFUNCTION("GOOGLETRANSLATE(B10594,""id"",""en"")"),"['signal', 'ugly', 'stable', 'drop', '']")</f>
        <v>['signal', 'ugly', 'stable', 'drop', '']</v>
      </c>
      <c r="D10594" s="3">
        <v>2.0</v>
      </c>
    </row>
    <row r="10595" ht="15.75" customHeight="1">
      <c r="A10595" s="1">
        <v>11415.0</v>
      </c>
      <c r="B10595" s="3" t="s">
        <v>10103</v>
      </c>
      <c r="C10595" s="3" t="str">
        <f>IFERROR(__xludf.DUMMYFUNCTION("GOOGLETRANSLATE(B10595,""id"",""en"")"),"['weve', 'good', 'really', 'Telkomsel', 'signal', 'strong', 'Where', '']")</f>
        <v>['weve', 'good', 'really', 'Telkomsel', 'signal', 'strong', 'Where', '']</v>
      </c>
      <c r="D10595" s="3">
        <v>5.0</v>
      </c>
    </row>
    <row r="10596" ht="15.75" customHeight="1">
      <c r="A10596" s="1">
        <v>11416.0</v>
      </c>
      <c r="B10596" s="3" t="s">
        <v>10104</v>
      </c>
      <c r="C10596" s="3" t="str">
        <f>IFERROR(__xludf.DUMMYFUNCTION("GOOGLETRANSLATE(B10596,""id"",""en"")"),"['', 'Change', 'Paketan', 'Telkomsel', 'Batalin', 'Sousal', 'Like', 'ugly', 'Mending', 'Switch', 'Paketan', 'Provocation', 'emang ', 'reality']")</f>
        <v>['', 'Change', 'Paketan', 'Telkomsel', 'Batalin', 'Sousal', 'Like', 'ugly', 'Mending', 'Switch', 'Paketan', 'Provocation', 'emang ', 'reality']</v>
      </c>
      <c r="D10596" s="3">
        <v>1.0</v>
      </c>
    </row>
    <row r="10597" ht="15.75" customHeight="1">
      <c r="A10597" s="1">
        <v>11417.0</v>
      </c>
      <c r="B10597" s="3" t="s">
        <v>10105</v>
      </c>
      <c r="C10597" s="3" t="str">
        <f>IFERROR(__xludf.DUMMYFUNCTION("GOOGLETRANSLATE(B10597,""id"",""en"")"),"['Please', 'DOWN', 'Telkomsel', 'Fix', 'Sousal', 'Price', 'Package', 'Expensive', 'Expensive', 'Doang', 'Network', 'Bad', ' Love ',' Bintang ',' Thanks', ""]")</f>
        <v>['Please', 'DOWN', 'Telkomsel', 'Fix', 'Sousal', 'Price', 'Package', 'Expensive', 'Expensive', 'Doang', 'Network', 'Bad', ' Love ',' Bintang ',' Thanks', "]</v>
      </c>
      <c r="D10597" s="3">
        <v>1.0</v>
      </c>
    </row>
    <row r="10598" ht="15.75" customHeight="1">
      <c r="A10598" s="1">
        <v>11418.0</v>
      </c>
      <c r="B10598" s="3" t="s">
        <v>10106</v>
      </c>
      <c r="C10598" s="3" t="str">
        <f>IFERROR(__xludf.DUMMYFUNCTION("GOOGLETRANSLATE(B10598,""id"",""en"")"),"['signal', 'strong', 'even though', 'inside', 'building']")</f>
        <v>['signal', 'strong', 'even though', 'inside', 'building']</v>
      </c>
      <c r="D10598" s="3">
        <v>5.0</v>
      </c>
    </row>
    <row r="10599" ht="15.75" customHeight="1">
      <c r="A10599" s="1">
        <v>11419.0</v>
      </c>
      <c r="B10599" s="3" t="s">
        <v>10107</v>
      </c>
      <c r="C10599" s="3" t="str">
        <f>IFERROR(__xludf.DUMMYFUNCTION("GOOGLETRANSLATE(B10599,""id"",""en"")"),"['expensive', 'doang', 'signal', 'enter', 'blass']")</f>
        <v>['expensive', 'doang', 'signal', 'enter', 'blass']</v>
      </c>
      <c r="D10599" s="3">
        <v>1.0</v>
      </c>
    </row>
    <row r="10600" ht="15.75" customHeight="1">
      <c r="A10600" s="1">
        <v>11420.0</v>
      </c>
      <c r="B10600" s="3" t="s">
        <v>10108</v>
      </c>
      <c r="C10600" s="3" t="str">
        <f>IFERROR(__xludf.DUMMYFUNCTION("GOOGLETRANSLATE(B10600,""id"",""en"")"),"['The network', 'broad', '']")</f>
        <v>['The network', 'broad', '']</v>
      </c>
      <c r="D10600" s="3">
        <v>5.0</v>
      </c>
    </row>
    <row r="10601" ht="15.75" customHeight="1">
      <c r="A10601" s="1">
        <v>11421.0</v>
      </c>
      <c r="B10601" s="3" t="s">
        <v>10109</v>
      </c>
      <c r="C10601" s="3" t="str">
        <f>IFERROR(__xludf.DUMMYFUNCTION("GOOGLETRANSLATE(B10601,""id"",""en"")"),"['Bangsatttttttttt', 'expensive', 'doang']")</f>
        <v>['Bangsatttttttttt', 'expensive', 'doang']</v>
      </c>
      <c r="D10601" s="3">
        <v>1.0</v>
      </c>
    </row>
    <row r="10602" ht="15.75" customHeight="1">
      <c r="A10602" s="1">
        <v>11422.0</v>
      </c>
      <c r="B10602" s="3" t="s">
        <v>10110</v>
      </c>
      <c r="C10602" s="3" t="str">
        <f>IFERROR(__xludf.DUMMYFUNCTION("GOOGLETRANSLATE(B10602,""id"",""en"")"),"['Bismillah', 'can', 'makes it easier']")</f>
        <v>['Bismillah', 'can', 'makes it easier']</v>
      </c>
      <c r="D10602" s="3">
        <v>5.0</v>
      </c>
    </row>
    <row r="10603" ht="15.75" customHeight="1">
      <c r="A10603" s="1">
        <v>11423.0</v>
      </c>
      <c r="B10603" s="3" t="s">
        <v>10111</v>
      </c>
      <c r="C10603" s="3" t="str">
        <f>IFERROR(__xludf.DUMMYFUNCTION("GOOGLETRANSLATE(B10603,""id"",""en"")"),"['Lottery', 'Application', 'Hoax', 'aka', 'Tipu', 'Tipu', 'Proof', 'Org', 'Can', 'Lottery', 'spend', 'Points',' "", 'can', 'Mending', 'Tuker', 'Points', 'Data', 'Internet', 'Telkomsel', 'Monkey']")</f>
        <v>['Lottery', 'Application', 'Hoax', 'aka', 'Tipu', 'Tipu', 'Proof', 'Org', 'Can', 'Lottery', 'spend', 'Points',' ", 'can', 'Mending', 'Tuker', 'Points', 'Data', 'Internet', 'Telkomsel', 'Monkey']</v>
      </c>
      <c r="D10603" s="3">
        <v>1.0</v>
      </c>
    </row>
    <row r="10604" ht="15.75" customHeight="1">
      <c r="A10604" s="1">
        <v>11424.0</v>
      </c>
      <c r="B10604" s="3" t="s">
        <v>10112</v>
      </c>
      <c r="C10604" s="3" t="str">
        <f>IFERROR(__xludf.DUMMYFUNCTION("GOOGLETRANSLATE(B10604,""id"",""en"")"),"['signal', 'fix', 'boss']")</f>
        <v>['signal', 'fix', 'boss']</v>
      </c>
      <c r="D10604" s="3">
        <v>1.0</v>
      </c>
    </row>
    <row r="10605" ht="15.75" customHeight="1">
      <c r="A10605" s="1">
        <v>11425.0</v>
      </c>
      <c r="B10605" s="3" t="s">
        <v>10113</v>
      </c>
      <c r="C10605" s="3" t="str">
        <f>IFERROR(__xludf.DUMMYFUNCTION("GOOGLETRANSLATE(B10605,""id"",""en"")"),"['Steady', 'fast', '']")</f>
        <v>['Steady', 'fast', '']</v>
      </c>
      <c r="D10605" s="3">
        <v>5.0</v>
      </c>
    </row>
    <row r="10606" ht="15.75" customHeight="1">
      <c r="A10606" s="1">
        <v>11426.0</v>
      </c>
      <c r="B10606" s="3" t="s">
        <v>10114</v>
      </c>
      <c r="C10606" s="3" t="str">
        <f>IFERROR(__xludf.DUMMYFUNCTION("GOOGLETRANSLATE(B10606,""id"",""en"")"),"['Signal', 'Telkomsel', 'bad', 'Customer', 'confused', 'complaint', 'TLF', 'Center', 'Bazard', 'emang', 'Bill', 'told', ' children ',' smooth ',' service ',' kayak ',' amateur ',' ']")</f>
        <v>['Signal', 'Telkomsel', 'bad', 'Customer', 'confused', 'complaint', 'TLF', 'Center', 'Bazard', 'emang', 'Bill', 'told', ' children ',' smooth ',' service ',' kayak ',' amateur ',' ']</v>
      </c>
      <c r="D10606" s="3">
        <v>1.0</v>
      </c>
    </row>
    <row r="10607" ht="15.75" customHeight="1">
      <c r="A10607" s="1">
        <v>11427.0</v>
      </c>
      <c r="B10607" s="3" t="s">
        <v>10115</v>
      </c>
      <c r="C10607" s="3" t="str">
        <f>IFERROR(__xludf.DUMMYFUNCTION("GOOGLETRANSLATE(B10607,""id"",""en"")"),"['Trima', 'ksih', 'Telkomsel']")</f>
        <v>['Trima', 'ksih', 'Telkomsel']</v>
      </c>
      <c r="D10607" s="3">
        <v>5.0</v>
      </c>
    </row>
    <row r="10608" ht="15.75" customHeight="1">
      <c r="A10608" s="1">
        <v>11428.0</v>
      </c>
      <c r="B10608" s="3" t="s">
        <v>10116</v>
      </c>
      <c r="C10608" s="3" t="str">
        <f>IFERROR(__xludf.DUMMYFUNCTION("GOOGLETRANSLATE(B10608,""id"",""en"")"),"['Increase', 'security']")</f>
        <v>['Increase', 'security']</v>
      </c>
      <c r="D10608" s="3">
        <v>5.0</v>
      </c>
    </row>
    <row r="10609" ht="15.75" customHeight="1">
      <c r="A10609" s="1">
        <v>11429.0</v>
      </c>
      <c r="B10609" s="3" t="s">
        <v>10117</v>
      </c>
      <c r="C10609" s="3" t="str">
        <f>IFERROR(__xludf.DUMMYFUNCTION("GOOGLETRANSLATE(B10609,""id"",""en"")"),"['Telatluh', 'Best', 'Customer', 'Faithful', 'Terbimah', 'Love', 'Telatluh', 'Gift', 'Hadia', 'Interesting', 'Perna', 'hehehe']")</f>
        <v>['Telatluh', 'Best', 'Customer', 'Faithful', 'Terbimah', 'Love', 'Telatluh', 'Gift', 'Hadia', 'Interesting', 'Perna', 'hehehe']</v>
      </c>
      <c r="D10609" s="3">
        <v>5.0</v>
      </c>
    </row>
    <row r="10610" ht="15.75" customHeight="1">
      <c r="A10610" s="1">
        <v>11430.0</v>
      </c>
      <c r="B10610" s="3" t="s">
        <v>10118</v>
      </c>
      <c r="C10610" s="3" t="str">
        <f>IFERROR(__xludf.DUMMYFUNCTION("GOOGLETRANSLATE(B10610,""id"",""en"")"),"['Please', 'repay', 'signal', 'boss',' pull ',' orders', 'Gara', 'orders',' expensive ',' price ',' quality ',' guaranteed ',' ']")</f>
        <v>['Please', 'repay', 'signal', 'boss',' pull ',' orders', 'Gara', 'orders',' expensive ',' price ',' quality ',' guaranteed ',' ']</v>
      </c>
      <c r="D10610" s="3">
        <v>1.0</v>
      </c>
    </row>
    <row r="10611" ht="15.75" customHeight="1">
      <c r="A10611" s="1">
        <v>11431.0</v>
      </c>
      <c r="B10611" s="3" t="s">
        <v>10119</v>
      </c>
      <c r="C10611" s="3" t="str">
        <f>IFERROR(__xludf.DUMMYFUNCTION("GOOGLETRANSLATE(B10611,""id"",""en"")"),"['Network', 'weak']")</f>
        <v>['Network', 'weak']</v>
      </c>
      <c r="D10611" s="3">
        <v>1.0</v>
      </c>
    </row>
    <row r="10612" ht="15.75" customHeight="1">
      <c r="A10612" s="1">
        <v>11432.0</v>
      </c>
      <c r="B10612" s="3" t="s">
        <v>10120</v>
      </c>
      <c r="C10612" s="3" t="str">
        <f>IFERROR(__xludf.DUMMYFUNCTION("GOOGLETRANSLATE(B10612,""id"",""en"")"),"['card', 'UDH', 'ugly', 'ugly', 'Dimna', 'PKE', 'Telkomsel', 'buy', 'PKT', 'difficult', 'moved', 'Telkomsel', ' Benerin ',' signal ',' gymna ',' happy ',' open ',' smooth ']")</f>
        <v>['card', 'UDH', 'ugly', 'ugly', 'Dimna', 'PKE', 'Telkomsel', 'buy', 'PKT', 'difficult', 'moved', 'Telkomsel', ' Benerin ',' signal ',' gymna ',' happy ',' open ',' smooth ']</v>
      </c>
      <c r="D10612" s="3">
        <v>1.0</v>
      </c>
    </row>
    <row r="10613" ht="15.75" customHeight="1">
      <c r="A10613" s="1">
        <v>11433.0</v>
      </c>
      <c r="B10613" s="3" t="s">
        <v>10121</v>
      </c>
      <c r="C10613" s="3" t="str">
        <f>IFERROR(__xludf.DUMMYFUNCTION("GOOGLETRANSLATE(B10613,""id"",""en"")"),"['connection', 'deteriorating', 'provider', 'belongs', 'BUMN', 'bad', 'really', ""]")</f>
        <v>['connection', 'deteriorating', 'provider', 'belongs', 'BUMN', 'bad', 'really', "]</v>
      </c>
      <c r="D10613" s="3">
        <v>1.0</v>
      </c>
    </row>
    <row r="10614" ht="15.75" customHeight="1">
      <c r="A10614" s="1">
        <v>11434.0</v>
      </c>
      <c r="B10614" s="3" t="s">
        <v>7547</v>
      </c>
      <c r="C10614" s="3" t="str">
        <f>IFERROR(__xludf.DUMMYFUNCTION("GOOGLETRANSLATE(B10614,""id"",""en"")"),"['Lelat', '']")</f>
        <v>['Lelat', '']</v>
      </c>
      <c r="D10614" s="3">
        <v>5.0</v>
      </c>
    </row>
    <row r="10615" ht="15.75" customHeight="1">
      <c r="A10615" s="1">
        <v>11435.0</v>
      </c>
      <c r="B10615" s="3" t="s">
        <v>10122</v>
      </c>
      <c r="C10615" s="3" t="str">
        <f>IFERROR(__xludf.DUMMYFUNCTION("GOOGLETRANSLATE(B10615,""id"",""en"")"),"['Mines']")</f>
        <v>['Mines']</v>
      </c>
      <c r="D10615" s="3">
        <v>1.0</v>
      </c>
    </row>
    <row r="10616" ht="15.75" customHeight="1">
      <c r="A10616" s="1">
        <v>11436.0</v>
      </c>
      <c r="B10616" s="3" t="s">
        <v>10123</v>
      </c>
      <c r="C10616" s="3" t="str">
        <f>IFERROR(__xludf.DUMMYFUNCTION("GOOGLETRANSLATE(B10616,""id"",""en"")"),"['Woy', 'Fix', 'JARINAG', 'KON', '']")</f>
        <v>['Woy', 'Fix', 'JARINAG', 'KON', '']</v>
      </c>
      <c r="D10616" s="3">
        <v>1.0</v>
      </c>
    </row>
    <row r="10617" ht="15.75" customHeight="1">
      <c r="A10617" s="1">
        <v>11437.0</v>
      </c>
      <c r="B10617" s="3" t="s">
        <v>10124</v>
      </c>
      <c r="C10617" s="3" t="str">
        <f>IFERROR(__xludf.DUMMYFUNCTION("GOOGLETRANSLATE(B10617,""id"",""en"")"),"['price', 'package', 'expensive', 'reached', 'circles', 'medium', '']")</f>
        <v>['price', 'package', 'expensive', 'reached', 'circles', 'medium', '']</v>
      </c>
      <c r="D10617" s="3">
        <v>4.0</v>
      </c>
    </row>
    <row r="10618" ht="15.75" customHeight="1">
      <c r="A10618" s="1">
        <v>11438.0</v>
      </c>
      <c r="B10618" s="3" t="s">
        <v>10125</v>
      </c>
      <c r="C10618" s="3" t="str">
        <f>IFERROR(__xludf.DUMMYFUNCTION("GOOGLETRANSLATE(B10618,""id"",""en"")"),"['Min', 'pulses', 'used', 'quota', 'pulses', 'buy', 'package', '']")</f>
        <v>['Min', 'pulses', 'used', 'quota', 'pulses', 'buy', 'package', '']</v>
      </c>
      <c r="D10618" s="3">
        <v>1.0</v>
      </c>
    </row>
    <row r="10619" ht="15.75" customHeight="1">
      <c r="A10619" s="1">
        <v>11439.0</v>
      </c>
      <c r="B10619" s="3" t="s">
        <v>10126</v>
      </c>
      <c r="C10619" s="3" t="str">
        <f>IFERROR(__xludf.DUMMYFUNCTION("GOOGLETRANSLATE(B10619,""id"",""en"")"),"['The application', 'good', 'really', 'use', 'Good', 'Unfortunately', 'Lock', 'Button', 'Package', 'Data', 'Data', 'Data', ' Cellular ',' turned off ',' leftover ',' pulse ',' leftover ',' pulses', 'directly', 'Abis',' take-up ']")</f>
        <v>['The application', 'good', 'really', 'use', 'Good', 'Unfortunately', 'Lock', 'Button', 'Package', 'Data', 'Data', 'Data', ' Cellular ',' turned off ',' leftover ',' pulse ',' leftover ',' pulses', 'directly', 'Abis',' take-up ']</v>
      </c>
      <c r="D10619" s="3">
        <v>4.0</v>
      </c>
    </row>
    <row r="10620" ht="15.75" customHeight="1">
      <c r="A10620" s="1">
        <v>11440.0</v>
      </c>
      <c r="B10620" s="3" t="s">
        <v>10127</v>
      </c>
      <c r="C10620" s="3" t="str">
        <f>IFERROR(__xludf.DUMMYFUNCTION("GOOGLETRANSLATE(B10620,""id"",""en"")"),"['', 'Telkomsel', 'Network', 'celluler', 'doubt', 'edasssss',' buy ',' quota ',' expensive ',' pisan ',' lakh ',' cheerful ',' sorry ',' system ',' error ']")</f>
        <v>['', 'Telkomsel', 'Network', 'celluler', 'doubt', 'edasssss',' buy ',' quota ',' expensive ',' pisan ',' lakh ',' cheerful ',' sorry ',' system ',' error ']</v>
      </c>
      <c r="D10620" s="3">
        <v>3.0</v>
      </c>
    </row>
    <row r="10621" ht="15.75" customHeight="1">
      <c r="A10621" s="1">
        <v>11441.0</v>
      </c>
      <c r="B10621" s="3" t="s">
        <v>10128</v>
      </c>
      <c r="C10621" s="3" t="str">
        <f>IFERROR(__xludf.DUMMYFUNCTION("GOOGLETRANSLATE(B10621,""id"",""en"")"),"['Change', 'Telkomsel', 'Network', 'Kayak', 'Mmek', 'Stupid', 'Sumpakn', 'Tekkom', 'Dead']")</f>
        <v>['Change', 'Telkomsel', 'Network', 'Kayak', 'Mmek', 'Stupid', 'Sumpakn', 'Tekkom', 'Dead']</v>
      </c>
      <c r="D10621" s="3">
        <v>1.0</v>
      </c>
    </row>
    <row r="10622" ht="15.75" customHeight="1">
      <c r="A10622" s="1">
        <v>11442.0</v>
      </c>
      <c r="B10622" s="3" t="s">
        <v>10129</v>
      </c>
      <c r="C10622" s="3" t="str">
        <f>IFERROR(__xludf.DUMMYFUNCTION("GOOGLETRANSLATE(B10622,""id"",""en"")"),"['Help', 'purchase', 'package', 'fast', 'easy', 'pkoknya', 'steady', '']")</f>
        <v>['Help', 'purchase', 'package', 'fast', 'easy', 'pkoknya', 'steady', '']</v>
      </c>
      <c r="D10622" s="3">
        <v>5.0</v>
      </c>
    </row>
    <row r="10623" ht="15.75" customHeight="1">
      <c r="A10623" s="1">
        <v>11443.0</v>
      </c>
      <c r="B10623" s="3" t="s">
        <v>10130</v>
      </c>
      <c r="C10623" s="3" t="str">
        <f>IFERROR(__xludf.DUMMYFUNCTION("GOOGLETRANSLATE(B10623,""id"",""en"")"),"['Thanks', 'Telkomsel']")</f>
        <v>['Thanks', 'Telkomsel']</v>
      </c>
      <c r="D10623" s="3">
        <v>5.0</v>
      </c>
    </row>
    <row r="10624" ht="15.75" customHeight="1">
      <c r="A10624" s="1">
        <v>11444.0</v>
      </c>
      <c r="B10624" s="3" t="s">
        <v>10131</v>
      </c>
      <c r="C10624" s="3" t="str">
        <f>IFERROR(__xludf.DUMMYFUNCTION("GOOGLETRANSLATE(B10624,""id"",""en"")"),"['buy', 'package', 'internet', 'Telkomsel', 'failed', 'activation', 'balance', 'truncated', 'telephone', 'solution', 'waiting', 'clock', ' TTP ',' results']")</f>
        <v>['buy', 'package', 'internet', 'Telkomsel', 'failed', 'activation', 'balance', 'truncated', 'telephone', 'solution', 'waiting', 'clock', ' TTP ',' results']</v>
      </c>
      <c r="D10624" s="3">
        <v>1.0</v>
      </c>
    </row>
    <row r="10625" ht="15.75" customHeight="1">
      <c r="A10625" s="1">
        <v>11445.0</v>
      </c>
      <c r="B10625" s="3" t="s">
        <v>10132</v>
      </c>
      <c r="C10625" s="3" t="str">
        <f>IFERROR(__xludf.DUMMYFUNCTION("GOOGLETRANSLATE(B10625,""id"",""en"")"),"['asw', 'slow', 'crazy', 'already', 'that's', 'missing', 'missing']")</f>
        <v>['asw', 'slow', 'crazy', 'already', 'that's', 'missing', 'missing']</v>
      </c>
      <c r="D10625" s="3">
        <v>1.0</v>
      </c>
    </row>
    <row r="10626" ht="15.75" customHeight="1">
      <c r="A10626" s="1">
        <v>11446.0</v>
      </c>
      <c r="B10626" s="3" t="s">
        <v>10133</v>
      </c>
      <c r="C10626" s="3" t="str">
        <f>IFERROR(__xludf.DUMMYFUNCTION("GOOGLETRANSLATE(B10626,""id"",""en"")"),"['signal', 'stable', 'application', 'opened', 'open', 'youtube', 'browser', 'open', 'application', 'Telkomsel']")</f>
        <v>['signal', 'stable', 'application', 'opened', 'open', 'youtube', 'browser', 'open', 'application', 'Telkomsel']</v>
      </c>
      <c r="D10626" s="3">
        <v>1.0</v>
      </c>
    </row>
    <row r="10627" ht="15.75" customHeight="1">
      <c r="A10627" s="1">
        <v>11447.0</v>
      </c>
      <c r="B10627" s="3" t="s">
        <v>10134</v>
      </c>
      <c r="C10627" s="3" t="str">
        <f>IFERROR(__xludf.DUMMYFUNCTION("GOOGLETRANSLATE(B10627,""id"",""en"")"),"['Application', 'Install', 'Pixel', 'PDHL', 'SBLM', 'Android', 'APP', 'BRJLN', 'Current']")</f>
        <v>['Application', 'Install', 'Pixel', 'PDHL', 'SBLM', 'Android', 'APP', 'BRJLN', 'Current']</v>
      </c>
      <c r="D10627" s="3">
        <v>2.0</v>
      </c>
    </row>
    <row r="10628" ht="15.75" customHeight="1">
      <c r="A10628" s="1">
        <v>11448.0</v>
      </c>
      <c r="B10628" s="3" t="s">
        <v>10135</v>
      </c>
      <c r="C10628" s="3" t="str">
        <f>IFERROR(__xludf.DUMMYFUNCTION("GOOGLETRANSLATE(B10628,""id"",""en"")"),"['Want', 'enter', 'Telkomsel', 'difficult', 'forgiveness', '']")</f>
        <v>['Want', 'enter', 'Telkomsel', 'difficult', 'forgiveness', '']</v>
      </c>
      <c r="D10628" s="3">
        <v>1.0</v>
      </c>
    </row>
    <row r="10629" ht="15.75" customHeight="1">
      <c r="A10629" s="1">
        <v>11449.0</v>
      </c>
      <c r="B10629" s="3" t="s">
        <v>10136</v>
      </c>
      <c r="C10629" s="3" t="str">
        <f>IFERROR(__xludf.DUMMYFUNCTION("GOOGLETRANSLATE(B10629,""id"",""en"")"),"['Good', 'easy', 'access']")</f>
        <v>['Good', 'easy', 'access']</v>
      </c>
      <c r="D10629" s="3">
        <v>5.0</v>
      </c>
    </row>
    <row r="10630" ht="15.75" customHeight="1">
      <c r="A10630" s="1">
        <v>11450.0</v>
      </c>
      <c r="B10630" s="3" t="s">
        <v>10137</v>
      </c>
      <c r="C10630" s="3" t="str">
        <f>IFERROR(__xludf.DUMMYFUNCTION("GOOGLETRANSLATE(B10630,""id"",""en"")"),"['', 'Telkomsel', 'steady', 'promotion', 'choice']")</f>
        <v>['', 'Telkomsel', 'steady', 'promotion', 'choice']</v>
      </c>
      <c r="D10630" s="3">
        <v>1.0</v>
      </c>
    </row>
    <row r="10631" ht="15.75" customHeight="1">
      <c r="A10631" s="1">
        <v>11451.0</v>
      </c>
      <c r="B10631" s="3" t="s">
        <v>10138</v>
      </c>
      <c r="C10631" s="3" t="str">
        <f>IFERROR(__xludf.DUMMYFUNCTION("GOOGLETRANSLATE(B10631,""id"",""en"")"),"['Please', 'sorry', 'signal', 'ugly', 'times',' Please ',' fix ',' because 'signal', 'ugly']")</f>
        <v>['Please', 'sorry', 'signal', 'ugly', 'times',' Please ',' fix ',' because 'signal', 'ugly']</v>
      </c>
      <c r="D10631" s="3">
        <v>1.0</v>
      </c>
    </row>
    <row r="10632" ht="15.75" customHeight="1">
      <c r="A10632" s="1">
        <v>11452.0</v>
      </c>
      <c r="B10632" s="3" t="s">
        <v>10139</v>
      </c>
      <c r="C10632" s="3" t="str">
        <f>IFERROR(__xludf.DUMMYFUNCTION("GOOGLETRANSLATE(B10632,""id"",""en"")"),"['Good', 'really', 'network', 'really', 'problematic', 'package', 'quota', 'fast', 'drained', 'jdi', 'regret', 'blik', ' quota', '']")</f>
        <v>['Good', 'really', 'network', 'really', 'problematic', 'package', 'quota', 'fast', 'drained', 'jdi', 'regret', 'blik', ' quota', '']</v>
      </c>
      <c r="D10632" s="3">
        <v>1.0</v>
      </c>
    </row>
    <row r="10633" ht="15.75" customHeight="1">
      <c r="A10633" s="1">
        <v>11454.0</v>
      </c>
      <c r="B10633" s="3" t="s">
        <v>10140</v>
      </c>
      <c r="C10633" s="3" t="str">
        <f>IFERROR(__xludf.DUMMYFUNCTION("GOOGLETRANSLATE(B10633,""id"",""en"")"),"['open', 'apps',' Telkomsel ',' apps', 'writing', 'apps',' closed ',' bahkn ',' system ',' closed ',' restart ',' application ',' Dusakan ', ""]")</f>
        <v>['open', 'apps',' Telkomsel ',' apps', 'writing', 'apps',' closed ',' bahkn ',' system ',' closed ',' restart ',' application ',' Dusakan ', "]</v>
      </c>
      <c r="D10633" s="3">
        <v>1.0</v>
      </c>
    </row>
    <row r="10634" ht="15.75" customHeight="1">
      <c r="A10634" s="1">
        <v>11455.0</v>
      </c>
      <c r="B10634" s="3" t="s">
        <v>10141</v>
      </c>
      <c r="C10634" s="3" t="str">
        <f>IFERROR(__xludf.DUMMYFUNCTION("GOOGLETRANSLATE(B10634,""id"",""en"")"),"['like', 'promo', 'cheerful', 'customer', 'loyal']")</f>
        <v>['like', 'promo', 'cheerful', 'customer', 'loyal']</v>
      </c>
      <c r="D10634" s="3">
        <v>5.0</v>
      </c>
    </row>
    <row r="10635" ht="15.75" customHeight="1">
      <c r="A10635" s="1">
        <v>11457.0</v>
      </c>
      <c r="B10635" s="3" t="s">
        <v>10142</v>
      </c>
      <c r="C10635" s="3" t="str">
        <f>IFERROR(__xludf.DUMMYFUNCTION("GOOGLETRANSLATE(B10635,""id"",""en"")"),"['Card', 'Sultan']")</f>
        <v>['Card', 'Sultan']</v>
      </c>
      <c r="D10635" s="3">
        <v>5.0</v>
      </c>
    </row>
    <row r="10636" ht="15.75" customHeight="1">
      <c r="A10636" s="1">
        <v>11458.0</v>
      </c>
      <c r="B10636" s="3" t="s">
        <v>779</v>
      </c>
      <c r="C10636" s="3" t="str">
        <f>IFERROR(__xludf.DUMMYFUNCTION("GOOGLETRANSLATE(B10636,""id"",""en"")"),"['Good', 'easy']")</f>
        <v>['Good', 'easy']</v>
      </c>
      <c r="D10636" s="3">
        <v>5.0</v>
      </c>
    </row>
    <row r="10637" ht="15.75" customHeight="1">
      <c r="A10637" s="1">
        <v>11459.0</v>
      </c>
      <c r="B10637" s="3" t="s">
        <v>10143</v>
      </c>
      <c r="C10637" s="3" t="str">
        <f>IFERROR(__xludf.DUMMYFUNCTION("GOOGLETRANSLATE(B10637,""id"",""en"")"),"['BLM', 'Experience', 'Please', 'Help', 'Buy', 'Credit', 'Package', 'Internet', 'BGMN', 'Bank', 'Transaction', 'Payment', ' Example ',' Bank ',' BRI ',' GMNA ',' Spy ',' Connec ', ""]")</f>
        <v>['BLM', 'Experience', 'Please', 'Help', 'Buy', 'Credit', 'Package', 'Internet', 'BGMN', 'Bank', 'Transaction', 'Payment', ' Example ',' Bank ',' BRI ',' GMNA ',' Spy ',' Connec ', "]</v>
      </c>
      <c r="D10637" s="3">
        <v>4.0</v>
      </c>
    </row>
    <row r="10638" ht="15.75" customHeight="1">
      <c r="A10638" s="1">
        <v>11460.0</v>
      </c>
      <c r="B10638" s="3" t="s">
        <v>10144</v>
      </c>
      <c r="C10638" s="3" t="str">
        <f>IFERROR(__xludf.DUMMYFUNCTION("GOOGLETRANSLATE(B10638,""id"",""en"")"),"['reasonable']")</f>
        <v>['reasonable']</v>
      </c>
      <c r="D10638" s="3">
        <v>4.0</v>
      </c>
    </row>
    <row r="10639" ht="15.75" customHeight="1">
      <c r="A10639" s="1">
        <v>11461.0</v>
      </c>
      <c r="B10639" s="3" t="s">
        <v>10145</v>
      </c>
      <c r="C10639" s="3" t="str">
        <f>IFERROR(__xludf.DUMMYFUNCTION("GOOGLETRANSLATE(B10639,""id"",""en"")"),"['qualiatas', 'network', 'bad']")</f>
        <v>['qualiatas', 'network', 'bad']</v>
      </c>
      <c r="D10639" s="3">
        <v>1.0</v>
      </c>
    </row>
    <row r="10640" ht="15.75" customHeight="1">
      <c r="A10640" s="1">
        <v>11462.0</v>
      </c>
      <c r="B10640" s="3" t="s">
        <v>10146</v>
      </c>
      <c r="C10640" s="3" t="str">
        <f>IFERROR(__xludf.DUMMYFUNCTION("GOOGLETRANSLATE(B10640,""id"",""en"")"),"['according to', 'promise', 'star', '']")</f>
        <v>['according to', 'promise', 'star', '']</v>
      </c>
      <c r="D10640" s="3">
        <v>5.0</v>
      </c>
    </row>
    <row r="10641" ht="15.75" customHeight="1">
      <c r="A10641" s="1">
        <v>11464.0</v>
      </c>
      <c r="B10641" s="3" t="s">
        <v>10147</v>
      </c>
      <c r="C10641" s="3" t="str">
        <f>IFERROR(__xludf.DUMMYFUNCTION("GOOGLETRANSLATE(B10641,""id"",""en"")"),"['signal', 'like', 'missing', 'price', 'expensive', 'suits', 'quality']")</f>
        <v>['signal', 'like', 'missing', 'price', 'expensive', 'suits', 'quality']</v>
      </c>
      <c r="D10641" s="3">
        <v>1.0</v>
      </c>
    </row>
    <row r="10642" ht="15.75" customHeight="1">
      <c r="A10642" s="1">
        <v>11465.0</v>
      </c>
      <c r="B10642" s="3" t="s">
        <v>10148</v>
      </c>
      <c r="C10642" s="3" t="str">
        <f>IFERROR(__xludf.DUMMYFUNCTION("GOOGLETRANSLATE(B10642,""id"",""en"")"),"['It's easy for', 'counters']")</f>
        <v>['It's easy for', 'counters']</v>
      </c>
      <c r="D10642" s="3">
        <v>5.0</v>
      </c>
    </row>
    <row r="10643" ht="15.75" customHeight="1">
      <c r="A10643" s="1">
        <v>11466.0</v>
      </c>
      <c r="B10643" s="3" t="s">
        <v>10149</v>
      </c>
      <c r="C10643" s="3" t="str">
        <f>IFERROR(__xludf.DUMMYFUNCTION("GOOGLETRANSLATE(B10643,""id"",""en"")"),"['Her net', 'ugly', 'the capital', 'province', 'living', 'district', 'difficult', 'plus',' package ',' bought ',' counted ',' expensive ',' Supported ',' connection ',' good ',' stability ',' access', 'internet', 'play', 'game', 'online', 'repaired', 'goo"&amp;"d', 'Telkomsel', 'service' , 'Network', 'best', 'Indonesia', 'enthusiasm', 'Telkomsel', '']")</f>
        <v>['Her net', 'ugly', 'the capital', 'province', 'living', 'district', 'difficult', 'plus',' package ',' bought ',' counted ',' expensive ',' Supported ',' connection ',' good ',' stability ',' access', 'internet', 'play', 'game', 'online', 'repaired', 'good', 'Telkomsel', 'service' , 'Network', 'best', 'Indonesia', 'enthusiasm', 'Telkomsel', '']</v>
      </c>
      <c r="D10643" s="3">
        <v>1.0</v>
      </c>
    </row>
    <row r="10644" ht="15.75" customHeight="1">
      <c r="A10644" s="1">
        <v>11467.0</v>
      </c>
      <c r="B10644" s="3" t="s">
        <v>10150</v>
      </c>
      <c r="C10644" s="3" t="str">
        <f>IFERROR(__xludf.DUMMYFUNCTION("GOOGLETRANSLATE(B10644,""id"",""en"")"),"['Help', 'buy', 'pmrt']")</f>
        <v>['Help', 'buy', 'pmrt']</v>
      </c>
      <c r="D10644" s="3">
        <v>4.0</v>
      </c>
    </row>
    <row r="10645" ht="15.75" customHeight="1">
      <c r="A10645" s="1">
        <v>11468.0</v>
      </c>
      <c r="B10645" s="3" t="s">
        <v>10151</v>
      </c>
      <c r="C10645" s="3" t="str">
        <f>IFERROR(__xludf.DUMMYFUNCTION("GOOGLETRANSLATE(B10645,""id"",""en"")"),"['Fix', 'quality', 'network', 'kalteng', 'kab', 'go home', 'knife', 'network', 'lost', 'already', 'really']")</f>
        <v>['Fix', 'quality', 'network', 'kalteng', 'kab', 'go home', 'knife', 'network', 'lost', 'already', 'really']</v>
      </c>
      <c r="D10645" s="3">
        <v>4.0</v>
      </c>
    </row>
    <row r="10646" ht="15.75" customHeight="1">
      <c r="A10646" s="1">
        <v>11469.0</v>
      </c>
      <c r="B10646" s="3" t="s">
        <v>10152</v>
      </c>
      <c r="C10646" s="3" t="str">
        <f>IFERROR(__xludf.DUMMYFUNCTION("GOOGLETRANSLATE(B10646,""id"",""en"")"),"['Purchase', 'Credit', 'Telkomsel', 'Help', 'offer', 'Hadia', 'interesting', '']")</f>
        <v>['Purchase', 'Credit', 'Telkomsel', 'Help', 'offer', 'Hadia', 'interesting', '']</v>
      </c>
      <c r="D10646" s="3">
        <v>5.0</v>
      </c>
    </row>
    <row r="10647" ht="15.75" customHeight="1">
      <c r="A10647" s="1">
        <v>11470.0</v>
      </c>
      <c r="B10647" s="3" t="s">
        <v>1581</v>
      </c>
      <c r="C10647" s="3" t="str">
        <f>IFERROR(__xludf.DUMMYFUNCTION("GOOGLETRANSLATE(B10647,""id"",""en"")"),"['Love', 'promo']")</f>
        <v>['Love', 'promo']</v>
      </c>
      <c r="D10647" s="3">
        <v>1.0</v>
      </c>
    </row>
    <row r="10648" ht="15.75" customHeight="1">
      <c r="A10648" s="1">
        <v>11471.0</v>
      </c>
      <c r="B10648" s="3" t="s">
        <v>10153</v>
      </c>
      <c r="C10648" s="3" t="str">
        <f>IFERROR(__xludf.DUMMYFUNCTION("GOOGLETRANSLATE(B10648,""id"",""en"")"),"['Paketan', 'kerugu', 'expensive', 'yak']")</f>
        <v>['Paketan', 'kerugu', 'expensive', 'yak']</v>
      </c>
      <c r="D10648" s="3">
        <v>5.0</v>
      </c>
    </row>
    <row r="10649" ht="15.75" customHeight="1">
      <c r="A10649" s="1">
        <v>11472.0</v>
      </c>
      <c r="B10649" s="3" t="s">
        <v>10154</v>
      </c>
      <c r="C10649" s="3" t="str">
        <f>IFERROR(__xludf.DUMMYFUNCTION("GOOGLETRANSLATE(B10649,""id"",""en"")"),"['Thanks',' already ',' Waiting ',' Sis', 'Constraints',' Credit ',' Digcut ',' Experienced ',' Number ',' Total ',' Rp ',' Mimin ',' check ',' number ',' brother ',' date ',' clock ',' cutting ',' pulse ',' nominal ',' Rp ',' date ',' clock ',' cutting '"&amp;",' pulses' , 'nominal', 'IDR', 'exposed', 'truncated', 'rates',' access', 'internet', 'gprs',' normal ',' checked ',' number ',' brother ',' Have ',' quota ',' internet ',' Sis', 'information', 'quota', 'internet', 'indika']")</f>
        <v>['Thanks',' already ',' Waiting ',' Sis', 'Constraints',' Credit ',' Digcut ',' Experienced ',' Number ',' Total ',' Rp ',' Mimin ',' check ',' number ',' brother ',' date ',' clock ',' cutting ',' pulse ',' nominal ',' Rp ',' date ',' clock ',' cutting ',' pulses' , 'nominal', 'IDR', 'exposed', 'truncated', 'rates',' access', 'internet', 'gprs',' normal ',' checked ',' number ',' brother ',' Have ',' quota ',' internet ',' Sis', 'information', 'quota', 'internet', 'indika']</v>
      </c>
      <c r="D10649" s="3">
        <v>1.0</v>
      </c>
    </row>
    <row r="10650" ht="15.75" customHeight="1">
      <c r="A10650" s="1">
        <v>11473.0</v>
      </c>
      <c r="B10650" s="3" t="s">
        <v>10155</v>
      </c>
      <c r="C10650" s="3" t="str">
        <f>IFERROR(__xludf.DUMMYFUNCTION("GOOGLETRANSLATE(B10650,""id"",""en"")"),"['Good', 'really', 'love', 'promo', 'Telkomsel']")</f>
        <v>['Good', 'really', 'love', 'promo', 'Telkomsel']</v>
      </c>
      <c r="D10650" s="3">
        <v>5.0</v>
      </c>
    </row>
    <row r="10651" ht="15.75" customHeight="1">
      <c r="A10651" s="1">
        <v>11474.0</v>
      </c>
      <c r="B10651" s="3" t="s">
        <v>10156</v>
      </c>
      <c r="C10651" s="3" t="str">
        <f>IFERROR(__xludf.DUMMYFUNCTION("GOOGLETRANSLATE(B10651,""id"",""en"")"),"['', 'min', 'blom', 'promo', 'card']")</f>
        <v>['', 'min', 'blom', 'promo', 'card']</v>
      </c>
      <c r="D10651" s="3">
        <v>4.0</v>
      </c>
    </row>
    <row r="10652" ht="15.75" customHeight="1">
      <c r="A10652" s="1">
        <v>11475.0</v>
      </c>
      <c r="B10652" s="3" t="s">
        <v>10157</v>
      </c>
      <c r="C10652" s="3" t="str">
        <f>IFERROR(__xludf.DUMMYFUNCTION("GOOGLETRANSLATE(B10652,""id"",""en"")"),"['AGK', 'slow', 'Daan', 'exciting', 'MHN', 'Fix', 'brother']")</f>
        <v>['AGK', 'slow', 'Daan', 'exciting', 'MHN', 'Fix', 'brother']</v>
      </c>
      <c r="D10652" s="3">
        <v>2.0</v>
      </c>
    </row>
    <row r="10653" ht="15.75" customHeight="1">
      <c r="A10653" s="1">
        <v>11476.0</v>
      </c>
      <c r="B10653" s="3" t="s">
        <v>10158</v>
      </c>
      <c r="C10653" s="3" t="str">
        <f>IFERROR(__xludf.DUMMYFUNCTION("GOOGLETRANSLATE(B10653,""id"",""en"")"),"['Package', 'Combo', 'Unlimited', 'Lost', 'Issue', 'Credit', ""]")</f>
        <v>['Package', 'Combo', 'Unlimited', 'Lost', 'Issue', 'Credit', "]</v>
      </c>
      <c r="D10653" s="3">
        <v>1.0</v>
      </c>
    </row>
    <row r="10654" ht="15.75" customHeight="1">
      <c r="A10654" s="1">
        <v>11477.0</v>
      </c>
      <c r="B10654" s="3" t="s">
        <v>10159</v>
      </c>
      <c r="C10654" s="3" t="str">
        <f>IFERROR(__xludf.DUMMYFUNCTION("GOOGLETRANSLATE(B10654,""id"",""en"")"),"['ready', 'josss', 'stankee']")</f>
        <v>['ready', 'josss', 'stankee']</v>
      </c>
      <c r="D10654" s="3">
        <v>5.0</v>
      </c>
    </row>
    <row r="10655" ht="15.75" customHeight="1">
      <c r="A10655" s="1">
        <v>11478.0</v>
      </c>
      <c r="B10655" s="3" t="s">
        <v>10160</v>
      </c>
      <c r="C10655" s="3" t="str">
        <f>IFERROR(__xludf.DUMMYFUNCTION("GOOGLETRANSLATE(B10655,""id"",""en"")"),"['Sometimes', 'confused', 'signal', 'missing']")</f>
        <v>['Sometimes', 'confused', 'signal', 'missing']</v>
      </c>
      <c r="D10655" s="3">
        <v>3.0</v>
      </c>
    </row>
    <row r="10656" ht="15.75" customHeight="1">
      <c r="A10656" s="1">
        <v>11479.0</v>
      </c>
      <c r="B10656" s="3" t="s">
        <v>10161</v>
      </c>
      <c r="C10656" s="3" t="str">
        <f>IFERROR(__xludf.DUMMYFUNCTION("GOOGLETRANSLATE(B10656,""id"",""en"")"),"['Application', 'MyTelkomsel', 'Best']")</f>
        <v>['Application', 'MyTelkomsel', 'Best']</v>
      </c>
      <c r="D10656" s="3">
        <v>5.0</v>
      </c>
    </row>
    <row r="10657" ht="15.75" customHeight="1">
      <c r="A10657" s="1">
        <v>11480.0</v>
      </c>
      <c r="B10657" s="3" t="s">
        <v>10162</v>
      </c>
      <c r="C10657" s="3" t="str">
        <f>IFERROR(__xludf.DUMMYFUNCTION("GOOGLETRANSLATE(B10657,""id"",""en"")"),"['service', 'package', 'satisfying', 'just', 'signal', 'sometimes']")</f>
        <v>['service', 'package', 'satisfying', 'just', 'signal', 'sometimes']</v>
      </c>
      <c r="D10657" s="3">
        <v>5.0</v>
      </c>
    </row>
    <row r="10658" ht="15.75" customHeight="1">
      <c r="A10658" s="1">
        <v>11481.0</v>
      </c>
      <c r="B10658" s="3" t="s">
        <v>6307</v>
      </c>
      <c r="C10658" s="3" t="str">
        <f>IFERROR(__xludf.DUMMYFUNCTION("GOOGLETRANSLATE(B10658,""id"",""en"")"),"['slow', '']")</f>
        <v>['slow', '']</v>
      </c>
      <c r="D10658" s="3">
        <v>3.0</v>
      </c>
    </row>
    <row r="10659" ht="15.75" customHeight="1">
      <c r="A10659" s="1">
        <v>11482.0</v>
      </c>
      <c r="B10659" s="3" t="s">
        <v>10163</v>
      </c>
      <c r="C10659" s="3" t="str">
        <f>IFERROR(__xludf.DUMMYFUNCTION("GOOGLETRANSLATE(B10659,""id"",""en"")"),"['right', 'enter', 'apk', 'telkomsel', 'kluar', 'white', 'trs',' kluar ',' gtu ',' doang ',' pdhl ',' bli ',' package ',' data ',' udh ',' bln ',' fix ',' pkt ',' right ',' bka ',' signal ',' okay ',' tpi ',' ska ',' ilng ' , 'test']")</f>
        <v>['right', 'enter', 'apk', 'telkomsel', 'kluar', 'white', 'trs',' kluar ',' gtu ',' doang ',' pdhl ',' bli ',' package ',' data ',' udh ',' bln ',' fix ',' pkt ',' right ',' bka ',' signal ',' okay ',' tpi ',' ska ',' ilng ' , 'test']</v>
      </c>
      <c r="D10659" s="3">
        <v>1.0</v>
      </c>
    </row>
    <row r="10660" ht="15.75" customHeight="1">
      <c r="A10660" s="1">
        <v>11483.0</v>
      </c>
      <c r="B10660" s="3" t="s">
        <v>10164</v>
      </c>
      <c r="C10660" s="3" t="str">
        <f>IFERROR(__xludf.DUMMYFUNCTION("GOOGLETRANSLATE(B10660,""id"",""en"")"),"['Update', 'Network', 'Kek', 'Taik', 'Telkomsel', 'AnjiiiiiiiiiiiiInngg', 'users',' loyal ',' Telkomsel ',' Disappointed ',' Mari ',' Change ',' cards', 'laiiinnnn', 'ngeeennnnntoooott', 'pig', 'telkomsel', 'setaaaaannnnnn', 'repay', 'signal', 'kek', 'pig"&amp;"']")</f>
        <v>['Update', 'Network', 'Kek', 'Taik', 'Telkomsel', 'AnjiiiiiiiiiiiiInngg', 'users',' loyal ',' Telkomsel ',' Disappointed ',' Mari ',' Change ',' cards', 'laiiinnnn', 'ngeeennnnntoooott', 'pig', 'telkomsel', 'setaaaaannnnnn', 'repay', 'signal', 'kek', 'pig']</v>
      </c>
      <c r="D10660" s="3">
        <v>1.0</v>
      </c>
    </row>
    <row r="10661" ht="15.75" customHeight="1">
      <c r="A10661" s="1">
        <v>11484.0</v>
      </c>
      <c r="B10661" s="3" t="s">
        <v>10165</v>
      </c>
      <c r="C10661" s="3" t="str">
        <f>IFERROR(__xludf.DUMMYFUNCTION("GOOGLETRANSLATE(B10661,""id"",""en"")"),"['Gini', 'OTP', 'Maen', 'SMS', 'OTP', 'Opened', 'Page', 'Transaction', 'Direct', 'Lost', 'then', 'OTP', ' Enter ',' that's', 'then', 'purpose', 'number', 'OTP', 'placed', 'line', 'SMS', 'PDHL', 'digit', 'OTP', 'line' , 'Read', 'notification', 'enter', 'op"&amp;"en', 'sms', 'result in', 'loss', 'page', 'transaction', ""]")</f>
        <v>['Gini', 'OTP', 'Maen', 'SMS', 'OTP', 'Opened', 'Page', 'Transaction', 'Direct', 'Lost', 'then', 'OTP', ' Enter ',' that's', 'then', 'purpose', 'number', 'OTP', 'placed', 'line', 'SMS', 'PDHL', 'digit', 'OTP', 'line' , 'Read', 'notification', 'enter', 'open', 'sms', 'result in', 'loss', 'page', 'transaction', "]</v>
      </c>
      <c r="D10661" s="3">
        <v>1.0</v>
      </c>
    </row>
    <row r="10662" ht="15.75" customHeight="1">
      <c r="A10662" s="1">
        <v>11488.0</v>
      </c>
      <c r="B10662" s="3" t="s">
        <v>10166</v>
      </c>
      <c r="C10662" s="3" t="str">
        <f>IFERROR(__xludf.DUMMYFUNCTION("GOOGLETRANSLATE(B10662,""id"",""en"")"),"['Disappointed', 'pulse', 'thousand', 'Shame', 'Hadeh']")</f>
        <v>['Disappointed', 'pulse', 'thousand', 'Shame', 'Hadeh']</v>
      </c>
      <c r="D10662" s="3">
        <v>3.0</v>
      </c>
    </row>
    <row r="10663" ht="15.75" customHeight="1">
      <c r="A10663" s="1">
        <v>11489.0</v>
      </c>
      <c r="B10663" s="3" t="s">
        <v>10167</v>
      </c>
      <c r="C10663" s="3" t="str">
        <f>IFERROR(__xludf.DUMMYFUNCTION("GOOGLETRANSLATE(B10663,""id"",""en"")"),"['signal', 'good', 'bapuk', '']")</f>
        <v>['signal', 'good', 'bapuk', '']</v>
      </c>
      <c r="D10663" s="3">
        <v>3.0</v>
      </c>
    </row>
    <row r="10664" ht="15.75" customHeight="1">
      <c r="A10664" s="1">
        <v>11490.0</v>
      </c>
      <c r="B10664" s="3" t="s">
        <v>10168</v>
      </c>
      <c r="C10664" s="3" t="str">
        <f>IFERROR(__xludf.DUMMYFUNCTION("GOOGLETRANSLATE(B10664,""id"",""en"")"),"['signal', 'connection', 'internet', 'joke', '']")</f>
        <v>['signal', 'connection', 'internet', 'joke', '']</v>
      </c>
      <c r="D10664" s="3">
        <v>2.0</v>
      </c>
    </row>
    <row r="10665" ht="15.75" customHeight="1">
      <c r="A10665" s="1">
        <v>11491.0</v>
      </c>
      <c r="B10665" s="3" t="s">
        <v>10169</v>
      </c>
      <c r="C10665" s="3" t="str">
        <f>IFERROR(__xludf.DUMMYFUNCTION("GOOGLETRANSLATE(B10665,""id"",""en"")"),"['UnlimitedMax', 'Stay', 'name', 'unlimited', 'access',' anything ',' after ',' quota ',' main ',' run out ',' kayak ',' msh ',' Access', 'APK', 'trtntu', 'run out']")</f>
        <v>['UnlimitedMax', 'Stay', 'name', 'unlimited', 'access',' anything ',' after ',' quota ',' main ',' run out ',' kayak ',' msh ',' Access', 'APK', 'trtntu', 'run out']</v>
      </c>
      <c r="D10665" s="3">
        <v>1.0</v>
      </c>
    </row>
    <row r="10666" ht="15.75" customHeight="1">
      <c r="A10666" s="1">
        <v>11492.0</v>
      </c>
      <c r="B10666" s="3" t="s">
        <v>7145</v>
      </c>
      <c r="C10666" s="3" t="str">
        <f>IFERROR(__xludf.DUMMYFUNCTION("GOOGLETRANSLATE(B10666,""id"",""en"")"),"['Good', 'cheap']")</f>
        <v>['Good', 'cheap']</v>
      </c>
      <c r="D10666" s="3">
        <v>5.0</v>
      </c>
    </row>
    <row r="10667" ht="15.75" customHeight="1">
      <c r="A10667" s="1">
        <v>11493.0</v>
      </c>
      <c r="B10667" s="3" t="s">
        <v>10170</v>
      </c>
      <c r="C10667" s="3" t="str">
        <f>IFERROR(__xludf.DUMMYFUNCTION("GOOGLETRANSLATE(B10667,""id"",""en"")"),"['exchanges', 'Points']")</f>
        <v>['exchanges', 'Points']</v>
      </c>
      <c r="D10667" s="3">
        <v>1.0</v>
      </c>
    </row>
    <row r="10668" ht="15.75" customHeight="1">
      <c r="A10668" s="1">
        <v>11494.0</v>
      </c>
      <c r="B10668" s="3" t="s">
        <v>10171</v>
      </c>
      <c r="C10668" s="3" t="str">
        <f>IFERROR(__xludf.DUMMYFUNCTION("GOOGLETRANSLATE(B10668,""id"",""en"")"),"['Quality', 'Network', 'Telkomsel', 'Bad', 'ping', 'ms']")</f>
        <v>['Quality', 'Network', 'Telkomsel', 'Bad', 'ping', 'ms']</v>
      </c>
      <c r="D10668" s="3">
        <v>1.0</v>
      </c>
    </row>
    <row r="10669" ht="15.75" customHeight="1">
      <c r="A10669" s="1">
        <v>11495.0</v>
      </c>
      <c r="B10669" s="3" t="s">
        <v>10172</v>
      </c>
      <c r="C10669" s="3" t="str">
        <f>IFERROR(__xludf.DUMMYFUNCTION("GOOGLETRANSLATE(B10669,""id"",""en"")"),"['thank you', 'service', 'suggestion', 'operator', 'Telkomsel', 'upgrade', 'mathemat', 'kalimantan', 'play', 'games',' online ',' pub ',' Mobile ',' Legend ',' Lemot ',' Thank you ', ""]")</f>
        <v>['thank you', 'service', 'suggestion', 'operator', 'Telkomsel', 'upgrade', 'mathemat', 'kalimantan', 'play', 'games',' online ',' pub ',' Mobile ',' Legend ',' Lemot ',' Thank you ', "]</v>
      </c>
      <c r="D10669" s="3">
        <v>5.0</v>
      </c>
    </row>
    <row r="10670" ht="15.75" customHeight="1">
      <c r="A10670" s="1">
        <v>11497.0</v>
      </c>
      <c r="B10670" s="3" t="s">
        <v>10173</v>
      </c>
      <c r="C10670" s="3" t="str">
        <f>IFERROR(__xludf.DUMMYFUNCTION("GOOGLETRANSLATE(B10670,""id"",""en"")"),"['Good', 'Application', 'Please', 'Include', 'Payment', 'Bank', 'Transfer']")</f>
        <v>['Good', 'Application', 'Please', 'Include', 'Payment', 'Bank', 'Transfer']</v>
      </c>
      <c r="D10670" s="3">
        <v>5.0</v>
      </c>
    </row>
    <row r="10671" ht="15.75" customHeight="1">
      <c r="A10671" s="1">
        <v>11498.0</v>
      </c>
      <c r="B10671" s="3" t="s">
        <v>10174</v>
      </c>
      <c r="C10671" s="3" t="str">
        <f>IFERROR(__xludf.DUMMYFUNCTION("GOOGLETRANSLATE(B10671,""id"",""en"")"),"['Veronika', 'Response', 'Customer']")</f>
        <v>['Veronika', 'Response', 'Customer']</v>
      </c>
      <c r="D10671" s="3">
        <v>1.0</v>
      </c>
    </row>
    <row r="10672" ht="15.75" customHeight="1">
      <c r="A10672" s="1">
        <v>11499.0</v>
      </c>
      <c r="B10672" s="3" t="s">
        <v>10175</v>
      </c>
      <c r="C10672" s="3" t="str">
        <f>IFERROR(__xludf.DUMMYFUNCTION("GOOGLETRANSLATE(B10672,""id"",""en"")"),"['likes',' Telkomsel ',' package ',' internet ',' lure ',' kouta ',' multimedia ',' phone ',' but ',' personal ',' like ',' freedom ',' Choose ',' watch ',' App ',' anything ', ""]")</f>
        <v>['likes',' Telkomsel ',' package ',' internet ',' lure ',' kouta ',' multimedia ',' phone ',' but ',' personal ',' like ',' freedom ',' Choose ',' watch ',' App ',' anything ', "]</v>
      </c>
      <c r="D10672" s="3">
        <v>2.0</v>
      </c>
    </row>
    <row r="10673" ht="15.75" customHeight="1">
      <c r="A10673" s="1">
        <v>11500.0</v>
      </c>
      <c r="B10673" s="3" t="s">
        <v>10176</v>
      </c>
      <c r="C10673" s="3" t="str">
        <f>IFERROR(__xludf.DUMMYFUNCTION("GOOGLETRANSLATE(B10673,""id"",""en"")"),"['Telkomsel', 'go bankrupt', 'poor', 'network', 'repair', 'go bankrupt', 'quality', 'lose', 'provider', 'cheap', 'as',' plummy ',' Disappointed ',' quality ',' like ', ""]")</f>
        <v>['Telkomsel', 'go bankrupt', 'poor', 'network', 'repair', 'go bankrupt', 'quality', 'lose', 'provider', 'cheap', 'as',' plummy ',' Disappointed ',' quality ',' like ', "]</v>
      </c>
      <c r="D10673" s="3">
        <v>1.0</v>
      </c>
    </row>
    <row r="10674" ht="15.75" customHeight="1">
      <c r="A10674" s="1">
        <v>11501.0</v>
      </c>
      <c r="B10674" s="3" t="s">
        <v>10177</v>
      </c>
      <c r="C10674" s="3" t="str">
        <f>IFERROR(__xludf.DUMMYFUNCTION("GOOGLETRANSLATE(B10674,""id"",""en"")"),"['card', 'garbage', 'card', 'used', 'person', 'sell']")</f>
        <v>['card', 'garbage', 'card', 'used', 'person', 'sell']</v>
      </c>
      <c r="D10674" s="3">
        <v>1.0</v>
      </c>
    </row>
    <row r="10675" ht="15.75" customHeight="1">
      <c r="A10675" s="1">
        <v>11502.0</v>
      </c>
      <c r="B10675" s="3" t="s">
        <v>10178</v>
      </c>
      <c r="C10675" s="3" t="str">
        <f>IFERROR(__xludf.DUMMYFUNCTION("GOOGLETRANSLATE(B10675,""id"",""en"")"),"['Use', 'Easy']")</f>
        <v>['Use', 'Easy']</v>
      </c>
      <c r="D10675" s="3">
        <v>5.0</v>
      </c>
    </row>
    <row r="10676" ht="15.75" customHeight="1">
      <c r="A10676" s="1">
        <v>11503.0</v>
      </c>
      <c r="B10676" s="3" t="s">
        <v>10179</v>
      </c>
      <c r="C10676" s="3" t="str">
        <f>IFERROR(__xludf.DUMMYFUNCTION("GOOGLETRANSLATE(B10676,""id"",""en"")"),"['Price', 'Pakenya', 'Changed', 'Change', 'trs']")</f>
        <v>['Price', 'Pakenya', 'Changed', 'Change', 'trs']</v>
      </c>
      <c r="D10676" s="3">
        <v>3.0</v>
      </c>
    </row>
    <row r="10677" ht="15.75" customHeight="1">
      <c r="A10677" s="1">
        <v>11505.0</v>
      </c>
      <c r="B10677" s="3" t="s">
        <v>10180</v>
      </c>
      <c r="C10677" s="3" t="str">
        <f>IFERROR(__xludf.DUMMYFUNCTION("GOOGLETRANSLATE(B10677,""id"",""en"")"),"['signal', 'weak', 'play', 'game', 'mobile', 'legends', 'most', 'lag', 'blum', 'change']")</f>
        <v>['signal', 'weak', 'play', 'game', 'mobile', 'legends', 'most', 'lag', 'blum', 'change']</v>
      </c>
      <c r="D10677" s="3">
        <v>1.0</v>
      </c>
    </row>
    <row r="10678" ht="15.75" customHeight="1">
      <c r="A10678" s="1">
        <v>11506.0</v>
      </c>
      <c r="B10678" s="3" t="s">
        <v>10181</v>
      </c>
      <c r="C10678" s="3" t="str">
        <f>IFERROR(__xludf.DUMMYFUNCTION("GOOGLETRANSLATE(B10678,""id"",""en"")"),"['Use', 'Simple']")</f>
        <v>['Use', 'Simple']</v>
      </c>
      <c r="D10678" s="3">
        <v>5.0</v>
      </c>
    </row>
    <row r="10679" ht="15.75" customHeight="1">
      <c r="A10679" s="1">
        <v>11507.0</v>
      </c>
      <c r="B10679" s="3" t="s">
        <v>10182</v>
      </c>
      <c r="C10679" s="3" t="str">
        <f>IFERROR(__xludf.DUMMYFUNCTION("GOOGLETRANSLATE(B10679,""id"",""en"")"),"['Since', 'Event', 'damaged', 'cable', 'Viber', 'planted', 'bottom', 'sea', 'bad', 'connection', 'buy', 'quota', ' expensive ',' expensive ',' speed ',' internet ',' strange ',' ahead ',' night ',' smooth ',' forgiveness', 'staying up', 'night', ""]")</f>
        <v>['Since', 'Event', 'damaged', 'cable', 'Viber', 'planted', 'bottom', 'sea', 'bad', 'connection', 'buy', 'quota', ' expensive ',' expensive ',' speed ',' internet ',' strange ',' ahead ',' night ',' smooth ',' forgiveness', 'staying up', 'night', "]</v>
      </c>
      <c r="D10679" s="3">
        <v>1.0</v>
      </c>
    </row>
    <row r="10680" ht="15.75" customHeight="1">
      <c r="A10680" s="1">
        <v>11508.0</v>
      </c>
      <c r="B10680" s="3" t="s">
        <v>10183</v>
      </c>
      <c r="C10680" s="3" t="str">
        <f>IFERROR(__xludf.DUMMYFUNCTION("GOOGLETRANSLATE(B10680,""id"",""en"")"),"['Lottery', 'multiptenizes', '']")</f>
        <v>['Lottery', 'multiptenizes', '']</v>
      </c>
      <c r="D10680" s="3">
        <v>5.0</v>
      </c>
    </row>
    <row r="10681" ht="15.75" customHeight="1">
      <c r="A10681" s="1">
        <v>11509.0</v>
      </c>
      <c r="B10681" s="3" t="s">
        <v>10184</v>
      </c>
      <c r="C10681" s="3" t="str">
        <f>IFERROR(__xludf.DUMMYFUNCTION("GOOGLETRANSLATE(B10681,""id"",""en"")"),"['Golly', 'signal', 'Telkomsel', 'deteriorating', 'fliggeries', 'accompany', 'turn', 'signal', 'Telkomsel']")</f>
        <v>['Golly', 'signal', 'Telkomsel', 'deteriorating', 'fliggeries', 'accompany', 'turn', 'signal', 'Telkomsel']</v>
      </c>
      <c r="D10681" s="3">
        <v>1.0</v>
      </c>
    </row>
    <row r="10682" ht="15.75" customHeight="1">
      <c r="A10682" s="1">
        <v>11510.0</v>
      </c>
      <c r="B10682" s="3" t="s">
        <v>10185</v>
      </c>
      <c r="C10682" s="3" t="str">
        <f>IFERROR(__xludf.DUMMYFUNCTION("GOOGLETRANSLATE(B10682,""id"",""en"")"),"['Good', 'promo', 'interesting']")</f>
        <v>['Good', 'promo', 'interesting']</v>
      </c>
      <c r="D10682" s="3">
        <v>4.0</v>
      </c>
    </row>
    <row r="10683" ht="15.75" customHeight="1">
      <c r="A10683" s="1">
        <v>11511.0</v>
      </c>
      <c r="B10683" s="3" t="s">
        <v>8374</v>
      </c>
      <c r="C10683" s="3" t="str">
        <f>IFERROR(__xludf.DUMMYFUNCTION("GOOGLETRANSLATE(B10683,""id"",""en"")"),"['Package', 'expensive']")</f>
        <v>['Package', 'expensive']</v>
      </c>
      <c r="D10683" s="3">
        <v>5.0</v>
      </c>
    </row>
    <row r="10684" ht="15.75" customHeight="1">
      <c r="A10684" s="1">
        <v>11512.0</v>
      </c>
      <c r="B10684" s="3" t="s">
        <v>10186</v>
      </c>
      <c r="C10684" s="3" t="str">
        <f>IFERROR(__xludf.DUMMYFUNCTION("GOOGLETRANSLATE(B10684,""id"",""en"")"),"['buy', 'quota', 'diapk', 'error', 'mulu', 'signal', 'good']")</f>
        <v>['buy', 'quota', 'diapk', 'error', 'mulu', 'signal', 'good']</v>
      </c>
      <c r="D10684" s="3">
        <v>1.0</v>
      </c>
    </row>
    <row r="10685" ht="15.75" customHeight="1">
      <c r="A10685" s="1">
        <v>11513.0</v>
      </c>
      <c r="B10685" s="3" t="s">
        <v>10187</v>
      </c>
      <c r="C10685" s="3" t="str">
        <f>IFERROR(__xludf.DUMMYFUNCTION("GOOGLETRANSLATE(B10685,""id"",""en"")"),"['Please', 'Signal', 'Repaired', 'Region', 'Region', 'Urban', 'Signal', 'Lost', 'Thank', 'Love']")</f>
        <v>['Please', 'Signal', 'Repaired', 'Region', 'Region', 'Urban', 'Signal', 'Lost', 'Thank', 'Love']</v>
      </c>
      <c r="D10685" s="3">
        <v>4.0</v>
      </c>
    </row>
    <row r="10686" ht="15.75" customHeight="1">
      <c r="A10686" s="1">
        <v>11514.0</v>
      </c>
      <c r="B10686" s="3" t="s">
        <v>10188</v>
      </c>
      <c r="C10686" s="3" t="str">
        <f>IFERROR(__xludf.DUMMYFUNCTION("GOOGLETRANSLATE(B10686,""id"",""en"")"),"['Complete', 'easy', 'download', '']")</f>
        <v>['Complete', 'easy', 'download', '']</v>
      </c>
      <c r="D10686" s="3">
        <v>5.0</v>
      </c>
    </row>
    <row r="10687" ht="15.75" customHeight="1">
      <c r="A10687" s="1">
        <v>11515.0</v>
      </c>
      <c r="B10687" s="3" t="s">
        <v>10189</v>
      </c>
      <c r="C10687" s="3" t="str">
        <f>IFERROR(__xludf.DUMMYFUNCTION("GOOGLETRANSLATE(B10687,""id"",""en"")"),"['operator', 'network', 'Telkomsel', 'bad', 'suggest', 'use', 'Telkomsel', 'internet', 'game', 'online', 'AFK']")</f>
        <v>['operator', 'network', 'Telkomsel', 'bad', 'suggest', 'use', 'Telkomsel', 'internet', 'game', 'online', 'AFK']</v>
      </c>
      <c r="D10687" s="3">
        <v>1.0</v>
      </c>
    </row>
    <row r="10688" ht="15.75" customHeight="1">
      <c r="A10688" s="1">
        <v>11516.0</v>
      </c>
      <c r="B10688" s="3" t="s">
        <v>10190</v>
      </c>
      <c r="C10688" s="3" t="str">
        <f>IFERROR(__xludf.DUMMYFUNCTION("GOOGLETRANSLATE(B10688,""id"",""en"")"),"['Signal', 'Telkomsel', 'contooooool', 'slow', 'bgat', 'please', 'fix']")</f>
        <v>['Signal', 'Telkomsel', 'contooooool', 'slow', 'bgat', 'please', 'fix']</v>
      </c>
      <c r="D10688" s="3">
        <v>1.0</v>
      </c>
    </row>
    <row r="10689" ht="15.75" customHeight="1">
      <c r="A10689" s="1">
        <v>11517.0</v>
      </c>
      <c r="B10689" s="3" t="s">
        <v>4547</v>
      </c>
      <c r="C10689" s="3" t="str">
        <f>IFERROR(__xludf.DUMMYFUNCTION("GOOGLETRANSLATE(B10689,""id"",""en"")"),"['Application', 'Help']")</f>
        <v>['Application', 'Help']</v>
      </c>
      <c r="D10689" s="3">
        <v>5.0</v>
      </c>
    </row>
    <row r="10690" ht="15.75" customHeight="1">
      <c r="A10690" s="1">
        <v>11518.0</v>
      </c>
      <c r="B10690" s="3" t="s">
        <v>10191</v>
      </c>
      <c r="C10690" s="3" t="str">
        <f>IFERROR(__xludf.DUMMYFUNCTION("GOOGLETRANSLATE(B10690,""id"",""en"")"),"['pulse', 'bought', 'trpakai', 'automatically', 'run out', 'automatic', 'pdhl', 'dpke', 'sms',' ndk ',' dipake ',' data ',' cell', '']")</f>
        <v>['pulse', 'bought', 'trpakai', 'automatically', 'run out', 'automatic', 'pdhl', 'dpke', 'sms',' ndk ',' dipake ',' data ',' cell', '']</v>
      </c>
      <c r="D10690" s="3">
        <v>1.0</v>
      </c>
    </row>
    <row r="10691" ht="15.75" customHeight="1">
      <c r="A10691" s="1">
        <v>11519.0</v>
      </c>
      <c r="B10691" s="3" t="s">
        <v>10192</v>
      </c>
      <c r="C10691" s="3" t="str">
        <f>IFERROR(__xludf.DUMMYFUNCTION("GOOGLETRANSLATE(B10691,""id"",""en"")"),"['network', 'Telkomsel', 'slow', 'missing', 'city', 'support', 'network', 'slow', 'customers',' Telkomsel ',' disappointed ',' info ',' Telkomsel ',' ']")</f>
        <v>['network', 'Telkomsel', 'slow', 'missing', 'city', 'support', 'network', 'slow', 'customers',' Telkomsel ',' disappointed ',' info ',' Telkomsel ',' ']</v>
      </c>
      <c r="D10691" s="3">
        <v>1.0</v>
      </c>
    </row>
    <row r="10692" ht="15.75" customHeight="1">
      <c r="A10692" s="1">
        <v>11520.0</v>
      </c>
      <c r="B10692" s="3" t="s">
        <v>10193</v>
      </c>
      <c r="C10692" s="3" t="str">
        <f>IFERROR(__xludf.DUMMYFUNCTION("GOOGLETRANSLATE(B10692,""id"",""en"")"),"['Baaggguuuusssss', 'Bangah', 'and', 'Best', 'Telkomsel', '']")</f>
        <v>['Baaggguuuusssss', 'Bangah', 'and', 'Best', 'Telkomsel', '']</v>
      </c>
      <c r="D10692" s="3">
        <v>5.0</v>
      </c>
    </row>
    <row r="10693" ht="15.75" customHeight="1">
      <c r="A10693" s="1">
        <v>11521.0</v>
      </c>
      <c r="B10693" s="3" t="s">
        <v>10194</v>
      </c>
      <c r="C10693" s="3" t="str">
        <f>IFERROR(__xludf.DUMMYFUNCTION("GOOGLETRANSLATE(B10693,""id"",""en"")"),"['Credit', 'I', 'Abis', 'Mulu', 'Abis', 'Paan', 'Aseli', 'Severe', 'really', 'Telkomsel']")</f>
        <v>['Credit', 'I', 'Abis', 'Mulu', 'Abis', 'Paan', 'Aseli', 'Severe', 'really', 'Telkomsel']</v>
      </c>
      <c r="D10693" s="3">
        <v>1.0</v>
      </c>
    </row>
    <row r="10694" ht="15.75" customHeight="1">
      <c r="A10694" s="1">
        <v>11522.0</v>
      </c>
      <c r="B10694" s="3" t="s">
        <v>10195</v>
      </c>
      <c r="C10694" s="3" t="str">
        <f>IFERROR(__xludf.DUMMYFUNCTION("GOOGLETRANSLATE(B10694,""id"",""en"")"),"['Cheap', 'simple']")</f>
        <v>['Cheap', 'simple']</v>
      </c>
      <c r="D10694" s="3">
        <v>1.0</v>
      </c>
    </row>
    <row r="10695" ht="15.75" customHeight="1">
      <c r="A10695" s="1">
        <v>11523.0</v>
      </c>
      <c r="B10695" s="3" t="s">
        <v>10196</v>
      </c>
      <c r="C10695" s="3" t="str">
        <f>IFERROR(__xludf.DUMMYFUNCTION("GOOGLETRANSLATE(B10695,""id"",""en"")"),"['cook', 'buy', 'package', 'package', 'ngk', 'enter', 'suck', 'pulse', 'main', 'lazy', 'use', 'buy', ' package ',' thousand ',' contents', 'pulse', 'thousand', 'pulse', 'cut', 'package', 'ngk', 'entry', 'gini', 'search', 'money' , 'Nipu', 'consumers',' go"&amp;"ceng ',' brush ',' Gosh ',' lazy ',' use ',' card ',' internet ',' pulses', 'suck', 'please', ' Listen ',' complaints', 'times',' Kayak ',' Gini ',' Bad ',' Ajha ',' Jakarta ']")</f>
        <v>['cook', 'buy', 'package', 'package', 'ngk', 'enter', 'suck', 'pulse', 'main', 'lazy', 'use', 'buy', ' package ',' thousand ',' contents', 'pulse', 'thousand', 'pulse', 'cut', 'package', 'ngk', 'entry', 'gini', 'search', 'money' , 'Nipu', 'consumers',' goceng ',' brush ',' Gosh ',' lazy ',' use ',' card ',' internet ',' pulses', 'suck', 'please', ' Listen ',' complaints', 'times',' Kayak ',' Gini ',' Bad ',' Ajha ',' Jakarta ']</v>
      </c>
      <c r="D10695" s="3">
        <v>1.0</v>
      </c>
    </row>
    <row r="10696" ht="15.75" customHeight="1">
      <c r="A10696" s="1">
        <v>11524.0</v>
      </c>
      <c r="B10696" s="3" t="s">
        <v>10197</v>
      </c>
      <c r="C10696" s="3" t="str">
        <f>IFERROR(__xludf.DUMMYFUNCTION("GOOGLETRANSLATE(B10696,""id"",""en"")"),"['Telkomsel', 'signal', 'slow', 'please', 'fix']")</f>
        <v>['Telkomsel', 'signal', 'slow', 'please', 'fix']</v>
      </c>
      <c r="D10696" s="3">
        <v>2.0</v>
      </c>
    </row>
    <row r="10697" ht="15.75" customHeight="1">
      <c r="A10697" s="1">
        <v>11525.0</v>
      </c>
      <c r="B10697" s="3" t="s">
        <v>10198</v>
      </c>
      <c r="C10697" s="3" t="str">
        <f>IFERROR(__xludf.DUMMYFUNCTION("GOOGLETRANSLATE(B10697,""id"",""en"")"),"['proud', 'Telkomsel', 'Apalgi', 'Since', 'App', 'Disappointed', 'Safety', 'Credit', 'Regular', 'Pas',' Open ',' Application ',' Activine ',' quota ',' ']")</f>
        <v>['proud', 'Telkomsel', 'Apalgi', 'Since', 'App', 'Disappointed', 'Safety', 'Credit', 'Regular', 'Pas',' Open ',' Application ',' Activine ',' quota ',' ']</v>
      </c>
      <c r="D10697" s="3">
        <v>1.0</v>
      </c>
    </row>
    <row r="10698" ht="15.75" customHeight="1">
      <c r="A10698" s="1">
        <v>11526.0</v>
      </c>
      <c r="B10698" s="3" t="s">
        <v>10199</v>
      </c>
      <c r="C10698" s="3" t="str">
        <f>IFERROR(__xludf.DUMMYFUNCTION("GOOGLETRANSLATE(B10698,""id"",""en"")"),"['Lights', 'go out', 'signal', 'missing', '']")</f>
        <v>['Lights', 'go out', 'signal', 'missing', '']</v>
      </c>
      <c r="D10698" s="3">
        <v>5.0</v>
      </c>
    </row>
    <row r="10699" ht="15.75" customHeight="1">
      <c r="A10699" s="1">
        <v>11527.0</v>
      </c>
      <c r="B10699" s="3" t="s">
        <v>10200</v>
      </c>
      <c r="C10699" s="3" t="str">
        <f>IFERROR(__xludf.DUMMYFUNCTION("GOOGLETRANSLATE(B10699,""id"",""en"")"),"['Help', 'beginner']")</f>
        <v>['Help', 'beginner']</v>
      </c>
      <c r="D10699" s="3">
        <v>5.0</v>
      </c>
    </row>
    <row r="10700" ht="15.75" customHeight="1">
      <c r="A10700" s="1">
        <v>11528.0</v>
      </c>
      <c r="B10700" s="3" t="s">
        <v>10201</v>
      </c>
      <c r="C10700" s="3" t="str">
        <f>IFERROR(__xludf.DUMMYFUNCTION("GOOGLETRANSLATE(B10700,""id"",""en"")"),"['Useful', 'really', '']")</f>
        <v>['Useful', 'really', '']</v>
      </c>
      <c r="D10700" s="3">
        <v>5.0</v>
      </c>
    </row>
    <row r="10701" ht="15.75" customHeight="1">
      <c r="A10701" s="1">
        <v>11529.0</v>
      </c>
      <c r="B10701" s="3" t="s">
        <v>10202</v>
      </c>
      <c r="C10701" s="3" t="str">
        <f>IFERROR(__xludf.DUMMYFUNCTION("GOOGLETRANSLATE(B10701,""id"",""en"")"),"['Application', 'good', 'really', '']")</f>
        <v>['Application', 'good', 'really', '']</v>
      </c>
      <c r="D10701" s="3">
        <v>5.0</v>
      </c>
    </row>
    <row r="10702" ht="15.75" customHeight="1">
      <c r="A10702" s="1">
        <v>11530.0</v>
      </c>
      <c r="B10702" s="3" t="s">
        <v>10203</v>
      </c>
      <c r="C10702" s="3" t="str">
        <f>IFERROR(__xludf.DUMMYFUNCTION("GOOGLETRANSLATE(B10702,""id"",""en"")"),"['expensive', 'expensive', 'different', 'oprator', 'next door']")</f>
        <v>['expensive', 'expensive', 'different', 'oprator', 'next door']</v>
      </c>
      <c r="D10702" s="3">
        <v>3.0</v>
      </c>
    </row>
    <row r="10703" ht="15.75" customHeight="1">
      <c r="A10703" s="1">
        <v>11531.0</v>
      </c>
      <c r="B10703" s="3" t="s">
        <v>10204</v>
      </c>
      <c r="C10703" s="3" t="str">
        <f>IFERROR(__xludf.DUMMYFUNCTION("GOOGLETRANSLATE(B10703,""id"",""en"")"),"['Quality', 'Network', 'in the area', 'ane', 'min', '']")</f>
        <v>['Quality', 'Network', 'in the area', 'ane', 'min', '']</v>
      </c>
      <c r="D10703" s="3">
        <v>5.0</v>
      </c>
    </row>
    <row r="10704" ht="15.75" customHeight="1">
      <c r="A10704" s="1">
        <v>11532.0</v>
      </c>
      <c r="B10704" s="3" t="s">
        <v>10205</v>
      </c>
      <c r="C10704" s="3" t="str">
        <f>IFERROR(__xludf.DUMMYFUNCTION("GOOGLETRANSLATE(B10704,""id"",""en"")"),"['Good', 'really', 'Only']")</f>
        <v>['Good', 'really', 'Only']</v>
      </c>
      <c r="D10704" s="3">
        <v>5.0</v>
      </c>
    </row>
    <row r="10705" ht="15.75" customHeight="1">
      <c r="A10705" s="1">
        <v>11533.0</v>
      </c>
      <c r="B10705" s="3" t="s">
        <v>10206</v>
      </c>
      <c r="C10705" s="3" t="str">
        <f>IFERROR(__xludf.DUMMYFUNCTION("GOOGLETRANSLATE(B10705,""id"",""en"")"),"['apk', 'Telkomsel', 'good']")</f>
        <v>['apk', 'Telkomsel', 'good']</v>
      </c>
      <c r="D10705" s="3">
        <v>5.0</v>
      </c>
    </row>
    <row r="10706" ht="15.75" customHeight="1">
      <c r="A10706" s="1">
        <v>11534.0</v>
      </c>
      <c r="B10706" s="3" t="s">
        <v>10207</v>
      </c>
      <c r="C10706" s="3" t="str">
        <f>IFERROR(__xludf.DUMMYFUNCTION("GOOGLETRANSLATE(B10706,""id"",""en"")"),"['Hopefully', 'Success', 'Customer', 'Forgot', 'Price', 'Package', 'Cheap', 'Thank', 'Love', ""]")</f>
        <v>['Hopefully', 'Success', 'Customer', 'Forgot', 'Price', 'Package', 'Cheap', 'Thank', 'Love', "]</v>
      </c>
      <c r="D10706" s="3">
        <v>5.0</v>
      </c>
    </row>
    <row r="10707" ht="15.75" customHeight="1">
      <c r="A10707" s="1">
        <v>11535.0</v>
      </c>
      <c r="B10707" s="3" t="s">
        <v>10208</v>
      </c>
      <c r="C10707" s="3" t="str">
        <f>IFERROR(__xludf.DUMMYFUNCTION("GOOGLETRANSLATE(B10707,""id"",""en"")"),"['Telkomsel', 'cheating', 'Pay', 'Success', 'Use', 'Shopeepay', 'Kuata', 'Enter', 'His name', 'theft']")</f>
        <v>['Telkomsel', 'cheating', 'Pay', 'Success', 'Use', 'Shopeepay', 'Kuata', 'Enter', 'His name', 'theft']</v>
      </c>
      <c r="D10707" s="3">
        <v>1.0</v>
      </c>
    </row>
    <row r="10708" ht="15.75" customHeight="1">
      <c r="A10708" s="1">
        <v>11536.0</v>
      </c>
      <c r="B10708" s="3" t="s">
        <v>10209</v>
      </c>
      <c r="C10708" s="3" t="str">
        <f>IFERROR(__xludf.DUMMYFUNCTION("GOOGLETRANSLATE(B10708,""id"",""en"")"),"['Signal', 'Telkomsel', 'Good', 'Menu', 'Telkomsel', 'Different', 'Categorized', 'Expensive', 'Please', 'Help']")</f>
        <v>['Signal', 'Telkomsel', 'Good', 'Menu', 'Telkomsel', 'Different', 'Categorized', 'Expensive', 'Please', 'Help']</v>
      </c>
      <c r="D10708" s="3">
        <v>1.0</v>
      </c>
    </row>
    <row r="10709" ht="15.75" customHeight="1">
      <c r="A10709" s="1">
        <v>11538.0</v>
      </c>
      <c r="B10709" s="3" t="s">
        <v>10210</v>
      </c>
      <c r="C10709" s="3" t="str">
        <f>IFERROR(__xludf.DUMMYFUNCTION("GOOGLETRANSLATE(B10709,""id"",""en"")"),"['Okkkkk', 'Baguss', 'really']")</f>
        <v>['Okkkkk', 'Baguss', 'really']</v>
      </c>
      <c r="D10709" s="3">
        <v>5.0</v>
      </c>
    </row>
    <row r="10710" ht="15.75" customHeight="1">
      <c r="A10710" s="1">
        <v>11542.0</v>
      </c>
      <c r="B10710" s="3" t="s">
        <v>10211</v>
      </c>
      <c r="C10710" s="3" t="str">
        <f>IFERROR(__xludf.DUMMYFUNCTION("GOOGLETRANSLATE(B10710,""id"",""en"")"),"['Application', 'Amanah']")</f>
        <v>['Application', 'Amanah']</v>
      </c>
      <c r="D10710" s="3">
        <v>5.0</v>
      </c>
    </row>
    <row r="10711" ht="15.75" customHeight="1">
      <c r="A10711" s="1">
        <v>11544.0</v>
      </c>
      <c r="B10711" s="3" t="s">
        <v>10212</v>
      </c>
      <c r="C10711" s="3" t="str">
        <f>IFERROR(__xludf.DUMMYFUNCTION("GOOGLETRANSLATE(B10711,""id"",""en"")"),"['Satisfied', 'Applikais']")</f>
        <v>['Satisfied', 'Applikais']</v>
      </c>
      <c r="D10711" s="3">
        <v>5.0</v>
      </c>
    </row>
    <row r="10712" ht="15.75" customHeight="1">
      <c r="A10712" s="1">
        <v>11545.0</v>
      </c>
      <c r="B10712" s="3" t="s">
        <v>10213</v>
      </c>
      <c r="C10712" s="3" t="str">
        <f>IFERROR(__xludf.DUMMYFUNCTION("GOOGLETRANSLATE(B10712,""id"",""en"")"),"['signal', 'ugly', 'pulses',' expensive ',' data ',' wasteful ',' expensive ',' BUMN ',' Service ',' ugly ',' really ',' pity ',' People ',' users', 'selection', 'employees',' requirements', 'exorbitant', 'work', 'ugly', 'proven', 'output', 'service', 'Ma"&amp;"les',' use ' , 'Telkomsel']")</f>
        <v>['signal', 'ugly', 'pulses',' expensive ',' data ',' wasteful ',' expensive ',' BUMN ',' Service ',' ugly ',' really ',' pity ',' People ',' users', 'selection', 'employees',' requirements', 'exorbitant', 'work', 'ugly', 'proven', 'output', 'service', 'Males',' use ' , 'Telkomsel']</v>
      </c>
      <c r="D10712" s="3">
        <v>1.0</v>
      </c>
    </row>
    <row r="10713" ht="15.75" customHeight="1">
      <c r="A10713" s="1">
        <v>11546.0</v>
      </c>
      <c r="B10713" s="3" t="s">
        <v>10214</v>
      </c>
      <c r="C10713" s="3" t="str">
        <f>IFERROR(__xludf.DUMMYFUNCTION("GOOGLETRANSLATE(B10713,""id"",""en"")"),"['Add', 'science']")</f>
        <v>['Add', 'science']</v>
      </c>
      <c r="D10713" s="3">
        <v>5.0</v>
      </c>
    </row>
    <row r="10714" ht="15.75" customHeight="1">
      <c r="A10714" s="1">
        <v>11547.0</v>
      </c>
      <c r="B10714" s="3" t="s">
        <v>10215</v>
      </c>
      <c r="C10714" s="3" t="str">
        <f>IFERROR(__xludf.DUMMYFUNCTION("GOOGLETRANSLATE(B10714,""id"",""en"")"),"['Keep', 'Growing', 'Nation']")</f>
        <v>['Keep', 'Growing', 'Nation']</v>
      </c>
      <c r="D10714" s="3">
        <v>5.0</v>
      </c>
    </row>
    <row r="10715" ht="15.75" customHeight="1">
      <c r="A10715" s="1">
        <v>11549.0</v>
      </c>
      <c r="B10715" s="3" t="s">
        <v>10216</v>
      </c>
      <c r="C10715" s="3" t="str">
        <f>IFERROR(__xludf.DUMMYFUNCTION("GOOGLETRANSLATE(B10715,""id"",""en"")"),"['Please', 'Fix', 'Signal', 'Change', 'Putok', 'Lost', 'Im', ""]")</f>
        <v>['Please', 'Fix', 'Signal', 'Change', 'Putok', 'Lost', 'Im', "]</v>
      </c>
      <c r="D10715" s="3">
        <v>1.0</v>
      </c>
    </row>
    <row r="10716" ht="15.75" customHeight="1">
      <c r="A10716" s="1">
        <v>11550.0</v>
      </c>
      <c r="B10716" s="3" t="s">
        <v>10217</v>
      </c>
      <c r="C10716" s="3" t="str">
        <f>IFERROR(__xludf.DUMMYFUNCTION("GOOGLETRANSLATE(B10716,""id"",""en"")"),"['Telkomsel', 'abis', 'buy', 'kouta', 'signal', 'ugly', 'run out', 'kouta', 'signal', 'good']")</f>
        <v>['Telkomsel', 'abis', 'buy', 'kouta', 'signal', 'ugly', 'run out', 'kouta', 'signal', 'good']</v>
      </c>
      <c r="D10716" s="3">
        <v>1.0</v>
      </c>
    </row>
    <row r="10717" ht="15.75" customHeight="1">
      <c r="A10717" s="1">
        <v>11551.0</v>
      </c>
      <c r="B10717" s="3" t="s">
        <v>10218</v>
      </c>
      <c r="C10717" s="3" t="str">
        <f>IFERROR(__xludf.DUMMYFUNCTION("GOOGLETRANSLATE(B10717,""id"",""en"")"),"['Good', 'checked', 'quota', 'stay', 'brp', 'buy', 'apo', 'tsb', 'house', 'lazy', 'house']")</f>
        <v>['Good', 'checked', 'quota', 'stay', 'brp', 'buy', 'apo', 'tsb', 'house', 'lazy', 'house']</v>
      </c>
      <c r="D10717" s="3">
        <v>5.0</v>
      </c>
    </row>
    <row r="10718" ht="15.75" customHeight="1">
      <c r="A10718" s="1">
        <v>11552.0</v>
      </c>
      <c r="B10718" s="3" t="s">
        <v>10219</v>
      </c>
      <c r="C10718" s="3" t="str">
        <f>IFERROR(__xludf.DUMMYFUNCTION("GOOGLETRANSLATE(B10718,""id"",""en"")"),"['bgs', 'cok']")</f>
        <v>['bgs', 'cok']</v>
      </c>
      <c r="D10718" s="3">
        <v>5.0</v>
      </c>
    </row>
    <row r="10719" ht="15.75" customHeight="1">
      <c r="A10719" s="1">
        <v>11553.0</v>
      </c>
      <c r="B10719" s="3" t="s">
        <v>10220</v>
      </c>
      <c r="C10719" s="3" t="str">
        <f>IFERROR(__xludf.DUMMYFUNCTION("GOOGLETRANSLATE(B10719,""id"",""en"")"),"['Application', 'screen', 'Gelapa', 'No', 'Located', 'Wait', 'appears']")</f>
        <v>['Application', 'screen', 'Gelapa', 'No', 'Located', 'Wait', 'appears']</v>
      </c>
      <c r="D10719" s="3">
        <v>3.0</v>
      </c>
    </row>
    <row r="10720" ht="15.75" customHeight="1">
      <c r="A10720" s="1">
        <v>11554.0</v>
      </c>
      <c r="B10720" s="3" t="s">
        <v>10221</v>
      </c>
      <c r="C10720" s="3" t="str">
        <f>IFERROR(__xludf.DUMMYFUNCTION("GOOGLETRANSLATE(B10720,""id"",""en"")"),"['Try', 'follow']")</f>
        <v>['Try', 'follow']</v>
      </c>
      <c r="D10720" s="3">
        <v>1.0</v>
      </c>
    </row>
    <row r="10721" ht="15.75" customHeight="1">
      <c r="A10721" s="1">
        <v>11555.0</v>
      </c>
      <c r="B10721" s="3" t="s">
        <v>1435</v>
      </c>
      <c r="C10721" s="3" t="str">
        <f>IFERROR(__xludf.DUMMYFUNCTION("GOOGLETRANSLATE(B10721,""id"",""en"")"),"['help', '']")</f>
        <v>['help', '']</v>
      </c>
      <c r="D10721" s="3">
        <v>5.0</v>
      </c>
    </row>
    <row r="10722" ht="15.75" customHeight="1">
      <c r="A10722" s="1">
        <v>11556.0</v>
      </c>
      <c r="B10722" s="3" t="s">
        <v>10222</v>
      </c>
      <c r="C10722" s="3" t="str">
        <f>IFERROR(__xludf.DUMMYFUNCTION("GOOGLETRANSLATE(B10722,""id"",""en"")"),"['Login', 'repaired', 'disorder', 'network', 'fix', '']")</f>
        <v>['Login', 'repaired', 'disorder', 'network', 'fix', '']</v>
      </c>
      <c r="D10722" s="3">
        <v>4.0</v>
      </c>
    </row>
    <row r="10723" ht="15.75" customHeight="1">
      <c r="A10723" s="1">
        <v>11557.0</v>
      </c>
      <c r="B10723" s="3" t="s">
        <v>4552</v>
      </c>
      <c r="C10723" s="3" t="str">
        <f>IFERROR(__xludf.DUMMYFUNCTION("GOOGLETRANSLATE(B10723,""id"",""en"")"),"['pleasant']")</f>
        <v>['pleasant']</v>
      </c>
      <c r="D10723" s="3">
        <v>5.0</v>
      </c>
    </row>
    <row r="10724" ht="15.75" customHeight="1">
      <c r="A10724" s="1">
        <v>11558.0</v>
      </c>
      <c r="B10724" s="3" t="s">
        <v>10223</v>
      </c>
      <c r="C10724" s="3" t="str">
        <f>IFERROR(__xludf.DUMMYFUNCTION("GOOGLETRANSLATE(B10724,""id"",""en"")"),"['Dead', 'signal', 'Jln', 'Where']")</f>
        <v>['Dead', 'signal', 'Jln', 'Where']</v>
      </c>
      <c r="D10724" s="3">
        <v>4.0</v>
      </c>
    </row>
    <row r="10725" ht="15.75" customHeight="1">
      <c r="A10725" s="1">
        <v>11559.0</v>
      </c>
      <c r="B10725" s="3" t="s">
        <v>10224</v>
      </c>
      <c r="C10725" s="3" t="str">
        <f>IFERROR(__xludf.DUMMYFUNCTION("GOOGLETRANSLATE(B10725,""id"",""en"")"),"['easy', 'buy', 'package', 'internet']")</f>
        <v>['easy', 'buy', 'package', 'internet']</v>
      </c>
      <c r="D10725" s="3">
        <v>5.0</v>
      </c>
    </row>
    <row r="10726" ht="15.75" customHeight="1">
      <c r="A10726" s="1">
        <v>11560.0</v>
      </c>
      <c r="B10726" s="3" t="s">
        <v>10225</v>
      </c>
      <c r="C10726" s="3" t="str">
        <f>IFERROR(__xludf.DUMMYFUNCTION("GOOGLETRANSLATE(B10726,""id"",""en"")"),"['promo', 'limited', 'Please', 'plus', ""]")</f>
        <v>['promo', 'limited', 'Please', 'plus', "]</v>
      </c>
      <c r="D10726" s="3">
        <v>5.0</v>
      </c>
    </row>
    <row r="10727" ht="15.75" customHeight="1">
      <c r="A10727" s="1">
        <v>11561.0</v>
      </c>
      <c r="B10727" s="3" t="s">
        <v>10226</v>
      </c>
      <c r="C10727" s="3" t="str">
        <f>IFERROR(__xludf.DUMMYFUNCTION("GOOGLETRANSLATE(B10727,""id"",""en"")"),"['consumer', 'conceal', 'price', 'drip', 'scarred', 'quality', 'quality', 'service', 'product', 'service', 'hope', 'signal', ' weak ',' missing ',' lost ',' labile ',' swift ',' complaints', 'consumer', 'groove', 'settlement', 'proven', 'action', 'real', "&amp;"'thank you' , '']")</f>
        <v>['consumer', 'conceal', 'price', 'drip', 'scarred', 'quality', 'quality', 'service', 'product', 'service', 'hope', 'signal', ' weak ',' missing ',' lost ',' labile ',' swift ',' complaints', 'consumer', 'groove', 'settlement', 'proven', 'action', 'real', 'thank you' , '']</v>
      </c>
      <c r="D10727" s="3">
        <v>1.0</v>
      </c>
    </row>
    <row r="10728" ht="15.75" customHeight="1">
      <c r="A10728" s="1">
        <v>11562.0</v>
      </c>
      <c r="B10728" s="3" t="s">
        <v>10227</v>
      </c>
      <c r="C10728" s="3" t="str">
        <f>IFERROR(__xludf.DUMMYFUNCTION("GOOGLETRANSLATE(B10728,""id"",""en"")"),"['Disappointed', 'heavy', 'Telkomsel', 'Siyala', 'ping', 'area', 'cave', 'buy', 'Package', 'Pay', 'Lansung', 'balance', ' Application ',' Fund ',' Main ',' thinking ',' Looking ',' Untung ',' skipped ',' stomach ',' work ',' bmkg ',' Naturally ',' state '"&amp;",' advanced ' ]")</f>
        <v>['Disappointed', 'heavy', 'Telkomsel', 'Siyala', 'ping', 'area', 'cave', 'buy', 'Package', 'Pay', 'Lansung', 'balance', ' Application ',' Fund ',' Main ',' thinking ',' Looking ',' Untung ',' skipped ',' stomach ',' work ',' bmkg ',' Naturally ',' state ',' advanced ' ]</v>
      </c>
      <c r="D10728" s="3">
        <v>1.0</v>
      </c>
    </row>
    <row r="10729" ht="15.75" customHeight="1">
      <c r="A10729" s="1">
        <v>11563.0</v>
      </c>
      <c r="B10729" s="3" t="s">
        <v>10228</v>
      </c>
      <c r="C10729" s="3" t="str">
        <f>IFERROR(__xludf.DUMMYFUNCTION("GOOGLETRANSLATE(B10729,""id"",""en"")"),"['already', 'Price', 'Kuotaa', 'Nyaa', 'Network', 'Kayak']")</f>
        <v>['already', 'Price', 'Kuotaa', 'Nyaa', 'Network', 'Kayak']</v>
      </c>
      <c r="D10729" s="3">
        <v>1.0</v>
      </c>
    </row>
    <row r="10730" ht="15.75" customHeight="1">
      <c r="A10730" s="1">
        <v>11564.0</v>
      </c>
      <c r="B10730" s="3" t="s">
        <v>10229</v>
      </c>
      <c r="C10730" s="3" t="str">
        <f>IFERROR(__xludf.DUMMYFUNCTION("GOOGLETRANSLATE(B10730,""id"",""en"")"),"['buy', 'credit', 'lgsg', 'application', 'mlh', 'entry', 'pulse', 'already', 'all day', 'mending', 'buy', 'shope', ' Gercep ',' Nipu ',' Nipu ']")</f>
        <v>['buy', 'credit', 'lgsg', 'application', 'mlh', 'entry', 'pulse', 'already', 'all day', 'mending', 'buy', 'shope', ' Gercep ',' Nipu ',' Nipu ']</v>
      </c>
      <c r="D10730" s="3">
        <v>1.0</v>
      </c>
    </row>
    <row r="10731" ht="15.75" customHeight="1">
      <c r="A10731" s="1">
        <v>11565.0</v>
      </c>
      <c r="B10731" s="3" t="s">
        <v>10230</v>
      </c>
      <c r="C10731" s="3" t="str">
        <f>IFERROR(__xludf.DUMMYFUNCTION("GOOGLETRANSLATE(B10731,""id"",""en"")"),"['signal', 'Telkomsel', 'gatau', 'slow', 'kek', 'package', 'doank', 'expensive', 'signal', ""]")</f>
        <v>['signal', 'Telkomsel', 'gatau', 'slow', 'kek', 'package', 'doank', 'expensive', 'signal', "]</v>
      </c>
      <c r="D10731" s="3">
        <v>1.0</v>
      </c>
    </row>
    <row r="10732" ht="15.75" customHeight="1">
      <c r="A10732" s="1">
        <v>11566.0</v>
      </c>
      <c r="B10732" s="3" t="s">
        <v>10231</v>
      </c>
      <c r="C10732" s="3" t="str">
        <f>IFERROR(__xludf.DUMMYFUNCTION("GOOGLETRANSLATE(B10732,""id"",""en"")"),"['The application', 'good', 'tariff', 'pulse', 'provider', 'biggest', 'stupid', 'just', 'pulse', 'expensive', 'bank', 'provides',' Competing ',' Free ',' No ',' ']")</f>
        <v>['The application', 'good', 'tariff', 'pulse', 'provider', 'biggest', 'stupid', 'just', 'pulse', 'expensive', 'bank', 'provides',' Competing ',' Free ',' No ',' ']</v>
      </c>
      <c r="D10732" s="3">
        <v>1.0</v>
      </c>
    </row>
    <row r="10733" ht="15.75" customHeight="1">
      <c r="A10733" s="1">
        <v>11567.0</v>
      </c>
      <c r="B10733" s="3" t="s">
        <v>10232</v>
      </c>
      <c r="C10733" s="3" t="str">
        <f>IFERROR(__xludf.DUMMYFUNCTION("GOOGLETRANSLATE(B10733,""id"",""en"")"),"['game', 'BURIK', 'door']")</f>
        <v>['game', 'BURIK', 'door']</v>
      </c>
      <c r="D10733" s="3">
        <v>5.0</v>
      </c>
    </row>
    <row r="10734" ht="15.75" customHeight="1">
      <c r="A10734" s="1">
        <v>11568.0</v>
      </c>
      <c r="B10734" s="3" t="s">
        <v>10233</v>
      </c>
      <c r="C10734" s="3" t="str">
        <f>IFERROR(__xludf.DUMMYFUNCTION("GOOGLETRANSLATE(B10734,""id"",""en"")"),"['promo', 'cheap', 'LOTIN', 'Boke', 'confused']")</f>
        <v>['promo', 'cheap', 'LOTIN', 'Boke', 'confused']</v>
      </c>
      <c r="D10734" s="3">
        <v>3.0</v>
      </c>
    </row>
    <row r="10735" ht="15.75" customHeight="1">
      <c r="A10735" s="1">
        <v>11570.0</v>
      </c>
      <c r="B10735" s="3" t="s">
        <v>10234</v>
      </c>
      <c r="C10735" s="3" t="str">
        <f>IFERROR(__xludf.DUMMYFUNCTION("GOOGLETRANSLATE(B10735,""id"",""en"")"),"['Hopefully', 'slow']")</f>
        <v>['Hopefully', 'slow']</v>
      </c>
      <c r="D10735" s="3">
        <v>5.0</v>
      </c>
    </row>
    <row r="10736" ht="15.75" customHeight="1">
      <c r="A10736" s="1">
        <v>11571.0</v>
      </c>
      <c r="B10736" s="3" t="s">
        <v>4561</v>
      </c>
      <c r="C10736" s="3" t="str">
        <f>IFERROR(__xludf.DUMMYFUNCTION("GOOGLETRANSLATE(B10736,""id"",""en"")"),"['APK', 'Good', '']")</f>
        <v>['APK', 'Good', '']</v>
      </c>
      <c r="D10736" s="3">
        <v>5.0</v>
      </c>
    </row>
    <row r="10737" ht="15.75" customHeight="1">
      <c r="A10737" s="1">
        <v>11572.0</v>
      </c>
      <c r="B10737" s="3" t="s">
        <v>10235</v>
      </c>
      <c r="C10737" s="3" t="str">
        <f>IFERROR(__xludf.DUMMYFUNCTION("GOOGLETRANSLATE(B10737,""id"",""en"")"),"['Error', 'check', 'pulse', 'buy', 'package', 'internet']")</f>
        <v>['Error', 'check', 'pulse', 'buy', 'package', 'internet']</v>
      </c>
      <c r="D10737" s="3">
        <v>1.0</v>
      </c>
    </row>
    <row r="10738" ht="15.75" customHeight="1">
      <c r="A10738" s="1">
        <v>11573.0</v>
      </c>
      <c r="B10738" s="3" t="s">
        <v>7808</v>
      </c>
      <c r="C10738" s="3" t="str">
        <f>IFERROR(__xludf.DUMMYFUNCTION("GOOGLETRANSLATE(B10738,""id"",""en"")"),"['Network', 'Good']")</f>
        <v>['Network', 'Good']</v>
      </c>
      <c r="D10738" s="3">
        <v>2.0</v>
      </c>
    </row>
    <row r="10739" ht="15.75" customHeight="1">
      <c r="A10739" s="1">
        <v>11574.0</v>
      </c>
      <c r="B10739" s="3" t="s">
        <v>10236</v>
      </c>
      <c r="C10739" s="3" t="str">
        <f>IFERROR(__xludf.DUMMYFUNCTION("GOOGLETRANSLATE(B10739,""id"",""en"")"),"['Makasi', 'help']")</f>
        <v>['Makasi', 'help']</v>
      </c>
      <c r="D10739" s="3">
        <v>1.0</v>
      </c>
    </row>
    <row r="10740" ht="15.75" customHeight="1">
      <c r="A10740" s="1">
        <v>11575.0</v>
      </c>
      <c r="B10740" s="3" t="s">
        <v>10237</v>
      </c>
      <c r="C10740" s="3" t="str">
        <f>IFERROR(__xludf.DUMMYFUNCTION("GOOGLETRANSLATE(B10740,""id"",""en"")"),"['steady', 'pisan']")</f>
        <v>['steady', 'pisan']</v>
      </c>
      <c r="D10740" s="3">
        <v>5.0</v>
      </c>
    </row>
    <row r="10741" ht="15.75" customHeight="1">
      <c r="A10741" s="1">
        <v>11576.0</v>
      </c>
      <c r="B10741" s="3" t="s">
        <v>10238</v>
      </c>
      <c r="C10741" s="3" t="str">
        <f>IFERROR(__xludf.DUMMYFUNCTION("GOOGLETRANSLATE(B10741,""id"",""en"")"),"['steady', 'already', 'buy', 'pulse', 'ovo']")</f>
        <v>['steady', 'already', 'buy', 'pulse', 'ovo']</v>
      </c>
      <c r="D10741" s="3">
        <v>5.0</v>
      </c>
    </row>
    <row r="10742" ht="15.75" customHeight="1">
      <c r="A10742" s="1">
        <v>11577.0</v>
      </c>
      <c r="B10742" s="3" t="s">
        <v>10239</v>
      </c>
      <c r="C10742" s="3" t="str">
        <f>IFERROR(__xludf.DUMMYFUNCTION("GOOGLETRANSLATE(B10742,""id"",""en"")"),"['Sanggat', 'Help', 'Thank', 'Telkomsel', ""]")</f>
        <v>['Sanggat', 'Help', 'Thank', 'Telkomsel', "]</v>
      </c>
      <c r="D10742" s="3">
        <v>5.0</v>
      </c>
    </row>
    <row r="10743" ht="15.75" customHeight="1">
      <c r="A10743" s="1">
        <v>11578.0</v>
      </c>
      <c r="B10743" s="3" t="s">
        <v>10240</v>
      </c>
      <c r="C10743" s="3" t="str">
        <f>IFERROR(__xludf.DUMMYFUNCTION("GOOGLETRANSLATE(B10743,""id"",""en"")"),"['happy', 'price', 'pketnya', 'pretty good', 'expensive', 'signal', 'affordable', 'trimakasih', 'Telkomsel', ""]")</f>
        <v>['happy', 'price', 'pketnya', 'pretty good', 'expensive', 'signal', 'affordable', 'trimakasih', 'Telkomsel', "]</v>
      </c>
      <c r="D10743" s="3">
        <v>5.0</v>
      </c>
    </row>
    <row r="10744" ht="15.75" customHeight="1">
      <c r="A10744" s="1">
        <v>11579.0</v>
      </c>
      <c r="B10744" s="3" t="s">
        <v>10241</v>
      </c>
      <c r="C10744" s="3" t="str">
        <f>IFERROR(__xludf.DUMMYFUNCTION("GOOGLETRANSLATE(B10744,""id"",""en"")"),"['service', '']")</f>
        <v>['service', '']</v>
      </c>
      <c r="D10744" s="3">
        <v>5.0</v>
      </c>
    </row>
    <row r="10745" ht="15.75" customHeight="1">
      <c r="A10745" s="1">
        <v>11580.0</v>
      </c>
      <c r="B10745" s="3" t="s">
        <v>10242</v>
      </c>
      <c r="C10745" s="3" t="str">
        <f>IFERROR(__xludf.DUMMYFUNCTION("GOOGLETRANSLATE(B10745,""id"",""en"")"),"['Rare', 'Enter', 'Prmo', 'City', 'Internet', 'Telkomsel']")</f>
        <v>['Rare', 'Enter', 'Prmo', 'City', 'Internet', 'Telkomsel']</v>
      </c>
      <c r="D10745" s="3">
        <v>5.0</v>
      </c>
    </row>
    <row r="10746" ht="15.75" customHeight="1">
      <c r="A10746" s="1">
        <v>11581.0</v>
      </c>
      <c r="B10746" s="3" t="s">
        <v>409</v>
      </c>
      <c r="C10746" s="3" t="str">
        <f>IFERROR(__xludf.DUMMYFUNCTION("GOOGLETRANSLATE(B10746,""id"",""en"")"),"['easy']")</f>
        <v>['easy']</v>
      </c>
      <c r="D10746" s="3">
        <v>5.0</v>
      </c>
    </row>
    <row r="10747" ht="15.75" customHeight="1">
      <c r="A10747" s="1">
        <v>11583.0</v>
      </c>
      <c r="B10747" s="3" t="s">
        <v>10243</v>
      </c>
      <c r="C10747" s="3" t="str">
        <f>IFERROR(__xludf.DUMMYFUNCTION("GOOGLETRANSLATE(B10747,""id"",""en"")"),"['card', 'doang', 'expensive', 'network', 'bad', 'complaints',' customer ',' reply ',' bot ',' repair ',' cool ',' promo ',' Hopefully ',' complaints', 'Customers',' karma ',' Telkomsel ', ""]")</f>
        <v>['card', 'doang', 'expensive', 'network', 'bad', 'complaints',' customer ',' reply ',' bot ',' repair ',' cool ',' promo ',' Hopefully ',' complaints', 'Customers',' karma ',' Telkomsel ', "]</v>
      </c>
      <c r="D10747" s="3">
        <v>1.0</v>
      </c>
    </row>
    <row r="10748" ht="15.75" customHeight="1">
      <c r="A10748" s="1">
        <v>11585.0</v>
      </c>
      <c r="B10748" s="3" t="s">
        <v>10244</v>
      </c>
      <c r="C10748" s="3" t="str">
        <f>IFERROR(__xludf.DUMMYFUNCTION("GOOGLETRANSLATE(B10748,""id"",""en"")"),"['happy', 'service', 'Telkomsel']")</f>
        <v>['happy', 'service', 'Telkomsel']</v>
      </c>
      <c r="D10748" s="3">
        <v>4.0</v>
      </c>
    </row>
    <row r="10749" ht="15.75" customHeight="1">
      <c r="A10749" s="1">
        <v>11587.0</v>
      </c>
      <c r="B10749" s="3" t="s">
        <v>10245</v>
      </c>
      <c r="C10749" s="3" t="str">
        <f>IFERROR(__xludf.DUMMYFUNCTION("GOOGLETRANSLATE(B10749,""id"",""en"")"),"['Morning', 'clock', 'Nge', 'Leg', 'Mulu', 'Telkomsel', 'Untung', 'Doang']")</f>
        <v>['Morning', 'clock', 'Nge', 'Leg', 'Mulu', 'Telkomsel', 'Untung', 'Doang']</v>
      </c>
      <c r="D10749" s="3">
        <v>2.0</v>
      </c>
    </row>
    <row r="10750" ht="15.75" customHeight="1">
      <c r="A10750" s="1">
        <v>11588.0</v>
      </c>
      <c r="B10750" s="3" t="s">
        <v>10246</v>
      </c>
      <c r="C10750" s="3" t="str">
        <f>IFERROR(__xludf.DUMMYFUNCTION("GOOGLETRANSLATE(B10750,""id"",""en"")"),"['Telkomsel', 'KALOW', 'Package', 'expensive', 'expensive', 'suits', 'Hargay']")</f>
        <v>['Telkomsel', 'KALOW', 'Package', 'expensive', 'expensive', 'suits', 'Hargay']</v>
      </c>
      <c r="D10750" s="3">
        <v>4.0</v>
      </c>
    </row>
    <row r="10751" ht="15.75" customHeight="1">
      <c r="A10751" s="1">
        <v>11589.0</v>
      </c>
      <c r="B10751" s="3" t="s">
        <v>10247</v>
      </c>
      <c r="C10751" s="3" t="str">
        <f>IFERROR(__xludf.DUMMYFUNCTION("GOOGLETRANSLATE(B10751,""id"",""en"")"),"['Buy', 'Package', 'Easy', 'Telkomsel']")</f>
        <v>['Buy', 'Package', 'Easy', 'Telkomsel']</v>
      </c>
      <c r="D10751" s="3">
        <v>3.0</v>
      </c>
    </row>
    <row r="10752" ht="15.75" customHeight="1">
      <c r="A10752" s="1">
        <v>11590.0</v>
      </c>
      <c r="B10752" s="3" t="s">
        <v>10248</v>
      </c>
      <c r="C10752" s="3" t="str">
        <f>IFERROR(__xludf.DUMMYFUNCTION("GOOGLETRANSLATE(B10752,""id"",""en"")"),"['Package', 'Data', 'clearssss', 'choice', 'most', 'buy', 'package', 'needed', 'sucks']")</f>
        <v>['Package', 'Data', 'clearssss', 'choice', 'most', 'buy', 'package', 'needed', 'sucks']</v>
      </c>
      <c r="D10752" s="3">
        <v>1.0</v>
      </c>
    </row>
    <row r="10753" ht="15.75" customHeight="1">
      <c r="A10753" s="1">
        <v>11591.0</v>
      </c>
      <c r="B10753" s="3" t="s">
        <v>10249</v>
      </c>
      <c r="C10753" s="3" t="str">
        <f>IFERROR(__xludf.DUMMYFUNCTION("GOOGLETRANSLATE(B10753,""id"",""en"")"),"['sound', 'notification', 'already', 'promo', 'replace', 'GB', 'RB', 'already', ""]")</f>
        <v>['sound', 'notification', 'already', 'promo', 'replace', 'GB', 'RB', 'already', "]</v>
      </c>
      <c r="D10753" s="3">
        <v>4.0</v>
      </c>
    </row>
    <row r="10754" ht="15.75" customHeight="1">
      <c r="A10754" s="1">
        <v>11592.0</v>
      </c>
      <c r="B10754" s="3" t="s">
        <v>10250</v>
      </c>
      <c r="C10754" s="3" t="str">
        <f>IFERROR(__xludf.DUMMYFUNCTION("GOOGLETRANSLATE(B10754,""id"",""en"")"),"['Bid', 'Package', 'Cheap', '']")</f>
        <v>['Bid', 'Package', 'Cheap', '']</v>
      </c>
      <c r="D10754" s="3">
        <v>1.0</v>
      </c>
    </row>
    <row r="10755" ht="15.75" customHeight="1">
      <c r="A10755" s="1">
        <v>11593.0</v>
      </c>
      <c r="B10755" s="3" t="s">
        <v>10251</v>
      </c>
      <c r="C10755" s="3" t="str">
        <f>IFERROR(__xludf.DUMMYFUNCTION("GOOGLETRANSLATE(B10755,""id"",""en"")"),"['Reduce', 'usage', 'price', 'pulse']")</f>
        <v>['Reduce', 'usage', 'price', 'pulse']</v>
      </c>
      <c r="D10755" s="3">
        <v>5.0</v>
      </c>
    </row>
    <row r="10756" ht="15.75" customHeight="1">
      <c r="A10756" s="1">
        <v>11594.0</v>
      </c>
      <c r="B10756" s="3" t="s">
        <v>10252</v>
      </c>
      <c r="C10756" s="3" t="str">
        <f>IFERROR(__xludf.DUMMYFUNCTION("GOOGLETRANSLATE(B10756,""id"",""en"")"),"['Gakan', 'Change', 'Before', 'Network', 'Improved', 'Gada', 'Response', 'Twitter', 'Telkomsel', 'Hadeh']")</f>
        <v>['Gakan', 'Change', 'Before', 'Network', 'Improved', 'Gada', 'Response', 'Twitter', 'Telkomsel', 'Hadeh']</v>
      </c>
      <c r="D10756" s="3">
        <v>1.0</v>
      </c>
    </row>
    <row r="10757" ht="15.75" customHeight="1">
      <c r="A10757" s="1">
        <v>11595.0</v>
      </c>
      <c r="B10757" s="3" t="s">
        <v>10253</v>
      </c>
      <c r="C10757" s="3" t="str">
        <f>IFERROR(__xludf.DUMMYFUNCTION("GOOGLETRANSLATE(B10757,""id"",""en"")"),"['Satisfied', 'DGAN', 'Application', 'MyTelkomsel']")</f>
        <v>['Satisfied', 'DGAN', 'Application', 'MyTelkomsel']</v>
      </c>
      <c r="D10757" s="3">
        <v>5.0</v>
      </c>
    </row>
    <row r="10758" ht="15.75" customHeight="1">
      <c r="A10758" s="1">
        <v>11596.0</v>
      </c>
      <c r="B10758" s="3" t="s">
        <v>10254</v>
      </c>
      <c r="C10758" s="3" t="str">
        <f>IFERROR(__xludf.DUMMYFUNCTION("GOOGLETRANSLATE(B10758,""id"",""en"")"),"['Miss's', 'contents', 'reset', 'vouch']")</f>
        <v>['Miss's', 'contents', 'reset', 'vouch']</v>
      </c>
      <c r="D10758" s="3">
        <v>5.0</v>
      </c>
    </row>
    <row r="10759" ht="15.75" customHeight="1">
      <c r="A10759" s="1">
        <v>11597.0</v>
      </c>
      <c r="B10759" s="3" t="s">
        <v>10255</v>
      </c>
      <c r="C10759" s="3" t="str">
        <f>IFERROR(__xludf.DUMMYFUNCTION("GOOGLETRANSLATE(B10759,""id"",""en"")"),"['Disappointed', 'Bangattt', 'The Application', 'Likes', '']")</f>
        <v>['Disappointed', 'Bangattt', 'The Application', 'Likes', '']</v>
      </c>
      <c r="D10759" s="3">
        <v>1.0</v>
      </c>
    </row>
    <row r="10760" ht="15.75" customHeight="1">
      <c r="A10760" s="1">
        <v>11598.0</v>
      </c>
      <c r="B10760" s="3" t="s">
        <v>10256</v>
      </c>
      <c r="C10760" s="3" t="str">
        <f>IFERROR(__xludf.DUMMYFUNCTION("GOOGLETRANSLATE(B10760,""id"",""en"")"),"['Package', 'data', 'get', 'SMS', 'quota', 'run out', 'contents', 'reset', 'connection', 'ugly', 'good', 'ugly']")</f>
        <v>['Package', 'data', 'get', 'SMS', 'quota', 'run out', 'contents', 'reset', 'connection', 'ugly', 'good', 'ugly']</v>
      </c>
      <c r="D10760" s="3">
        <v>1.0</v>
      </c>
    </row>
    <row r="10761" ht="15.75" customHeight="1">
      <c r="A10761" s="1">
        <v>11599.0</v>
      </c>
      <c r="B10761" s="3" t="s">
        <v>10257</v>
      </c>
      <c r="C10761" s="3" t="str">
        <f>IFERROR(__xludf.DUMMYFUNCTION("GOOGLETRANSLATE(B10761,""id"",""en"")"),"['open', 'application', 'heavy', 'really', 'how', 'transaction', 'transaction', 'purchase', 'package', 'internet', 'fail', 'pulses',' lost ',' package ',' internet ',' idiot ']")</f>
        <v>['open', 'application', 'heavy', 'really', 'how', 'transaction', 'transaction', 'purchase', 'package', 'internet', 'fail', 'pulses',' lost ',' package ',' internet ',' idiot ']</v>
      </c>
      <c r="D10761" s="3">
        <v>1.0</v>
      </c>
    </row>
    <row r="10762" ht="15.75" customHeight="1">
      <c r="A10762" s="1">
        <v>11600.0</v>
      </c>
      <c r="B10762" s="3" t="s">
        <v>10258</v>
      </c>
      <c r="C10762" s="3" t="str">
        <f>IFERROR(__xludf.DUMMYFUNCTION("GOOGLETRANSLATE(B10762,""id"",""en"")"),"['Alhamdulillah', 'best']")</f>
        <v>['Alhamdulillah', 'best']</v>
      </c>
      <c r="D10762" s="3">
        <v>5.0</v>
      </c>
    </row>
    <row r="10763" ht="15.75" customHeight="1">
      <c r="A10763" s="1">
        <v>11601.0</v>
      </c>
      <c r="B10763" s="3" t="s">
        <v>2620</v>
      </c>
      <c r="C10763" s="3" t="str">
        <f>IFERROR(__xludf.DUMMYFUNCTION("GOOGLETRANSLATE(B10763,""id"",""en"")"),"Of course")</f>
        <v>Of course</v>
      </c>
      <c r="D10763" s="3">
        <v>4.0</v>
      </c>
    </row>
    <row r="10764" ht="15.75" customHeight="1">
      <c r="A10764" s="1">
        <v>11602.0</v>
      </c>
      <c r="B10764" s="3" t="s">
        <v>10259</v>
      </c>
      <c r="C10764" s="3" t="str">
        <f>IFERROR(__xludf.DUMMYFUNCTION("GOOGLETRANSLATE(B10764,""id"",""en"")"),"['Cheap', 'pketnya', 'Unfortunately', 'Multimedia', 'DisneyStar', 'MOTH', 'Package', 'Main', ""]")</f>
        <v>['Cheap', 'pketnya', 'Unfortunately', 'Multimedia', 'DisneyStar', 'MOTH', 'Package', 'Main', "]</v>
      </c>
      <c r="D10764" s="3">
        <v>5.0</v>
      </c>
    </row>
    <row r="10765" ht="15.75" customHeight="1">
      <c r="A10765" s="1">
        <v>11603.0</v>
      </c>
      <c r="B10765" s="3" t="s">
        <v>6817</v>
      </c>
      <c r="C10765" s="3" t="str">
        <f>IFERROR(__xludf.DUMMYFUNCTION("GOOGLETRANSLATE(B10765,""id"",""en"")"),"['Good', 'satisfied']")</f>
        <v>['Good', 'satisfied']</v>
      </c>
      <c r="D10765" s="3">
        <v>1.0</v>
      </c>
    </row>
    <row r="10766" ht="15.75" customHeight="1">
      <c r="A10766" s="1">
        <v>11604.0</v>
      </c>
      <c r="B10766" s="3" t="s">
        <v>409</v>
      </c>
      <c r="C10766" s="3" t="str">
        <f>IFERROR(__xludf.DUMMYFUNCTION("GOOGLETRANSLATE(B10766,""id"",""en"")"),"['easy']")</f>
        <v>['easy']</v>
      </c>
      <c r="D10766" s="3">
        <v>5.0</v>
      </c>
    </row>
    <row r="10767" ht="15.75" customHeight="1">
      <c r="A10767" s="1">
        <v>11605.0</v>
      </c>
      <c r="B10767" s="3" t="s">
        <v>10260</v>
      </c>
      <c r="C10767" s="3" t="str">
        <f>IFERROR(__xludf.DUMMYFUNCTION("GOOGLETRANSLATE(B10767,""id"",""en"")"),"['Morning', 'KKA', 'Exchange', 'Points',' Package ',' Data ',' Take ',' Package ',' Data ',' Points', 'Appear', 'Posts',' Redeem ',' Points', 'Success',' Sorry ',' NMR ',' Meet ',' Terms', 'Follow', 'Program']")</f>
        <v>['Morning', 'KKA', 'Exchange', 'Points',' Package ',' Data ',' Take ',' Package ',' Data ',' Points', 'Appear', 'Posts',' Redeem ',' Points', 'Success',' Sorry ',' NMR ',' Meet ',' Terms', 'Follow', 'Program']</v>
      </c>
      <c r="D10767" s="3">
        <v>5.0</v>
      </c>
    </row>
    <row r="10768" ht="15.75" customHeight="1">
      <c r="A10768" s="1">
        <v>11606.0</v>
      </c>
      <c r="B10768" s="3" t="s">
        <v>10261</v>
      </c>
      <c r="C10768" s="3" t="str">
        <f>IFERROR(__xludf.DUMMYFUNCTION("GOOGLETRANSLATE(B10768,""id"",""en"")"),"['Download', 'Telkomsel', '']")</f>
        <v>['Download', 'Telkomsel', '']</v>
      </c>
      <c r="D10768" s="3">
        <v>1.0</v>
      </c>
    </row>
    <row r="10769" ht="15.75" customHeight="1">
      <c r="A10769" s="1">
        <v>11608.0</v>
      </c>
      <c r="B10769" s="3" t="s">
        <v>10262</v>
      </c>
      <c r="C10769" s="3" t="str">
        <f>IFERROR(__xludf.DUMMYFUNCTION("GOOGLETRANSLATE(B10769,""id"",""en"")"),"['Increase', 'signal', 'Telkomsel']")</f>
        <v>['Increase', 'signal', 'Telkomsel']</v>
      </c>
      <c r="D10769" s="3">
        <v>5.0</v>
      </c>
    </row>
    <row r="10770" ht="15.75" customHeight="1">
      <c r="A10770" s="1">
        <v>11609.0</v>
      </c>
      <c r="B10770" s="3" t="s">
        <v>10263</v>
      </c>
      <c r="C10770" s="3" t="str">
        <f>IFERROR(__xludf.DUMMYFUNCTION("GOOGLETRANSLATE(B10770,""id"",""en"")"),"['Hopefully', 'Recorded', 'Features', 'Protection', 'Credit', 'Customer', 'Often', 'Credit', 'Out', 'Activates', 'Package', ""]")</f>
        <v>['Hopefully', 'Recorded', 'Features', 'Protection', 'Credit', 'Customer', 'Often', 'Credit', 'Out', 'Activates', 'Package', "]</v>
      </c>
      <c r="D10770" s="3">
        <v>2.0</v>
      </c>
    </row>
    <row r="10771" ht="15.75" customHeight="1">
      <c r="A10771" s="1">
        <v>11610.0</v>
      </c>
      <c r="B10771" s="3" t="s">
        <v>10264</v>
      </c>
      <c r="C10771" s="3" t="str">
        <f>IFERROR(__xludf.DUMMYFUNCTION("GOOGLETRANSLATE(B10771,""id"",""en"")"),"['Doong', 'price']")</f>
        <v>['Doong', 'price']</v>
      </c>
      <c r="D10771" s="3">
        <v>5.0</v>
      </c>
    </row>
    <row r="10772" ht="15.75" customHeight="1">
      <c r="A10772" s="1">
        <v>11611.0</v>
      </c>
      <c r="B10772" s="3" t="s">
        <v>10265</v>
      </c>
      <c r="C10772" s="3" t="str">
        <f>IFERROR(__xludf.DUMMYFUNCTION("GOOGLETRANSLATE(B10772,""id"",""en"")"),"['In the future', 'price', 'best', 'expensive', '']")</f>
        <v>['In the future', 'price', 'best', 'expensive', '']</v>
      </c>
      <c r="D10772" s="3">
        <v>5.0</v>
      </c>
    </row>
    <row r="10773" ht="15.75" customHeight="1">
      <c r="A10773" s="1">
        <v>11612.0</v>
      </c>
      <c r="B10773" s="3" t="s">
        <v>10266</v>
      </c>
      <c r="C10773" s="3" t="str">
        <f>IFERROR(__xludf.DUMMYFUNCTION("GOOGLETRANSLATE(B10773,""id"",""en"")"),"['Best', 'users', '']")</f>
        <v>['Best', 'users', '']</v>
      </c>
      <c r="D10773" s="3">
        <v>5.0</v>
      </c>
    </row>
    <row r="10774" ht="15.75" customHeight="1">
      <c r="A10774" s="1">
        <v>11613.0</v>
      </c>
      <c r="B10774" s="3" t="s">
        <v>10267</v>
      </c>
      <c r="C10774" s="3" t="str">
        <f>IFERROR(__xludf.DUMMYFUNCTION("GOOGLETRANSLATE(B10774,""id"",""en"")"),"['Enhanced', 'The network']")</f>
        <v>['Enhanced', 'The network']</v>
      </c>
      <c r="D10774" s="3">
        <v>3.0</v>
      </c>
    </row>
    <row r="10775" ht="15.75" customHeight="1">
      <c r="A10775" s="1">
        <v>11614.0</v>
      </c>
      <c r="B10775" s="3" t="s">
        <v>10268</v>
      </c>
      <c r="C10775" s="3" t="str">
        <f>IFERROR(__xludf.DUMMYFUNCTION("GOOGLETRANSLATE(B10775,""id"",""en"")"),"['Choice', 'faket', 'expensive', 'expensive', 'person', 'no', 'can', 'buy', 'Please', 'Application', 'Addin', 'Feature', ' the key ',' pulse ',' thank ',' love ']")</f>
        <v>['Choice', 'faket', 'expensive', 'expensive', 'person', 'no', 'can', 'buy', 'Please', 'Application', 'Addin', 'Feature', ' the key ',' pulse ',' thank ',' love ']</v>
      </c>
      <c r="D10775" s="3">
        <v>4.0</v>
      </c>
    </row>
    <row r="10776" ht="15.75" customHeight="1">
      <c r="A10776" s="1">
        <v>11616.0</v>
      </c>
      <c r="B10776" s="3" t="s">
        <v>10269</v>
      </c>
      <c r="C10776" s="3" t="str">
        <f>IFERROR(__xludf.DUMMYFUNCTION("GOOGLETRANSLATE(B10776,""id"",""en"")"),"['package', 'expensive', 'signal', 'ugly', 'please', 'fix', 'yaaaaa']")</f>
        <v>['package', 'expensive', 'signal', 'ugly', 'please', 'fix', 'yaaaaa']</v>
      </c>
      <c r="D10776" s="3">
        <v>5.0</v>
      </c>
    </row>
    <row r="10777" ht="15.75" customHeight="1">
      <c r="A10777" s="1">
        <v>11617.0</v>
      </c>
      <c r="B10777" s="3" t="s">
        <v>10270</v>
      </c>
      <c r="C10777" s="3" t="str">
        <f>IFERROR(__xludf.DUMMYFUNCTION("GOOGLETRANSLATE(B10777,""id"",""en"")"),"['Network', 'Internet', 'Strong', 'Purchase', 'Ribet']")</f>
        <v>['Network', 'Internet', 'Strong', 'Purchase', 'Ribet']</v>
      </c>
      <c r="D10777" s="3">
        <v>5.0</v>
      </c>
    </row>
    <row r="10778" ht="15.75" customHeight="1">
      <c r="A10778" s="1">
        <v>11618.0</v>
      </c>
      <c r="B10778" s="3" t="s">
        <v>10271</v>
      </c>
      <c r="C10778" s="3" t="str">
        <f>IFERROR(__xludf.DUMMYFUNCTION("GOOGLETRANSLATE(B10778,""id"",""en"")"),"['help', 'convenience', 'info', 'bid', 'package', 'interesting']")</f>
        <v>['help', 'convenience', 'info', 'bid', 'package', 'interesting']</v>
      </c>
      <c r="D10778" s="3">
        <v>5.0</v>
      </c>
    </row>
    <row r="10779" ht="15.75" customHeight="1">
      <c r="A10779" s="1">
        <v>11619.0</v>
      </c>
      <c r="B10779" s="3" t="s">
        <v>10272</v>
      </c>
      <c r="C10779" s="3" t="str">
        <f>IFERROR(__xludf.DUMMYFUNCTION("GOOGLETRANSLATE(B10779,""id"",""en"")"),"['Quota', 'Package', 'Free', 'Anyway']")</f>
        <v>['Quota', 'Package', 'Free', 'Anyway']</v>
      </c>
      <c r="D10779" s="3">
        <v>5.0</v>
      </c>
    </row>
    <row r="10780" ht="15.75" customHeight="1">
      <c r="A10780" s="1">
        <v>11620.0</v>
      </c>
      <c r="B10780" s="3" t="s">
        <v>10273</v>
      </c>
      <c r="C10780" s="3" t="str">
        <f>IFERROR(__xludf.DUMMYFUNCTION("GOOGLETRANSLATE(B10780,""id"",""en"")"),"['steady', 'application', 'makes it easy', 'users', 'Telkomsel', 'Download', 'application', '']")</f>
        <v>['steady', 'application', 'makes it easy', 'users', 'Telkomsel', 'Download', 'application', '']</v>
      </c>
      <c r="D10780" s="3">
        <v>5.0</v>
      </c>
    </row>
    <row r="10781" ht="15.75" customHeight="1">
      <c r="A10781" s="1">
        <v>11622.0</v>
      </c>
      <c r="B10781" s="3" t="s">
        <v>10274</v>
      </c>
      <c r="C10781" s="3" t="str">
        <f>IFERROR(__xludf.DUMMYFUNCTION("GOOGLETRANSLATE(B10781,""id"",""en"")"),"['suggestion', 'filter', 'pulse', 'sucked', 'used', 'internet']")</f>
        <v>['suggestion', 'filter', 'pulse', 'sucked', 'used', 'internet']</v>
      </c>
      <c r="D10781" s="3">
        <v>3.0</v>
      </c>
    </row>
    <row r="10782" ht="15.75" customHeight="1">
      <c r="A10782" s="1">
        <v>11623.0</v>
      </c>
      <c r="B10782" s="3" t="s">
        <v>10275</v>
      </c>
      <c r="C10782" s="3" t="str">
        <f>IFERROR(__xludf.DUMMYFUNCTION("GOOGLETRANSLATE(B10782,""id"",""en"")"),"['free', 'quota', 'internet', 'program', 'daily', 'check', 'success',' pulses', 'sucked', 'continuous',' ampe ',' run out ',' Buy ',' quota ',' internet ',' ']")</f>
        <v>['free', 'quota', 'internet', 'program', 'daily', 'check', 'success',' pulses', 'sucked', 'continuous',' ampe ',' run out ',' Buy ',' quota ',' internet ',' ']</v>
      </c>
      <c r="D10782" s="3">
        <v>1.0</v>
      </c>
    </row>
    <row r="10783" ht="15.75" customHeight="1">
      <c r="A10783" s="1">
        <v>11624.0</v>
      </c>
      <c r="B10783" s="3" t="s">
        <v>10276</v>
      </c>
      <c r="C10783" s="3" t="str">
        <f>IFERROR(__xludf.DUMMYFUNCTION("GOOGLETRANSLATE(B10783,""id"",""en"")"),"['delicious', 'cheap', 'package', 'easy', 'checked', 'leftover', 'quota', 'good', 'job', ""]")</f>
        <v>['delicious', 'cheap', 'package', 'easy', 'checked', 'leftover', 'quota', 'good', 'job', "]</v>
      </c>
      <c r="D10783" s="3">
        <v>5.0</v>
      </c>
    </row>
    <row r="10784" ht="15.75" customHeight="1">
      <c r="A10784" s="1">
        <v>11625.0</v>
      </c>
      <c r="B10784" s="3" t="s">
        <v>7433</v>
      </c>
      <c r="C10784" s="3" t="str">
        <f>IFERROR(__xludf.DUMMYFUNCTION("GOOGLETRANSLATE(B10784,""id"",""en"")"),"['Easy', 'buy', 'quota']")</f>
        <v>['Easy', 'buy', 'quota']</v>
      </c>
      <c r="D10784" s="3">
        <v>5.0</v>
      </c>
    </row>
    <row r="10785" ht="15.75" customHeight="1">
      <c r="A10785" s="1">
        <v>11626.0</v>
      </c>
      <c r="B10785" s="3" t="s">
        <v>10277</v>
      </c>
      <c r="C10785" s="3" t="str">
        <f>IFERROR(__xludf.DUMMYFUNCTION("GOOGLETRANSLATE(B10785,""id"",""en"")"),"['right', 'buy', 'pulse', 'payment', 'succeed', 'pulses', 'enter', 'notification', 'anything', ""]")</f>
        <v>['right', 'buy', 'pulse', 'payment', 'succeed', 'pulses', 'enter', 'notification', 'anything', "]</v>
      </c>
      <c r="D10785" s="3">
        <v>2.0</v>
      </c>
    </row>
    <row r="10786" ht="15.75" customHeight="1">
      <c r="A10786" s="1">
        <v>11627.0</v>
      </c>
      <c r="B10786" s="3" t="s">
        <v>10278</v>
      </c>
      <c r="C10786" s="3" t="str">
        <f>IFERROR(__xludf.DUMMYFUNCTION("GOOGLETRANSLATE(B10786,""id"",""en"")"),"['Fix', 'level', 'service', 'connection', 'internet', 'price', 'data', 'expensive', 'adjust', 'connection', 'internet', 'stable', ' Plosok ',' Skalipun ',' Stop ',' Deselness', 'Credit', 'Interest', 'Level', 'Security', 'Karna', 'Message', 'Enter', 'Drain"&amp;"', 'Credit' , 'Following', 'service', 'thank', 'love', '']")</f>
        <v>['Fix', 'level', 'service', 'connection', 'internet', 'price', 'data', 'expensive', 'adjust', 'connection', 'internet', 'stable', ' Plosok ',' Skalipun ',' Stop ',' Deselness', 'Credit', 'Interest', 'Level', 'Security', 'Karna', 'Message', 'Enter', 'Drain', 'Credit' , 'Following', 'service', 'thank', 'love', '']</v>
      </c>
      <c r="D10786" s="3">
        <v>2.0</v>
      </c>
    </row>
    <row r="10787" ht="15.75" customHeight="1">
      <c r="A10787" s="1">
        <v>11628.0</v>
      </c>
      <c r="B10787" s="3" t="s">
        <v>10279</v>
      </c>
      <c r="C10787" s="3" t="str">
        <f>IFERROR(__xludf.DUMMYFUNCTION("GOOGLETRANSLATE(B10787,""id"",""en"")"),"['purchase', 'package', 'internet', 'easy']")</f>
        <v>['purchase', 'package', 'internet', 'easy']</v>
      </c>
      <c r="D10787" s="3">
        <v>4.0</v>
      </c>
    </row>
    <row r="10788" ht="15.75" customHeight="1">
      <c r="A10788" s="1">
        <v>11629.0</v>
      </c>
      <c r="B10788" s="3" t="s">
        <v>10280</v>
      </c>
      <c r="C10788" s="3" t="str">
        <f>IFERROR(__xludf.DUMMYFUNCTION("GOOGLETRANSLATE(B10788,""id"",""en"")"),"['Telkomsel', 'Best', ""]")</f>
        <v>['Telkomsel', 'Best', "]</v>
      </c>
      <c r="D10788" s="3">
        <v>5.0</v>
      </c>
    </row>
    <row r="10789" ht="15.75" customHeight="1">
      <c r="A10789" s="1">
        <v>11630.0</v>
      </c>
      <c r="B10789" s="3" t="s">
        <v>10281</v>
      </c>
      <c r="C10789" s="3" t="str">
        <f>IFERROR(__xludf.DUMMYFUNCTION("GOOGLETRANSLATE(B10789,""id"",""en"")"),"['Package', 'complete', 'cheap', 'easy']")</f>
        <v>['Package', 'complete', 'cheap', 'easy']</v>
      </c>
      <c r="D10789" s="3">
        <v>5.0</v>
      </c>
    </row>
    <row r="10790" ht="15.75" customHeight="1">
      <c r="A10790" s="1">
        <v>11631.0</v>
      </c>
      <c r="B10790" s="3" t="s">
        <v>10282</v>
      </c>
      <c r="C10790" s="3" t="str">
        <f>IFERROR(__xludf.DUMMYFUNCTION("GOOGLETRANSLATE(B10790,""id"",""en"")"),"['Good', 'skali', '']")</f>
        <v>['Good', 'skali', '']</v>
      </c>
      <c r="D10790" s="3">
        <v>5.0</v>
      </c>
    </row>
    <row r="10791" ht="15.75" customHeight="1">
      <c r="A10791" s="1">
        <v>11632.0</v>
      </c>
      <c r="B10791" s="3" t="s">
        <v>10283</v>
      </c>
      <c r="C10791" s="3" t="str">
        <f>IFERROR(__xludf.DUMMYFUNCTION("GOOGLETRANSLATE(B10791,""id"",""en"")"),"['Thank you', 'easy']")</f>
        <v>['Thank you', 'easy']</v>
      </c>
      <c r="D10791" s="3">
        <v>4.0</v>
      </c>
    </row>
    <row r="10792" ht="15.75" customHeight="1">
      <c r="A10792" s="1">
        <v>11633.0</v>
      </c>
      <c r="B10792" s="3" t="s">
        <v>10284</v>
      </c>
      <c r="C10792" s="3" t="str">
        <f>IFERROR(__xludf.DUMMYFUNCTION("GOOGLETRANSLATE(B10792,""id"",""en"")"),"['Good', 'Package', 'Affordable', 'Internet', 'Sakti', 'Network', 'Tetep', 'Stable', 'Mantap', 'Telkomsel']")</f>
        <v>['Good', 'Package', 'Affordable', 'Internet', 'Sakti', 'Network', 'Tetep', 'Stable', 'Mantap', 'Telkomsel']</v>
      </c>
      <c r="D10792" s="3">
        <v>5.0</v>
      </c>
    </row>
    <row r="10793" ht="15.75" customHeight="1">
      <c r="A10793" s="1">
        <v>11634.0</v>
      </c>
      <c r="B10793" s="3" t="s">
        <v>10285</v>
      </c>
      <c r="C10793" s="3" t="str">
        <f>IFERROR(__xludf.DUMMYFUNCTION("GOOGLETRANSLATE(B10793,""id"",""en"")"),"['Network', 'suppropriate']")</f>
        <v>['Network', 'suppropriate']</v>
      </c>
      <c r="D10793" s="3">
        <v>5.0</v>
      </c>
    </row>
    <row r="10794" ht="15.75" customHeight="1">
      <c r="A10794" s="1">
        <v>11635.0</v>
      </c>
      <c r="B10794" s="3" t="s">
        <v>10286</v>
      </c>
      <c r="C10794" s="3" t="str">
        <f>IFERROR(__xludf.DUMMYFUNCTION("GOOGLETRANSLATE(B10794,""id"",""en"")"),"['Thank you', 'service', 'backward', 'award', 'in life', 'hopefully', 'Telkomsel', 'Jaya', 'replace', 'service', 'Nga', 'destroyer', ' Wraw ',' go ',' Nga ',' responded ',' fix ',' complain ',' complain ',' defender ',' loyal ',' dpat ',' played ',' foole"&amp;"d ',' consider ' , 'backward', 'ignorance', 'thank', 'love']")</f>
        <v>['Thank you', 'service', 'backward', 'award', 'in life', 'hopefully', 'Telkomsel', 'Jaya', 'replace', 'service', 'Nga', 'destroyer', ' Wraw ',' go ',' Nga ',' responded ',' fix ',' complain ',' complain ',' defender ',' loyal ',' dpat ',' played ',' fooled ',' consider ' , 'backward', 'ignorance', 'thank', 'love']</v>
      </c>
      <c r="D10794" s="3">
        <v>1.0</v>
      </c>
    </row>
    <row r="10795" ht="15.75" customHeight="1">
      <c r="A10795" s="1">
        <v>11636.0</v>
      </c>
      <c r="B10795" s="3" t="s">
        <v>10287</v>
      </c>
      <c r="C10795" s="3" t="str">
        <f>IFERROR(__xludf.DUMMYFUNCTION("GOOGLETRANSLATE(B10795,""id"",""en"")"),"['Redeem', 'quota', 'how']")</f>
        <v>['Redeem', 'quota', 'how']</v>
      </c>
      <c r="D10795" s="3">
        <v>1.0</v>
      </c>
    </row>
    <row r="10796" ht="15.75" customHeight="1">
      <c r="A10796" s="1">
        <v>11637.0</v>
      </c>
      <c r="B10796" s="3" t="s">
        <v>10288</v>
      </c>
      <c r="C10796" s="3" t="str">
        <f>IFERROR(__xludf.DUMMYFUNCTION("GOOGLETRANSLATE(B10796,""id"",""en"")"),"['Application', 'Telkomsel']")</f>
        <v>['Application', 'Telkomsel']</v>
      </c>
      <c r="D10796" s="3">
        <v>2.0</v>
      </c>
    </row>
    <row r="10797" ht="15.75" customHeight="1">
      <c r="A10797" s="1">
        <v>11639.0</v>
      </c>
      <c r="B10797" s="3" t="s">
        <v>10289</v>
      </c>
      <c r="C10797" s="3" t="str">
        <f>IFERROR(__xludf.DUMMYFUNCTION("GOOGLETRANSLATE(B10797,""id"",""en"")"),"['mantapp', 'buy', 'pulse', 'night', 'Damn', 'disappointing', 'class', 'provider', 'Telkomsel', 'error', 'right', 'where' Experts', 'experts',' ']")</f>
        <v>['mantapp', 'buy', 'pulse', 'night', 'Damn', 'disappointing', 'class', 'provider', 'Telkomsel', 'error', 'right', 'where' Experts', 'experts',' ']</v>
      </c>
      <c r="D10797" s="3">
        <v>1.0</v>
      </c>
    </row>
    <row r="10798" ht="15.75" customHeight="1">
      <c r="A10798" s="1">
        <v>11640.0</v>
      </c>
      <c r="B10798" s="3" t="s">
        <v>10290</v>
      </c>
      <c r="C10798" s="3" t="str">
        <f>IFERROR(__xludf.DUMMYFUNCTION("GOOGLETRANSLATE(B10798,""id"",""en"")"),"['Application', 'Asik', '']")</f>
        <v>['Application', 'Asik', '']</v>
      </c>
      <c r="D10798" s="3">
        <v>5.0</v>
      </c>
    </row>
    <row r="10799" ht="15.75" customHeight="1">
      <c r="A10799" s="1">
        <v>11641.0</v>
      </c>
      <c r="B10799" s="3" t="s">
        <v>10291</v>
      </c>
      <c r="C10799" s="3" t="str">
        <f>IFERROR(__xludf.DUMMYFUNCTION("GOOGLETRANSLATE(B10799,""id"",""en"")"),"['happy', 'use', 'Telkomsel', 'quality', 'signal', 'good', 'promo', 'package', 'interesting', 'price', 'cheap', 'application', ' Telkomsel ',' ']")</f>
        <v>['happy', 'use', 'Telkomsel', 'quality', 'signal', 'good', 'promo', 'package', 'interesting', 'price', 'cheap', 'application', ' Telkomsel ',' ']</v>
      </c>
      <c r="D10799" s="3">
        <v>5.0</v>
      </c>
    </row>
    <row r="10800" ht="15.75" customHeight="1">
      <c r="A10800" s="1">
        <v>11642.0</v>
      </c>
      <c r="B10800" s="3" t="s">
        <v>10292</v>
      </c>
      <c r="C10800" s="3" t="str">
        <f>IFERROR(__xludf.DUMMYFUNCTION("GOOGLETRANSLATE(B10800,""id"",""en"")"),"['Points', 'Dukar']")</f>
        <v>['Points', 'Dukar']</v>
      </c>
      <c r="D10800" s="3">
        <v>4.0</v>
      </c>
    </row>
    <row r="10801" ht="15.75" customHeight="1">
      <c r="A10801" s="1">
        <v>11643.0</v>
      </c>
      <c r="B10801" s="3" t="s">
        <v>10293</v>
      </c>
      <c r="C10801" s="3" t="str">
        <f>IFERROR(__xludf.DUMMYFUNCTION("GOOGLETRANSLATE(B10801,""id"",""en"")"),"['Likes', 'Wear', 'APK']")</f>
        <v>['Likes', 'Wear', 'APK']</v>
      </c>
      <c r="D10801" s="3">
        <v>5.0</v>
      </c>
    </row>
    <row r="10802" ht="15.75" customHeight="1">
      <c r="A10802" s="1">
        <v>11644.0</v>
      </c>
      <c r="B10802" s="3" t="s">
        <v>10294</v>
      </c>
      <c r="C10802" s="3" t="str">
        <f>IFERROR(__xludf.DUMMYFUNCTION("GOOGLETRANSLATE(B10802,""id"",""en"")"),"['Simple', 'purchase', 'package', 'data', 'pulse', 'buy', 'dicounter', 'pulse', 'closest', 'open', 'application', 'mytelkomsel', ' Tetima ',' Love ',' Service ',' Forward ',' MyTelkomsel ',' ']")</f>
        <v>['Simple', 'purchase', 'package', 'data', 'pulse', 'buy', 'dicounter', 'pulse', 'closest', 'open', 'application', 'mytelkomsel', ' Tetima ',' Love ',' Service ',' Forward ',' MyTelkomsel ',' ']</v>
      </c>
      <c r="D10802" s="3">
        <v>5.0</v>
      </c>
    </row>
    <row r="10803" ht="15.75" customHeight="1">
      <c r="A10803" s="1">
        <v>11645.0</v>
      </c>
      <c r="B10803" s="3" t="s">
        <v>10295</v>
      </c>
      <c r="C10803" s="3" t="str">
        <f>IFERROR(__xludf.DUMMYFUNCTION("GOOGLETRANSLATE(B10803,""id"",""en"")"),"['already', 'buy', 'package', 'slow']")</f>
        <v>['already', 'buy', 'package', 'slow']</v>
      </c>
      <c r="D10803" s="3">
        <v>1.0</v>
      </c>
    </row>
    <row r="10804" ht="15.75" customHeight="1">
      <c r="A10804" s="1">
        <v>11646.0</v>
      </c>
      <c r="B10804" s="3" t="s">
        <v>10296</v>
      </c>
      <c r="C10804" s="3" t="str">
        <f>IFERROR(__xludf.DUMMYFUNCTION("GOOGLETRANSLATE(B10804,""id"",""en"")"),"['buy', 'package', 'via', 'Ovo', 'gabisa', 'gusta', 'urgent', 'gini']")</f>
        <v>['buy', 'package', 'via', 'Ovo', 'gabisa', 'gusta', 'urgent', 'gini']</v>
      </c>
      <c r="D10804" s="3">
        <v>1.0</v>
      </c>
    </row>
    <row r="10805" ht="15.75" customHeight="1">
      <c r="A10805" s="1">
        <v>11647.0</v>
      </c>
      <c r="B10805" s="3" t="s">
        <v>10297</v>
      </c>
      <c r="C10805" s="3" t="str">
        <f>IFERROR(__xludf.DUMMYFUNCTION("GOOGLETRANSLATE(B10805,""id"",""en"")"),"['Error', 'How', 'Sell', 'Quota', 'Abis', 'TPI', 'KNP', 'Fill', 'Credit', ""]")</f>
        <v>['Error', 'How', 'Sell', 'Quota', 'Abis', 'TPI', 'KNP', 'Fill', 'Credit', "]</v>
      </c>
      <c r="D10805" s="3">
        <v>3.0</v>
      </c>
    </row>
    <row r="10806" ht="15.75" customHeight="1">
      <c r="A10806" s="1">
        <v>11648.0</v>
      </c>
      <c r="B10806" s="3" t="s">
        <v>10298</v>
      </c>
      <c r="C10806" s="3" t="str">
        <f>IFERROR(__xludf.DUMMYFUNCTION("GOOGLETRANSLATE(B10806,""id"",""en"")"),"['Telkomsel', 'slow', 'error', 'Mulu', '']")</f>
        <v>['Telkomsel', 'slow', 'error', 'Mulu', '']</v>
      </c>
      <c r="D10806" s="3">
        <v>1.0</v>
      </c>
    </row>
    <row r="10807" ht="15.75" customHeight="1">
      <c r="A10807" s="1">
        <v>11649.0</v>
      </c>
      <c r="B10807" s="3" t="s">
        <v>10299</v>
      </c>
      <c r="C10807" s="3" t="str">
        <f>IFERROR(__xludf.DUMMYFUNCTION("GOOGLETRANSLATE(B10807,""id"",""en"")"),"['Talikin', 'Money', 'Credit', 'Cut', 'TRS', 'TRS', 'Use', 'Pekahhhhhh', 'Kapok', 'Use', 'Luuu']")</f>
        <v>['Talikin', 'Money', 'Credit', 'Cut', 'TRS', 'TRS', 'Use', 'Pekahhhhhh', 'Kapok', 'Use', 'Luuu']</v>
      </c>
      <c r="D10807" s="3">
        <v>1.0</v>
      </c>
    </row>
    <row r="10808" ht="15.75" customHeight="1">
      <c r="A10808" s="1">
        <v>11650.0</v>
      </c>
      <c r="B10808" s="3" t="s">
        <v>10300</v>
      </c>
      <c r="C10808" s="3" t="str">
        <f>IFERROR(__xludf.DUMMYFUNCTION("GOOGLETRANSLATE(B10808,""id"",""en"")"),"['Season', 'buy', 'Package', 'Gopay', 'Account', 'Kga', 'Motede', 'Alesya', 'System', 'Busy', 'Mulu', 'Gini', ' fill in ',' kouta ',' how ',' malem ',' emng ',' artisan ',' pulse ',' clock ',' please ',' fix ']")</f>
        <v>['Season', 'buy', 'Package', 'Gopay', 'Account', 'Kga', 'Motede', 'Alesya', 'System', 'Busy', 'Mulu', 'Gini', ' fill in ',' kouta ',' how ',' malem ',' emng ',' artisan ',' pulse ',' clock ',' please ',' fix ']</v>
      </c>
      <c r="D10808" s="3">
        <v>1.0</v>
      </c>
    </row>
    <row r="10809" ht="15.75" customHeight="1">
      <c r="A10809" s="1">
        <v>11651.0</v>
      </c>
      <c r="B10809" s="3" t="s">
        <v>10301</v>
      </c>
      <c r="C10809" s="3" t="str">
        <f>IFERROR(__xludf.DUMMYFUNCTION("GOOGLETRANSLATE(B10809,""id"",""en"")"),"['ewalet', 'sometimes', 'sometimes', 'consistent']")</f>
        <v>['ewalet', 'sometimes', 'sometimes', 'consistent']</v>
      </c>
      <c r="D10809" s="3">
        <v>1.0</v>
      </c>
    </row>
    <row r="10810" ht="15.75" customHeight="1">
      <c r="A10810" s="1">
        <v>11652.0</v>
      </c>
      <c r="B10810" s="3" t="s">
        <v>10302</v>
      </c>
      <c r="C10810" s="3" t="str">
        <f>IFERROR(__xludf.DUMMYFUNCTION("GOOGLETRANSLATE(B10810,""id"",""en"")"),"['Network', 'telek']")</f>
        <v>['Network', 'telek']</v>
      </c>
      <c r="D10810" s="3">
        <v>1.0</v>
      </c>
    </row>
    <row r="10811" ht="15.75" customHeight="1">
      <c r="A10811" s="1">
        <v>11653.0</v>
      </c>
      <c r="B10811" s="3" t="s">
        <v>10303</v>
      </c>
      <c r="C10811" s="3" t="str">
        <f>IFERROR(__xludf.DUMMYFUNCTION("GOOGLETRANSLATE(B10811,""id"",""en"")"),"['Good', 'payment', 'buy', 'package', 'data', 'choice', 'use', 'funds', 'Please', 'thank you']")</f>
        <v>['Good', 'payment', 'buy', 'package', 'data', 'choice', 'use', 'funds', 'Please', 'thank you']</v>
      </c>
      <c r="D10811" s="3">
        <v>4.0</v>
      </c>
    </row>
    <row r="10812" ht="15.75" customHeight="1">
      <c r="A10812" s="1">
        <v>11654.0</v>
      </c>
      <c r="B10812" s="3" t="s">
        <v>10304</v>
      </c>
      <c r="C10812" s="3" t="str">
        <f>IFERROR(__xludf.DUMMYFUNCTION("GOOGLETRANSLATE(B10812,""id"",""en"")"),"['Telkomsel', 'kek', 'snail', 'community', 'Immediately', 'move', 'card', 'already', 'package', 'expensive', 'network', 'ugly', ' slow ',' slow ',' staple ',' ugly ',' already ',' different ']")</f>
        <v>['Telkomsel', 'kek', 'snail', 'community', 'Immediately', 'move', 'card', 'already', 'package', 'expensive', 'network', 'ugly', ' slow ',' slow ',' staple ',' ugly ',' already ',' different ']</v>
      </c>
      <c r="D10812" s="3">
        <v>1.0</v>
      </c>
    </row>
    <row r="10813" ht="15.75" customHeight="1">
      <c r="A10813" s="1">
        <v>11655.0</v>
      </c>
      <c r="B10813" s="3" t="s">
        <v>10305</v>
      </c>
      <c r="C10813" s="3" t="str">
        <f>IFERROR(__xludf.DUMMYFUNCTION("GOOGLETRANSLATE(B10813,""id"",""en"")"),"['TOP', 'Credit', 'Link', 'Yesterday', 'Out', 'Update', 'Strange', '']")</f>
        <v>['TOP', 'Credit', 'Link', 'Yesterday', 'Out', 'Update', 'Strange', '']</v>
      </c>
      <c r="D10813" s="3">
        <v>1.0</v>
      </c>
    </row>
    <row r="10814" ht="15.75" customHeight="1">
      <c r="A10814" s="1">
        <v>11656.0</v>
      </c>
      <c r="B10814" s="3" t="s">
        <v>10306</v>
      </c>
      <c r="C10814" s="3" t="str">
        <f>IFERROR(__xludf.DUMMYFUNCTION("GOOGLETRANSLATE(B10814,""id"",""en"")"),"['Love', 'Bintang', 'Dlu', 'Method', 'Payment', 'Sometimes',' Available ',' Cuman ',' Pay ',' Credit ',' Doang ',' Method ',' Payment ',' Love ',' Bintang ',' ']")</f>
        <v>['Love', 'Bintang', 'Dlu', 'Method', 'Payment', 'Sometimes',' Available ',' Cuman ',' Pay ',' Credit ',' Doang ',' Method ',' Payment ',' Love ',' Bintang ',' ']</v>
      </c>
      <c r="D10814" s="3">
        <v>3.0</v>
      </c>
    </row>
    <row r="10815" ht="15.75" customHeight="1">
      <c r="A10815" s="1">
        <v>11657.0</v>
      </c>
      <c r="B10815" s="3" t="s">
        <v>10307</v>
      </c>
      <c r="C10815" s="3" t="str">
        <f>IFERROR(__xludf.DUMMYFUNCTION("GOOGLETRANSLATE(B10815,""id"",""en"")"),"['Application', 'update', 'bad', 'mess', 'method', 'payment', 'errorr']")</f>
        <v>['Application', 'update', 'bad', 'mess', 'method', 'payment', 'errorr']</v>
      </c>
      <c r="D10815" s="3">
        <v>1.0</v>
      </c>
    </row>
    <row r="10816" ht="15.75" customHeight="1">
      <c r="A10816" s="1">
        <v>11658.0</v>
      </c>
      <c r="B10816" s="3" t="s">
        <v>10308</v>
      </c>
      <c r="C10816" s="3" t="str">
        <f>IFERROR(__xludf.DUMMYFUNCTION("GOOGLETRANSLATE(B10816,""id"",""en"")"),"['Pernery', 'Lottery', 'Love', 'Bintang', 'Detup', '']")</f>
        <v>['Pernery', 'Lottery', 'Love', 'Bintang', 'Detup', '']</v>
      </c>
      <c r="D10816" s="3">
        <v>2.0</v>
      </c>
    </row>
    <row r="10817" ht="15.75" customHeight="1">
      <c r="A10817" s="1">
        <v>11659.0</v>
      </c>
      <c r="B10817" s="3" t="s">
        <v>10309</v>
      </c>
      <c r="C10817" s="3" t="str">
        <f>IFERROR(__xludf.DUMMYFUNCTION("GOOGLETRANSLATE(B10817,""id"",""en"")"),"['Errr', 'Mulu']")</f>
        <v>['Errr', 'Mulu']</v>
      </c>
      <c r="D10817" s="3">
        <v>1.0</v>
      </c>
    </row>
    <row r="10818" ht="15.75" customHeight="1">
      <c r="A10818" s="1">
        <v>11660.0</v>
      </c>
      <c r="B10818" s="3" t="s">
        <v>10310</v>
      </c>
      <c r="C10818" s="3" t="str">
        <f>IFERROR(__xludf.DUMMYFUNCTION("GOOGLETRANSLATE(B10818,""id"",""en"")"),"['signal', 'good', '']")</f>
        <v>['signal', 'good', '']</v>
      </c>
      <c r="D10818" s="3">
        <v>1.0</v>
      </c>
    </row>
    <row r="10819" ht="15.75" customHeight="1">
      <c r="A10819" s="1">
        <v>11661.0</v>
      </c>
      <c r="B10819" s="3" t="s">
        <v>10311</v>
      </c>
      <c r="C10819" s="3" t="str">
        <f>IFERROR(__xludf.DUMMYFUNCTION("GOOGLETRANSLATE(B10819,""id"",""en"")"),"['UDH', 'Use', 'APK', 'Constraints',' Yesterday ',' Buy ',' Package ',' Credit ',' Method ',' Payment ',' Shopeepay ',' Available ',' MethodArtooking ',' Credit ',' Indomaret ',' Please ',' Telkomsel ',' Love ',' Explanation ',' Method ',' Payment ',' Eli"&amp;"minated ',' APK ',' Error ',' Karna ' , 'Updated', '']")</f>
        <v>['UDH', 'Use', 'APK', 'Constraints',' Yesterday ',' Buy ',' Package ',' Credit ',' Method ',' Payment ',' Shopeepay ',' Available ',' MethodArtooking ',' Credit ',' Indomaret ',' Please ',' Telkomsel ',' Love ',' Explanation ',' Method ',' Payment ',' Eliminated ',' APK ',' Error ',' Karna ' , 'Updated', '']</v>
      </c>
      <c r="D10819" s="3">
        <v>2.0</v>
      </c>
    </row>
    <row r="10820" ht="15.75" customHeight="1">
      <c r="A10820" s="1">
        <v>11662.0</v>
      </c>
      <c r="B10820" s="3" t="s">
        <v>10312</v>
      </c>
      <c r="C10820" s="3" t="str">
        <f>IFERROR(__xludf.DUMMYFUNCTION("GOOGLETRANSLATE(B10820,""id"",""en"")"),"['Application', 'good', 'just', 'confused']")</f>
        <v>['Application', 'good', 'just', 'confused']</v>
      </c>
      <c r="D10820" s="3">
        <v>5.0</v>
      </c>
    </row>
    <row r="10821" ht="15.75" customHeight="1">
      <c r="A10821" s="1">
        <v>11663.0</v>
      </c>
      <c r="B10821" s="3" t="s">
        <v>10313</v>
      </c>
      <c r="C10821" s="3" t="str">
        <f>IFERROR(__xludf.DUMMYFUNCTION("GOOGLETRANSLATE(B10821,""id"",""en"")"),"['multiply', 'gift', 'interesting']")</f>
        <v>['multiply', 'gift', 'interesting']</v>
      </c>
      <c r="D10821" s="3">
        <v>5.0</v>
      </c>
    </row>
    <row r="10822" ht="15.75" customHeight="1">
      <c r="A10822" s="1">
        <v>11664.0</v>
      </c>
      <c r="B10822" s="3" t="s">
        <v>10314</v>
      </c>
      <c r="C10822" s="3" t="str">
        <f>IFERROR(__xludf.DUMMYFUNCTION("GOOGLETRANSLATE(B10822,""id"",""en"")"),"['Good', 'pisan']")</f>
        <v>['Good', 'pisan']</v>
      </c>
      <c r="D10822" s="3">
        <v>5.0</v>
      </c>
    </row>
    <row r="10823" ht="15.75" customHeight="1">
      <c r="A10823" s="1">
        <v>11665.0</v>
      </c>
      <c r="B10823" s="3" t="s">
        <v>10315</v>
      </c>
      <c r="C10823" s="3" t="str">
        <f>IFERROR(__xludf.DUMMYFUNCTION("GOOGLETRANSLATE(B10823,""id"",""en"")"),"['Disappointed', 'really', 'method', 'payment', 'ewallet', 'NGK', '']")</f>
        <v>['Disappointed', 'really', 'method', 'payment', 'ewallet', 'NGK', '']</v>
      </c>
      <c r="D10823" s="3">
        <v>1.0</v>
      </c>
    </row>
    <row r="10824" ht="15.75" customHeight="1">
      <c r="A10824" s="1">
        <v>11666.0</v>
      </c>
      <c r="B10824" s="3" t="s">
        <v>10316</v>
      </c>
      <c r="C10824" s="3" t="str">
        <f>IFERROR(__xludf.DUMMYFUNCTION("GOOGLETRANSLATE(B10824,""id"",""en"")"),"['network', 'Telkomsel', 'dilapidated', 'in the city', 'Medan', 'difficult', 'network', 'satisfied', 'make', 'Telkomsel', 'price', 'expensive', ' quality ',' zero ']")</f>
        <v>['network', 'Telkomsel', 'dilapidated', 'in the city', 'Medan', 'difficult', 'network', 'satisfied', 'make', 'Telkomsel', 'price', 'expensive', ' quality ',' zero ']</v>
      </c>
      <c r="D10824" s="3">
        <v>1.0</v>
      </c>
    </row>
    <row r="10825" ht="15.75" customHeight="1">
      <c r="A10825" s="1">
        <v>11667.0</v>
      </c>
      <c r="B10825" s="3" t="s">
        <v>10317</v>
      </c>
      <c r="C10825" s="3" t="str">
        <f>IFERROR(__xludf.DUMMYFUNCTION("GOOGLETRANSLATE(B10825,""id"",""en"")"),"['expensive', 'quota', 'scorched', 'network', 'down', 'pulse', 'suck', 'just', 'customer', 'loyal', 'buy', 'Telkomsel']")</f>
        <v>['expensive', 'quota', 'scorched', 'network', 'down', 'pulse', 'suck', 'just', 'customer', 'loyal', 'buy', 'Telkomsel']</v>
      </c>
      <c r="D10825" s="3">
        <v>1.0</v>
      </c>
    </row>
    <row r="10826" ht="15.75" customHeight="1">
      <c r="A10826" s="1">
        <v>11668.0</v>
      </c>
      <c r="B10826" s="3" t="s">
        <v>10318</v>
      </c>
      <c r="C10826" s="3" t="str">
        <f>IFERROR(__xludf.DUMMYFUNCTION("GOOGLETRANSLATE(B10826,""id"",""en"")"),"['The network', 'Makassar', 'ugly', 'Lost', 'Indosat', 'Fix', 'Network', 'Klau', 'customer', 'Raying', 'buy', 'quota', ' Telkomsel ',' poor ',' poor ',' ']")</f>
        <v>['The network', 'Makassar', 'ugly', 'Lost', 'Indosat', 'Fix', 'Network', 'Klau', 'customer', 'Raying', 'buy', 'quota', ' Telkomsel ',' poor ',' poor ',' ']</v>
      </c>
      <c r="D10826" s="3">
        <v>1.0</v>
      </c>
    </row>
    <row r="10827" ht="15.75" customHeight="1">
      <c r="A10827" s="1">
        <v>11670.0</v>
      </c>
      <c r="B10827" s="3" t="s">
        <v>3616</v>
      </c>
      <c r="C10827" s="3" t="str">
        <f>IFERROR(__xludf.DUMMYFUNCTION("GOOGLETRANSLATE(B10827,""id"",""en"")"),"['application', 'good']")</f>
        <v>['application', 'good']</v>
      </c>
      <c r="D10827" s="3">
        <v>5.0</v>
      </c>
    </row>
    <row r="10828" ht="15.75" customHeight="1">
      <c r="A10828" s="1">
        <v>11671.0</v>
      </c>
      <c r="B10828" s="3" t="s">
        <v>10319</v>
      </c>
      <c r="C10828" s="3" t="str">
        <f>IFERROR(__xludf.DUMMYFUNCTION("GOOGLETRANSLATE(B10828,""id"",""en"")"),"['Purchase', 'credit', 'problematic', 'buy', 'pulse', 'clock', 'pending', 'service', 'hrs',' wear ',' pulse ',' best ',' Taunya ', ""]")</f>
        <v>['Purchase', 'credit', 'problematic', 'buy', 'pulse', 'clock', 'pending', 'service', 'hrs',' wear ',' pulse ',' best ',' Taunya ', "]</v>
      </c>
      <c r="D10828" s="3">
        <v>1.0</v>
      </c>
    </row>
    <row r="10829" ht="15.75" customHeight="1">
      <c r="A10829" s="1">
        <v>11672.0</v>
      </c>
      <c r="B10829" s="3" t="s">
        <v>10320</v>
      </c>
      <c r="C10829" s="3" t="str">
        <f>IFERROR(__xludf.DUMMYFUNCTION("GOOGLETRANSLATE(B10829,""id"",""en"")"),"['application', 'MyTelkomsel', 'easy', 'buy', 'package', 'data']")</f>
        <v>['application', 'MyTelkomsel', 'easy', 'buy', 'package', 'data']</v>
      </c>
      <c r="D10829" s="3">
        <v>5.0</v>
      </c>
    </row>
    <row r="10830" ht="15.75" customHeight="1">
      <c r="A10830" s="1">
        <v>11673.0</v>
      </c>
      <c r="B10830" s="3" t="s">
        <v>10321</v>
      </c>
      <c r="C10830" s="3" t="str">
        <f>IFERROR(__xludf.DUMMYFUNCTION("GOOGLETRANSLATE(B10830,""id"",""en"")"),"['Disappointed', 'Pay', 'Credit', 'Link', 'Image', 'DANCOK']")</f>
        <v>['Disappointed', 'Pay', 'Credit', 'Link', 'Image', 'DANCOK']</v>
      </c>
      <c r="D10830" s="3">
        <v>1.0</v>
      </c>
    </row>
    <row r="10831" ht="15.75" customHeight="1">
      <c r="A10831" s="1">
        <v>11674.0</v>
      </c>
      <c r="B10831" s="3" t="s">
        <v>10322</v>
      </c>
      <c r="C10831" s="3" t="str">
        <f>IFERROR(__xludf.DUMMYFUNCTION("GOOGLETRANSLATE(B10831,""id"",""en"")"),"['Purchase', 'package', 'ewallet', '']")</f>
        <v>['Purchase', 'package', 'ewallet', '']</v>
      </c>
      <c r="D10831" s="3">
        <v>4.0</v>
      </c>
    </row>
    <row r="10832" ht="15.75" customHeight="1">
      <c r="A10832" s="1">
        <v>11675.0</v>
      </c>
      <c r="B10832" s="3" t="s">
        <v>10323</v>
      </c>
      <c r="C10832" s="3" t="str">
        <f>IFERROR(__xludf.DUMMYFUNCTION("GOOGLETRANSLATE(B10832,""id"",""en"")"),"['process', 'purchase', 'quota', 'slow', 'pulse', 'main', 'finished', 'sucked', 'first', 'quota', 'bought']")</f>
        <v>['process', 'purchase', 'quota', 'slow', 'pulse', 'main', 'finished', 'sucked', 'first', 'quota', 'bought']</v>
      </c>
      <c r="D10832" s="3">
        <v>1.0</v>
      </c>
    </row>
    <row r="10833" ht="15.75" customHeight="1">
      <c r="A10833" s="1">
        <v>11676.0</v>
      </c>
      <c r="B10833" s="3" t="s">
        <v>10324</v>
      </c>
      <c r="C10833" s="3" t="str">
        <f>IFERROR(__xludf.DUMMYFUNCTION("GOOGLETRANSLATE(B10833,""id"",""en"")"),"['pig', 'you', 'slow', 'sllu', '']")</f>
        <v>['pig', 'you', 'slow', 'sllu', '']</v>
      </c>
      <c r="D10833" s="3">
        <v>3.0</v>
      </c>
    </row>
    <row r="10834" ht="15.75" customHeight="1">
      <c r="A10834" s="1">
        <v>11677.0</v>
      </c>
      <c r="B10834" s="3" t="s">
        <v>10325</v>
      </c>
      <c r="C10834" s="3" t="str">
        <f>IFERROR(__xludf.DUMMYFUNCTION("GOOGLETRANSLATE(B10834,""id"",""en"")"),"['Internet', 'Lemoot', 'Urgen', 'Muter', 'Doang']")</f>
        <v>['Internet', 'Lemoot', 'Urgen', 'Muter', 'Doang']</v>
      </c>
      <c r="D10834" s="3">
        <v>3.0</v>
      </c>
    </row>
    <row r="10835" ht="15.75" customHeight="1">
      <c r="A10835" s="1">
        <v>11678.0</v>
      </c>
      <c r="B10835" s="3" t="s">
        <v>10326</v>
      </c>
      <c r="C10835" s="3" t="str">
        <f>IFERROR(__xludf.DUMMYFUNCTION("GOOGLETRANSLATE(B10835,""id"",""en"")"),"['Maintenance', 'then', '']")</f>
        <v>['Maintenance', 'then', '']</v>
      </c>
      <c r="D10835" s="3">
        <v>1.0</v>
      </c>
    </row>
    <row r="10836" ht="15.75" customHeight="1">
      <c r="A10836" s="1">
        <v>11679.0</v>
      </c>
      <c r="B10836" s="3" t="s">
        <v>10327</v>
      </c>
      <c r="C10836" s="3" t="str">
        <f>IFERROR(__xludf.DUMMYFUNCTION("GOOGLETRANSLATE(B10836,""id"",""en"")"),"['Please', 'tngah', 'malem', 'network', 'jngan', 'down', 'play', 'game', 'ping', 'trs', '']")</f>
        <v>['Please', 'tngah', 'malem', 'network', 'jngan', 'down', 'play', 'game', 'ping', 'trs', '']</v>
      </c>
      <c r="D10836" s="3">
        <v>3.0</v>
      </c>
    </row>
    <row r="10837" ht="15.75" customHeight="1">
      <c r="A10837" s="1">
        <v>11680.0</v>
      </c>
      <c r="B10837" s="3" t="s">
        <v>10328</v>
      </c>
      <c r="C10837" s="3" t="str">
        <f>IFERROR(__xludf.DUMMYFUNCTION("GOOGLETRANSLATE(B10837,""id"",""en"")"),"['Love', 'Bintang', 'DAK', 'Gift', 'Telkomsel']")</f>
        <v>['Love', 'Bintang', 'DAK', 'Gift', 'Telkomsel']</v>
      </c>
      <c r="D10837" s="3">
        <v>1.0</v>
      </c>
    </row>
    <row r="10838" ht="15.75" customHeight="1">
      <c r="A10838" s="1">
        <v>11681.0</v>
      </c>
      <c r="B10838" s="3" t="s">
        <v>10329</v>
      </c>
      <c r="C10838" s="3" t="str">
        <f>IFERROR(__xludf.DUMMYFUNCTION("GOOGLETRANSLATE(B10838,""id"",""en"")"),"['application', 'slow', 'response', 'already', 'buy', 'pulse', 'already already', 'sms', 'application', 'blm', 'appear']")</f>
        <v>['application', 'slow', 'response', 'already', 'buy', 'pulse', 'already already', 'sms', 'application', 'blm', 'appear']</v>
      </c>
      <c r="D10838" s="3">
        <v>1.0</v>
      </c>
    </row>
    <row r="10839" ht="15.75" customHeight="1">
      <c r="A10839" s="1">
        <v>11682.0</v>
      </c>
      <c r="B10839" s="3" t="s">
        <v>10330</v>
      </c>
      <c r="C10839" s="3" t="str">
        <f>IFERROR(__xludf.DUMMYFUNCTION("GOOGLETRANSLATE(B10839,""id"",""en"")"),"['Okay', 'use', 'APK', 'MyTelkomsel', 'Season', 'Very', 'Method', 'Payment', 'Gopay', 'Ovo', 'Use', 'Credit', ' used ',' Season ',' really ',' already ',' complain ',' via ',' twitter ',' number ',' CUST ',' CARE ',' Solution ',' Nge ',' Tips' , 'already'"&amp;", 'DPRAktekin', 'Tetep', '']")</f>
        <v>['Okay', 'use', 'APK', 'MyTelkomsel', 'Season', 'Very', 'Method', 'Payment', 'Gopay', 'Ovo', 'Use', 'Credit', ' used ',' Season ',' really ',' already ',' complain ',' via ',' twitter ',' number ',' CUST ',' CARE ',' Solution ',' Nge ',' Tips' , 'already', 'DPRAktekin', 'Tetep', '']</v>
      </c>
      <c r="D10839" s="3">
        <v>1.0</v>
      </c>
    </row>
    <row r="10840" ht="15.75" customHeight="1">
      <c r="A10840" s="1">
        <v>11683.0</v>
      </c>
      <c r="B10840" s="3" t="s">
        <v>10331</v>
      </c>
      <c r="C10840" s="3" t="str">
        <f>IFERROR(__xludf.DUMMYFUNCTION("GOOGLETRANSLATE(B10840,""id"",""en"")"),"['Disappointed', 'Knp', 'Buy', 'PKAET', 'ULLIMITED', 'YOUTUB', 'Opened']")</f>
        <v>['Disappointed', 'Knp', 'Buy', 'PKAET', 'ULLIMITED', 'YOUTUB', 'Opened']</v>
      </c>
      <c r="D10840" s="3">
        <v>2.0</v>
      </c>
    </row>
    <row r="10841" ht="15.75" customHeight="1">
      <c r="A10841" s="1">
        <v>11684.0</v>
      </c>
      <c r="B10841" s="3" t="s">
        <v>10332</v>
      </c>
      <c r="C10841" s="3" t="str">
        <f>IFERROR(__xludf.DUMMYFUNCTION("GOOGLETRANSLATE(B10841,""id"",""en"")"),"['Good', 'hope', 'cheap', 'boss', ""]")</f>
        <v>['Good', 'hope', 'cheap', 'boss', "]</v>
      </c>
      <c r="D10841" s="3">
        <v>5.0</v>
      </c>
    </row>
    <row r="10842" ht="15.75" customHeight="1">
      <c r="A10842" s="1">
        <v>11685.0</v>
      </c>
      <c r="B10842" s="3" t="s">
        <v>10333</v>
      </c>
      <c r="C10842" s="3" t="str">
        <f>IFERROR(__xludf.DUMMYFUNCTION("GOOGLETRANSLATE(B10842,""id"",""en"")"),"['Provider', 'international', 'network', 'rich', 'provider', 'next door', 'slow']")</f>
        <v>['Provider', 'international', 'network', 'rich', 'provider', 'next door', 'slow']</v>
      </c>
      <c r="D10842" s="3">
        <v>1.0</v>
      </c>
    </row>
    <row r="10843" ht="15.75" customHeight="1">
      <c r="A10843" s="1">
        <v>11686.0</v>
      </c>
      <c r="B10843" s="3" t="s">
        <v>10334</v>
      </c>
      <c r="C10843" s="3" t="str">
        <f>IFERROR(__xludf.DUMMYFUNCTION("GOOGLETRANSLATE(B10843,""id"",""en"")"),"['expensive', 'Telkomsel']")</f>
        <v>['expensive', 'Telkomsel']</v>
      </c>
      <c r="D10843" s="3">
        <v>2.0</v>
      </c>
    </row>
    <row r="10844" ht="15.75" customHeight="1">
      <c r="A10844" s="1">
        <v>11687.0</v>
      </c>
      <c r="B10844" s="3" t="s">
        <v>10335</v>
      </c>
      <c r="C10844" s="3" t="str">
        <f>IFERROR(__xludf.DUMMYFUNCTION("GOOGLETRANSLATE(B10844,""id"",""en"")"),"['Benefits', 'Reward', 'interesting']")</f>
        <v>['Benefits', 'Reward', 'interesting']</v>
      </c>
      <c r="D10844" s="3">
        <v>5.0</v>
      </c>
    </row>
    <row r="10845" ht="15.75" customHeight="1">
      <c r="A10845" s="1">
        <v>11688.0</v>
      </c>
      <c r="B10845" s="3" t="s">
        <v>10336</v>
      </c>
      <c r="C10845" s="3" t="str">
        <f>IFERROR(__xludf.DUMMYFUNCTION("GOOGLETRANSLATE(B10845,""id"",""en"")"),"['knp', 'buy', 'Telkomsel', 'Rada', 'expensive', 'yak', 'buy', 'card', 'prime', 'trz', 'buy', 'package', ' cheap ',' GB ',' RB ',' Card ',' Telkom ',' SLLU ',' buy ',' Telkomsel ',' GB ',' RB ',' RB ',' BGD ',' RB ' , 'already', 'loyal', 'card', 'Telkomse"&amp;"l', 'diksih', 'price', 'special', 'cheap', 'drpd', 'buy', 'card', 'luck', ' network ',' good ',' huh ',' ugly ',' psti ',' bnyak ',' switch ',' poor ',' telkomsel ']")</f>
        <v>['knp', 'buy', 'Telkomsel', 'Rada', 'expensive', 'yak', 'buy', 'card', 'prime', 'trz', 'buy', 'package', ' cheap ',' GB ',' RB ',' Card ',' Telkom ',' SLLU ',' buy ',' Telkomsel ',' GB ',' RB ',' RB ',' BGD ',' RB ' , 'already', 'loyal', 'card', 'Telkomsel', 'diksih', 'price', 'special', 'cheap', 'drpd', 'buy', 'card', 'luck', ' network ',' good ',' huh ',' ugly ',' psti ',' bnyak ',' switch ',' poor ',' telkomsel ']</v>
      </c>
      <c r="D10845" s="3">
        <v>3.0</v>
      </c>
    </row>
    <row r="10846" ht="15.75" customHeight="1">
      <c r="A10846" s="1">
        <v>11689.0</v>
      </c>
      <c r="B10846" s="3" t="s">
        <v>10337</v>
      </c>
      <c r="C10846" s="3" t="str">
        <f>IFERROR(__xludf.DUMMYFUNCTION("GOOGLETRANSLATE(B10846,""id"",""en"")"),"['Since', 'card', 'card', 'Hello', 'subscribe', 'slow', 'card', 'Hello', 'signal', 'Disconnect', 'slow', 'disappointed']")</f>
        <v>['Since', 'card', 'card', 'Hello', 'subscribe', 'slow', 'card', 'Hello', 'signal', 'Disconnect', 'slow', 'disappointed']</v>
      </c>
      <c r="D10846" s="3">
        <v>2.0</v>
      </c>
    </row>
    <row r="10847" ht="15.75" customHeight="1">
      <c r="A10847" s="1">
        <v>11690.0</v>
      </c>
      <c r="B10847" s="3" t="s">
        <v>10338</v>
      </c>
      <c r="C10847" s="3" t="str">
        <f>IFERROR(__xludf.DUMMYFUNCTION("GOOGLETRANSLATE(B10847,""id"",""en"")"),"['card', 'card', 'Telkomsel', 'connection', 'fast', 'network', 'wherever', 'diploma', 'rural', 'diesa', 'belongs',' Gardens', 'Sawitan', 'Tower', 'Transmitters',' Signal ',' Sound ',' Clearly ',' Celipon ',' Internet ',' Tetep ',' Fast ',' Signal ',' Sila"&amp;"yar ' , 'just', 'smooth', 'donating', 'Fail', 'application', 'suits', 'price', 'quality', 'trimakasih', 'Telkomsel']")</f>
        <v>['card', 'card', 'Telkomsel', 'connection', 'fast', 'network', 'wherever', 'diploma', 'rural', 'diesa', 'belongs',' Gardens', 'Sawitan', 'Tower', 'Transmitters',' Signal ',' Sound ',' Clearly ',' Celipon ',' Internet ',' Tetep ',' Fast ',' Signal ',' Silayar ' , 'just', 'smooth', 'donating', 'Fail', 'application', 'suits', 'price', 'quality', 'trimakasih', 'Telkomsel']</v>
      </c>
      <c r="D10847" s="3">
        <v>5.0</v>
      </c>
    </row>
    <row r="10848" ht="15.75" customHeight="1">
      <c r="A10848" s="1">
        <v>11691.0</v>
      </c>
      <c r="B10848" s="3" t="s">
        <v>7808</v>
      </c>
      <c r="C10848" s="3" t="str">
        <f>IFERROR(__xludf.DUMMYFUNCTION("GOOGLETRANSLATE(B10848,""id"",""en"")"),"['Network', 'Good']")</f>
        <v>['Network', 'Good']</v>
      </c>
      <c r="D10848" s="3">
        <v>5.0</v>
      </c>
    </row>
    <row r="10849" ht="15.75" customHeight="1">
      <c r="A10849" s="1">
        <v>11692.0</v>
      </c>
      <c r="B10849" s="3" t="s">
        <v>10339</v>
      </c>
      <c r="C10849" s="3" t="str">
        <f>IFERROR(__xludf.DUMMYFUNCTION("GOOGLETRANSLATE(B10849,""id"",""en"")"),"['down', 'star', 'because', 'signal', 'UDH', 'LemoOoot', '']")</f>
        <v>['down', 'star', 'because', 'signal', 'UDH', 'LemoOoot', '']</v>
      </c>
      <c r="D10849" s="3">
        <v>2.0</v>
      </c>
    </row>
    <row r="10850" ht="15.75" customHeight="1">
      <c r="A10850" s="1">
        <v>11693.0</v>
      </c>
      <c r="B10850" s="3" t="s">
        <v>10340</v>
      </c>
      <c r="C10850" s="3" t="str">
        <f>IFERROR(__xludf.DUMMYFUNCTION("GOOGLETRANSLATE(B10850,""id"",""en"")"),"['principal', 'MyTelkomsel', 'mantaaaaaaaap']")</f>
        <v>['principal', 'MyTelkomsel', 'mantaaaaaaaap']</v>
      </c>
      <c r="D10850" s="3">
        <v>5.0</v>
      </c>
    </row>
    <row r="10851" ht="15.75" customHeight="1">
      <c r="A10851" s="1">
        <v>11694.0</v>
      </c>
      <c r="B10851" s="3" t="s">
        <v>10341</v>
      </c>
      <c r="C10851" s="3" t="str">
        <f>IFERROR(__xludf.DUMMYFUNCTION("GOOGLETRANSLATE(B10851,""id"",""en"")"),"['', 'provider', 'already', 'expensive', 'slow', 'I', 'pay', 'package', 'money', 'Gara', 'I', 'Lost', 'Mulu ',' LOL ',' already ',' HR ',' Network ',' bafuk ',' maximal ',' signal ',' I ',' Sebarin ',' bad ',' signal ',' sympathy ', 'Nyelem', 'Ditelen', '"&amp;"crocodile', 'fish', 'shark', 'bodo', 'lose', 'smartfreen', 'poor']")</f>
        <v>['', 'provider', 'already', 'expensive', 'slow', 'I', 'pay', 'package', 'money', 'Gara', 'I', 'Lost', 'Mulu ',' LOL ',' already ',' HR ',' Network ',' bafuk ',' maximal ',' signal ',' I ',' Sebarin ',' bad ',' signal ',' sympathy ', 'Nyelem', 'Ditelen', 'crocodile', 'fish', 'shark', 'bodo', 'lose', 'smartfreen', 'poor']</v>
      </c>
      <c r="D10851" s="3">
        <v>1.0</v>
      </c>
    </row>
    <row r="10852" ht="15.75" customHeight="1">
      <c r="A10852" s="1">
        <v>11695.0</v>
      </c>
      <c r="B10852" s="3" t="s">
        <v>10342</v>
      </c>
      <c r="C10852" s="3" t="str">
        <f>IFERROR(__xludf.DUMMYFUNCTION("GOOGLETRANSLATE(B10852,""id"",""en"")"),"['sippp', 'satisfying']")</f>
        <v>['sippp', 'satisfying']</v>
      </c>
      <c r="D10852" s="3">
        <v>5.0</v>
      </c>
    </row>
    <row r="10853" ht="15.75" customHeight="1">
      <c r="A10853" s="1">
        <v>11697.0</v>
      </c>
      <c r="B10853" s="3" t="s">
        <v>10343</v>
      </c>
      <c r="C10853" s="3" t="str">
        <f>IFERROR(__xludf.DUMMYFUNCTION("GOOGLETRANSLATE(B10853,""id"",""en"")"),"['easy', 'help', 'convenience', 'user', 'Telkomsel']")</f>
        <v>['easy', 'help', 'convenience', 'user', 'Telkomsel']</v>
      </c>
      <c r="D10853" s="3">
        <v>3.0</v>
      </c>
    </row>
    <row r="10854" ht="15.75" customHeight="1">
      <c r="A10854" s="1">
        <v>11698.0</v>
      </c>
      <c r="B10854" s="3" t="s">
        <v>10344</v>
      </c>
      <c r="C10854" s="3" t="str">
        <f>IFERROR(__xludf.DUMMYFUNCTION("GOOGLETRANSLATE(B10854,""id"",""en"")"),"['Service', 'good', 'promo', 'quota', 'cheap', 'festive']")</f>
        <v>['Service', 'good', 'promo', 'quota', 'cheap', 'festive']</v>
      </c>
      <c r="D10854" s="3">
        <v>5.0</v>
      </c>
    </row>
    <row r="10855" ht="15.75" customHeight="1">
      <c r="A10855" s="1">
        <v>11699.0</v>
      </c>
      <c r="B10855" s="3" t="s">
        <v>10345</v>
      </c>
      <c r="C10855" s="3" t="str">
        <f>IFERROR(__xludf.DUMMYFUNCTION("GOOGLETRANSLATE(B10855,""id"",""en"")"),"['Telkomsel', 'Severe', 'bnget', 'quota', 'fast', 'abis',' see ',' facebook ',' minutes', 'quota', 'abis',' mb ',' GMNA ',' Lngsung ',' Ludes', 'Quota', 'Extortion', 'Telkomsel', 'Mending', 'Provider', 'Laen', 'Deh', ""]")</f>
        <v>['Telkomsel', 'Severe', 'bnget', 'quota', 'fast', 'abis',' see ',' facebook ',' minutes', 'quota', 'abis',' mb ',' GMNA ',' Lngsung ',' Ludes', 'Quota', 'Extortion', 'Telkomsel', 'Mending', 'Provider', 'Laen', 'Deh', "]</v>
      </c>
      <c r="D10855" s="3">
        <v>1.0</v>
      </c>
    </row>
    <row r="10856" ht="15.75" customHeight="1">
      <c r="A10856" s="1">
        <v>11700.0</v>
      </c>
      <c r="B10856" s="3" t="s">
        <v>10346</v>
      </c>
      <c r="C10856" s="3" t="str">
        <f>IFERROR(__xludf.DUMMYFUNCTION("GOOGLETRANSLATE(B10856,""id"",""en"")"),"['Unlimited', 'YouTube']")</f>
        <v>['Unlimited', 'YouTube']</v>
      </c>
      <c r="D10856" s="3">
        <v>3.0</v>
      </c>
    </row>
    <row r="10857" ht="15.75" customHeight="1">
      <c r="A10857" s="1">
        <v>11701.0</v>
      </c>
      <c r="B10857" s="3" t="s">
        <v>10347</v>
      </c>
      <c r="C10857" s="3" t="str">
        <f>IFERROR(__xludf.DUMMYFUNCTION("GOOGLETRANSLATE(B10857,""id"",""en"")"),"['like', 'application', 'easy', 'cheap', 'purchase', 'package', 'internet', 'monthly']")</f>
        <v>['like', 'application', 'easy', 'cheap', 'purchase', 'package', 'internet', 'monthly']</v>
      </c>
      <c r="D10857" s="3">
        <v>5.0</v>
      </c>
    </row>
    <row r="10858" ht="15.75" customHeight="1">
      <c r="A10858" s="1">
        <v>11702.0</v>
      </c>
      <c r="B10858" s="3" t="s">
        <v>10348</v>
      </c>
      <c r="C10858" s="3" t="str">
        <f>IFERROR(__xludf.DUMMYFUNCTION("GOOGLETRANSLATE(B10858,""id"",""en"")"),"['min', 'bonus', 'customer', 'loyal', 'point', 'exchange', '']")</f>
        <v>['min', 'bonus', 'customer', 'loyal', 'point', 'exchange', '']</v>
      </c>
      <c r="D10858" s="3">
        <v>5.0</v>
      </c>
    </row>
    <row r="10859" ht="15.75" customHeight="1">
      <c r="A10859" s="1">
        <v>11703.0</v>
      </c>
      <c r="B10859" s="3" t="s">
        <v>10349</v>
      </c>
      <c r="C10859" s="3" t="str">
        <f>IFERROR(__xludf.DUMMYFUNCTION("GOOGLETRANSLATE(B10859,""id"",""en"")"),"['KNPA', 'signal', 'Hello', 'missing', 'lost', 'stable', 'ngalir', 'data', 'already', 'whever', 'complaint', 'told', ' Wait ',' clock ',' acts']")</f>
        <v>['KNPA', 'signal', 'Hello', 'missing', 'lost', 'stable', 'ngalir', 'data', 'already', 'whever', 'complaint', 'told', ' Wait ',' clock ',' acts']</v>
      </c>
      <c r="D10859" s="3">
        <v>1.0</v>
      </c>
    </row>
    <row r="10860" ht="15.75" customHeight="1">
      <c r="A10860" s="1">
        <v>11704.0</v>
      </c>
      <c r="B10860" s="3" t="s">
        <v>10350</v>
      </c>
      <c r="C10860" s="3" t="str">
        <f>IFERROR(__xludf.DUMMYFUNCTION("GOOGLETRANSLATE(B10860,""id"",""en"")"),"['disappointing', 'contents',' pulse ',' application ',' clock ',' pulse ',' enter ',' transaction ',' history ',' order ',' appear ',' application ',' Lost ',' Where ',' Contact ',' Telkomsel ',' Process', ""]")</f>
        <v>['disappointing', 'contents',' pulse ',' application ',' clock ',' pulse ',' enter ',' transaction ',' history ',' order ',' appear ',' application ',' Lost ',' Where ',' Contact ',' Telkomsel ',' Process', "]</v>
      </c>
      <c r="D10860" s="3">
        <v>1.0</v>
      </c>
    </row>
    <row r="10861" ht="15.75" customHeight="1">
      <c r="A10861" s="1">
        <v>11705.0</v>
      </c>
      <c r="B10861" s="3" t="s">
        <v>10351</v>
      </c>
      <c r="C10861" s="3" t="str">
        <f>IFERROR(__xludf.DUMMYFUNCTION("GOOGLETRANSLATE(B10861,""id"",""en"")"),"['', 'Telkomsel', 'Region', 'Housing', 'BKD', 'Kualu', 'Riau', 'Difficult', 'Signal', 'Screen', 'Written', 'Internet', 'Activate ',' Direct ',' Changed ',' Kejaringan ',' Out ',' Difficult ',' Access', 'Internet', 'According to', 'Vision', 'Mission', 'Tel"&amp;"komsel', 'Telkomsel', 'thought', 'use', 'network', 'free', 'buy', 'pulse', 'package', 'access', 'network', '']")</f>
        <v>['', 'Telkomsel', 'Region', 'Housing', 'BKD', 'Kualu', 'Riau', 'Difficult', 'Signal', 'Screen', 'Written', 'Internet', 'Activate ',' Direct ',' Changed ',' Kejaringan ',' Out ',' Difficult ',' Access', 'Internet', 'According to', 'Vision', 'Mission', 'Telkomsel', 'Telkomsel', 'thought', 'use', 'network', 'free', 'buy', 'pulse', 'package', 'access', 'network', '']</v>
      </c>
      <c r="D10861" s="3">
        <v>1.0</v>
      </c>
    </row>
    <row r="10862" ht="15.75" customHeight="1">
      <c r="A10862" s="1">
        <v>11706.0</v>
      </c>
      <c r="B10862" s="3" t="s">
        <v>902</v>
      </c>
      <c r="C10862" s="3" t="str">
        <f>IFERROR(__xludf.DUMMYFUNCTION("GOOGLETRANSLATE(B10862,""id"",""en"")"),"['best']")</f>
        <v>['best']</v>
      </c>
      <c r="D10862" s="3">
        <v>5.0</v>
      </c>
    </row>
    <row r="10863" ht="15.75" customHeight="1">
      <c r="A10863" s="1">
        <v>11707.0</v>
      </c>
      <c r="B10863" s="3" t="s">
        <v>10352</v>
      </c>
      <c r="C10863" s="3" t="str">
        <f>IFERROR(__xludf.DUMMYFUNCTION("GOOGLETRANSLATE(B10863,""id"",""en"")"),"['Sometimes', 'signal', 'missing', 'missing', 'right', 'rain']")</f>
        <v>['Sometimes', 'signal', 'missing', 'missing', 'right', 'rain']</v>
      </c>
      <c r="D10863" s="3">
        <v>2.0</v>
      </c>
    </row>
    <row r="10864" ht="15.75" customHeight="1">
      <c r="A10864" s="1">
        <v>11708.0</v>
      </c>
      <c r="B10864" s="3" t="s">
        <v>10353</v>
      </c>
      <c r="C10864" s="3" t="str">
        <f>IFERROR(__xludf.DUMMYFUNCTION("GOOGLETRANSLATE(B10864,""id"",""en"")"),"['light', 'price', 'quota', 'pandemic', 'thank', 'love']")</f>
        <v>['light', 'price', 'quota', 'pandemic', 'thank', 'love']</v>
      </c>
      <c r="D10864" s="3">
        <v>5.0</v>
      </c>
    </row>
    <row r="10865" ht="15.75" customHeight="1">
      <c r="A10865" s="1">
        <v>11709.0</v>
      </c>
      <c r="B10865" s="3" t="s">
        <v>10354</v>
      </c>
      <c r="C10865" s="3" t="str">
        <f>IFERROR(__xludf.DUMMYFUNCTION("GOOGLETRANSLATE(B10865,""id"",""en"")"),"['Good', 'trusted']")</f>
        <v>['Good', 'trusted']</v>
      </c>
      <c r="D10865" s="3">
        <v>5.0</v>
      </c>
    </row>
    <row r="10866" ht="15.75" customHeight="1">
      <c r="A10866" s="1">
        <v>11710.0</v>
      </c>
      <c r="B10866" s="3" t="s">
        <v>1855</v>
      </c>
      <c r="C10866" s="3" t="str">
        <f>IFERROR(__xludf.DUMMYFUNCTION("GOOGLETRANSLATE(B10866,""id"",""en"")"),"['star']")</f>
        <v>['star']</v>
      </c>
      <c r="D10866" s="3">
        <v>3.0</v>
      </c>
    </row>
    <row r="10867" ht="15.75" customHeight="1">
      <c r="A10867" s="1">
        <v>11711.0</v>
      </c>
      <c r="B10867" s="3" t="s">
        <v>10355</v>
      </c>
      <c r="C10867" s="3" t="str">
        <f>IFERROR(__xludf.DUMMYFUNCTION("GOOGLETRANSLATE(B10867,""id"",""en"")"),"['', 'package', 'unlimited', 'yesterday', 'even though', 'already', 'run out', 'data', 'msi', 'open', 'youtube', 'kenpa', 'skrng ',' already ',' Tlong ',' Hold ',' Please ',' ']")</f>
        <v>['', 'package', 'unlimited', 'yesterday', 'even though', 'already', 'run out', 'data', 'msi', 'open', 'youtube', 'kenpa', 'skrng ',' already ',' Tlong ',' Hold ',' Please ',' ']</v>
      </c>
      <c r="D10867" s="3">
        <v>5.0</v>
      </c>
    </row>
    <row r="10868" ht="15.75" customHeight="1">
      <c r="A10868" s="1">
        <v>11712.0</v>
      </c>
      <c r="B10868" s="3" t="s">
        <v>10356</v>
      </c>
      <c r="C10868" s="3" t="str">
        <f>IFERROR(__xludf.DUMMYFUNCTION("GOOGLETRANSLATE(B10868,""id"",""en"")"),"['BIAT', 'card', 'child', 'anjeng', 'network', 'kayak', 'pig', 'card', 'doang', 'expensive', 'pig', 'pig']")</f>
        <v>['BIAT', 'card', 'child', 'anjeng', 'network', 'kayak', 'pig', 'card', 'doang', 'expensive', 'pig', 'pig']</v>
      </c>
      <c r="D10868" s="3">
        <v>1.0</v>
      </c>
    </row>
    <row r="10869" ht="15.75" customHeight="1">
      <c r="A10869" s="1">
        <v>11713.0</v>
      </c>
      <c r="B10869" s="3" t="s">
        <v>10357</v>
      </c>
      <c r="C10869" s="3" t="str">
        <f>IFERROR(__xludf.DUMMYFUNCTION("GOOGLETRANSLATE(B10869,""id"",""en"")"),"['Like', 'just', 'mah']")</f>
        <v>['Like', 'just', 'mah']</v>
      </c>
      <c r="D10869" s="3">
        <v>5.0</v>
      </c>
    </row>
    <row r="10870" ht="15.75" customHeight="1">
      <c r="A10870" s="1">
        <v>11714.0</v>
      </c>
      <c r="B10870" s="3" t="s">
        <v>10358</v>
      </c>
      <c r="C10870" s="3" t="str">
        <f>IFERROR(__xludf.DUMMYFUNCTION("GOOGLETRANSLATE(B10870,""id"",""en"")"),"['Signal', 'missing']")</f>
        <v>['Signal', 'missing']</v>
      </c>
      <c r="D10870" s="3">
        <v>5.0</v>
      </c>
    </row>
    <row r="10871" ht="15.75" customHeight="1">
      <c r="A10871" s="1">
        <v>11716.0</v>
      </c>
      <c r="B10871" s="3" t="s">
        <v>10359</v>
      </c>
      <c r="C10871" s="3" t="str">
        <f>IFERROR(__xludf.DUMMYFUNCTION("GOOGLETRANSLATE(B10871,""id"",""en"")"),"['It seems', 'tasty', 'APK', 'God willing', ""]")</f>
        <v>['It seems', 'tasty', 'APK', 'God willing', "]</v>
      </c>
      <c r="D10871" s="3">
        <v>4.0</v>
      </c>
    </row>
    <row r="10872" ht="15.75" customHeight="1">
      <c r="A10872" s="1">
        <v>11717.0</v>
      </c>
      <c r="B10872" s="3" t="s">
        <v>10360</v>
      </c>
      <c r="C10872" s="3" t="str">
        <f>IFERROR(__xludf.DUMMYFUNCTION("GOOGLETRANSLATE(B10872,""id"",""en"")"),"['Paketan', 'expensive', 'network', 'LELETT', 'sammpaaahh']")</f>
        <v>['Paketan', 'expensive', 'network', 'LELETT', 'sammpaaahh']</v>
      </c>
      <c r="D10872" s="3">
        <v>1.0</v>
      </c>
    </row>
    <row r="10873" ht="15.75" customHeight="1">
      <c r="A10873" s="1">
        <v>11718.0</v>
      </c>
      <c r="B10873" s="3" t="s">
        <v>10361</v>
      </c>
      <c r="C10873" s="3" t="str">
        <f>IFERROR(__xludf.DUMMYFUNCTION("GOOGLETRANSLATE(B10873,""id"",""en"")"),"['Signal', 'Telkomsel', 'smooth']")</f>
        <v>['Signal', 'Telkomsel', 'smooth']</v>
      </c>
      <c r="D10873" s="3">
        <v>5.0</v>
      </c>
    </row>
    <row r="10874" ht="15.75" customHeight="1">
      <c r="A10874" s="1">
        <v>11719.0</v>
      </c>
      <c r="B10874" s="3" t="s">
        <v>10362</v>
      </c>
      <c r="C10874" s="3" t="str">
        <f>IFERROR(__xludf.DUMMYFUNCTION("GOOGLETRANSLATE(B10874,""id"",""en"")"),"['Signal', 'slow']")</f>
        <v>['Signal', 'slow']</v>
      </c>
      <c r="D10874" s="3">
        <v>1.0</v>
      </c>
    </row>
    <row r="10875" ht="15.75" customHeight="1">
      <c r="A10875" s="1">
        <v>11720.0</v>
      </c>
      <c r="B10875" s="3" t="s">
        <v>10363</v>
      </c>
      <c r="C10875" s="3" t="str">
        <f>IFERROR(__xludf.DUMMYFUNCTION("GOOGLETRANSLATE(B10875,""id"",""en"")"),"['The application', 'most', 'menu', 'ampe', 'confused', 'make', 'voucher', 'cave', 'cave', 'redeem', 'tselpoin', 'gofood', ' Hadeh ',' Veronika ',' ']")</f>
        <v>['The application', 'most', 'menu', 'ampe', 'confused', 'make', 'voucher', 'cave', 'cave', 'redeem', 'tselpoin', 'gofood', ' Hadeh ',' Veronika ',' ']</v>
      </c>
      <c r="D10875" s="3">
        <v>3.0</v>
      </c>
    </row>
    <row r="10876" ht="15.75" customHeight="1">
      <c r="A10876" s="1">
        <v>11721.0</v>
      </c>
      <c r="B10876" s="3" t="s">
        <v>10364</v>
      </c>
      <c r="C10876" s="3" t="str">
        <f>IFERROR(__xludf.DUMMYFUNCTION("GOOGLETRANSLATE(B10876,""id"",""en"")"),"['Region', 'Sumatra', 'South', 'County', 'Muara', 'Enim', 'Please', 'Quality', 'Stability', 'Network', 'Customize', 'Price', ' Pakrt ',' internet ',' week ',' stable ',' network ',' night ']")</f>
        <v>['Region', 'Sumatra', 'South', 'County', 'Muara', 'Enim', 'Please', 'Quality', 'Stability', 'Network', 'Customize', 'Price', ' Pakrt ',' internet ',' week ',' stable ',' network ',' night ']</v>
      </c>
      <c r="D10876" s="3">
        <v>1.0</v>
      </c>
    </row>
    <row r="10877" ht="15.75" customHeight="1">
      <c r="A10877" s="1">
        <v>11722.0</v>
      </c>
      <c r="B10877" s="3" t="s">
        <v>10365</v>
      </c>
      <c r="C10877" s="3" t="str">
        <f>IFERROR(__xludf.DUMMYFUNCTION("GOOGLETRANSLATE(B10877,""id"",""en"")"),"['Rain', 'a little', 'network', 'internet', 'slow', 'hadeh']")</f>
        <v>['Rain', 'a little', 'network', 'internet', 'slow', 'hadeh']</v>
      </c>
      <c r="D10877" s="3">
        <v>1.0</v>
      </c>
    </row>
    <row r="10878" ht="15.75" customHeight="1">
      <c r="A10878" s="1">
        <v>11723.0</v>
      </c>
      <c r="B10878" s="3" t="s">
        <v>10366</v>
      </c>
      <c r="C10878" s="3" t="str">
        <f>IFERROR(__xludf.DUMMYFUNCTION("GOOGLETRANSLATE(B10878,""id"",""en"")"),"['application', 'broken', 'trying', 'enter', 'number', 'active', 'cellphone', 'link', 'enter', 'sms',' have ',' point ',' Results', 'contents',' reset ',' pulses', 'disappointed', 'application']")</f>
        <v>['application', 'broken', 'trying', 'enter', 'number', 'active', 'cellphone', 'link', 'enter', 'sms',' have ',' point ',' Results', 'contents',' reset ',' pulses', 'disappointed', 'application']</v>
      </c>
      <c r="D10878" s="3">
        <v>1.0</v>
      </c>
    </row>
    <row r="10879" ht="15.75" customHeight="1">
      <c r="A10879" s="1">
        <v>11724.0</v>
      </c>
      <c r="B10879" s="3" t="s">
        <v>10367</v>
      </c>
      <c r="C10879" s="3" t="str">
        <f>IFERROR(__xludf.DUMMYFUNCTION("GOOGLETRANSLATE(B10879,""id"",""en"")"),"['Exchange', 'Points', 'Failed', 'Points', '']")</f>
        <v>['Exchange', 'Points', 'Failed', 'Points', '']</v>
      </c>
      <c r="D10879" s="3">
        <v>1.0</v>
      </c>
    </row>
    <row r="10880" ht="15.75" customHeight="1">
      <c r="A10880" s="1">
        <v>11725.0</v>
      </c>
      <c r="B10880" s="3" t="s">
        <v>10368</v>
      </c>
      <c r="C10880" s="3" t="str">
        <f>IFERROR(__xludf.DUMMYFUNCTION("GOOGLETRANSLATE(B10880,""id"",""en"")"),"['Signal', 'Telkomsel', 'Nggk', 'Bener', 'Leet', 'Please', 'Telkomsel', 'fix', 'The network', 'so', '']")</f>
        <v>['Signal', 'Telkomsel', 'Nggk', 'Bener', 'Leet', 'Please', 'Telkomsel', 'fix', 'The network', 'so', '']</v>
      </c>
      <c r="D10880" s="3">
        <v>1.0</v>
      </c>
    </row>
    <row r="10881" ht="15.75" customHeight="1">
      <c r="A10881" s="1">
        <v>11727.0</v>
      </c>
      <c r="B10881" s="3" t="s">
        <v>10369</v>
      </c>
      <c r="C10881" s="3" t="str">
        <f>IFERROR(__xludf.DUMMYFUNCTION("GOOGLETRANSLATE(B10881,""id"",""en"")"),"['enter', 'Enter', 'number', 'cellphone', 'enter', 'ribetttt', 'soak']")</f>
        <v>['enter', 'Enter', 'number', 'cellphone', 'enter', 'ribetttt', 'soak']</v>
      </c>
      <c r="D10881" s="3">
        <v>1.0</v>
      </c>
    </row>
    <row r="10882" ht="15.75" customHeight="1">
      <c r="A10882" s="1">
        <v>11728.0</v>
      </c>
      <c r="B10882" s="3" t="s">
        <v>10370</v>
      </c>
      <c r="C10882" s="3" t="str">
        <f>IFERROR(__xludf.DUMMYFUNCTION("GOOGLETRANSLATE(B10882,""id"",""en"")"),"['Network', 'good', 'fast', 'lgi']")</f>
        <v>['Network', 'good', 'fast', 'lgi']</v>
      </c>
      <c r="D10882" s="3">
        <v>5.0</v>
      </c>
    </row>
    <row r="10883" ht="15.75" customHeight="1">
      <c r="A10883" s="1">
        <v>11729.0</v>
      </c>
      <c r="B10883" s="3" t="s">
        <v>10371</v>
      </c>
      <c r="C10883" s="3" t="str">
        <f>IFERROR(__xludf.DUMMYFUNCTION("GOOGLETRANSLATE(B10883,""id"",""en"")"),"['Mssp', 'the application', 'tks']")</f>
        <v>['Mssp', 'the application', 'tks']</v>
      </c>
      <c r="D10883" s="3">
        <v>5.0</v>
      </c>
    </row>
    <row r="10884" ht="15.75" customHeight="1">
      <c r="A10884" s="1">
        <v>11730.0</v>
      </c>
      <c r="B10884" s="3" t="s">
        <v>10372</v>
      </c>
      <c r="C10884" s="3" t="str">
        <f>IFERROR(__xludf.DUMMYFUNCTION("GOOGLETRANSLATE(B10884,""id"",""en"")"),"['Love', 'fix', 'signal', 'Telkomsel', 'morning', 'afternoon', 'signal', 'stable', 'disease', 'provider', 'attached', 'Telkomsel', ' cloudy ',' signal ',' threat ',' already ',' rent ',' banwidth ',' gausah ',' bot ']")</f>
        <v>['Love', 'fix', 'signal', 'Telkomsel', 'morning', 'afternoon', 'signal', 'stable', 'disease', 'provider', 'attached', 'Telkomsel', ' cloudy ',' signal ',' threat ',' already ',' rent ',' banwidth ',' gausah ',' bot ']</v>
      </c>
      <c r="D10884" s="3">
        <v>1.0</v>
      </c>
    </row>
    <row r="10885" ht="15.75" customHeight="1">
      <c r="A10885" s="1">
        <v>11731.0</v>
      </c>
      <c r="B10885" s="3" t="s">
        <v>4611</v>
      </c>
      <c r="C10885" s="3" t="str">
        <f>IFERROR(__xludf.DUMMYFUNCTION("GOOGLETRANSLATE(B10885,""id"",""en"")"),"['Package', 'expensive']")</f>
        <v>['Package', 'expensive']</v>
      </c>
      <c r="D10885" s="3">
        <v>1.0</v>
      </c>
    </row>
    <row r="10886" ht="15.75" customHeight="1">
      <c r="A10886" s="1">
        <v>11732.0</v>
      </c>
      <c r="B10886" s="3" t="s">
        <v>10373</v>
      </c>
      <c r="C10886" s="3" t="str">
        <f>IFERROR(__xludf.DUMMYFUNCTION("GOOGLETRANSLATE(B10886,""id"",""en"")"),"['Program', 'Promo', '']")</f>
        <v>['Program', 'Promo', '']</v>
      </c>
      <c r="D10886" s="3">
        <v>5.0</v>
      </c>
    </row>
    <row r="10887" ht="15.75" customHeight="1">
      <c r="A10887" s="1">
        <v>11734.0</v>
      </c>
      <c r="B10887" s="3" t="s">
        <v>10374</v>
      </c>
      <c r="C10887" s="3" t="str">
        <f>IFERROR(__xludf.DUMMYFUNCTION("GOOGLETRANSLATE(B10887,""id"",""en"")"),"['Package', 'Gamemax', 'Open', 'Gem', 'Package', 'Fraud', 'Loss', 'LBHIH', 'Tre', 'PKET', 'Game']")</f>
        <v>['Package', 'Gamemax', 'Open', 'Gem', 'Package', 'Fraud', 'Loss', 'LBHIH', 'Tre', 'PKET', 'Game']</v>
      </c>
      <c r="D10887" s="3">
        <v>1.0</v>
      </c>
    </row>
    <row r="10888" ht="15.75" customHeight="1">
      <c r="A10888" s="1">
        <v>11735.0</v>
      </c>
      <c r="B10888" s="3" t="s">
        <v>10375</v>
      </c>
      <c r="C10888" s="3" t="str">
        <f>IFERROR(__xludf.DUMMYFUNCTION("GOOGLETRANSLATE(B10888,""id"",""en"")"),"['apk', 'help', ""]")</f>
        <v>['apk', 'help', "]</v>
      </c>
      <c r="D10888" s="3">
        <v>5.0</v>
      </c>
    </row>
    <row r="10889" ht="15.75" customHeight="1">
      <c r="A10889" s="1">
        <v>11736.0</v>
      </c>
      <c r="B10889" s="3" t="s">
        <v>10376</v>
      </c>
      <c r="C10889" s="3" t="str">
        <f>IFERROR(__xludf.DUMMYFUNCTION("GOOGLETRANSLATE(B10889,""id"",""en"")"),"['Telkomsel', 'signal']")</f>
        <v>['Telkomsel', 'signal']</v>
      </c>
      <c r="D10889" s="3">
        <v>1.0</v>
      </c>
    </row>
    <row r="10890" ht="15.75" customHeight="1">
      <c r="A10890" s="1">
        <v>11737.0</v>
      </c>
      <c r="B10890" s="3" t="s">
        <v>10377</v>
      </c>
      <c r="C10890" s="3" t="str">
        <f>IFERROR(__xludf.DUMMYFUNCTION("GOOGLETRANSLATE(B10890,""id"",""en"")"),"['trimakasih', 'Telkomsel', 'easy', 'fast', 'transact', '']")</f>
        <v>['trimakasih', 'Telkomsel', 'easy', 'fast', 'transact', '']</v>
      </c>
      <c r="D10890" s="3">
        <v>5.0</v>
      </c>
    </row>
    <row r="10891" ht="15.75" customHeight="1">
      <c r="A10891" s="1">
        <v>11738.0</v>
      </c>
      <c r="B10891" s="3" t="s">
        <v>10378</v>
      </c>
      <c r="C10891" s="3" t="str">
        <f>IFERROR(__xludf.DUMMYFUNCTION("GOOGLETRANSLATE(B10891,""id"",""en"")"),"['Sngat', 'help']")</f>
        <v>['Sngat', 'help']</v>
      </c>
      <c r="D10891" s="3">
        <v>2.0</v>
      </c>
    </row>
    <row r="10892" ht="15.75" customHeight="1">
      <c r="A10892" s="1">
        <v>11739.0</v>
      </c>
      <c r="B10892" s="3" t="s">
        <v>10379</v>
      </c>
      <c r="C10892" s="3" t="str">
        <f>IFERROR(__xludf.DUMMYFUNCTION("GOOGLETRANSLATE(B10892,""id"",""en"")"),"['signal', 'woy', 'package', 'expensive', 'signal', 'crash']")</f>
        <v>['signal', 'woy', 'package', 'expensive', 'signal', 'crash']</v>
      </c>
      <c r="D10892" s="3">
        <v>1.0</v>
      </c>
    </row>
    <row r="10893" ht="15.75" customHeight="1">
      <c r="A10893" s="1">
        <v>11740.0</v>
      </c>
      <c r="B10893" s="3" t="s">
        <v>10380</v>
      </c>
      <c r="C10893" s="3" t="str">
        <f>IFERROR(__xludf.DUMMYFUNCTION("GOOGLETRANSLATE(B10893,""id"",""en"")"),"['Good', 'easy', 'simple']")</f>
        <v>['Good', 'easy', 'simple']</v>
      </c>
      <c r="D10893" s="3">
        <v>5.0</v>
      </c>
    </row>
    <row r="10894" ht="15.75" customHeight="1">
      <c r="A10894" s="1">
        <v>11741.0</v>
      </c>
      <c r="B10894" s="3" t="s">
        <v>10381</v>
      </c>
      <c r="C10894" s="3" t="str">
        <f>IFERROR(__xludf.DUMMYFUNCTION("GOOGLETRANSLATE(B10894,""id"",""en"")"),"['Telkomtol', 'Good', 'The network', 'idiot']")</f>
        <v>['Telkomtol', 'Good', 'The network', 'idiot']</v>
      </c>
      <c r="D10894" s="3">
        <v>1.0</v>
      </c>
    </row>
    <row r="10895" ht="15.75" customHeight="1">
      <c r="A10895" s="1">
        <v>11742.0</v>
      </c>
      <c r="B10895" s="3" t="s">
        <v>1535</v>
      </c>
      <c r="C10895" s="3" t="str">
        <f>IFERROR(__xludf.DUMMYFUNCTION("GOOGLETRANSLATE(B10895,""id"",""en"")"),"['like', 'APK', '']")</f>
        <v>['like', 'APK', '']</v>
      </c>
      <c r="D10895" s="3">
        <v>4.0</v>
      </c>
    </row>
    <row r="10896" ht="15.75" customHeight="1">
      <c r="A10896" s="1">
        <v>11744.0</v>
      </c>
      <c r="B10896" s="3" t="s">
        <v>10382</v>
      </c>
      <c r="C10896" s="3" t="str">
        <f>IFERROR(__xludf.DUMMYFUNCTION("GOOGLETRANSLATE(B10896,""id"",""en"")"),"['', 'Telkomsel', 'gada', 'quota', 'cheap', 'that's', 'expensive', 'expensive', 'really']")</f>
        <v>['', 'Telkomsel', 'gada', 'quota', 'cheap', 'that's', 'expensive', 'expensive', 'really']</v>
      </c>
      <c r="D10896" s="3">
        <v>2.0</v>
      </c>
    </row>
    <row r="10897" ht="15.75" customHeight="1">
      <c r="A10897" s="1">
        <v>11745.0</v>
      </c>
      <c r="B10897" s="3" t="s">
        <v>10383</v>
      </c>
      <c r="C10897" s="3" t="str">
        <f>IFERROR(__xludf.DUMMYFUNCTION("GOOGLETRANSLATE(B10897,""id"",""en"")"),"['application', 'no', 'signal', 'Telkomsel', 'bad', 'clock', 'access',' internet ',' sometimes', 'night', 'signal', 'slow', ' Buy ',' Quota ',' Monthly ',' Sia ',' Out ',' Entrantuating ',' Please ',' Fix ',' ']")</f>
        <v>['application', 'no', 'signal', 'Telkomsel', 'bad', 'clock', 'access',' internet ',' sometimes', 'night', 'signal', 'slow', ' Buy ',' Quota ',' Monthly ',' Sia ',' Out ',' Entrantuating ',' Please ',' Fix ',' ']</v>
      </c>
      <c r="D10897" s="3">
        <v>1.0</v>
      </c>
    </row>
    <row r="10898" ht="15.75" customHeight="1">
      <c r="A10898" s="1">
        <v>11746.0</v>
      </c>
      <c r="B10898" s="3" t="s">
        <v>10384</v>
      </c>
      <c r="C10898" s="3" t="str">
        <f>IFERROR(__xludf.DUMMYFUNCTION("GOOGLETRANSLATE(B10898,""id"",""en"")"),"['app', 'use', 'condition', 'offline', 'data', 'online', 'buy', 'package', 'data', 'pulse', 'dry', 'drained', ' App ',' run ',' ']")</f>
        <v>['app', 'use', 'condition', 'offline', 'data', 'online', 'buy', 'package', 'data', 'pulse', 'dry', 'drained', ' App ',' run ',' ']</v>
      </c>
      <c r="D10898" s="3">
        <v>1.0</v>
      </c>
    </row>
    <row r="10899" ht="15.75" customHeight="1">
      <c r="A10899" s="1">
        <v>11747.0</v>
      </c>
      <c r="B10899" s="3" t="s">
        <v>10385</v>
      </c>
      <c r="C10899" s="3" t="str">
        <f>IFERROR(__xludf.DUMMYFUNCTION("GOOGLETRANSLATE(B10899,""id"",""en"")"),"['times',' Pakek ',' Package ',' Data ',' Telkomsel ',' Delicious', 'Walking', 'Network', 'ilang', 'Ngegame', 'Ngelag', 'Kayak', ' Gini ',' Customer ',' Move ',' Provider ']")</f>
        <v>['times',' Pakek ',' Package ',' Data ',' Telkomsel ',' Delicious', 'Walking', 'Network', 'ilang', 'Ngegame', 'Ngelag', 'Kayak', ' Gini ',' Customer ',' Move ',' Provider ']</v>
      </c>
      <c r="D10899" s="3">
        <v>1.0</v>
      </c>
    </row>
    <row r="10900" ht="15.75" customHeight="1">
      <c r="A10900" s="1">
        <v>11748.0</v>
      </c>
      <c r="B10900" s="3" t="s">
        <v>10386</v>
      </c>
      <c r="C10900" s="3" t="str">
        <f>IFERROR(__xludf.DUMMYFUNCTION("GOOGLETRANSLATE(B10900,""id"",""en"")"),"['Signal', 'Good', 'Kenceng', 'Zonk', 'Telkomsel', 'City', 'Sinyal', 'Severe']")</f>
        <v>['Signal', 'Good', 'Kenceng', 'Zonk', 'Telkomsel', 'City', 'Sinyal', 'Severe']</v>
      </c>
      <c r="D10900" s="3">
        <v>1.0</v>
      </c>
    </row>
    <row r="10901" ht="15.75" customHeight="1">
      <c r="A10901" s="1">
        <v>11749.0</v>
      </c>
      <c r="B10901" s="3" t="s">
        <v>10387</v>
      </c>
      <c r="C10901" s="3" t="str">
        <f>IFERROR(__xludf.DUMMYFUNCTION("GOOGLETRANSLATE(B10901,""id"",""en"")"),"['Not bad', 'yaaaa']")</f>
        <v>['Not bad', 'yaaaa']</v>
      </c>
      <c r="D10901" s="3">
        <v>3.0</v>
      </c>
    </row>
    <row r="10902" ht="15.75" customHeight="1">
      <c r="A10902" s="1">
        <v>11750.0</v>
      </c>
      <c r="B10902" s="3" t="s">
        <v>10388</v>
      </c>
      <c r="C10902" s="3" t="str">
        <f>IFERROR(__xludf.DUMMYFUNCTION("GOOGLETRANSLATE(B10902,""id"",""en"")"),"['Manatap', 'Good', 'skali']")</f>
        <v>['Manatap', 'Good', 'skali']</v>
      </c>
      <c r="D10902" s="3">
        <v>5.0</v>
      </c>
    </row>
    <row r="10903" ht="15.75" customHeight="1">
      <c r="A10903" s="1">
        <v>11752.0</v>
      </c>
      <c r="B10903" s="3" t="s">
        <v>10389</v>
      </c>
      <c r="C10903" s="3" t="str">
        <f>IFERROR(__xludf.DUMMYFUNCTION("GOOGLETRANSLATE(B10903,""id"",""en"")"),"['Price', 'expensive', 'Operated', 'Run', 'Customer', 'Telkomsel', 'Move', 'Operator', 'Please', 'Price', 'Conducting', ' ']")</f>
        <v>['Price', 'expensive', 'Operated', 'Run', 'Customer', 'Telkomsel', 'Move', 'Operator', 'Please', 'Price', 'Conducting', ' ']</v>
      </c>
      <c r="D10903" s="3">
        <v>1.0</v>
      </c>
    </row>
    <row r="10904" ht="15.75" customHeight="1">
      <c r="A10904" s="1">
        <v>11753.0</v>
      </c>
      <c r="B10904" s="3" t="s">
        <v>10390</v>
      </c>
      <c r="C10904" s="3" t="str">
        <f>IFERROR(__xludf.DUMMYFUNCTION("GOOGLETRANSLATE(B10904,""id"",""en"")"),"['Pulsely', 'Reduced', 'Package', 'Internet', '']")</f>
        <v>['Pulsely', 'Reduced', 'Package', 'Internet', '']</v>
      </c>
      <c r="D10904" s="3">
        <v>2.0</v>
      </c>
    </row>
    <row r="10905" ht="15.75" customHeight="1">
      <c r="A10905" s="1">
        <v>11754.0</v>
      </c>
      <c r="B10905" s="3" t="s">
        <v>10391</v>
      </c>
      <c r="C10905" s="3" t="str">
        <f>IFERROR(__xludf.DUMMYFUNCTION("GOOGLETRANSLATE(B10905,""id"",""en"")"),"['Telkomsel', 'hope']")</f>
        <v>['Telkomsel', 'hope']</v>
      </c>
      <c r="D10905" s="3">
        <v>5.0</v>
      </c>
    </row>
    <row r="10906" ht="15.75" customHeight="1">
      <c r="A10906" s="1">
        <v>11755.0</v>
      </c>
      <c r="B10906" s="3" t="s">
        <v>10392</v>
      </c>
      <c r="C10906" s="3" t="str">
        <f>IFERROR(__xludf.DUMMYFUNCTION("GOOGLETRANSLATE(B10906,""id"",""en"")"),"['Telkomsel', 'Network', 'slow', 'price', 'expensive', 'price', 'cheap', 'network', 'slow', 'GPP', 'expensive', 'slow', ' ']")</f>
        <v>['Telkomsel', 'Network', 'slow', 'price', 'expensive', 'price', 'cheap', 'network', 'slow', 'GPP', 'expensive', 'slow', ' ']</v>
      </c>
      <c r="D10906" s="3">
        <v>1.0</v>
      </c>
    </row>
    <row r="10907" ht="15.75" customHeight="1">
      <c r="A10907" s="1">
        <v>11757.0</v>
      </c>
      <c r="B10907" s="3" t="s">
        <v>10393</v>
      </c>
      <c r="C10907" s="3" t="str">
        <f>IFERROR(__xludf.DUMMYFUNCTION("GOOGLETRANSLATE(B10907,""id"",""en"")"),"['Please', 'cheap', 'package', '']")</f>
        <v>['Please', 'cheap', 'package', '']</v>
      </c>
      <c r="D10907" s="3">
        <v>5.0</v>
      </c>
    </row>
    <row r="10908" ht="15.75" customHeight="1">
      <c r="A10908" s="1">
        <v>11758.0</v>
      </c>
      <c r="B10908" s="3" t="s">
        <v>10394</v>
      </c>
      <c r="C10908" s="3" t="str">
        <f>IFERROR(__xludf.DUMMYFUNCTION("GOOGLETRANSLATE(B10908,""id"",""en"")"),"['Hopefully', 'Unkianya', 'Undi', 'Real']")</f>
        <v>['Hopefully', 'Unkianya', 'Undi', 'Real']</v>
      </c>
      <c r="D10908" s="3">
        <v>5.0</v>
      </c>
    </row>
    <row r="10909" ht="15.75" customHeight="1">
      <c r="A10909" s="1">
        <v>11759.0</v>
      </c>
      <c r="B10909" s="3" t="s">
        <v>10395</v>
      </c>
      <c r="C10909" s="3" t="str">
        <f>IFERROR(__xludf.DUMMYFUNCTION("GOOGLETRANSLATE(B10909,""id"",""en"")"),"['Delicious', 'fast', 'Ribet']")</f>
        <v>['Delicious', 'fast', 'Ribet']</v>
      </c>
      <c r="D10909" s="3">
        <v>5.0</v>
      </c>
    </row>
    <row r="10910" ht="15.75" customHeight="1">
      <c r="A10910" s="1">
        <v>11760.0</v>
      </c>
      <c r="B10910" s="3" t="s">
        <v>10396</v>
      </c>
      <c r="C10910" s="3" t="str">
        <f>IFERROR(__xludf.DUMMYFUNCTION("GOOGLETRANSLATE(B10910,""id"",""en"")"),"['Telkomsel', 'Kek', 'pulp', 'hate', 'cave', 'ngelag', ""]")</f>
        <v>['Telkomsel', 'Kek', 'pulp', 'hate', 'cave', 'ngelag', "]</v>
      </c>
      <c r="D10910" s="3">
        <v>1.0</v>
      </c>
    </row>
    <row r="10911" ht="15.75" customHeight="1">
      <c r="A10911" s="1">
        <v>11761.0</v>
      </c>
      <c r="B10911" s="3" t="s">
        <v>10397</v>
      </c>
      <c r="C10911" s="3" t="str">
        <f>IFERROR(__xludf.DUMMYFUNCTION("GOOGLETRANSLATE(B10911,""id"",""en"")"),"['Buy', 'Credit', 'Enter', 'Eat', 'Untung', 'Telkomsel', '']")</f>
        <v>['Buy', 'Credit', 'Enter', 'Eat', 'Untung', 'Telkomsel', '']</v>
      </c>
      <c r="D10911" s="3">
        <v>5.0</v>
      </c>
    </row>
    <row r="10912" ht="15.75" customHeight="1">
      <c r="A10912" s="1">
        <v>11762.0</v>
      </c>
      <c r="B10912" s="3" t="s">
        <v>10398</v>
      </c>
      <c r="C10912" s="3" t="str">
        <f>IFERROR(__xludf.DUMMYFUNCTION("GOOGLETRANSLATE(B10912,""id"",""en"")"),"['Current', 'obstacles']")</f>
        <v>['Current', 'obstacles']</v>
      </c>
      <c r="D10912" s="3">
        <v>5.0</v>
      </c>
    </row>
    <row r="10913" ht="15.75" customHeight="1">
      <c r="A10913" s="1">
        <v>11763.0</v>
      </c>
      <c r="B10913" s="3" t="s">
        <v>10399</v>
      </c>
      <c r="C10913" s="3" t="str">
        <f>IFERROR(__xludf.DUMMYFUNCTION("GOOGLETRANSLATE(B10913,""id"",""en"")"),"['PNGN', 'replace', 'Telkomsel', 'tight', 'breath', 'see', 'signal', 'signal', 'blah', 'ble', 'hadeeeeh', 'slamat', ' Stay ',' Veronica ']")</f>
        <v>['PNGN', 'replace', 'Telkomsel', 'tight', 'breath', 'see', 'signal', 'signal', 'blah', 'ble', 'hadeeeeh', 'slamat', ' Stay ',' Veronica ']</v>
      </c>
      <c r="D10913" s="3">
        <v>1.0</v>
      </c>
    </row>
    <row r="10914" ht="15.75" customHeight="1">
      <c r="A10914" s="1">
        <v>11764.0</v>
      </c>
      <c r="B10914" s="3" t="s">
        <v>10400</v>
      </c>
      <c r="C10914" s="3" t="str">
        <f>IFERROR(__xludf.DUMMYFUNCTION("GOOGLETRANSLATE(B10914,""id"",""en"")"),"['process', 'fast', 'good', '']")</f>
        <v>['process', 'fast', 'good', '']</v>
      </c>
      <c r="D10914" s="3">
        <v>5.0</v>
      </c>
    </row>
    <row r="10915" ht="15.75" customHeight="1">
      <c r="A10915" s="1">
        <v>11765.0</v>
      </c>
      <c r="B10915" s="3" t="s">
        <v>10401</v>
      </c>
      <c r="C10915" s="3" t="str">
        <f>IFERROR(__xludf.DUMMYFUNCTION("GOOGLETRANSLATE(B10915,""id"",""en"")"),"['application', 'good', 'really', 'thank you']")</f>
        <v>['application', 'good', 'really', 'thank you']</v>
      </c>
      <c r="D10915" s="3">
        <v>5.0</v>
      </c>
    </row>
    <row r="10916" ht="15.75" customHeight="1">
      <c r="A10916" s="1">
        <v>11766.0</v>
      </c>
      <c r="B10916" s="3" t="s">
        <v>10402</v>
      </c>
      <c r="C10916" s="3" t="str">
        <f>IFERROR(__xludf.DUMMYFUNCTION("GOOGLETRANSLATE(B10916,""id"",""en"")"),"['Out', 'Install', 'Telkomsel', 'quota', 'GB', 'RB', 'MLH', 'Kantel']")</f>
        <v>['Out', 'Install', 'Telkomsel', 'quota', 'GB', 'RB', 'MLH', 'Kantel']</v>
      </c>
      <c r="D10916" s="3">
        <v>1.0</v>
      </c>
    </row>
    <row r="10917" ht="15.75" customHeight="1">
      <c r="A10917" s="1">
        <v>11767.0</v>
      </c>
      <c r="B10917" s="3" t="s">
        <v>10403</v>
      </c>
      <c r="C10917" s="3" t="str">
        <f>IFERROR(__xludf.DUMMYFUNCTION("GOOGLETRANSLATE(B10917,""id"",""en"")"),"['Simcardku', 'Telkomsel', 'My Application', 'Telkomsel', 'Good', 'Signal', 'Weak', 'Special', 'Wilah', 'How', ""]")</f>
        <v>['Simcardku', 'Telkomsel', 'My Application', 'Telkomsel', 'Good', 'Signal', 'Weak', 'Special', 'Wilah', 'How', "]</v>
      </c>
      <c r="D10917" s="3">
        <v>4.0</v>
      </c>
    </row>
    <row r="10918" ht="15.75" customHeight="1">
      <c r="A10918" s="1">
        <v>11768.0</v>
      </c>
      <c r="B10918" s="3" t="s">
        <v>10404</v>
      </c>
      <c r="C10918" s="3" t="str">
        <f>IFERROR(__xludf.DUMMYFUNCTION("GOOGLETRANSLATE(B10918,""id"",""en"")"),"['Requires', 'APK', 'Underya']")</f>
        <v>['Requires', 'APK', 'Underya']</v>
      </c>
      <c r="D10918" s="3">
        <v>5.0</v>
      </c>
    </row>
    <row r="10919" ht="15.75" customHeight="1">
      <c r="A10919" s="1">
        <v>11769.0</v>
      </c>
      <c r="B10919" s="3" t="s">
        <v>10405</v>
      </c>
      <c r="C10919" s="3" t="str">
        <f>IFERROR(__xludf.DUMMYFUNCTION("GOOGLETRANSLATE(B10919,""id"",""en"")"),"['bad', 'signal', 'satisfying', '']")</f>
        <v>['bad', 'signal', 'satisfying', '']</v>
      </c>
      <c r="D10919" s="3">
        <v>1.0</v>
      </c>
    </row>
    <row r="10920" ht="15.75" customHeight="1">
      <c r="A10920" s="1">
        <v>11770.0</v>
      </c>
      <c r="B10920" s="3" t="s">
        <v>10406</v>
      </c>
      <c r="C10920" s="3" t="str">
        <f>IFERROR(__xludf.DUMMYFUNCTION("GOOGLETRANSLATE(B10920,""id"",""en"")"),"['given', 'package', 'data', 'thousand', 'week', 'disorder', 'signal', 'stable', ""]")</f>
        <v>['given', 'package', 'data', 'thousand', 'week', 'disorder', 'signal', 'stable', "]</v>
      </c>
      <c r="D10920" s="3">
        <v>5.0</v>
      </c>
    </row>
    <row r="10921" ht="15.75" customHeight="1">
      <c r="A10921" s="1">
        <v>11771.0</v>
      </c>
      <c r="B10921" s="3" t="s">
        <v>10407</v>
      </c>
      <c r="C10921" s="3" t="str">
        <f>IFERROR(__xludf.DUMMYFUNCTION("GOOGLETRANSLATE(B10921,""id"",""en"")"),"['The network', 'difficult', 'Dimna', 'smooth', 'Jaya']")</f>
        <v>['The network', 'difficult', 'Dimna', 'smooth', 'Jaya']</v>
      </c>
      <c r="D10921" s="3">
        <v>4.0</v>
      </c>
    </row>
    <row r="10922" ht="15.75" customHeight="1">
      <c r="A10922" s="1">
        <v>11772.0</v>
      </c>
      <c r="B10922" s="3" t="s">
        <v>10408</v>
      </c>
      <c r="C10922" s="3" t="str">
        <f>IFERROR(__xludf.DUMMYFUNCTION("GOOGLETRANSLATE(B10922,""id"",""en"")"),"['APK', 'Not bad', 'good', 'network', 'Telkomsel', 'ugly', 'buy', 'quota', 'dipake', 'lemootttt']")</f>
        <v>['APK', 'Not bad', 'good', 'network', 'Telkomsel', 'ugly', 'buy', 'quota', 'dipake', 'lemootttt']</v>
      </c>
      <c r="D10922" s="3">
        <v>1.0</v>
      </c>
    </row>
    <row r="10923" ht="15.75" customHeight="1">
      <c r="A10923" s="1">
        <v>11773.0</v>
      </c>
      <c r="B10923" s="3" t="s">
        <v>10409</v>
      </c>
      <c r="C10923" s="3" t="str">
        <f>IFERROR(__xludf.DUMMYFUNCTION("GOOGLETRANSLATE(B10923,""id"",""en"")"),"['', 'use', 'Telkomsel', 'Papua', 'tasty', 'Thanks', 'Telkomsel']")</f>
        <v>['', 'use', 'Telkomsel', 'Papua', 'tasty', 'Thanks', 'Telkomsel']</v>
      </c>
      <c r="D10923" s="3">
        <v>5.0</v>
      </c>
    </row>
    <row r="10924" ht="15.75" customHeight="1">
      <c r="A10924" s="1">
        <v>11774.0</v>
      </c>
      <c r="B10924" s="3" t="s">
        <v>10410</v>
      </c>
      <c r="C10924" s="3" t="str">
        <f>IFERROR(__xludf.DUMMYFUNCTION("GOOGLETRANSLATE(B10924,""id"",""en"")"),"['thank', 'love', 'Telkomsel', 'help', 'communicate', 'effective']")</f>
        <v>['thank', 'love', 'Telkomsel', 'help', 'communicate', 'effective']</v>
      </c>
      <c r="D10924" s="3">
        <v>5.0</v>
      </c>
    </row>
    <row r="10925" ht="15.75" customHeight="1">
      <c r="A10925" s="1">
        <v>11775.0</v>
      </c>
      <c r="B10925" s="3" t="s">
        <v>10411</v>
      </c>
      <c r="C10925" s="3" t="str">
        <f>IFERROR(__xludf.DUMMYFUNCTION("GOOGLETRANSLATE(B10925,""id"",""en"")"),"['purchase']")</f>
        <v>['purchase']</v>
      </c>
      <c r="D10925" s="3">
        <v>1.0</v>
      </c>
    </row>
    <row r="10926" ht="15.75" customHeight="1">
      <c r="A10926" s="1">
        <v>11777.0</v>
      </c>
      <c r="B10926" s="3" t="s">
        <v>10412</v>
      </c>
      <c r="C10926" s="3" t="str">
        <f>IFERROR(__xludf.DUMMYFUNCTION("GOOGLETRANSLATE(B10926,""id"",""en"")"),"['', 'good', '']")</f>
        <v>['', 'good', '']</v>
      </c>
      <c r="D10926" s="3">
        <v>5.0</v>
      </c>
    </row>
    <row r="10927" ht="15.75" customHeight="1">
      <c r="A10927" s="1">
        <v>11778.0</v>
      </c>
      <c r="B10927" s="3" t="s">
        <v>10413</v>
      </c>
      <c r="C10927" s="3" t="str">
        <f>IFERROR(__xludf.DUMMYFUNCTION("GOOGLETRANSLATE(B10927,""id"",""en"")"),"['application', 'Telkomsel', 'help', 'good', 'thank', 'love']")</f>
        <v>['application', 'Telkomsel', 'help', 'good', 'thank', 'love']</v>
      </c>
      <c r="D10927" s="3">
        <v>5.0</v>
      </c>
    </row>
    <row r="10928" ht="15.75" customHeight="1">
      <c r="A10928" s="1">
        <v>11779.0</v>
      </c>
      <c r="B10928" s="3" t="s">
        <v>10414</v>
      </c>
      <c r="C10928" s="3" t="str">
        <f>IFERROR(__xludf.DUMMYFUNCTION("GOOGLETRANSLATE(B10928,""id"",""en"")"),"['Network', 'sympathy', 'ugly', 'price', 'expensive', 'quality', 'noll']")</f>
        <v>['Network', 'sympathy', 'ugly', 'price', 'expensive', 'quality', 'noll']</v>
      </c>
      <c r="D10928" s="3">
        <v>1.0</v>
      </c>
    </row>
    <row r="10929" ht="15.75" customHeight="1">
      <c r="A10929" s="1">
        <v>11780.0</v>
      </c>
      <c r="B10929" s="3" t="s">
        <v>10415</v>
      </c>
      <c r="C10929" s="3" t="str">
        <f>IFERROR(__xludf.DUMMYFUNCTION("GOOGLETRANSLATE(B10929,""id"",""en"")"),"['klw', 'ngak', 'love', 'service', 'signal', 'good', 'better', 'USA', 'internet', 'expensive', 'signal', 'slow']")</f>
        <v>['klw', 'ngak', 'love', 'service', 'signal', 'good', 'better', 'USA', 'internet', 'expensive', 'signal', 'slow']</v>
      </c>
      <c r="D10929" s="3">
        <v>1.0</v>
      </c>
    </row>
    <row r="10930" ht="15.75" customHeight="1">
      <c r="A10930" s="1">
        <v>11781.0</v>
      </c>
      <c r="B10930" s="3" t="s">
        <v>10416</v>
      </c>
      <c r="C10930" s="3" t="str">
        <f>IFERROR(__xludf.DUMMYFUNCTION("GOOGLETRANSLATE(B10930,""id"",""en"")"),"['signal', 'difficult', 'bankrupt']")</f>
        <v>['signal', 'difficult', 'bankrupt']</v>
      </c>
      <c r="D10930" s="3">
        <v>1.0</v>
      </c>
    </row>
    <row r="10931" ht="15.75" customHeight="1">
      <c r="A10931" s="1">
        <v>11782.0</v>
      </c>
      <c r="B10931" s="3" t="s">
        <v>10417</v>
      </c>
      <c r="C10931" s="3" t="str">
        <f>IFERROR(__xludf.DUMMYFUNCTION("GOOGLETRANSLATE(B10931,""id"",""en"")"),"['Help', 'transact', 'bebungalal', 'application', '']")</f>
        <v>['Help', 'transact', 'bebungalal', 'application', '']</v>
      </c>
      <c r="D10931" s="3">
        <v>5.0</v>
      </c>
    </row>
    <row r="10932" ht="15.75" customHeight="1">
      <c r="A10932" s="1">
        <v>11785.0</v>
      </c>
      <c r="B10932" s="3" t="s">
        <v>10418</v>
      </c>
      <c r="C10932" s="3" t="str">
        <f>IFERROR(__xludf.DUMMYFUNCTION("GOOGLETRANSLATE(B10932,""id"",""en"")"),"['Customer', 'love', 'price', 'cheap']")</f>
        <v>['Customer', 'love', 'price', 'cheap']</v>
      </c>
      <c r="D10932" s="3">
        <v>5.0</v>
      </c>
    </row>
    <row r="10933" ht="15.75" customHeight="1">
      <c r="A10933" s="1">
        <v>11786.0</v>
      </c>
      <c r="B10933" s="3" t="s">
        <v>10419</v>
      </c>
      <c r="C10933" s="3" t="str">
        <f>IFERROR(__xludf.DUMMYFUNCTION("GOOGLETRANSLATE(B10933,""id"",""en"")"),"['Nge', 'lag', 'dog']")</f>
        <v>['Nge', 'lag', 'dog']</v>
      </c>
      <c r="D10933" s="3">
        <v>1.0</v>
      </c>
    </row>
    <row r="10934" ht="15.75" customHeight="1">
      <c r="A10934" s="1">
        <v>11787.0</v>
      </c>
      <c r="B10934" s="3" t="s">
        <v>10420</v>
      </c>
      <c r="C10934" s="3" t="str">
        <f>IFERROR(__xludf.DUMMYFUNCTION("GOOGLETRANSLATE(B10934,""id"",""en"")"),"['Application', 'Really', 'satisfying']")</f>
        <v>['Application', 'Really', 'satisfying']</v>
      </c>
      <c r="D10934" s="3">
        <v>5.0</v>
      </c>
    </row>
    <row r="10935" ht="15.75" customHeight="1">
      <c r="A10935" s="1">
        <v>11788.0</v>
      </c>
      <c r="B10935" s="3" t="s">
        <v>10421</v>
      </c>
      <c r="C10935" s="3" t="str">
        <f>IFERROR(__xludf.DUMMYFUNCTION("GOOGLETRANSLATE(B10935,""id"",""en"")"),"['signal', 'Telkomsel', 'KEK', 'NGGK', 'Bener', 'already', 'package', 'data', 'expensive', 'signal', 'broken', 'what', ' signal ',' damaged ',' reduce ',' kek ',' price ',' package ',' data ',' no ',' mhal ',' salary ',' official ']")</f>
        <v>['signal', 'Telkomsel', 'KEK', 'NGGK', 'Bener', 'already', 'package', 'data', 'expensive', 'signal', 'broken', 'what', ' signal ',' damaged ',' reduce ',' kek ',' price ',' package ',' data ',' no ',' mhal ',' salary ',' official ']</v>
      </c>
      <c r="D10935" s="3">
        <v>1.0</v>
      </c>
    </row>
    <row r="10936" ht="15.75" customHeight="1">
      <c r="A10936" s="1">
        <v>11789.0</v>
      </c>
      <c r="B10936" s="3" t="s">
        <v>10422</v>
      </c>
      <c r="C10936" s="3" t="str">
        <f>IFERROR(__xludf.DUMMYFUNCTION("GOOGLETRANSLATE(B10936,""id"",""en"")"),"['Russy', 'buy', 'package', 'internet', 'already', 'buy', 'expensive', 'expensive', 'signal', 'mulu']")</f>
        <v>['Russy', 'buy', 'package', 'internet', 'already', 'buy', 'expensive', 'expensive', 'signal', 'mulu']</v>
      </c>
      <c r="D10936" s="3">
        <v>1.0</v>
      </c>
    </row>
    <row r="10937" ht="15.75" customHeight="1">
      <c r="A10937" s="1">
        <v>11790.0</v>
      </c>
      <c r="B10937" s="3" t="s">
        <v>10423</v>
      </c>
      <c r="C10937" s="3" t="str">
        <f>IFERROR(__xludf.DUMMYFUNCTION("GOOGLETRANSLATE(B10937,""id"",""en"")"),"['Telkomsel', 'no', 'BNGSD', 'zero', 'detrimental', 'disappointing', 'price', 'doang', 'big', 'signal', 'kek', 'pulp', ' Kapok ',' a week ',' in the future ',' no ',' Linerin ',' Gwe ',' Move ',' Provider ', ""]")</f>
        <v>['Telkomsel', 'no', 'BNGSD', 'zero', 'detrimental', 'disappointing', 'price', 'doang', 'big', 'signal', 'kek', 'pulp', ' Kapok ',' a week ',' in the future ',' no ',' Linerin ',' Gwe ',' Move ',' Provider ', "]</v>
      </c>
      <c r="D10937" s="3">
        <v>1.0</v>
      </c>
    </row>
    <row r="10938" ht="15.75" customHeight="1">
      <c r="A10938" s="1">
        <v>11791.0</v>
      </c>
      <c r="B10938" s="3" t="s">
        <v>10424</v>
      </c>
      <c r="C10938" s="3" t="str">
        <f>IFERROR(__xludf.DUMMYFUNCTION("GOOGLETRANSLATE(B10938,""id"",""en"")"),"['expensive', 'GB', 'RB', 'Anjay']")</f>
        <v>['expensive', 'GB', 'RB', 'Anjay']</v>
      </c>
      <c r="D10938" s="3">
        <v>1.0</v>
      </c>
    </row>
    <row r="10939" ht="15.75" customHeight="1">
      <c r="A10939" s="1">
        <v>11792.0</v>
      </c>
      <c r="B10939" s="3" t="s">
        <v>10425</v>
      </c>
      <c r="C10939" s="3" t="str">
        <f>IFERROR(__xludf.DUMMYFUNCTION("GOOGLETRANSLATE(B10939,""id"",""en"")"),"['Please', 'package', 'emergency', 'pay', 'worth', 'pay', 'pay', 'pay', 'please', 'help']")</f>
        <v>['Please', 'package', 'emergency', 'pay', 'worth', 'pay', 'pay', 'pay', 'please', 'help']</v>
      </c>
      <c r="D10939" s="3">
        <v>4.0</v>
      </c>
    </row>
    <row r="10940" ht="15.75" customHeight="1">
      <c r="A10940" s="1">
        <v>11793.0</v>
      </c>
      <c r="B10940" s="3" t="s">
        <v>10426</v>
      </c>
      <c r="C10940" s="3" t="str">
        <f>IFERROR(__xludf.DUMMYFUNCTION("GOOGLETRANSLATE(B10940,""id"",""en"")"),"['Application', 'bestkkk']")</f>
        <v>['Application', 'bestkkk']</v>
      </c>
      <c r="D10940" s="3">
        <v>5.0</v>
      </c>
    </row>
    <row r="10941" ht="15.75" customHeight="1">
      <c r="A10941" s="1">
        <v>11794.0</v>
      </c>
      <c r="B10941" s="3" t="s">
        <v>10427</v>
      </c>
      <c r="C10941" s="3" t="str">
        <f>IFERROR(__xludf.DUMMYFUNCTION("GOOGLETRANSLATE(B10941,""id"",""en"")"),"['signal', 'ngak', 'brain', 'a year', 'nge', 'lag', 'severe', 'area', 'palembang', 'people', 'nge', 'knp', ' fish ',' shark ',' ngigit ',' cable ',' kah ',' tree ',' fell ']")</f>
        <v>['signal', 'ngak', 'brain', 'a year', 'nge', 'lag', 'severe', 'area', 'palembang', 'people', 'nge', 'knp', ' fish ',' shark ',' ngigit ',' cable ',' kah ',' tree ',' fell ']</v>
      </c>
      <c r="D10941" s="3">
        <v>1.0</v>
      </c>
    </row>
    <row r="10942" ht="15.75" customHeight="1">
      <c r="A10942" s="1">
        <v>11795.0</v>
      </c>
      <c r="B10942" s="3" t="s">
        <v>10428</v>
      </c>
      <c r="C10942" s="3" t="str">
        <f>IFERROR(__xludf.DUMMYFUNCTION("GOOGLETRANSLATE(B10942,""id"",""en"")"),"['thank', 'love', 'service', 'many years', 'Telkomindojaya', '']")</f>
        <v>['thank', 'love', 'service', 'many years', 'Telkomindojaya', '']</v>
      </c>
      <c r="D10942" s="3">
        <v>5.0</v>
      </c>
    </row>
    <row r="10943" ht="15.75" customHeight="1">
      <c r="A10943" s="1">
        <v>11796.0</v>
      </c>
      <c r="B10943" s="3" t="s">
        <v>10429</v>
      </c>
      <c r="C10943" s="3" t="str">
        <f>IFERROR(__xludf.DUMMYFUNCTION("GOOGLETRANSLATE(B10943,""id"",""en"")"),"['original', 'network', 'slow', 'severe', 'expensive', 'improvement', 'makim', 'down', 'severe', 'original', 'disappointed', 'telkom']")</f>
        <v>['original', 'network', 'slow', 'severe', 'expensive', 'improvement', 'makim', 'down', 'severe', 'original', 'disappointed', 'telkom']</v>
      </c>
      <c r="D10943" s="3">
        <v>1.0</v>
      </c>
    </row>
    <row r="10944" ht="15.75" customHeight="1">
      <c r="A10944" s="1">
        <v>11797.0</v>
      </c>
      <c r="B10944" s="3" t="s">
        <v>10430</v>
      </c>
      <c r="C10944" s="3" t="str">
        <f>IFERROR(__xludf.DUMMYFUNCTION("GOOGLETRANSLATE(B10944,""id"",""en"")"),"['ugly', 'signal', 'already', 'cloudy', 'rain', 'already', 'expensive', 'signal', 'ugly', 'customer', 'go', 'pkai', ' card ',' signal ',' boddy ',' boddy ',' ']")</f>
        <v>['ugly', 'signal', 'already', 'cloudy', 'rain', 'already', 'expensive', 'signal', 'ugly', 'customer', 'go', 'pkai', ' card ',' signal ',' boddy ',' boddy ',' ']</v>
      </c>
      <c r="D10944" s="3">
        <v>1.0</v>
      </c>
    </row>
    <row r="10945" ht="15.75" customHeight="1">
      <c r="A10945" s="1">
        <v>11798.0</v>
      </c>
      <c r="B10945" s="3" t="s">
        <v>10431</v>
      </c>
      <c r="C10945" s="3" t="str">
        <f>IFERROR(__xludf.DUMMYFUNCTION("GOOGLETRANSLATE(B10945,""id"",""en"")"),"['Pulses', 'used']")</f>
        <v>['Pulses', 'used']</v>
      </c>
      <c r="D10945" s="3">
        <v>1.0</v>
      </c>
    </row>
    <row r="10946" ht="15.75" customHeight="1">
      <c r="A10946" s="1">
        <v>11800.0</v>
      </c>
      <c r="B10946" s="3" t="s">
        <v>10432</v>
      </c>
      <c r="C10946" s="3" t="str">
        <f>IFERROR(__xludf.DUMMYFUNCTION("GOOGLETRANSLATE(B10946,""id"",""en"")"),"['The network', 'lose', 'Prov', 'every down', 'rain', 'internet', 'expensive', 'doang', 'fail', 'internet', ""]")</f>
        <v>['The network', 'lose', 'Prov', 'every down', 'rain', 'internet', 'expensive', 'doang', 'fail', 'internet', "]</v>
      </c>
      <c r="D10946" s="3">
        <v>1.0</v>
      </c>
    </row>
    <row r="10947" ht="15.75" customHeight="1">
      <c r="A10947" s="1">
        <v>11801.0</v>
      </c>
      <c r="B10947" s="3" t="s">
        <v>10433</v>
      </c>
      <c r="C10947" s="3" t="str">
        <f>IFERROR(__xludf.DUMMYFUNCTION("GOOGLETRANSLATE(B10947,""id"",""en"")"),"['Please', 'card', 'love', 'promo', 'buy', 'package', 'data']")</f>
        <v>['Please', 'card', 'love', 'promo', 'buy', 'package', 'data']</v>
      </c>
      <c r="D10947" s="3">
        <v>4.0</v>
      </c>
    </row>
    <row r="10948" ht="15.75" customHeight="1">
      <c r="A10948" s="1">
        <v>11802.0</v>
      </c>
      <c r="B10948" s="3" t="s">
        <v>10434</v>
      </c>
      <c r="C10948" s="3" t="str">
        <f>IFERROR(__xludf.DUMMYFUNCTION("GOOGLETRANSLATE(B10948,""id"",""en"")"),"['TELKOM', 'Syanh', 'Region', 'Sya', 'Sanagat', 'Slow', 'Aliyas', 'ilang', 'Sya', 'Kasi', 'Bitang', 'PPTA is']")</f>
        <v>['TELKOM', 'Syanh', 'Region', 'Sya', 'Sanagat', 'Slow', 'Aliyas', 'ilang', 'Sya', 'Kasi', 'Bitang', 'PPTA is']</v>
      </c>
      <c r="D10948" s="3">
        <v>5.0</v>
      </c>
    </row>
    <row r="10949" ht="15.75" customHeight="1">
      <c r="A10949" s="1">
        <v>11803.0</v>
      </c>
      <c r="B10949" s="3" t="s">
        <v>5324</v>
      </c>
      <c r="C10949" s="3" t="str">
        <f>IFERROR(__xludf.DUMMYFUNCTION("GOOGLETRANSLATE(B10949,""id"",""en"")"),"['signal', 'strong']")</f>
        <v>['signal', 'strong']</v>
      </c>
      <c r="D10949" s="3">
        <v>4.0</v>
      </c>
    </row>
    <row r="10950" ht="15.75" customHeight="1">
      <c r="A10950" s="1">
        <v>11804.0</v>
      </c>
      <c r="B10950" s="3" t="s">
        <v>10435</v>
      </c>
      <c r="C10950" s="3" t="str">
        <f>IFERROR(__xludf.DUMMYFUNCTION("GOOGLETRANSLATE(B10950,""id"",""en"")"),"['quality', 'network', 'hope', 'repaired']")</f>
        <v>['quality', 'network', 'hope', 'repaired']</v>
      </c>
      <c r="D10950" s="3">
        <v>2.0</v>
      </c>
    </row>
    <row r="10951" ht="15.75" customHeight="1">
      <c r="A10951" s="1">
        <v>11805.0</v>
      </c>
      <c r="B10951" s="3" t="s">
        <v>10436</v>
      </c>
      <c r="C10951" s="3" t="str">
        <f>IFERROR(__xludf.DUMMYFUNCTION("GOOGLETRANSLATE(B10951,""id"",""en"")"),"['Telkomsel', 'skrg', 'slow']")</f>
        <v>['Telkomsel', 'skrg', 'slow']</v>
      </c>
      <c r="D10951" s="3">
        <v>4.0</v>
      </c>
    </row>
    <row r="10952" ht="15.75" customHeight="1">
      <c r="A10952" s="1">
        <v>11807.0</v>
      </c>
      <c r="B10952" s="3" t="s">
        <v>10437</v>
      </c>
      <c r="C10952" s="3" t="str">
        <f>IFERROR(__xludf.DUMMYFUNCTION("GOOGLETRANSLATE(B10952,""id"",""en"")"),"['Good', 'really', 'package', 'cheap', '']")</f>
        <v>['Good', 'really', 'package', 'cheap', '']</v>
      </c>
      <c r="D10952" s="3">
        <v>5.0</v>
      </c>
    </row>
    <row r="10953" ht="15.75" customHeight="1">
      <c r="A10953" s="1">
        <v>11808.0</v>
      </c>
      <c r="B10953" s="3" t="s">
        <v>7859</v>
      </c>
      <c r="C10953" s="3" t="str">
        <f>IFERROR(__xludf.DUMMYFUNCTION("GOOGLETRANSLATE(B10953,""id"",""en"")"),"['Not bad', 'help', ""]")</f>
        <v>['Not bad', 'help', "]</v>
      </c>
      <c r="D10953" s="3">
        <v>4.0</v>
      </c>
    </row>
    <row r="10954" ht="15.75" customHeight="1">
      <c r="A10954" s="1">
        <v>11809.0</v>
      </c>
      <c r="B10954" s="3" t="s">
        <v>10438</v>
      </c>
      <c r="C10954" s="3" t="str">
        <f>IFERROR(__xludf.DUMMYFUNCTION("GOOGLETRANSLATE(B10954,""id"",""en"")"),"['', 'good', 'my money', 'take', 'pulses', 'enter']")</f>
        <v>['', 'good', 'my money', 'take', 'pulses', 'enter']</v>
      </c>
      <c r="D10954" s="3">
        <v>1.0</v>
      </c>
    </row>
    <row r="10955" ht="15.75" customHeight="1">
      <c r="A10955" s="1">
        <v>11810.0</v>
      </c>
      <c r="B10955" s="3" t="s">
        <v>10439</v>
      </c>
      <c r="C10955" s="3" t="str">
        <f>IFERROR(__xludf.DUMMYFUNCTION("GOOGLETRANSLATE(B10955,""id"",""en"")"),"['application', 'makes it easy', 'transaction', 'save', 'Telkomsel', 'best']")</f>
        <v>['application', 'makes it easy', 'transaction', 'save', 'Telkomsel', 'best']</v>
      </c>
      <c r="D10955" s="3">
        <v>5.0</v>
      </c>
    </row>
    <row r="10956" ht="15.75" customHeight="1">
      <c r="A10956" s="1">
        <v>11811.0</v>
      </c>
      <c r="B10956" s="3" t="s">
        <v>10440</v>
      </c>
      <c r="C10956" s="3" t="str">
        <f>IFERROR(__xludf.DUMMYFUNCTION("GOOGLETRANSLATE(B10956,""id"",""en"")"),"['transaction', 'accept', 'balance', 'funds', 'already', 'cheek', 'pulse', 'enter', 'clock', 'please', ""]")</f>
        <v>['transaction', 'accept', 'balance', 'funds', 'already', 'cheek', 'pulse', 'enter', 'clock', 'please', "]</v>
      </c>
      <c r="D10956" s="3">
        <v>2.0</v>
      </c>
    </row>
    <row r="10957" ht="15.75" customHeight="1">
      <c r="A10957" s="1">
        <v>11812.0</v>
      </c>
      <c r="B10957" s="3" t="s">
        <v>10441</v>
      </c>
      <c r="C10957" s="3" t="str">
        <f>IFERROR(__xludf.DUMMYFUNCTION("GOOGLETRANSLATE(B10957,""id"",""en"")"),"['Please', 'Package', 'Extra', 'Unlimited', 'Application', 'Twiiter', 'Enter', 'Twitter', 'sosmed', ""]")</f>
        <v>['Please', 'Package', 'Extra', 'Unlimited', 'Application', 'Twiiter', 'Enter', 'Twitter', 'sosmed', "]</v>
      </c>
      <c r="D10957" s="3">
        <v>2.0</v>
      </c>
    </row>
    <row r="10958" ht="15.75" customHeight="1">
      <c r="A10958" s="1">
        <v>11814.0</v>
      </c>
      <c r="B10958" s="3" t="s">
        <v>10442</v>
      </c>
      <c r="C10958" s="3" t="str">
        <f>IFERROR(__xludf.DUMMYFUNCTION("GOOGLETRANSLATE(B10958,""id"",""en"")"),"['promo', 'bad', 'use', 'combo', 'sakti', 'skrng', 'program', 'remove', 'times',' use ',' Telkomsel ',' package ',' data']")</f>
        <v>['promo', 'bad', 'use', 'combo', 'sakti', 'skrng', 'program', 'remove', 'times',' use ',' Telkomsel ',' package ',' data']</v>
      </c>
      <c r="D10958" s="3">
        <v>1.0</v>
      </c>
    </row>
    <row r="10959" ht="15.75" customHeight="1">
      <c r="A10959" s="1">
        <v>11815.0</v>
      </c>
      <c r="B10959" s="3" t="s">
        <v>6258</v>
      </c>
      <c r="C10959" s="3" t="str">
        <f>IFERROR(__xludf.DUMMYFUNCTION("GOOGLETRANSLATE(B10959,""id"",""en"")"),"['satisfied']")</f>
        <v>['satisfied']</v>
      </c>
      <c r="D10959" s="3">
        <v>5.0</v>
      </c>
    </row>
    <row r="10960" ht="15.75" customHeight="1">
      <c r="A10960" s="1">
        <v>11816.0</v>
      </c>
      <c r="B10960" s="3" t="s">
        <v>10443</v>
      </c>
      <c r="C10960" s="3" t="str">
        <f>IFERROR(__xludf.DUMMYFUNCTION("GOOGLETRANSLATE(B10960,""id"",""en"")"),"['buy', 'quota', 'Telkomsel', 'transaction', 'gopay', 'right', 'already', 'finished', 'transaction', 'quota', 'enter', 'balance', ' Gopay ',' already ',' reduced ',' solution ',' what ',' balance ',' Gopay ', ""]")</f>
        <v>['buy', 'quota', 'Telkomsel', 'transaction', 'gopay', 'right', 'already', 'finished', 'transaction', 'quota', 'enter', 'balance', ' Gopay ',' already ',' reduced ',' solution ',' what ',' balance ',' Gopay ', "]</v>
      </c>
      <c r="D10960" s="3">
        <v>1.0</v>
      </c>
    </row>
    <row r="10961" ht="15.75" customHeight="1">
      <c r="A10961" s="1">
        <v>11817.0</v>
      </c>
      <c r="B10961" s="3" t="s">
        <v>10444</v>
      </c>
      <c r="C10961" s="3" t="str">
        <f>IFERROR(__xludf.DUMMYFUNCTION("GOOGLETRANSLATE(B10961,""id"",""en"")"),"['expensive', 'usage', 'quota', 'boss', ""]")</f>
        <v>['expensive', 'usage', 'quota', 'boss', "]</v>
      </c>
      <c r="D10961" s="3">
        <v>3.0</v>
      </c>
    </row>
    <row r="10962" ht="15.75" customHeight="1">
      <c r="A10962" s="1">
        <v>11818.0</v>
      </c>
      <c r="B10962" s="3" t="s">
        <v>10445</v>
      </c>
      <c r="C10962" s="3" t="str">
        <f>IFERROR(__xludf.DUMMYFUNCTION("GOOGLETRANSLATE(B10962,""id"",""en"")"),"['Steady', 'My boss', 'Telkomsel']")</f>
        <v>['Steady', 'My boss', 'Telkomsel']</v>
      </c>
      <c r="D10962" s="3">
        <v>5.0</v>
      </c>
    </row>
    <row r="10963" ht="15.75" customHeight="1">
      <c r="A10963" s="1">
        <v>11819.0</v>
      </c>
      <c r="B10963" s="3" t="s">
        <v>10446</v>
      </c>
      <c r="C10963" s="3" t="str">
        <f>IFERROR(__xludf.DUMMYFUNCTION("GOOGLETRANSLATE(B10963,""id"",""en"")"),"['Cheap', 'easy']")</f>
        <v>['Cheap', 'easy']</v>
      </c>
      <c r="D10963" s="3">
        <v>5.0</v>
      </c>
    </row>
    <row r="10964" ht="15.75" customHeight="1">
      <c r="A10964" s="1">
        <v>11820.0</v>
      </c>
      <c r="B10964" s="3" t="s">
        <v>3576</v>
      </c>
      <c r="C10964" s="3" t="str">
        <f>IFERROR(__xludf.DUMMYFUNCTION("GOOGLETRANSLATE(B10964,""id"",""en"")"),"['It's easy', 'buy', 'package']")</f>
        <v>['It's easy', 'buy', 'package']</v>
      </c>
      <c r="D10964" s="3">
        <v>5.0</v>
      </c>
    </row>
    <row r="10965" ht="15.75" customHeight="1">
      <c r="A10965" s="1">
        <v>11821.0</v>
      </c>
      <c r="B10965" s="3" t="s">
        <v>10447</v>
      </c>
      <c r="C10965" s="3" t="str">
        <f>IFERROR(__xludf.DUMMYFUNCTION("GOOGLETRANSLATE(B10965,""id"",""en"")"),"['', 'Try', 'lbih', 'cheap', '']")</f>
        <v>['', 'Try', 'lbih', 'cheap', '']</v>
      </c>
      <c r="D10965" s="3">
        <v>4.0</v>
      </c>
    </row>
    <row r="10966" ht="15.75" customHeight="1">
      <c r="A10966" s="1">
        <v>11822.0</v>
      </c>
      <c r="B10966" s="3" t="s">
        <v>10448</v>
      </c>
      <c r="C10966" s="3" t="str">
        <f>IFERROR(__xludf.DUMMYFUNCTION("GOOGLETRANSLATE(B10966,""id"",""en"")"),"['Fill', 'voucher', 'Minute', 'drained', 'MB', 'open', 'application', 'anything', 'disappointing']")</f>
        <v>['Fill', 'voucher', 'Minute', 'drained', 'MB', 'open', 'application', 'anything', 'disappointing']</v>
      </c>
      <c r="D10966" s="3">
        <v>1.0</v>
      </c>
    </row>
    <row r="10967" ht="15.75" customHeight="1">
      <c r="A10967" s="1">
        <v>11823.0</v>
      </c>
      <c r="B10967" s="3" t="s">
        <v>10449</v>
      </c>
      <c r="C10967" s="3" t="str">
        <f>IFERROR(__xludf.DUMMYFUNCTION("GOOGLETRANSLATE(B10967,""id"",""en"")"),"['Love', 'star', 'because' slow ',' really ',' application ',' often ',' update ',' already ',' so ',' pulses ',' sumps ',' package ',' internet ',' pulse ',' already ',' buy ',' package ',' price ',' cheap ',' nyolholin ',' pulse ',' dih ',' shy ',' atuh"&amp;" ' , 'annoyed', 'kompine', 'customer', 'replied', 'use', 'templege', 'doang', 'application', 'progress',' pdhal ',' update ',' BUMN ',' Indonesia ',' Gini ',' Deh ',' Hadehh ', ""]")</f>
        <v>['Love', 'star', 'because' slow ',' really ',' application ',' often ',' update ',' already ',' so ',' pulses ',' sumps ',' package ',' internet ',' pulse ',' already ',' buy ',' package ',' price ',' cheap ',' nyolholin ',' pulse ',' dih ',' shy ',' atuh ' , 'annoyed', 'kompine', 'customer', 'replied', 'use', 'templege', 'doang', 'application', 'progress',' pdhal ',' update ',' BUMN ',' Indonesia ',' Gini ',' Deh ',' Hadehh ', "]</v>
      </c>
      <c r="D10967" s="3">
        <v>1.0</v>
      </c>
    </row>
    <row r="10968" ht="15.75" customHeight="1">
      <c r="A10968" s="1">
        <v>11824.0</v>
      </c>
      <c r="B10968" s="3" t="s">
        <v>10450</v>
      </c>
      <c r="C10968" s="3" t="str">
        <f>IFERROR(__xludf.DUMMYFUNCTION("GOOGLETRANSLATE(B10968,""id"",""en"")"),"['Slalu', 'best']")</f>
        <v>['Slalu', 'best']</v>
      </c>
      <c r="D10968" s="3">
        <v>5.0</v>
      </c>
    </row>
    <row r="10969" ht="15.75" customHeight="1">
      <c r="A10969" s="1">
        <v>11825.0</v>
      </c>
      <c r="B10969" s="3" t="s">
        <v>10451</v>
      </c>
      <c r="C10969" s="3" t="str">
        <f>IFERROR(__xludf.DUMMYFUNCTION("GOOGLETRANSLATE(B10969,""id"",""en"")"),"['Buy', 'Package', 'Telkomsel', 'Written', 'Check', 'Connection', 'Internet', 'Signal', 'Internet', 'Watch', 'YouTube', 'Current', ' ']")</f>
        <v>['Buy', 'Package', 'Telkomsel', 'Written', 'Check', 'Connection', 'Internet', 'Signal', 'Internet', 'Watch', 'YouTube', 'Current', ' ']</v>
      </c>
      <c r="D10969" s="3">
        <v>1.0</v>
      </c>
    </row>
    <row r="10970" ht="15.75" customHeight="1">
      <c r="A10970" s="1">
        <v>11826.0</v>
      </c>
      <c r="B10970" s="3" t="s">
        <v>10452</v>
      </c>
      <c r="C10970" s="3" t="str">
        <f>IFERROR(__xludf.DUMMYFUNCTION("GOOGLETRANSLATE(B10970,""id"",""en"")"),"['Step', 'fast', 'simple']")</f>
        <v>['Step', 'fast', 'simple']</v>
      </c>
      <c r="D10970" s="3">
        <v>5.0</v>
      </c>
    </row>
    <row r="10971" ht="15.75" customHeight="1">
      <c r="A10971" s="1">
        <v>11827.0</v>
      </c>
      <c r="B10971" s="3" t="s">
        <v>10453</v>
      </c>
      <c r="C10971" s="3" t="str">
        <f>IFERROR(__xludf.DUMMYFUNCTION("GOOGLETRANSLATE(B10971,""id"",""en"")"),"['Simple', 'Thank', 'Love', 'Telkomsel']")</f>
        <v>['Simple', 'Thank', 'Love', 'Telkomsel']</v>
      </c>
      <c r="D10971" s="3">
        <v>5.0</v>
      </c>
    </row>
    <row r="10972" ht="15.75" customHeight="1">
      <c r="A10972" s="1">
        <v>11828.0</v>
      </c>
      <c r="B10972" s="3" t="s">
        <v>10454</v>
      </c>
      <c r="C10972" s="3" t="str">
        <f>IFERROR(__xludf.DUMMYFUNCTION("GOOGLETRANSLATE(B10972,""id"",""en"")"),"['hos', 'hope', 'can', 'pulse']")</f>
        <v>['hos', 'hope', 'can', 'pulse']</v>
      </c>
      <c r="D10972" s="3">
        <v>5.0</v>
      </c>
    </row>
    <row r="10973" ht="15.75" customHeight="1">
      <c r="A10973" s="1">
        <v>11829.0</v>
      </c>
      <c r="B10973" s="3" t="s">
        <v>10455</v>
      </c>
      <c r="C10973" s="3" t="str">
        <f>IFERROR(__xludf.DUMMYFUNCTION("GOOGLETRANSLATE(B10973,""id"",""en"")"),"['contents',' pulse ',' application ',' MyTelkomsel ',' method ',' payment ',' ovo ',' pulses', 'entry', 'ovocash', 'truncated', 'disappointed', ' really ',' service ',' internet ',' broken ',' broken ',' ngelag ',' play ',' pub ', ""]")</f>
        <v>['contents',' pulse ',' application ',' MyTelkomsel ',' method ',' payment ',' ovo ',' pulses', 'entry', 'ovocash', 'truncated', 'disappointed', ' really ',' service ',' internet ',' broken ',' broken ',' ngelag ',' play ',' pub ', "]</v>
      </c>
      <c r="D10973" s="3">
        <v>2.0</v>
      </c>
    </row>
    <row r="10974" ht="15.75" customHeight="1">
      <c r="A10974" s="1">
        <v>11830.0</v>
      </c>
      <c r="B10974" s="3" t="s">
        <v>10456</v>
      </c>
      <c r="C10974" s="3" t="str">
        <f>IFERROR(__xludf.DUMMYFUNCTION("GOOGLETRANSLATE(B10974,""id"",""en"")"),"['promo', 'interesting', 'lottery', 'interesting', 'lucky', '']")</f>
        <v>['promo', 'interesting', 'lottery', 'interesting', 'lucky', '']</v>
      </c>
      <c r="D10974" s="3">
        <v>3.0</v>
      </c>
    </row>
    <row r="10975" ht="15.75" customHeight="1">
      <c r="A10975" s="1">
        <v>11831.0</v>
      </c>
      <c r="B10975" s="3" t="s">
        <v>10457</v>
      </c>
      <c r="C10975" s="3" t="str">
        <f>IFERROR(__xludf.DUMMYFUNCTION("GOOGLETRANSLATE(B10975,""id"",""en"")"),"['Fix', 'Signal', 'Region', 'Sumatra', 'Network', 'Stable', 'Disrupted', '']")</f>
        <v>['Fix', 'Signal', 'Region', 'Sumatra', 'Network', 'Stable', 'Disrupted', '']</v>
      </c>
      <c r="D10975" s="3">
        <v>1.0</v>
      </c>
    </row>
    <row r="10976" ht="15.75" customHeight="1">
      <c r="A10976" s="1">
        <v>11833.0</v>
      </c>
      <c r="B10976" s="3" t="s">
        <v>10458</v>
      </c>
      <c r="C10976" s="3" t="str">
        <f>IFERROR(__xludf.DUMMYFUNCTION("GOOGLETRANSLATE(B10976,""id"",""en"")"),"['buy', 'quota', 'internet', 'thousand', 'application', 'enter', 'quota', 'balance', 'ovo', 'already', 'truncated', 'try', ' resolved ',' History ',' purchase ',' appears', 'application', 'strange', 'satisfying', 'app', 'bug', 'upload', ""]")</f>
        <v>['buy', 'quota', 'internet', 'thousand', 'application', 'enter', 'quota', 'balance', 'ovo', 'already', 'truncated', 'try', ' resolved ',' History ',' purchase ',' appears', 'application', 'strange', 'satisfying', 'app', 'bug', 'upload', "]</v>
      </c>
      <c r="D10976" s="3">
        <v>1.0</v>
      </c>
    </row>
    <row r="10977" ht="15.75" customHeight="1">
      <c r="A10977" s="1">
        <v>11834.0</v>
      </c>
      <c r="B10977" s="3" t="s">
        <v>10459</v>
      </c>
      <c r="C10977" s="3" t="str">
        <f>IFERROR(__xludf.DUMMYFUNCTION("GOOGLETRANSLATE(B10977,""id"",""en"")"),"['Application', 'Good', 'Useful']")</f>
        <v>['Application', 'Good', 'Useful']</v>
      </c>
      <c r="D10977" s="3">
        <v>4.0</v>
      </c>
    </row>
    <row r="10978" ht="15.75" customHeight="1">
      <c r="A10978" s="1">
        <v>11835.0</v>
      </c>
      <c r="B10978" s="3" t="s">
        <v>10460</v>
      </c>
      <c r="C10978" s="3" t="str">
        <f>IFERROR(__xludf.DUMMYFUNCTION("GOOGLETRANSLATE(B10978,""id"",""en"")"),"['Telkomsel', 'emang', 'best', 'card', 'Indonesia', 'network', 'smooth', 'love', 'star', 'staple', 'Telkomsel', ' Best ',' ']")</f>
        <v>['Telkomsel', 'emang', 'best', 'card', 'Indonesia', 'network', 'smooth', 'love', 'star', 'staple', 'Telkomsel', ' Best ',' ']</v>
      </c>
      <c r="D10978" s="3">
        <v>5.0</v>
      </c>
    </row>
    <row r="10979" ht="15.75" customHeight="1">
      <c r="A10979" s="1">
        <v>11836.0</v>
      </c>
      <c r="B10979" s="3" t="s">
        <v>10461</v>
      </c>
      <c r="C10979" s="3" t="str">
        <f>IFERROR(__xludf.DUMMYFUNCTION("GOOGLETRANSLATE(B10979,""id"",""en"")"),"['Desan', 'Bamasco', 'KM', 'Kec', 'Tuah', 'Negeri', 'Kab', 'Musi', 'Rawas',' Sumsel ',' Please ',' Capacity ',' ']")</f>
        <v>['Desan', 'Bamasco', 'KM', 'Kec', 'Tuah', 'Negeri', 'Kab', 'Musi', 'Rawas',' Sumsel ',' Please ',' Capacity ',' ']</v>
      </c>
      <c r="D10979" s="3">
        <v>5.0</v>
      </c>
    </row>
    <row r="10980" ht="15.75" customHeight="1">
      <c r="A10980" s="1">
        <v>11837.0</v>
      </c>
      <c r="B10980" s="3" t="s">
        <v>10462</v>
      </c>
      <c r="C10980" s="3" t="str">
        <f>IFERROR(__xludf.DUMMYFUNCTION("GOOGLETRANSLATE(B10980,""id"",""en"")"),"['network', 'Telkomsel', 'lag', 'player', 'game', 'heavy', 'suggested', '']")</f>
        <v>['network', 'Telkomsel', 'lag', 'player', 'game', 'heavy', 'suggested', '']</v>
      </c>
      <c r="D10980" s="3">
        <v>1.0</v>
      </c>
    </row>
    <row r="10981" ht="15.75" customHeight="1">
      <c r="A10981" s="1">
        <v>11838.0</v>
      </c>
      <c r="B10981" s="3" t="s">
        <v>10463</v>
      </c>
      <c r="C10981" s="3" t="str">
        <f>IFERROR(__xludf.DUMMYFUNCTION("GOOGLETRANSLATE(B10981,""id"",""en"")"),"['Pngen', 'car']")</f>
        <v>['Pngen', 'car']</v>
      </c>
      <c r="D10981" s="3">
        <v>5.0</v>
      </c>
    </row>
    <row r="10982" ht="15.75" customHeight="1">
      <c r="A10982" s="1">
        <v>11839.0</v>
      </c>
      <c r="B10982" s="3" t="s">
        <v>10464</v>
      </c>
      <c r="C10982" s="3" t="str">
        <f>IFERROR(__xludf.DUMMYFUNCTION("GOOGLETRANSLATE(B10982,""id"",""en"")"),"['signal', 'mantaap']")</f>
        <v>['signal', 'mantaap']</v>
      </c>
      <c r="D10982" s="3">
        <v>5.0</v>
      </c>
    </row>
    <row r="10983" ht="15.75" customHeight="1">
      <c r="A10983" s="1">
        <v>11840.0</v>
      </c>
      <c r="B10983" s="3" t="s">
        <v>10465</v>
      </c>
      <c r="C10983" s="3" t="str">
        <f>IFERROR(__xludf.DUMMYFUNCTION("GOOGLETRANSLATE(B10983,""id"",""en"")"),"['slow', 'run', 'APP', 'Display', '']")</f>
        <v>['slow', 'run', 'APP', 'Display', '']</v>
      </c>
      <c r="D10983" s="3">
        <v>4.0</v>
      </c>
    </row>
    <row r="10984" ht="15.75" customHeight="1">
      <c r="A10984" s="1">
        <v>11841.0</v>
      </c>
      <c r="B10984" s="3" t="s">
        <v>10466</v>
      </c>
      <c r="C10984" s="3" t="str">
        <f>IFERROR(__xludf.DUMMYFUNCTION("GOOGLETRANSLATE(B10984,""id"",""en"")"),"['oath', 'Open', 'APK', 'Telkomsel', 'really']")</f>
        <v>['oath', 'Open', 'APK', 'Telkomsel', 'really']</v>
      </c>
      <c r="D10984" s="3">
        <v>4.0</v>
      </c>
    </row>
    <row r="10985" ht="15.75" customHeight="1">
      <c r="A10985" s="1">
        <v>11842.0</v>
      </c>
      <c r="B10985" s="3" t="s">
        <v>10467</v>
      </c>
      <c r="C10985" s="3" t="str">
        <f>IFERROR(__xludf.DUMMYFUNCTION("GOOGLETRANSLATE(B10985,""id"",""en"")"),"['Telkomsel', 'anjg', 'pulse', 'person', 'sucked', 'provider', 'nyimpen', 'pulse', 'leftover', 'pulse', 'direct', 'sucked', ' ']")</f>
        <v>['Telkomsel', 'anjg', 'pulse', 'person', 'sucked', 'provider', 'nyimpen', 'pulse', 'leftover', 'pulse', 'direct', 'sucked', ' ']</v>
      </c>
      <c r="D10985" s="3">
        <v>1.0</v>
      </c>
    </row>
    <row r="10986" ht="15.75" customHeight="1">
      <c r="A10986" s="1">
        <v>11843.0</v>
      </c>
      <c r="B10986" s="3" t="s">
        <v>10468</v>
      </c>
      <c r="C10986" s="3" t="str">
        <f>IFERROR(__xludf.DUMMYFUNCTION("GOOGLETRANSLATE(B10986,""id"",""en"")"),"['ngak', 'like', 'pulse', 'reduced', 'Telkomsel', 'bobroooook', ""]")</f>
        <v>['ngak', 'like', 'pulse', 'reduced', 'Telkomsel', 'bobroooook', "]</v>
      </c>
      <c r="D10986" s="3">
        <v>1.0</v>
      </c>
    </row>
    <row r="10987" ht="15.75" customHeight="1">
      <c r="A10987" s="1">
        <v>11844.0</v>
      </c>
      <c r="B10987" s="3" t="s">
        <v>10469</v>
      </c>
      <c r="C10987" s="3" t="str">
        <f>IFERROR(__xludf.DUMMYFUNCTION("GOOGLETRANSLATE(B10987,""id"",""en"")"),"['love', 'promo', 'cheap', 'min', '']")</f>
        <v>['love', 'promo', 'cheap', 'min', '']</v>
      </c>
      <c r="D10987" s="3">
        <v>5.0</v>
      </c>
    </row>
    <row r="10988" ht="15.75" customHeight="1">
      <c r="A10988" s="1">
        <v>11845.0</v>
      </c>
      <c r="B10988" s="3" t="s">
        <v>10470</v>
      </c>
      <c r="C10988" s="3" t="str">
        <f>IFERROR(__xludf.DUMMYFUNCTION("GOOGLETRANSLATE(B10988,""id"",""en"")"),"['Unlimitid', 'cheap']")</f>
        <v>['Unlimitid', 'cheap']</v>
      </c>
      <c r="D10988" s="3">
        <v>5.0</v>
      </c>
    </row>
    <row r="10989" ht="15.75" customHeight="1">
      <c r="A10989" s="1">
        <v>11846.0</v>
      </c>
      <c r="B10989" s="3" t="s">
        <v>10471</v>
      </c>
      <c r="C10989" s="3" t="str">
        <f>IFERROR(__xludf.DUMMYFUNCTION("GOOGLETRANSLATE(B10989,""id"",""en"")"),"['easy', 'Simple', 'buy', 'Kouta', 'complicated', 'check', 'balance', 'pulse', 'exchange', 'point', 'easy', 'lucky', ' Next ',' Time ',' ']")</f>
        <v>['easy', 'Simple', 'buy', 'Kouta', 'complicated', 'check', 'balance', 'pulse', 'exchange', 'point', 'easy', 'lucky', ' Next ',' Time ',' ']</v>
      </c>
      <c r="D10989" s="3">
        <v>5.0</v>
      </c>
    </row>
    <row r="10990" ht="15.75" customHeight="1">
      <c r="A10990" s="1">
        <v>11847.0</v>
      </c>
      <c r="B10990" s="3" t="s">
        <v>10472</v>
      </c>
      <c r="C10990" s="3" t="str">
        <f>IFERROR(__xludf.DUMMYFUNCTION("GOOGLETRANSLATE(B10990,""id"",""en"")"),"['Good', 'UDH', 'Bagus']")</f>
        <v>['Good', 'UDH', 'Bagus']</v>
      </c>
      <c r="D10990" s="3">
        <v>5.0</v>
      </c>
    </row>
    <row r="10991" ht="15.75" customHeight="1">
      <c r="A10991" s="1">
        <v>11848.0</v>
      </c>
      <c r="B10991" s="3" t="s">
        <v>1352</v>
      </c>
      <c r="C10991" s="3" t="str">
        <f>IFERROR(__xludf.DUMMYFUNCTION("GOOGLETRANSLATE(B10991,""id"",""en"")"),"['']")</f>
        <v>['']</v>
      </c>
      <c r="D10991" s="3">
        <v>5.0</v>
      </c>
    </row>
    <row r="10992" ht="15.75" customHeight="1">
      <c r="A10992" s="1">
        <v>11850.0</v>
      </c>
      <c r="B10992" s="3" t="s">
        <v>431</v>
      </c>
      <c r="C10992" s="3" t="str">
        <f>IFERROR(__xludf.DUMMYFUNCTION("GOOGLETRANSLATE(B10992,""id"",""en"")"),"['', 'Telkomsel', ""]")</f>
        <v>['', 'Telkomsel', "]</v>
      </c>
      <c r="D10992" s="3">
        <v>5.0</v>
      </c>
    </row>
    <row r="10993" ht="15.75" customHeight="1">
      <c r="A10993" s="1">
        <v>11851.0</v>
      </c>
      <c r="B10993" s="3" t="s">
        <v>10473</v>
      </c>
      <c r="C10993" s="3" t="str">
        <f>IFERROR(__xludf.DUMMYFUNCTION("GOOGLETRANSLATE(B10993,""id"",""en"")"),"['Buy', 'Package', 'Paid', 'Notif', 'Purchase', 'Ovo', 'Paying']")</f>
        <v>['Buy', 'Package', 'Paid', 'Notif', 'Purchase', 'Ovo', 'Paying']</v>
      </c>
      <c r="D10993" s="3">
        <v>2.0</v>
      </c>
    </row>
    <row r="10994" ht="15.75" customHeight="1">
      <c r="A10994" s="1">
        <v>11852.0</v>
      </c>
      <c r="B10994" s="3" t="s">
        <v>10474</v>
      </c>
      <c r="C10994" s="3" t="str">
        <f>IFERROR(__xludf.DUMMYFUNCTION("GOOGLETRANSLATE(B10994,""id"",""en"")"),"['Quality', 'Trusted', '']")</f>
        <v>['Quality', 'Trusted', '']</v>
      </c>
      <c r="D10994" s="3">
        <v>5.0</v>
      </c>
    </row>
    <row r="10995" ht="15.75" customHeight="1">
      <c r="A10995" s="1">
        <v>11854.0</v>
      </c>
      <c r="B10995" s="3" t="s">
        <v>10475</v>
      </c>
      <c r="C10995" s="3" t="str">
        <f>IFERROR(__xludf.DUMMYFUNCTION("GOOGLETRANSLATE(B10995,""id"",""en"")"),"['', 'good', 'deficiency', 'ugly', 'ugly', '']")</f>
        <v>['', 'good', 'deficiency', 'ugly', 'ugly', '']</v>
      </c>
      <c r="D10995" s="3">
        <v>3.0</v>
      </c>
    </row>
    <row r="10996" ht="15.75" customHeight="1">
      <c r="A10996" s="1">
        <v>11855.0</v>
      </c>
      <c r="B10996" s="3" t="s">
        <v>10476</v>
      </c>
      <c r="C10996" s="3" t="str">
        <f>IFERROR(__xludf.DUMMYFUNCTION("GOOGLETRANSLATE(B10996,""id"",""en"")"),"['Telkomsell', 'Jancokk', 'Will', 'Cave', 'Network', 'Ancurr', 'Expensive', 'Doang']")</f>
        <v>['Telkomsell', 'Jancokk', 'Will', 'Cave', 'Network', 'Ancurr', 'Expensive', 'Doang']</v>
      </c>
      <c r="D10996" s="3">
        <v>1.0</v>
      </c>
    </row>
    <row r="10997" ht="15.75" customHeight="1">
      <c r="A10997" s="1">
        <v>11857.0</v>
      </c>
      <c r="B10997" s="3" t="s">
        <v>10477</v>
      </c>
      <c r="C10997" s="3" t="str">
        <f>IFERROR(__xludf.DUMMYFUNCTION("GOOGLETRANSLATE(B10997,""id"",""en"")"),"['Good', 'staple', 'Guuud']")</f>
        <v>['Good', 'staple', 'Guuud']</v>
      </c>
      <c r="D10997" s="3">
        <v>5.0</v>
      </c>
    </row>
    <row r="10998" ht="15.75" customHeight="1">
      <c r="A10998" s="1">
        <v>11858.0</v>
      </c>
      <c r="B10998" s="3" t="s">
        <v>10478</v>
      </c>
      <c r="C10998" s="3" t="str">
        <f>IFERROR(__xludf.DUMMYFUNCTION("GOOGLETRANSLATE(B10998,""id"",""en"")"),"['Package', 'Combo', 'Sakti', 'card', 'please', 'confirm', 'Telkomsel']")</f>
        <v>['Package', 'Combo', 'Sakti', 'card', 'please', 'confirm', 'Telkomsel']</v>
      </c>
      <c r="D10998" s="3">
        <v>1.0</v>
      </c>
    </row>
    <row r="10999" ht="15.75" customHeight="1">
      <c r="A10999" s="1">
        <v>11859.0</v>
      </c>
      <c r="B10999" s="3" t="s">
        <v>10479</v>
      </c>
      <c r="C10999" s="3" t="str">
        <f>IFERROR(__xludf.DUMMYFUNCTION("GOOGLETRANSLATE(B10999,""id"",""en"")"),"['Sya', 'a little', 'TDI', 'Sya', 'watch', 'YouTube', 'then', 'appears',' Notif ',' Telkomsel ',' contains', 'wrong', ' Package ',' Internet ',' MB ',' Sya ',' Check ',' MyTelkomsel ',' TPI ',' Error ',' Credit ',' On ',' Quota ',' Sya ',' watch ' , 'YouT"&amp;"ube', 'smpai', 'sya', 'kmbali', 'check', 'pulse', 'sya', 'sms',' sya ',' surprised ',' because ',' leftover ',' pulse ',' sya ',' tnggal ',' pdahal ',' before ',' pulse ',' sya ',' msih ',' sya ',' kmbali ',' surprised ',' krena ',' package ' , 'Internet'"&amp;", 'Sya', 'Msih', 'MB', 'Honest', 'Sya', 'SNGT', 'Disappointed']")</f>
        <v>['Sya', 'a little', 'TDI', 'Sya', 'watch', 'YouTube', 'then', 'appears',' Notif ',' Telkomsel ',' contains', 'wrong', ' Package ',' Internet ',' MB ',' Sya ',' Check ',' MyTelkomsel ',' TPI ',' Error ',' Credit ',' On ',' Quota ',' Sya ',' watch ' , 'YouTube', 'smpai', 'sya', 'kmbali', 'check', 'pulse', 'sya', 'sms',' sya ',' surprised ',' because ',' leftover ',' pulse ',' sya ',' tnggal ',' pdahal ',' before ',' pulse ',' sya ',' msih ',' sya ',' kmbali ',' surprised ',' krena ',' package ' , 'Internet', 'Sya', 'Msih', 'MB', 'Honest', 'Sya', 'SNGT', 'Disappointed']</v>
      </c>
      <c r="D10999" s="3">
        <v>1.0</v>
      </c>
    </row>
    <row r="11000" ht="15.75" customHeight="1">
      <c r="A11000" s="1">
        <v>11860.0</v>
      </c>
      <c r="B11000" s="3" t="s">
        <v>10480</v>
      </c>
      <c r="C11000" s="3" t="str">
        <f>IFERROR(__xludf.DUMMYFUNCTION("GOOGLETRANSLATE(B11000,""id"",""en"")"),"['BUMN', 'country']")</f>
        <v>['BUMN', 'country']</v>
      </c>
      <c r="D11000" s="3">
        <v>5.0</v>
      </c>
    </row>
    <row r="11001" ht="15.75" customHeight="1">
      <c r="A11001" s="1">
        <v>11861.0</v>
      </c>
      <c r="B11001" s="3" t="s">
        <v>10481</v>
      </c>
      <c r="C11001" s="3" t="str">
        <f>IFERROR(__xludf.DUMMYFUNCTION("GOOGLETRANSLATE(B11001,""id"",""en"")"),"['pulse', 'list', 'package', 'poor']")</f>
        <v>['pulse', 'list', 'package', 'poor']</v>
      </c>
      <c r="D11001" s="3">
        <v>1.0</v>
      </c>
    </row>
    <row r="11002" ht="15.75" customHeight="1">
      <c r="A11002" s="1">
        <v>11862.0</v>
      </c>
      <c r="B11002" s="3" t="s">
        <v>10482</v>
      </c>
      <c r="C11002" s="3" t="str">
        <f>IFERROR(__xludf.DUMMYFUNCTION("GOOGLETRANSLATE(B11002,""id"",""en"")"),"['Disappointed', 'Quality', 'Network', 'Special', 'Lombok', 'West', 'Pas',' Play ',' Game ',' LAQ ',' PAS ',' ZOOM ',' Leq ',' oath ',' focus', 'city', 'city', 'quality', 'network']")</f>
        <v>['Disappointed', 'Quality', 'Network', 'Special', 'Lombok', 'West', 'Pas',' Play ',' Game ',' LAQ ',' PAS ',' ZOOM ',' Leq ',' oath ',' focus', 'city', 'city', 'quality', 'network']</v>
      </c>
      <c r="D11002" s="3">
        <v>1.0</v>
      </c>
    </row>
    <row r="11003" ht="15.75" customHeight="1">
      <c r="A11003" s="1">
        <v>11863.0</v>
      </c>
      <c r="B11003" s="3" t="s">
        <v>10483</v>
      </c>
      <c r="C11003" s="3" t="str">
        <f>IFERROR(__xludf.DUMMYFUNCTION("GOOGLETRANSLATE(B11003,""id"",""en"")"),"['package', 'night', 'missing', 'goverty', 'star', 'fix', 'spirit', 'telkom', 'lost', 'kenih', 'star', ""]")</f>
        <v>['package', 'night', 'missing', 'goverty', 'star', 'fix', 'spirit', 'telkom', 'lost', 'kenih', 'star', "]</v>
      </c>
      <c r="D11003" s="3">
        <v>5.0</v>
      </c>
    </row>
    <row r="11004" ht="15.75" customHeight="1">
      <c r="A11004" s="1">
        <v>11864.0</v>
      </c>
      <c r="B11004" s="3" t="s">
        <v>10484</v>
      </c>
      <c r="C11004" s="3" t="str">
        <f>IFERROR(__xludf.DUMMYFUNCTION("GOOGLETRANSLATE(B11004,""id"",""en"")"),"['Combo', 'Sakti']")</f>
        <v>['Combo', 'Sakti']</v>
      </c>
      <c r="D11004" s="3">
        <v>1.0</v>
      </c>
    </row>
    <row r="11005" ht="15.75" customHeight="1">
      <c r="A11005" s="1">
        <v>11865.0</v>
      </c>
      <c r="B11005" s="3" t="s">
        <v>10485</v>
      </c>
      <c r="C11005" s="3" t="str">
        <f>IFERROR(__xludf.DUMMYFUNCTION("GOOGLETRANSLATE(B11005,""id"",""en"")"),"['', 'Understand', 'Telkomsel', 'signal', 'ugly', 'promo', 'special', 'buy', 'times',' try ',' service ',' attack ',' busy ',' truss', 'biarin', 'open', 'the application', 'ehh', 'ngilan', 'package', 'promo', 'emang', 'base', 'telkom', 'yet']")</f>
        <v>['', 'Understand', 'Telkomsel', 'signal', 'ugly', 'promo', 'special', 'buy', 'times',' try ',' service ',' attack ',' busy ',' truss', 'biarin', 'open', 'the application', 'ehh', 'ngilan', 'package', 'promo', 'emang', 'base', 'telkom', 'yet']</v>
      </c>
      <c r="D11005" s="3">
        <v>1.0</v>
      </c>
    </row>
    <row r="11006" ht="15.75" customHeight="1">
      <c r="A11006" s="1">
        <v>11866.0</v>
      </c>
      <c r="B11006" s="3" t="s">
        <v>10486</v>
      </c>
      <c r="C11006" s="3" t="str">
        <f>IFERROR(__xludf.DUMMYFUNCTION("GOOGLETRANSLATE(B11006,""id"",""en"")"),"['signal', 'ugly', 'really', 'repaired', '']")</f>
        <v>['signal', 'ugly', 'really', 'repaired', '']</v>
      </c>
      <c r="D11006" s="3">
        <v>1.0</v>
      </c>
    </row>
    <row r="11007" ht="15.75" customHeight="1">
      <c r="A11007" s="1">
        <v>11868.0</v>
      </c>
      <c r="B11007" s="3" t="s">
        <v>10487</v>
      </c>
      <c r="C11007" s="3" t="str">
        <f>IFERROR(__xludf.DUMMYFUNCTION("GOOGLETRANSLATE(B11007,""id"",""en"")"),"['makes it easier', 'access']")</f>
        <v>['makes it easier', 'access']</v>
      </c>
      <c r="D11007" s="3">
        <v>5.0</v>
      </c>
    </row>
    <row r="11008" ht="15.75" customHeight="1">
      <c r="A11008" s="1">
        <v>11869.0</v>
      </c>
      <c r="B11008" s="3" t="s">
        <v>10488</v>
      </c>
      <c r="C11008" s="3" t="str">
        <f>IFERROR(__xludf.DUMMYFUNCTION("GOOGLETRANSLATE(B11008,""id"",""en"")"),"['nyepam', 'a day', 'sent', 'ad', 'until', 'times', 'service', 'level', 'nyepam', '']")</f>
        <v>['nyepam', 'a day', 'sent', 'ad', 'until', 'times', 'service', 'level', 'nyepam', '']</v>
      </c>
      <c r="D11008" s="3">
        <v>2.0</v>
      </c>
    </row>
    <row r="11009" ht="15.75" customHeight="1">
      <c r="A11009" s="1">
        <v>11870.0</v>
      </c>
      <c r="B11009" s="3" t="s">
        <v>10489</v>
      </c>
      <c r="C11009" s="3" t="str">
        <f>IFERROR(__xludf.DUMMYFUNCTION("GOOGLETRANSLATE(B11009,""id"",""en"")"),"['number', 'use', 'GPS', 'already', 'so', 'login', 'ugly', 'application', '']")</f>
        <v>['number', 'use', 'GPS', 'already', 'so', 'login', 'ugly', 'application', '']</v>
      </c>
      <c r="D11009" s="3">
        <v>1.0</v>
      </c>
    </row>
    <row r="11010" ht="15.75" customHeight="1">
      <c r="A11010" s="1">
        <v>11871.0</v>
      </c>
      <c r="B11010" s="3" t="s">
        <v>10490</v>
      </c>
      <c r="C11010" s="3" t="str">
        <f>IFERROR(__xludf.DUMMYFUNCTION("GOOGLETRANSLATE(B11010,""id"",""en"")"),"['Sngat', 'Help', 'Peguna']")</f>
        <v>['Sngat', 'Help', 'Peguna']</v>
      </c>
      <c r="D11010" s="3">
        <v>5.0</v>
      </c>
    </row>
    <row r="11011" ht="15.75" customHeight="1">
      <c r="A11011" s="1">
        <v>11872.0</v>
      </c>
      <c r="B11011" s="3" t="s">
        <v>10491</v>
      </c>
      <c r="C11011" s="3" t="str">
        <f>IFERROR(__xludf.DUMMYFUNCTION("GOOGLETRANSLATE(B11011,""id"",""en"")"),"['Application', 'Slow', 'Heavy', 'Asik', 'Mawar']")</f>
        <v>['Application', 'Slow', 'Heavy', 'Asik', 'Mawar']</v>
      </c>
      <c r="D11011" s="3">
        <v>1.0</v>
      </c>
    </row>
    <row r="11012" ht="15.75" customHeight="1">
      <c r="A11012" s="1">
        <v>11873.0</v>
      </c>
      <c r="B11012" s="3" t="s">
        <v>10492</v>
      </c>
      <c r="C11012" s="3" t="str">
        <f>IFERROR(__xludf.DUMMYFUNCTION("GOOGLETRANSLATE(B11012,""id"",""en"")"),"['hope', 'speed', 'login']")</f>
        <v>['hope', 'speed', 'login']</v>
      </c>
      <c r="D11012" s="3">
        <v>5.0</v>
      </c>
    </row>
    <row r="11013" ht="15.75" customHeight="1">
      <c r="A11013" s="1">
        <v>11874.0</v>
      </c>
      <c r="B11013" s="3" t="s">
        <v>10493</v>
      </c>
      <c r="C11013" s="3" t="str">
        <f>IFERROR(__xludf.DUMMYFUNCTION("GOOGLETRANSLATE(B11013,""id"",""en"")"),"['Package', 'Mix', 'Stir', 'Rich', 'Vomiting', 'Pingin', 'Package', 'Quota', 'Main', 'Bln', 'Package', 'Gandengeng', ' others', 'nomikus',' need ',' package ',' strange ',' tidk ',' direct ',' forced ',' buy ',' good ',' marketing ',' strategy ',' bosss' "&amp;"]")</f>
        <v>['Package', 'Mix', 'Stir', 'Rich', 'Vomiting', 'Pingin', 'Package', 'Quota', 'Main', 'Bln', 'Package', 'Gandengeng', ' others', 'nomikus',' need ',' package ',' strange ',' tidk ',' direct ',' forced ',' buy ',' good ',' marketing ',' strategy ',' bosss' ]</v>
      </c>
      <c r="D11013" s="3">
        <v>1.0</v>
      </c>
    </row>
    <row r="11014" ht="15.75" customHeight="1">
      <c r="A11014" s="1">
        <v>11875.0</v>
      </c>
      <c r="B11014" s="3" t="s">
        <v>10494</v>
      </c>
      <c r="C11014" s="3" t="str">
        <f>IFERROR(__xludf.DUMMYFUNCTION("GOOGLETRANSLATE(B11014,""id"",""en"")"),"['Application', 'Okay', ""]")</f>
        <v>['Application', 'Okay', "]</v>
      </c>
      <c r="D11014" s="3">
        <v>3.0</v>
      </c>
    </row>
    <row r="11015" ht="15.75" customHeight="1">
      <c r="A11015" s="1">
        <v>11876.0</v>
      </c>
      <c r="B11015" s="3" t="s">
        <v>10495</v>
      </c>
      <c r="C11015" s="3" t="str">
        <f>IFERROR(__xludf.DUMMYFUNCTION("GOOGLETRANSLATE(B11015,""id"",""en"")"),"['Good', 'Bangettt', 'APK', 'Practical', '']")</f>
        <v>['Good', 'Bangettt', 'APK', 'Practical', '']</v>
      </c>
      <c r="D11015" s="3">
        <v>5.0</v>
      </c>
    </row>
    <row r="11016" ht="15.75" customHeight="1">
      <c r="A11016" s="1">
        <v>11877.0</v>
      </c>
      <c r="B11016" s="3" t="s">
        <v>10496</v>
      </c>
      <c r="C11016" s="3" t="str">
        <f>IFERROR(__xludf.DUMMYFUNCTION("GOOGLETRANSLATE(B11016,""id"",""en"")"),"['repair']")</f>
        <v>['repair']</v>
      </c>
      <c r="D11016" s="3">
        <v>1.0</v>
      </c>
    </row>
    <row r="11017" ht="15.75" customHeight="1">
      <c r="A11017" s="1">
        <v>11878.0</v>
      </c>
      <c r="B11017" s="3" t="s">
        <v>10497</v>
      </c>
      <c r="C11017" s="3" t="str">
        <f>IFERROR(__xludf.DUMMYFUNCTION("GOOGLETRANSLATE(B11017,""id"",""en"")"),"['Wrong', 'Application', 'Useful', 'Useful', 'Masyrakat', 'User', 'Card', 'Tekomsel', 'Hopefully', 'In the future', 'Program', 'Feature', ' Useful ',' Easy ',' Seluruj ',' Masyrakat ',' Negri ',' Beloved ',' ']")</f>
        <v>['Wrong', 'Application', 'Useful', 'Useful', 'Masyrakat', 'User', 'Card', 'Tekomsel', 'Hopefully', 'In the future', 'Program', 'Feature', ' Useful ',' Easy ',' Seluruj ',' Masyrakat ',' Negri ',' Beloved ',' ']</v>
      </c>
      <c r="D11017" s="3">
        <v>5.0</v>
      </c>
    </row>
    <row r="11018" ht="15.75" customHeight="1">
      <c r="A11018" s="1">
        <v>11879.0</v>
      </c>
      <c r="B11018" s="3" t="s">
        <v>10498</v>
      </c>
      <c r="C11018" s="3" t="str">
        <f>IFERROR(__xludf.DUMMYFUNCTION("GOOGLETRANSLATE(B11018,""id"",""en"")"),"['Try', 'dlu', 'the application', 'already', 'proof', 'steady', 'love', 'pull', 'star']")</f>
        <v>['Try', 'dlu', 'the application', 'already', 'proof', 'steady', 'love', 'pull', 'star']</v>
      </c>
      <c r="D11018" s="3">
        <v>3.0</v>
      </c>
    </row>
    <row r="11019" ht="15.75" customHeight="1">
      <c r="A11019" s="1">
        <v>11880.0</v>
      </c>
      <c r="B11019" s="3" t="s">
        <v>492</v>
      </c>
      <c r="C11019" s="3" t="str">
        <f>IFERROR(__xludf.DUMMYFUNCTION("GOOGLETRANSLATE(B11019,""id"",""en"")"),"['Application', 'Best']")</f>
        <v>['Application', 'Best']</v>
      </c>
      <c r="D11019" s="3">
        <v>5.0</v>
      </c>
    </row>
    <row r="11020" ht="15.75" customHeight="1">
      <c r="A11020" s="1">
        <v>11881.0</v>
      </c>
      <c r="B11020" s="3" t="s">
        <v>10499</v>
      </c>
      <c r="C11020" s="3" t="str">
        <f>IFERROR(__xludf.DUMMYFUNCTION("GOOGLETRANSLATE(B11020,""id"",""en"")"),"['network', 'Telkomsel', 'slow', 'times',' price ',' package ',' expensive ',' network ',' according to ',' price ',' Ayg ',' make ',' Telkomsel ',' Afternoon ',' Slow ',' Network ']")</f>
        <v>['network', 'Telkomsel', 'slow', 'times',' price ',' package ',' expensive ',' network ',' according to ',' price ',' Ayg ',' make ',' Telkomsel ',' Afternoon ',' Slow ',' Network ']</v>
      </c>
      <c r="D11020" s="3">
        <v>1.0</v>
      </c>
    </row>
    <row r="11021" ht="15.75" customHeight="1">
      <c r="A11021" s="1">
        <v>11882.0</v>
      </c>
      <c r="B11021" s="3" t="s">
        <v>10500</v>
      </c>
      <c r="C11021" s="3" t="str">
        <f>IFERROR(__xludf.DUMMYFUNCTION("GOOGLETRANSLATE(B11021,""id"",""en"")"),"['application', 'Aji', 'please', 'yaa', 'related', 'apk', 'please', 'fix', 'cave', 'buy', 'pulse', 'package', ' Network ',' Mulu ',' Network ',' Good ',' Bet ',' Aji ', ""]")</f>
        <v>['application', 'Aji', 'please', 'yaa', 'related', 'apk', 'please', 'fix', 'cave', 'buy', 'pulse', 'package', ' Network ',' Mulu ',' Network ',' Good ',' Bet ',' Aji ', "]</v>
      </c>
      <c r="D11021" s="3">
        <v>1.0</v>
      </c>
    </row>
    <row r="11022" ht="15.75" customHeight="1">
      <c r="A11022" s="1">
        <v>11883.0</v>
      </c>
      <c r="B11022" s="3" t="s">
        <v>2620</v>
      </c>
      <c r="C11022" s="3" t="str">
        <f>IFERROR(__xludf.DUMMYFUNCTION("GOOGLETRANSLATE(B11022,""id"",""en"")"),"Of course")</f>
        <v>Of course</v>
      </c>
      <c r="D11022" s="3">
        <v>4.0</v>
      </c>
    </row>
    <row r="11023" ht="15.75" customHeight="1">
      <c r="A11023" s="1">
        <v>11884.0</v>
      </c>
      <c r="B11023" s="3" t="s">
        <v>10501</v>
      </c>
      <c r="C11023" s="3" t="str">
        <f>IFERROR(__xludf.DUMMYFUNCTION("GOOGLETRANSLATE(B11023,""id"",""en"")"),"['buy', 'package', 'maxtream', 'no', 'chat', 'no', 'answer', 'no', 'handling', 'blass', ""]")</f>
        <v>['buy', 'package', 'maxtream', 'no', 'chat', 'no', 'answer', 'no', 'handling', 'blass', "]</v>
      </c>
      <c r="D11023" s="3">
        <v>1.0</v>
      </c>
    </row>
    <row r="11024" ht="15.75" customHeight="1">
      <c r="A11024" s="1">
        <v>11885.0</v>
      </c>
      <c r="B11024" s="3" t="s">
        <v>10502</v>
      </c>
      <c r="C11024" s="3" t="str">
        <f>IFERROR(__xludf.DUMMYFUNCTION("GOOGLETRANSLATE(B11024,""id"",""en"")"),"['Steady', 'help', 'lgi', 'pressed', 'manya', 'love', 'star', 'pull']")</f>
        <v>['Steady', 'help', 'lgi', 'pressed', 'manya', 'love', 'star', 'pull']</v>
      </c>
      <c r="D11024" s="3">
        <v>5.0</v>
      </c>
    </row>
    <row r="11025" ht="15.75" customHeight="1">
      <c r="A11025" s="1">
        <v>11886.0</v>
      </c>
      <c r="B11025" s="3" t="s">
        <v>10503</v>
      </c>
      <c r="C11025" s="3" t="str">
        <f>IFERROR(__xludf.DUMMYFUNCTION("GOOGLETRANSLATE(B11025,""id"",""en"")"),"['Happy', 'application', 'buy', 'see', 'quota', 'easy']")</f>
        <v>['Happy', 'application', 'buy', 'see', 'quota', 'easy']</v>
      </c>
      <c r="D11025" s="3">
        <v>5.0</v>
      </c>
    </row>
    <row r="11026" ht="15.75" customHeight="1">
      <c r="A11026" s="1">
        <v>11887.0</v>
      </c>
      <c r="B11026" s="3" t="s">
        <v>10504</v>
      </c>
      <c r="C11026" s="3" t="str">
        <f>IFERROR(__xludf.DUMMYFUNCTION("GOOGLETRANSLATE(B11026,""id"",""en"")"),"['', 'Customer', 'Telkomsel', 'Satisfied', 'Byk', 'free', 'Bokis', ""]")</f>
        <v>['', 'Customer', 'Telkomsel', 'Satisfied', 'Byk', 'free', 'Bokis', "]</v>
      </c>
      <c r="D11026" s="3">
        <v>5.0</v>
      </c>
    </row>
    <row r="11027" ht="15.75" customHeight="1">
      <c r="A11027" s="1">
        <v>11888.0</v>
      </c>
      <c r="B11027" s="3" t="s">
        <v>10505</v>
      </c>
      <c r="C11027" s="3" t="str">
        <f>IFERROR(__xludf.DUMMYFUNCTION("GOOGLETRANSLATE(B11027,""id"",""en"")"),"['Good', 'good']")</f>
        <v>['Good', 'good']</v>
      </c>
      <c r="D11027" s="3">
        <v>5.0</v>
      </c>
    </row>
    <row r="11028" ht="15.75" customHeight="1">
      <c r="A11028" s="1">
        <v>11891.0</v>
      </c>
      <c r="B11028" s="3" t="s">
        <v>10506</v>
      </c>
      <c r="C11028" s="3" t="str">
        <f>IFERROR(__xludf.DUMMYFUNCTION("GOOGLETRANSLATE(B11028,""id"",""en"")"),"['poor', 'price', 'Change', 'Change', 'right', 'cheap', 'purchase', 'failed', '']")</f>
        <v>['poor', 'price', 'Change', 'Change', 'right', 'cheap', 'purchase', 'failed', '']</v>
      </c>
      <c r="D11028" s="3">
        <v>1.0</v>
      </c>
    </row>
    <row r="11029" ht="15.75" customHeight="1">
      <c r="A11029" s="1">
        <v>11892.0</v>
      </c>
      <c r="B11029" s="3" t="s">
        <v>10507</v>
      </c>
      <c r="C11029" s="3" t="str">
        <f>IFERROR(__xludf.DUMMYFUNCTION("GOOGLETRANSLATE(B11029,""id"",""en"")"),"['Thanks', 'sudh', 'help', 'steady', 'soul']")</f>
        <v>['Thanks', 'sudh', 'help', 'steady', 'soul']</v>
      </c>
      <c r="D11029" s="3">
        <v>5.0</v>
      </c>
    </row>
    <row r="11030" ht="15.75" customHeight="1">
      <c r="A11030" s="1">
        <v>11893.0</v>
      </c>
      <c r="B11030" s="3" t="s">
        <v>10508</v>
      </c>
      <c r="C11030" s="3" t="str">
        <f>IFERROR(__xludf.DUMMYFUNCTION("GOOGLETRANSLATE(B11030,""id"",""en"")"),"['Try', 'Kouta', 'Gede', ""]")</f>
        <v>['Try', 'Kouta', 'Gede', "]</v>
      </c>
      <c r="D11030" s="3">
        <v>4.0</v>
      </c>
    </row>
    <row r="11031" ht="15.75" customHeight="1">
      <c r="A11031" s="1">
        <v>11894.0</v>
      </c>
      <c r="B11031" s="3" t="s">
        <v>10509</v>
      </c>
      <c r="C11031" s="3" t="str">
        <f>IFERROR(__xludf.DUMMYFUNCTION("GOOGLETRANSLATE(B11031,""id"",""en"")"),"['The name', 'repaired', 'already', 'expensive', 'expensive', 'buy', 'ngulus',' giga ',' lag ',' mism ',' mercy ',' yesterday ',' Until ',' Make ',' Data ',' Ntah ',' Rain ',' Kaga ',' Kaga ',' Gidaga ',' Gini ',' Gini ',' expensive ']")</f>
        <v>['The name', 'repaired', 'already', 'expensive', 'expensive', 'buy', 'ngulus',' giga ',' lag ',' mism ',' mercy ',' yesterday ',' Until ',' Make ',' Data ',' Ntah ',' Rain ',' Kaga ',' Kaga ',' Gidaga ',' Gini ',' Gini ',' expensive ']</v>
      </c>
      <c r="D11031" s="3">
        <v>1.0</v>
      </c>
    </row>
    <row r="11032" ht="15.75" customHeight="1">
      <c r="A11032" s="1">
        <v>11895.0</v>
      </c>
      <c r="B11032" s="3" t="s">
        <v>10510</v>
      </c>
      <c r="C11032" s="3" t="str">
        <f>IFERROR(__xludf.DUMMYFUNCTION("GOOGLETRANSLATE(B11032,""id"",""en"")"),"['Review', 'Delete', 'emang', 'in fact', 'signal', 'ugly', 'gajelas',' moved ',' provider ',' expensive ',' doang ',' signal ',' Disorganized', '']")</f>
        <v>['Review', 'Delete', 'emang', 'in fact', 'signal', 'ugly', 'gajelas',' moved ',' provider ',' expensive ',' doang ',' signal ',' Disorganized', '']</v>
      </c>
      <c r="D11032" s="3">
        <v>1.0</v>
      </c>
    </row>
    <row r="11033" ht="15.75" customHeight="1">
      <c r="A11033" s="1">
        <v>11896.0</v>
      </c>
      <c r="B11033" s="3" t="s">
        <v>10511</v>
      </c>
      <c r="C11033" s="3" t="str">
        <f>IFERROR(__xludf.DUMMYFUNCTION("GOOGLETRANSLATE(B11033,""id"",""en"")"),"['easy', 'fast', 'cheap', 'increase', 'cheap']")</f>
        <v>['easy', 'fast', 'cheap', 'increase', 'cheap']</v>
      </c>
      <c r="D11033" s="3">
        <v>4.0</v>
      </c>
    </row>
    <row r="11034" ht="15.75" customHeight="1">
      <c r="A11034" s="1">
        <v>11897.0</v>
      </c>
      <c r="B11034" s="3" t="s">
        <v>10512</v>
      </c>
      <c r="C11034" s="3" t="str">
        <f>IFERROR(__xludf.DUMMYFUNCTION("GOOGLETRANSLATE(B11034,""id"",""en"")"),"['Practical', 'Efficient']")</f>
        <v>['Practical', 'Efficient']</v>
      </c>
      <c r="D11034" s="3">
        <v>5.0</v>
      </c>
    </row>
    <row r="11035" ht="15.75" customHeight="1">
      <c r="A11035" s="1">
        <v>11898.0</v>
      </c>
      <c r="B11035" s="3" t="s">
        <v>10513</v>
      </c>
      <c r="C11035" s="3" t="str">
        <f>IFERROR(__xludf.DUMMYFUNCTION("GOOGLETRANSLATE(B11035,""id"",""en"")"),"['opened', 'error', 'system', '']")</f>
        <v>['opened', 'error', 'system', '']</v>
      </c>
      <c r="D11035" s="3">
        <v>1.0</v>
      </c>
    </row>
    <row r="11036" ht="15.75" customHeight="1">
      <c r="A11036" s="1">
        <v>11899.0</v>
      </c>
      <c r="B11036" s="3" t="s">
        <v>10514</v>
      </c>
      <c r="C11036" s="3" t="str">
        <f>IFERROR(__xludf.DUMMYFUNCTION("GOOGLETRANSLATE(B11036,""id"",""en"")"),"['Kasi', 'star', 'package', 'emergency', 'because', 'buy', 'package', 'emergency', 'active', 'knowledge', 'pulse', 'sucked', ' Koutaa ',' Masi ',' buy ',' package ',' emergency ',' troubling ']")</f>
        <v>['Kasi', 'star', 'package', 'emergency', 'because', 'buy', 'package', 'emergency', 'active', 'knowledge', 'pulse', 'sucked', ' Koutaa ',' Masi ',' buy ',' package ',' emergency ',' troubling ']</v>
      </c>
      <c r="D11036" s="3">
        <v>1.0</v>
      </c>
    </row>
    <row r="11037" ht="15.75" customHeight="1">
      <c r="A11037" s="1">
        <v>11900.0</v>
      </c>
      <c r="B11037" s="3" t="s">
        <v>8229</v>
      </c>
      <c r="C11037" s="3" t="str">
        <f>IFERROR(__xludf.DUMMYFUNCTION("GOOGLETRANSLATE(B11037,""id"",""en"")"),"['difficult', 'buy', 'package']")</f>
        <v>['difficult', 'buy', 'package']</v>
      </c>
      <c r="D11037" s="3">
        <v>1.0</v>
      </c>
    </row>
    <row r="11038" ht="15.75" customHeight="1">
      <c r="A11038" s="1">
        <v>11901.0</v>
      </c>
      <c r="B11038" s="3" t="s">
        <v>10515</v>
      </c>
      <c r="C11038" s="3" t="str">
        <f>IFERROR(__xludf.DUMMYFUNCTION("GOOGLETRANSLATE(B11038,""id"",""en"")"),"['What', 'Siihh', 'Telkomsel', 'Disorders',' buy ',' credit ',' disorder ',' activation ',' package ',' difficult ',' said ',' disorder ',' Try ',' Hadeuuhhhh ',' Sometimes', 'Signal', 'ilang', 'Chat', 'Difficult', 'Send', 'Please', 'Fix', 'Telkomsel', 'C"&amp;"osts',' Package ' , 'Internet', 'expensive', 'compared to', 'fix', 'quality', 'buy', 'package', 'application', 'disorder', 'trs',' sorry ',' gni ',' Season ',' after ']")</f>
        <v>['What', 'Siihh', 'Telkomsel', 'Disorders',' buy ',' credit ',' disorder ',' activation ',' package ',' difficult ',' said ',' disorder ',' Try ',' Hadeuuhhhh ',' Sometimes', 'Signal', 'ilang', 'Chat', 'Difficult', 'Send', 'Please', 'Fix', 'Telkomsel', 'Costs',' Package ' , 'Internet', 'expensive', 'compared to', 'fix', 'quality', 'buy', 'package', 'application', 'disorder', 'trs',' sorry ',' gni ',' Season ',' after ']</v>
      </c>
      <c r="D11038" s="3">
        <v>2.0</v>
      </c>
    </row>
    <row r="11039" ht="15.75" customHeight="1">
      <c r="A11039" s="1">
        <v>11902.0</v>
      </c>
      <c r="B11039" s="3" t="s">
        <v>10516</v>
      </c>
      <c r="C11039" s="3" t="str">
        <f>IFERROR(__xludf.DUMMYFUNCTION("GOOGLETRANSLATE(B11039,""id"",""en"")"),"['Telkomsel', 'please', 'fix', 'error', 'buy', 'quota', 'difficult', 'open', 'application']")</f>
        <v>['Telkomsel', 'please', 'fix', 'error', 'buy', 'quota', 'difficult', 'open', 'application']</v>
      </c>
      <c r="D11039" s="3">
        <v>5.0</v>
      </c>
    </row>
    <row r="11040" ht="15.75" customHeight="1">
      <c r="A11040" s="1">
        <v>11903.0</v>
      </c>
      <c r="B11040" s="3" t="s">
        <v>10517</v>
      </c>
      <c r="C11040" s="3" t="str">
        <f>IFERROR(__xludf.DUMMYFUNCTION("GOOGLETRANSLATE(B11040,""id"",""en"")"),"['', 'late']")</f>
        <v>['', 'late']</v>
      </c>
      <c r="D11040" s="3">
        <v>1.0</v>
      </c>
    </row>
    <row r="11041" ht="15.75" customHeight="1">
      <c r="A11041" s="1">
        <v>11904.0</v>
      </c>
      <c r="B11041" s="3" t="s">
        <v>10518</v>
      </c>
      <c r="C11041" s="3" t="str">
        <f>IFERROR(__xludf.DUMMYFUNCTION("GOOGLETRANSLATE(B11041,""id"",""en"")"),"['wasteful', 'expensive']")</f>
        <v>['wasteful', 'expensive']</v>
      </c>
      <c r="D11041" s="3">
        <v>4.0</v>
      </c>
    </row>
    <row r="11042" ht="15.75" customHeight="1">
      <c r="A11042" s="1">
        <v>11906.0</v>
      </c>
      <c r="B11042" s="3" t="s">
        <v>10519</v>
      </c>
      <c r="C11042" s="3" t="str">
        <f>IFERROR(__xludf.DUMMYFUNCTION("GOOGLETRANSLATE(B11042,""id"",""en"")"),"['SMN', 'DPT', 'quota', 'GB', 'Game', 'Ornament', 'Fund', 'INTA', 'Chek', 'Telkomsel']")</f>
        <v>['SMN', 'DPT', 'quota', 'GB', 'Game', 'Ornament', 'Fund', 'INTA', 'Chek', 'Telkomsel']</v>
      </c>
      <c r="D11042" s="3">
        <v>5.0</v>
      </c>
    </row>
    <row r="11043" ht="15.75" customHeight="1">
      <c r="A11043" s="1">
        <v>11907.0</v>
      </c>
      <c r="B11043" s="3" t="s">
        <v>10520</v>
      </c>
      <c r="C11043" s="3" t="str">
        <f>IFERROR(__xludf.DUMMYFUNCTION("GOOGLETRANSLATE(B11043,""id"",""en"")"),"['Delicious',' buy ',' Pakey ',' Manuat ',' message ',' buy ',' product ',' Golirin ',' Pakek ',' Application ',' entry ',' Ribet ',' pakak ',' Link ',' Sgala ',' why ',' Pakek ',' code ',' easy ',' entry ',' goodness', 'understand', 'product', ""]")</f>
        <v>['Delicious',' buy ',' Pakey ',' Manuat ',' message ',' buy ',' product ',' Golirin ',' Pakek ',' Application ',' entry ',' Ribet ',' pakak ',' Link ',' Sgala ',' why ',' Pakek ',' code ',' easy ',' entry ',' goodness', 'understand', 'product', "]</v>
      </c>
      <c r="D11043" s="3">
        <v>1.0</v>
      </c>
    </row>
    <row r="11044" ht="15.75" customHeight="1">
      <c r="A11044" s="1">
        <v>11908.0</v>
      </c>
      <c r="B11044" s="3" t="s">
        <v>10521</v>
      </c>
      <c r="C11044" s="3" t="str">
        <f>IFERROR(__xludf.DUMMYFUNCTION("GOOGLETRANSLATE(B11044,""id"",""en"")"),"['Please', 'help', 'telkom', 'buy', 'package', 'balance', 'funds',' takeup ',' package ',' quota ',' nyah ',' enter ',' Please, 'work', 'samanah']")</f>
        <v>['Please', 'help', 'telkom', 'buy', 'package', 'balance', 'funds',' takeup ',' package ',' quota ',' nyah ',' enter ',' Please, 'work', 'samanah']</v>
      </c>
      <c r="D11044" s="3">
        <v>3.0</v>
      </c>
    </row>
    <row r="11045" ht="15.75" customHeight="1">
      <c r="A11045" s="1">
        <v>11909.0</v>
      </c>
      <c r="B11045" s="3" t="s">
        <v>10522</v>
      </c>
      <c r="C11045" s="3" t="str">
        <f>IFERROR(__xludf.DUMMYFUNCTION("GOOGLETRANSLATE(B11045,""id"",""en"")"),"['Telkomsel', 'disorder', 'notification', 'for example', 'buy', 'package', 'data', 'dri', 'application']")</f>
        <v>['Telkomsel', 'disorder', 'notification', 'for example', 'buy', 'package', 'data', 'dri', 'application']</v>
      </c>
      <c r="D11045" s="3">
        <v>1.0</v>
      </c>
    </row>
    <row r="11046" ht="15.75" customHeight="1">
      <c r="A11046" s="1">
        <v>11910.0</v>
      </c>
      <c r="B11046" s="3" t="s">
        <v>10523</v>
      </c>
      <c r="C11046" s="3" t="str">
        <f>IFERROR(__xludf.DUMMYFUNCTION("GOOGLETRANSLATE(B11046,""id"",""en"")"),"['Satisfied', 'connection', 'stable']")</f>
        <v>['Satisfied', 'connection', 'stable']</v>
      </c>
      <c r="D11046" s="3">
        <v>5.0</v>
      </c>
    </row>
    <row r="11047" ht="15.75" customHeight="1">
      <c r="A11047" s="1">
        <v>11911.0</v>
      </c>
      <c r="B11047" s="3" t="s">
        <v>10524</v>
      </c>
      <c r="C11047" s="3" t="str">
        <f>IFERROR(__xludf.DUMMYFUNCTION("GOOGLETRANSLATE(B11047,""id"",""en"")"),"['Benahin', 'Buy', 'Paketan', 'Data', 'Network', 'Network', 'Watch', 'YouTube', 'Lanjar', 'Broken', 'Patah', 'Please', ' Fix ',' server ',' love ',' star ',' ntar ',' already ',' get ',' love ',' star ']")</f>
        <v>['Benahin', 'Buy', 'Paketan', 'Data', 'Network', 'Network', 'Watch', 'YouTube', 'Lanjar', 'Broken', 'Patah', 'Please', ' Fix ',' server ',' love ',' star ',' ntar ',' already ',' get ',' love ',' star ']</v>
      </c>
      <c r="D11047" s="3">
        <v>3.0</v>
      </c>
    </row>
    <row r="11048" ht="15.75" customHeight="1">
      <c r="A11048" s="1">
        <v>11912.0</v>
      </c>
      <c r="B11048" s="3" t="s">
        <v>10525</v>
      </c>
      <c r="C11048" s="3" t="str">
        <f>IFERROR(__xludf.DUMMYFUNCTION("GOOGLETRANSLATE(B11048,""id"",""en"")"),"['Knpa', 'buy', 'Package', 'Call']")</f>
        <v>['Knpa', 'buy', 'Package', 'Call']</v>
      </c>
      <c r="D11048" s="3">
        <v>2.0</v>
      </c>
    </row>
    <row r="11049" ht="15.75" customHeight="1">
      <c r="A11049" s="1">
        <v>11913.0</v>
      </c>
      <c r="B11049" s="3" t="s">
        <v>3467</v>
      </c>
      <c r="C11049" s="3" t="str">
        <f>IFERROR(__xludf.DUMMYFUNCTION("GOOGLETRANSLATE(B11049,""id"",""en"")"),"['', 'help']")</f>
        <v>['', 'help']</v>
      </c>
      <c r="D11049" s="3">
        <v>5.0</v>
      </c>
    </row>
    <row r="11050" ht="15.75" customHeight="1">
      <c r="A11050" s="1">
        <v>11914.0</v>
      </c>
      <c r="B11050" s="3" t="s">
        <v>10526</v>
      </c>
      <c r="C11050" s="3" t="str">
        <f>IFERROR(__xludf.DUMMYFUNCTION("GOOGLETRANSLATE(B11050,""id"",""en"")"),"['quota', 'entertainment', 'no', 'please', 'repay']")</f>
        <v>['quota', 'entertainment', 'no', 'please', 'repay']</v>
      </c>
      <c r="D11050" s="3">
        <v>5.0</v>
      </c>
    </row>
    <row r="11051" ht="15.75" customHeight="1">
      <c r="A11051" s="1">
        <v>11915.0</v>
      </c>
      <c r="B11051" s="3" t="s">
        <v>10527</v>
      </c>
      <c r="C11051" s="3" t="str">
        <f>IFERROR(__xludf.DUMMYFUNCTION("GOOGLETRANSLATE(B11051,""id"",""en"")"),"['Sebelom', 'buy', 'pulse', 'list', 'package', 'Telkomsel', 'Available', 'choice', 'buy', 'pulses',' ganguuan ',' system ',' satisfying', '']")</f>
        <v>['Sebelom', 'buy', 'pulse', 'list', 'package', 'Telkomsel', 'Available', 'choice', 'buy', 'pulses',' ganguuan ',' system ',' satisfying', '']</v>
      </c>
      <c r="D11051" s="3">
        <v>1.0</v>
      </c>
    </row>
    <row r="11052" ht="15.75" customHeight="1">
      <c r="A11052" s="1">
        <v>11916.0</v>
      </c>
      <c r="B11052" s="3" t="s">
        <v>10528</v>
      </c>
      <c r="C11052" s="3" t="str">
        <f>IFERROR(__xludf.DUMMYFUNCTION("GOOGLETRANSLATE(B11052,""id"",""en"")"),"['buy', 'package', 'difficult', 'server', 'disorder', 'mulu', 'already', 'that's',' network ',' bad ',' quota ',' price ',' expensive']")</f>
        <v>['buy', 'package', 'difficult', 'server', 'disorder', 'mulu', 'already', 'that's',' network ',' bad ',' quota ',' price ',' expensive']</v>
      </c>
      <c r="D11052" s="3">
        <v>1.0</v>
      </c>
    </row>
    <row r="11053" ht="15.75" customHeight="1">
      <c r="A11053" s="1">
        <v>11917.0</v>
      </c>
      <c r="B11053" s="3" t="s">
        <v>10529</v>
      </c>
      <c r="C11053" s="3" t="str">
        <f>IFERROR(__xludf.DUMMYFUNCTION("GOOGLETRANSLATE(B11053,""id"",""en"")"),"['knpa', 'buy', 'package', 'application', 'Telkomsel', 'please', 'fix', 'customer', 'loyal', 'Telkomsel']")</f>
        <v>['knpa', 'buy', 'package', 'application', 'Telkomsel', 'please', 'fix', 'customer', 'loyal', 'Telkomsel']</v>
      </c>
      <c r="D11053" s="3">
        <v>1.0</v>
      </c>
    </row>
    <row r="11054" ht="15.75" customHeight="1">
      <c r="A11054" s="1">
        <v>11919.0</v>
      </c>
      <c r="B11054" s="3" t="s">
        <v>10530</v>
      </c>
      <c r="C11054" s="3" t="str">
        <f>IFERROR(__xludf.DUMMYFUNCTION("GOOGLETRANSLATE(B11054,""id"",""en"")"),"['knapa', 'contents', 'data', 'error']")</f>
        <v>['knapa', 'contents', 'data', 'error']</v>
      </c>
      <c r="D11054" s="3">
        <v>1.0</v>
      </c>
    </row>
    <row r="11055" ht="15.75" customHeight="1">
      <c r="A11055" s="1">
        <v>11920.0</v>
      </c>
      <c r="B11055" s="3" t="s">
        <v>10531</v>
      </c>
      <c r="C11055" s="3" t="str">
        <f>IFERROR(__xludf.DUMMYFUNCTION("GOOGLETRANSLATE(B11055,""id"",""en"")"),"['expensive', 'doang', 'ganguan', 'mulu']")</f>
        <v>['expensive', 'doang', 'ganguan', 'mulu']</v>
      </c>
      <c r="D11055" s="3">
        <v>1.0</v>
      </c>
    </row>
    <row r="11056" ht="15.75" customHeight="1">
      <c r="A11056" s="1">
        <v>11921.0</v>
      </c>
      <c r="B11056" s="3" t="s">
        <v>10532</v>
      </c>
      <c r="C11056" s="3" t="str">
        <f>IFERROR(__xludf.DUMMYFUNCTION("GOOGLETRANSLATE(B11056,""id"",""en"")"),"['Error', 'expensive', 'expensive']")</f>
        <v>['Error', 'expensive', 'expensive']</v>
      </c>
      <c r="D11056" s="3">
        <v>1.0</v>
      </c>
    </row>
    <row r="11057" ht="15.75" customHeight="1">
      <c r="A11057" s="1">
        <v>11922.0</v>
      </c>
      <c r="B11057" s="3" t="s">
        <v>10533</v>
      </c>
      <c r="C11057" s="3" t="str">
        <f>IFERROR(__xludf.DUMMYFUNCTION("GOOGLETRANSLATE(B11057,""id"",""en"")"),"['network', 'busy', 'fill in', 'quota', 'hurry', 'woooiii']")</f>
        <v>['network', 'busy', 'fill in', 'quota', 'hurry', 'woooiii']</v>
      </c>
      <c r="D11057" s="3">
        <v>1.0</v>
      </c>
    </row>
    <row r="11058" ht="15.75" customHeight="1">
      <c r="A11058" s="1">
        <v>11923.0</v>
      </c>
      <c r="B11058" s="3" t="s">
        <v>10534</v>
      </c>
      <c r="C11058" s="3" t="str">
        <f>IFERROR(__xludf.DUMMYFUNCTION("GOOGLETRANSLATE(B11058,""id"",""en"")"),"['System', 'Busy', 'then', 'then', 'Uninstall', 'APK']")</f>
        <v>['System', 'Busy', 'then', 'then', 'Uninstall', 'APK']</v>
      </c>
      <c r="D11058" s="3">
        <v>1.0</v>
      </c>
    </row>
    <row r="11059" ht="15.75" customHeight="1">
      <c r="A11059" s="1">
        <v>11924.0</v>
      </c>
      <c r="B11059" s="3" t="s">
        <v>10535</v>
      </c>
      <c r="C11059" s="3" t="str">
        <f>IFERROR(__xludf.DUMMYFUNCTION("GOOGLETRANSLATE(B11059,""id"",""en"")"),"['application', 'defective', 'unable', 'load', 'inside', 'application', 'open', 'application', 'slow', 'really', ""]")</f>
        <v>['application', 'defective', 'unable', 'load', 'inside', 'application', 'open', 'application', 'slow', 'really', "]</v>
      </c>
      <c r="D11059" s="3">
        <v>1.0</v>
      </c>
    </row>
    <row r="11060" ht="15.75" customHeight="1">
      <c r="A11060" s="1">
        <v>11925.0</v>
      </c>
      <c r="B11060" s="3" t="s">
        <v>10536</v>
      </c>
      <c r="C11060" s="3" t="str">
        <f>IFERROR(__xludf.DUMMYFUNCTION("GOOGLETRANSLATE(B11060,""id"",""en"")"),"['BINS', 'Fill', 'balance', 'enter', 'fill it', 'SUCCESS', 'Kayak', 'gini']")</f>
        <v>['BINS', 'Fill', 'balance', 'enter', 'fill it', 'SUCCESS', 'Kayak', 'gini']</v>
      </c>
      <c r="D11060" s="3">
        <v>1.0</v>
      </c>
    </row>
    <row r="11061" ht="15.75" customHeight="1">
      <c r="A11061" s="1">
        <v>11926.0</v>
      </c>
      <c r="B11061" s="3" t="s">
        <v>10537</v>
      </c>
      <c r="C11061" s="3" t="str">
        <f>IFERROR(__xludf.DUMMYFUNCTION("GOOGLETRANSLATE(B11061,""id"",""en"")"),"['Update', 'Success', 'Improved', 'Error', ""]")</f>
        <v>['Update', 'Success', 'Improved', 'Error', "]</v>
      </c>
      <c r="D11061" s="3">
        <v>1.0</v>
      </c>
    </row>
    <row r="11062" ht="15.75" customHeight="1">
      <c r="A11062" s="1">
        <v>11927.0</v>
      </c>
      <c r="B11062" s="3" t="s">
        <v>10538</v>
      </c>
      <c r="C11062" s="3" t="str">
        <f>IFERROR(__xludf.DUMMYFUNCTION("GOOGLETRANSLATE(B11062,""id"",""en"")"),"['helped', 'application', 'hope', 'success', 'then']")</f>
        <v>['helped', 'application', 'hope', 'success', 'then']</v>
      </c>
      <c r="D11062" s="3">
        <v>5.0</v>
      </c>
    </row>
    <row r="11063" ht="15.75" customHeight="1">
      <c r="A11063" s="1">
        <v>11928.0</v>
      </c>
      <c r="B11063" s="3" t="s">
        <v>10539</v>
      </c>
      <c r="C11063" s="3" t="str">
        <f>IFERROR(__xludf.DUMMYFUNCTION("GOOGLETRANSLATE(B11063,""id"",""en"")"),"['Open', 'Home', 'Difficult', 'Error', 'System', 'Download', 'Application', 'Severe']")</f>
        <v>['Open', 'Home', 'Difficult', 'Error', 'System', 'Download', 'Application', 'Severe']</v>
      </c>
      <c r="D11063" s="3">
        <v>1.0</v>
      </c>
    </row>
    <row r="11064" ht="15.75" customHeight="1">
      <c r="A11064" s="1">
        <v>11929.0</v>
      </c>
      <c r="B11064" s="3" t="s">
        <v>10540</v>
      </c>
      <c r="C11064" s="3" t="str">
        <f>IFERROR(__xludf.DUMMYFUNCTION("GOOGLETRANSLATE(B11064,""id"",""en"")"),"['buy', 'package', 'error']")</f>
        <v>['buy', 'package', 'error']</v>
      </c>
      <c r="D11064" s="3">
        <v>2.0</v>
      </c>
    </row>
    <row r="11065" ht="15.75" customHeight="1">
      <c r="A11065" s="1">
        <v>11930.0</v>
      </c>
      <c r="B11065" s="3" t="s">
        <v>10541</v>
      </c>
      <c r="C11065" s="3" t="str">
        <f>IFERROR(__xludf.DUMMYFUNCTION("GOOGLETRANSLATE(B11065,""id"",""en"")"),"['expensive', 'Doomggggg', 'network', 'cheap', '']")</f>
        <v>['expensive', 'Doomggggg', 'network', 'cheap', '']</v>
      </c>
      <c r="D11065" s="3">
        <v>1.0</v>
      </c>
    </row>
    <row r="11066" ht="15.75" customHeight="1">
      <c r="A11066" s="1">
        <v>11931.0</v>
      </c>
      <c r="B11066" s="3" t="s">
        <v>10542</v>
      </c>
      <c r="C11066" s="3" t="str">
        <f>IFERROR(__xludf.DUMMYFUNCTION("GOOGLETRANSLATE(B11066,""id"",""en"")"),"['Error', 'right', 'open', 'application']")</f>
        <v>['Error', 'right', 'open', 'application']</v>
      </c>
      <c r="D11066" s="3">
        <v>2.0</v>
      </c>
    </row>
    <row r="11067" ht="15.75" customHeight="1">
      <c r="A11067" s="1">
        <v>11932.0</v>
      </c>
      <c r="B11067" s="3" t="s">
        <v>10543</v>
      </c>
      <c r="C11067" s="3" t="str">
        <f>IFERROR(__xludf.DUMMYFUNCTION("GOOGLETRANSLATE(B11067,""id"",""en"")"),"['Pinter', 'Yee', 'Telkomsel', 'Die', 'org', 'buy', 'pulse', 'contents',' data ',' then ',' enter ',' application ',' MyTelkomsel ',' Kaga ',' WiFi ',' Data ',' Cut ',' GTU ',' Credit ',' Mapaap ',' Kinding ']")</f>
        <v>['Pinter', 'Yee', 'Telkomsel', 'Die', 'org', 'buy', 'pulse', 'contents',' data ',' then ',' enter ',' application ',' MyTelkomsel ',' Kaga ',' WiFi ',' Data ',' Cut ',' GTU ',' Credit ',' Mapaap ',' Kinding ']</v>
      </c>
      <c r="D11067" s="3">
        <v>1.0</v>
      </c>
    </row>
    <row r="11068" ht="15.75" customHeight="1">
      <c r="A11068" s="1">
        <v>11933.0</v>
      </c>
      <c r="B11068" s="3" t="s">
        <v>10544</v>
      </c>
      <c r="C11068" s="3" t="str">
        <f>IFERROR(__xludf.DUMMYFUNCTION("GOOGLETRANSLATE(B11068,""id"",""en"")"),"['disorder', 'males']")</f>
        <v>['disorder', 'males']</v>
      </c>
      <c r="D11068" s="3">
        <v>2.0</v>
      </c>
    </row>
    <row r="11069" ht="15.75" customHeight="1">
      <c r="A11069" s="1">
        <v>11934.0</v>
      </c>
      <c r="B11069" s="3" t="s">
        <v>10545</v>
      </c>
      <c r="C11069" s="3" t="str">
        <f>IFERROR(__xludf.DUMMYFUNCTION("GOOGLETRANSLATE(B11069,""id"",""en"")"),"['Satisfied', 'Network', 'Tamh', 'JLEK', 'Application', 'Check', 'Quota', 'Loss', 'Install', 'Aikasi', 'Sring', 'Error']")</f>
        <v>['Satisfied', 'Network', 'Tamh', 'JLEK', 'Application', 'Check', 'Quota', 'Loss', 'Install', 'Aikasi', 'Sring', 'Error']</v>
      </c>
      <c r="D11069" s="3">
        <v>1.0</v>
      </c>
    </row>
    <row r="11070" ht="15.75" customHeight="1">
      <c r="A11070" s="1">
        <v>11935.0</v>
      </c>
      <c r="B11070" s="3" t="s">
        <v>10546</v>
      </c>
      <c r="C11070" s="3" t="str">
        <f>IFERROR(__xludf.DUMMYFUNCTION("GOOGLETRANSLATE(B11070,""id"",""en"")"),"['It's', 'ugly', 'eaves', '']")</f>
        <v>['It's', 'ugly', 'eaves', '']</v>
      </c>
      <c r="D11070" s="3">
        <v>1.0</v>
      </c>
    </row>
    <row r="11071" ht="15.75" customHeight="1">
      <c r="A11071" s="1">
        <v>11936.0</v>
      </c>
      <c r="B11071" s="3" t="s">
        <v>10547</v>
      </c>
      <c r="C11071" s="3" t="str">
        <f>IFERROR(__xludf.DUMMYFUNCTION("GOOGLETRANSLATE(B11071,""id"",""en"")"),"['ehh', 'contents',' pulse ',' buy ',' quota ',' right ',' open ',' application ',' suck ',' pulse ',' make ',' hotspot ',' Error ',' Error ',' Mulu ']")</f>
        <v>['ehh', 'contents',' pulse ',' buy ',' quota ',' right ',' open ',' application ',' suck ',' pulse ',' make ',' hotspot ',' Error ',' Error ',' Mulu ']</v>
      </c>
      <c r="D11071" s="3">
        <v>1.0</v>
      </c>
    </row>
    <row r="11072" ht="15.75" customHeight="1">
      <c r="A11072" s="1">
        <v>11937.0</v>
      </c>
      <c r="B11072" s="3" t="s">
        <v>10548</v>
      </c>
      <c r="C11072" s="3" t="str">
        <f>IFERROR(__xludf.DUMMYFUNCTION("GOOGLETRANSLATE(B11072,""id"",""en"")"),"['right', 'buy']")</f>
        <v>['right', 'buy']</v>
      </c>
      <c r="D11072" s="3">
        <v>1.0</v>
      </c>
    </row>
    <row r="11073" ht="15.75" customHeight="1">
      <c r="A11073" s="1">
        <v>11938.0</v>
      </c>
      <c r="B11073" s="3" t="s">
        <v>10549</v>
      </c>
      <c r="C11073" s="3" t="str">
        <f>IFERROR(__xludf.DUMMYFUNCTION("GOOGLETRANSLATE(B11073,""id"",""en"")"),"['Bored', 'Ngeselin', 'Notification', 'SMS', 'Sangan', 'Disrupted', 'Telkomsel', 'Itundia', 'Network', 'ugly', 'LemoOtttttt', ""]")</f>
        <v>['Bored', 'Ngeselin', 'Notification', 'SMS', 'Sangan', 'Disrupted', 'Telkomsel', 'Itundia', 'Network', 'ugly', 'LemoOtttttt', "]</v>
      </c>
      <c r="D11073" s="3">
        <v>1.0</v>
      </c>
    </row>
    <row r="11074" ht="15.75" customHeight="1">
      <c r="A11074" s="1">
        <v>11939.0</v>
      </c>
      <c r="B11074" s="3" t="s">
        <v>10550</v>
      </c>
      <c r="C11074" s="3" t="str">
        <f>IFERROR(__xludf.DUMMYFUNCTION("GOOGLETRANSLATE(B11074,""id"",""en"")"),"['at the moment', 'Genting', 'buy', 'package', 'data', 'disorder', 'expensive', 'quality', 'cheap']")</f>
        <v>['at the moment', 'Genting', 'buy', 'package', 'data', 'disorder', 'expensive', 'quality', 'cheap']</v>
      </c>
      <c r="D11074" s="3">
        <v>1.0</v>
      </c>
    </row>
    <row r="11075" ht="15.75" customHeight="1">
      <c r="A11075" s="1">
        <v>11940.0</v>
      </c>
      <c r="B11075" s="3" t="s">
        <v>10551</v>
      </c>
      <c r="C11075" s="3" t="str">
        <f>IFERROR(__xludf.DUMMYFUNCTION("GOOGLETRANSLATE(B11075,""id"",""en"")"),"['strange', 'buy', 'package', 'internet', 'pulse', 'bought', 'his writing', 'sorry', 'purchase', 'product', '']")</f>
        <v>['strange', 'buy', 'package', 'internet', 'pulse', 'bought', 'his writing', 'sorry', 'purchase', 'product', '']</v>
      </c>
      <c r="D11075" s="3">
        <v>1.0</v>
      </c>
    </row>
    <row r="11076" ht="15.75" customHeight="1">
      <c r="A11076" s="1">
        <v>11941.0</v>
      </c>
      <c r="B11076" s="3" t="s">
        <v>10552</v>
      </c>
      <c r="C11076" s="3" t="str">
        <f>IFERROR(__xludf.DUMMYFUNCTION("GOOGLETRANSLATE(B11076,""id"",""en"")"),"['signal', 'Telkomsel', 'ugly', 'conditions',' emergency ',' difficult ',' invited ',' cooperation ',' dam ',' husband ',' kasian ',' college ',' zoom ',' love ',' signal ',' ugly ',' urine ',' Urupa ',' yes', 'replace', 'card', 'already', 'Telkomsel', """&amp;"]")</f>
        <v>['signal', 'Telkomsel', 'ugly', 'conditions',' emergency ',' difficult ',' invited ',' cooperation ',' dam ',' husband ',' kasian ',' college ',' zoom ',' love ',' signal ',' ugly ',' urine ',' Urupa ',' yes', 'replace', 'card', 'already', 'Telkomsel', "]</v>
      </c>
      <c r="D11076" s="3">
        <v>2.0</v>
      </c>
    </row>
    <row r="11077" ht="15.75" customHeight="1">
      <c r="A11077" s="1">
        <v>11942.0</v>
      </c>
      <c r="B11077" s="3" t="s">
        <v>10553</v>
      </c>
      <c r="C11077" s="3" t="str">
        <f>IFERROR(__xludf.DUMMYFUNCTION("GOOGLETRANSLATE(B11077,""id"",""en"")"),"['signal', 'destroyed', 'please', 'fix', 'cool', 'ride', 'price', 'buy', 'rb', 'slow', 'emotion']")</f>
        <v>['signal', 'destroyed', 'please', 'fix', 'cool', 'ride', 'price', 'buy', 'rb', 'slow', 'emotion']</v>
      </c>
      <c r="D11077" s="3">
        <v>1.0</v>
      </c>
    </row>
    <row r="11078" ht="15.75" customHeight="1">
      <c r="A11078" s="1">
        <v>11943.0</v>
      </c>
      <c r="B11078" s="3" t="s">
        <v>10554</v>
      </c>
      <c r="C11078" s="3" t="str">
        <f>IFERROR(__xludf.DUMMYFUNCTION("GOOGLETRANSLATE(B11078,""id"",""en"")"),"['Upgrade', 'App', 'Telkomsel', 'Open', '']")</f>
        <v>['Upgrade', 'App', 'Telkomsel', 'Open', '']</v>
      </c>
      <c r="D11078" s="3">
        <v>1.0</v>
      </c>
    </row>
    <row r="11079" ht="15.75" customHeight="1">
      <c r="A11079" s="1">
        <v>11945.0</v>
      </c>
      <c r="B11079" s="3" t="s">
        <v>10555</v>
      </c>
      <c r="C11079" s="3" t="str">
        <f>IFERROR(__xludf.DUMMYFUNCTION("GOOGLETRANSLATE(B11079,""id"",""en"")"),"['noon', 'check', 'package', 'data', 'unlimited', 'night', 'buy', '']")</f>
        <v>['noon', 'check', 'package', 'data', 'unlimited', 'night', 'buy', '']</v>
      </c>
      <c r="D11079" s="3">
        <v>5.0</v>
      </c>
    </row>
    <row r="11080" ht="15.75" customHeight="1">
      <c r="A11080" s="1">
        <v>11946.0</v>
      </c>
      <c r="B11080" s="3" t="s">
        <v>10556</v>
      </c>
      <c r="C11080" s="3" t="str">
        <f>IFERROR(__xludf.DUMMYFUNCTION("GOOGLETRANSLATE(B11080,""id"",""en"")"),"['Profitable']")</f>
        <v>['Profitable']</v>
      </c>
      <c r="D11080" s="3">
        <v>5.0</v>
      </c>
    </row>
    <row r="11081" ht="15.75" customHeight="1">
      <c r="A11081" s="1">
        <v>11947.0</v>
      </c>
      <c r="B11081" s="3" t="s">
        <v>10557</v>
      </c>
      <c r="C11081" s="3" t="str">
        <f>IFERROR(__xludf.DUMMYFUNCTION("GOOGLETRANSLATE(B11081,""id"",""en"")"),"['Help', 'promo', 'Telkomsel', '']")</f>
        <v>['Help', 'promo', 'Telkomsel', '']</v>
      </c>
      <c r="D11081" s="3">
        <v>4.0</v>
      </c>
    </row>
    <row r="11082" ht="15.75" customHeight="1">
      <c r="A11082" s="1">
        <v>11948.0</v>
      </c>
      <c r="B11082" s="3" t="s">
        <v>10558</v>
      </c>
      <c r="C11082" s="3" t="str">
        <f>IFERROR(__xludf.DUMMYFUNCTION("GOOGLETRANSLATE(B11082,""id"",""en"")"),"['Good', 'Kang', 'bro', '']")</f>
        <v>['Good', 'Kang', 'bro', '']</v>
      </c>
      <c r="D11082" s="3">
        <v>5.0</v>
      </c>
    </row>
    <row r="11083" ht="15.75" customHeight="1">
      <c r="A11083" s="1">
        <v>11949.0</v>
      </c>
      <c r="B11083" s="3" t="s">
        <v>10559</v>
      </c>
      <c r="C11083" s="3" t="str">
        <f>IFERROR(__xludf.DUMMYFUNCTION("GOOGLETRANSLATE(B11083,""id"",""en"")"),"['network', 'extensive', 'signal', 'strong', 'steady', 'steady']")</f>
        <v>['network', 'extensive', 'signal', 'strong', 'steady', 'steady']</v>
      </c>
      <c r="D11083" s="3">
        <v>5.0</v>
      </c>
    </row>
    <row r="11084" ht="15.75" customHeight="1">
      <c r="A11084" s="1">
        <v>11950.0</v>
      </c>
      <c r="B11084" s="3" t="s">
        <v>10560</v>
      </c>
      <c r="C11084" s="3" t="str">
        <f>IFERROR(__xludf.DUMMYFUNCTION("GOOGLETRANSLATE(B11084,""id"",""en"")"),"['Telkomsel', 'Best', 'Place', '']")</f>
        <v>['Telkomsel', 'Best', 'Place', '']</v>
      </c>
      <c r="D11084" s="3">
        <v>5.0</v>
      </c>
    </row>
    <row r="11085" ht="15.75" customHeight="1">
      <c r="A11085" s="1">
        <v>11951.0</v>
      </c>
      <c r="B11085" s="3" t="s">
        <v>10561</v>
      </c>
      <c r="C11085" s="3" t="str">
        <f>IFERROR(__xludf.DUMMYFUNCTION("GOOGLETRANSLATE(B11085,""id"",""en"")"),"['Performance', 'Telkomsel', 'maximum', 'area', 'signal', 'full', 'missing', 'clock', 'browser', 'data', 'dead', 'disappointed', ' already ',' Belain ',' buy ',' package ',' expensive ',' please ',' fixed ',' browser ',' smooth ',' ']")</f>
        <v>['Performance', 'Telkomsel', 'maximum', 'area', 'signal', 'full', 'missing', 'clock', 'browser', 'data', 'dead', 'disappointed', ' already ',' Belain ',' buy ',' package ',' expensive ',' please ',' fixed ',' browser ',' smooth ',' ']</v>
      </c>
      <c r="D11085" s="3">
        <v>1.0</v>
      </c>
    </row>
    <row r="11086" ht="15.75" customHeight="1">
      <c r="A11086" s="1">
        <v>11953.0</v>
      </c>
      <c r="B11086" s="3" t="s">
        <v>10562</v>
      </c>
      <c r="C11086" s="3" t="str">
        <f>IFERROR(__xludf.DUMMYFUNCTION("GOOGLETRANSLATE(B11086,""id"",""en"")"),"['likes', 'bnget', 'ama', 'application', 'best']")</f>
        <v>['likes', 'bnget', 'ama', 'application', 'best']</v>
      </c>
      <c r="D11086" s="3">
        <v>5.0</v>
      </c>
    </row>
    <row r="11087" ht="15.75" customHeight="1">
      <c r="A11087" s="1">
        <v>11954.0</v>
      </c>
      <c r="B11087" s="3" t="s">
        <v>10563</v>
      </c>
      <c r="C11087" s="3" t="str">
        <f>IFERROR(__xludf.DUMMYFUNCTION("GOOGLETRANSLATE(B11087,""id"",""en"")"),"['steady', 'exchange', 'point', 'quota', 'pulse', 'week', 'yesterday', 'Please', 'fix', 'thank you']")</f>
        <v>['steady', 'exchange', 'point', 'quota', 'pulse', 'week', 'yesterday', 'Please', 'fix', 'thank you']</v>
      </c>
      <c r="D11087" s="3">
        <v>5.0</v>
      </c>
    </row>
    <row r="11088" ht="15.75" customHeight="1">
      <c r="A11088" s="1">
        <v>11955.0</v>
      </c>
      <c r="B11088" s="3" t="s">
        <v>10564</v>
      </c>
      <c r="C11088" s="3" t="str">
        <f>IFERROR(__xludf.DUMMYFUNCTION("GOOGLETRANSLATE(B11088,""id"",""en"")"),"['Quality']")</f>
        <v>['Quality']</v>
      </c>
      <c r="D11088" s="3">
        <v>5.0</v>
      </c>
    </row>
    <row r="11089" ht="15.75" customHeight="1">
      <c r="A11089" s="1">
        <v>11956.0</v>
      </c>
      <c r="B11089" s="3" t="s">
        <v>10565</v>
      </c>
      <c r="C11089" s="3" t="str">
        <f>IFERROR(__xludf.DUMMYFUNCTION("GOOGLETRANSLATE(B11089,""id"",""en"")"),"['Android', 'Support', 'Install', 'Developer', 'kmana', ""]")</f>
        <v>['Android', 'Support', 'Install', 'Developer', 'kmana', "]</v>
      </c>
      <c r="D11089" s="3">
        <v>1.0</v>
      </c>
    </row>
    <row r="11090" ht="15.75" customHeight="1">
      <c r="A11090" s="1">
        <v>11957.0</v>
      </c>
      <c r="B11090" s="3" t="s">
        <v>10566</v>
      </c>
      <c r="C11090" s="3" t="str">
        <f>IFERROR(__xludf.DUMMYFUNCTION("GOOGLETRANSLATE(B11090,""id"",""en"")"),"['network', 'internet', 'ugly', 'please', 'capacity', 'plus',' special ',' sulawesi ',' south ',' network ',' ugly ',' city ',' Profincins ',' Region ',' Kabupaten ',' Continuous ',' Customer ',' Switch ',' Network ',' Next "", 'Network', 'ugly', 'Please'"&amp;", 'capacity', 'plus' , 'eupa', 'user', 'satisfied', 'package', 'expensive', 'satisfaction', 'users', 'thank', 'love']")</f>
        <v>['network', 'internet', 'ugly', 'please', 'capacity', 'plus',' special ',' sulawesi ',' south ',' network ',' ugly ',' city ',' Profincins ',' Region ',' Kabupaten ',' Continuous ',' Customer ',' Switch ',' Network ',' Next ", 'Network', 'ugly', 'Please', 'capacity', 'plus' , 'eupa', 'user', 'satisfied', 'package', 'expensive', 'satisfaction', 'users', 'thank', 'love']</v>
      </c>
      <c r="D11090" s="3">
        <v>1.0</v>
      </c>
    </row>
    <row r="11091" ht="15.75" customHeight="1">
      <c r="A11091" s="1">
        <v>11958.0</v>
      </c>
      <c r="B11091" s="3" t="s">
        <v>10567</v>
      </c>
      <c r="C11091" s="3" t="str">
        <f>IFERROR(__xludf.DUMMYFUNCTION("GOOGLETRANSLATE(B11091,""id"",""en"")"),"['apk', 'baby', 'like', 'trapping', 'buy', 'credit', 'emergency', 'let', 'leave', 'use']")</f>
        <v>['apk', 'baby', 'like', 'trapping', 'buy', 'credit', 'emergency', 'let', 'leave', 'use']</v>
      </c>
      <c r="D11091" s="3">
        <v>1.0</v>
      </c>
    </row>
    <row r="11092" ht="15.75" customHeight="1">
      <c r="A11092" s="1">
        <v>11959.0</v>
      </c>
      <c r="B11092" s="3" t="s">
        <v>10568</v>
      </c>
      <c r="C11092" s="3" t="str">
        <f>IFERROR(__xludf.DUMMYFUNCTION("GOOGLETRANSLATE(B11092,""id"",""en"")"),"['Increase', 'Area', 'City', 'Cirebon', 'Kec', 'Harja', 'Mukti']")</f>
        <v>['Increase', 'Area', 'City', 'Cirebon', 'Kec', 'Harja', 'Mukti']</v>
      </c>
      <c r="D11092" s="3">
        <v>3.0</v>
      </c>
    </row>
    <row r="11093" ht="15.75" customHeight="1">
      <c r="A11093" s="1">
        <v>11960.0</v>
      </c>
      <c r="B11093" s="3" t="s">
        <v>10569</v>
      </c>
      <c r="C11093" s="3" t="str">
        <f>IFERROR(__xludf.DUMMYFUNCTION("GOOGLETRANSLATE(B11093,""id"",""en"")"),"['Semga', 'in the future']")</f>
        <v>['Semga', 'in the future']</v>
      </c>
      <c r="D11093" s="3">
        <v>5.0</v>
      </c>
    </row>
    <row r="11094" ht="15.75" customHeight="1">
      <c r="A11094" s="1">
        <v>11961.0</v>
      </c>
      <c r="B11094" s="3" t="s">
        <v>10570</v>
      </c>
      <c r="C11094" s="3" t="str">
        <f>IFERROR(__xludf.DUMMYFUNCTION("GOOGLETRANSLATE(B11094,""id"",""en"")"),"['Wonder', 'buy', 'card', 'Sakti', 'output', 'newest', 'Kombo', 'Sakti', 'monthly', 'rb', 'GB', 'times',' Buy ',' Abis', 'Kombo', 'saktinya', 'ilang', 'lngsung', 'jdi', 'GB', 'RB', 'Males',' buy ',' package ',' Ajg ' , 'UDH', 'Bela', 'IN', 'Change', 'card"&amp;"']")</f>
        <v>['Wonder', 'buy', 'card', 'Sakti', 'output', 'newest', 'Kombo', 'Sakti', 'monthly', 'rb', 'GB', 'times',' Buy ',' Abis', 'Kombo', 'saktinya', 'ilang', 'lngsung', 'jdi', 'GB', 'RB', 'Males',' buy ',' package ',' Ajg ' , 'UDH', 'Bela', 'IN', 'Change', 'card']</v>
      </c>
      <c r="D11094" s="3">
        <v>1.0</v>
      </c>
    </row>
    <row r="11095" ht="15.75" customHeight="1">
      <c r="A11095" s="1">
        <v>11962.0</v>
      </c>
      <c r="B11095" s="3" t="s">
        <v>10571</v>
      </c>
      <c r="C11095" s="3" t="str">
        <f>IFERROR(__xludf.DUMMYFUNCTION("GOOGLETRANSLATE(B11095,""id"",""en"")"),"['petrified', 'useful', '']")</f>
        <v>['petrified', 'useful', '']</v>
      </c>
      <c r="D11095" s="3">
        <v>5.0</v>
      </c>
    </row>
    <row r="11096" ht="15.75" customHeight="1">
      <c r="A11096" s="1">
        <v>11963.0</v>
      </c>
      <c r="B11096" s="3" t="s">
        <v>10572</v>
      </c>
      <c r="C11096" s="3" t="str">
        <f>IFERROR(__xludf.DUMMYFUNCTION("GOOGLETRANSLATE(B11096,""id"",""en"")"),"['Telkomsel', 'agree', 'buy', 'package', 'emergency', 'package', 'right', 'fill in', 'pulse', 'directly', 'pulses',' kedot ',' Loss', 'COK']")</f>
        <v>['Telkomsel', 'agree', 'buy', 'package', 'emergency', 'package', 'right', 'fill in', 'pulse', 'directly', 'pulses',' kedot ',' Loss', 'COK']</v>
      </c>
      <c r="D11096" s="3">
        <v>1.0</v>
      </c>
    </row>
    <row r="11097" ht="15.75" customHeight="1">
      <c r="A11097" s="1">
        <v>11964.0</v>
      </c>
      <c r="B11097" s="3" t="s">
        <v>7413</v>
      </c>
      <c r="C11097" s="3" t="str">
        <f>IFERROR(__xludf.DUMMYFUNCTION("GOOGLETRANSLATE(B11097,""id"",""en"")"),"['Steady', 'Success']")</f>
        <v>['Steady', 'Success']</v>
      </c>
      <c r="D11097" s="3">
        <v>5.0</v>
      </c>
    </row>
    <row r="11098" ht="15.75" customHeight="1">
      <c r="A11098" s="1">
        <v>11965.0</v>
      </c>
      <c r="B11098" s="3" t="s">
        <v>10573</v>
      </c>
      <c r="C11098" s="3" t="str">
        <f>IFERROR(__xludf.DUMMYFUNCTION("GOOGLETRANSLATE(B11098,""id"",""en"")"),"['update', 'heavy', 'application', 'spoil', 'telkomsel', 'spec', 'spec', 'low', 'users', 'comment', 'delicious', 'made "",' Membership ',' comments', 'service', 'satisfying', 'trap', 'Bethmen', 'pulses',' run out ',' Ntah ',' Where ',' Untung ',' Switch '"&amp;",' Indihome ' , 'buy', 'package', 'internet', 'pilah', 'pilah', 'varying', 'price', 'soar', 'greetings', 'healthy', ""]")</f>
        <v>['update', 'heavy', 'application', 'spoil', 'telkomsel', 'spec', 'spec', 'low', 'users', 'comment', 'delicious', 'made ",' Membership ',' comments', 'service', 'satisfying', 'trap', 'Bethmen', 'pulses',' run out ',' Ntah ',' Where ',' Untung ',' Switch ',' Indihome ' , 'buy', 'package', 'internet', 'pilah', 'pilah', 'varying', 'price', 'soar', 'greetings', 'healthy', "]</v>
      </c>
      <c r="D11098" s="3">
        <v>1.0</v>
      </c>
    </row>
    <row r="11099" ht="15.75" customHeight="1">
      <c r="A11099" s="1">
        <v>11966.0</v>
      </c>
      <c r="B11099" s="3" t="s">
        <v>10574</v>
      </c>
      <c r="C11099" s="3" t="str">
        <f>IFERROR(__xludf.DUMMYFUNCTION("GOOGLETRANSLATE(B11099,""id"",""en"")"),"['min', 'signal', 'super', 'slow', 'as bad as', 'please', 'fix', 'comfortable', 'buy', 'quota', 'money', 'yes' Shame ',' quota ',' please ',' min ',' fix ',' as soon as possible ',' ']")</f>
        <v>['min', 'signal', 'super', 'slow', 'as bad as', 'please', 'fix', 'comfortable', 'buy', 'quota', 'money', 'yes' Shame ',' quota ',' please ',' min ',' fix ',' as soon as possible ',' ']</v>
      </c>
      <c r="D11099" s="3">
        <v>1.0</v>
      </c>
    </row>
    <row r="11100" ht="15.75" customHeight="1">
      <c r="A11100" s="1">
        <v>11967.0</v>
      </c>
      <c r="B11100" s="3" t="s">
        <v>10575</v>
      </c>
      <c r="C11100" s="3" t="str">
        <f>IFERROR(__xludf.DUMMYFUNCTION("GOOGLETRANSLATE(B11100,""id"",""en"")"),"['Telkomsel', 'Severe', 'Pay', 'Paketan', 'Expensive', 'Signal', 'Bad', 'Loss', 'Loss']")</f>
        <v>['Telkomsel', 'Severe', 'Pay', 'Paketan', 'Expensive', 'Signal', 'Bad', 'Loss', 'Loss']</v>
      </c>
      <c r="D11100" s="3">
        <v>1.0</v>
      </c>
    </row>
    <row r="11101" ht="15.75" customHeight="1">
      <c r="A11101" s="1">
        <v>11968.0</v>
      </c>
      <c r="B11101" s="3" t="s">
        <v>10576</v>
      </c>
      <c r="C11101" s="3" t="str">
        <f>IFERROR(__xludf.DUMMYFUNCTION("GOOGLETRANSLATE(B11101,""id"",""en"")"),"['steady', 'tap', 'tap', 'thanks', 'Telkomsel']")</f>
        <v>['steady', 'tap', 'tap', 'thanks', 'Telkomsel']</v>
      </c>
      <c r="D11101" s="3">
        <v>5.0</v>
      </c>
    </row>
    <row r="11102" ht="15.75" customHeight="1">
      <c r="A11102" s="1">
        <v>11969.0</v>
      </c>
      <c r="B11102" s="3" t="s">
        <v>10577</v>
      </c>
      <c r="C11102" s="3" t="str">
        <f>IFERROR(__xludf.DUMMYFUNCTION("GOOGLETRANSLATE(B11102,""id"",""en"")"),"['UDH', 'network', 'internet', 'battered', 'ugly', 'plus',' price ',' pket ',' data ',' expensive ',' expensive ',' blum ',' Use ',' Recommended ',' Jngan ',' Use ',' Skrang ',' Nyak ',' Internet ',' Cheap ',' Network ',' Stable ',' ']")</f>
        <v>['UDH', 'network', 'internet', 'battered', 'ugly', 'plus',' price ',' pket ',' data ',' expensive ',' expensive ',' blum ',' Use ',' Recommended ',' Jngan ',' Use ',' Skrang ',' Nyak ',' Internet ',' Cheap ',' Network ',' Stable ',' ']</v>
      </c>
      <c r="D11102" s="3">
        <v>1.0</v>
      </c>
    </row>
    <row r="11103" ht="15.75" customHeight="1">
      <c r="A11103" s="1">
        <v>11970.0</v>
      </c>
      <c r="B11103" s="3" t="s">
        <v>10578</v>
      </c>
      <c r="C11103" s="3" t="str">
        <f>IFERROR(__xludf.DUMMYFUNCTION("GOOGLETRANSLATE(B11103,""id"",""en"")"),"['Good', 'Open', 'Open', '']")</f>
        <v>['Good', 'Open', 'Open', '']</v>
      </c>
      <c r="D11103" s="3">
        <v>5.0</v>
      </c>
    </row>
    <row r="11104" ht="15.75" customHeight="1">
      <c r="A11104" s="1">
        <v>11971.0</v>
      </c>
      <c r="B11104" s="3" t="s">
        <v>10579</v>
      </c>
      <c r="C11104" s="3" t="str">
        <f>IFERROR(__xludf.DUMMYFUNCTION("GOOGLETRANSLATE(B11104,""id"",""en"")"),"['mantaappp', 'the application']")</f>
        <v>['mantaappp', 'the application']</v>
      </c>
      <c r="D11104" s="3">
        <v>5.0</v>
      </c>
    </row>
    <row r="11105" ht="15.75" customHeight="1">
      <c r="A11105" s="1">
        <v>11972.0</v>
      </c>
      <c r="B11105" s="3" t="s">
        <v>10580</v>
      </c>
      <c r="C11105" s="3" t="str">
        <f>IFERROR(__xludf.DUMMYFUNCTION("GOOGLETRANSLATE(B11105,""id"",""en"")"),"['', 'Ruking', 'Internet', 'Disconnect', '']")</f>
        <v>['', 'Ruking', 'Internet', 'Disconnect', '']</v>
      </c>
      <c r="D11105" s="3">
        <v>1.0</v>
      </c>
    </row>
    <row r="11106" ht="15.75" customHeight="1">
      <c r="A11106" s="1">
        <v>11974.0</v>
      </c>
      <c r="B11106" s="3" t="s">
        <v>10581</v>
      </c>
      <c r="C11106" s="3" t="str">
        <f>IFERROR(__xludf.DUMMYFUNCTION("GOOGLETRANSLATE(B11106,""id"",""en"")"),"['APK', 'MyTelkomsel', 'Bawaanya', 'Heavy', 'APK', 'Open', 'Application', 'Sometimes',' Spinting ',' Play ',' Kamana ',' Ada ',' APK ',' ']")</f>
        <v>['APK', 'MyTelkomsel', 'Bawaanya', 'Heavy', 'APK', 'Open', 'Application', 'Sometimes',' Spinting ',' Play ',' Kamana ',' Ada ',' APK ',' ']</v>
      </c>
      <c r="D11106" s="3">
        <v>4.0</v>
      </c>
    </row>
    <row r="11107" ht="15.75" customHeight="1">
      <c r="A11107" s="1">
        <v>11975.0</v>
      </c>
      <c r="B11107" s="3" t="s">
        <v>10582</v>
      </c>
      <c r="C11107" s="3" t="str">
        <f>IFERROR(__xludf.DUMMYFUNCTION("GOOGLETRANSLATE(B11107,""id"",""en"")"),"['Telkomsel', 'signal', 'JLEK', 'Bruk', 'Bru', 'buy', 'PKET', 'Internet', 'BSA', 'Used', 'Apes',' Please ',' Repaired ',' ']")</f>
        <v>['Telkomsel', 'signal', 'JLEK', 'Bruk', 'Bru', 'buy', 'PKET', 'Internet', 'BSA', 'Used', 'Apes',' Please ',' Repaired ',' ']</v>
      </c>
      <c r="D11107" s="3">
        <v>1.0</v>
      </c>
    </row>
    <row r="11108" ht="15.75" customHeight="1">
      <c r="A11108" s="1">
        <v>11976.0</v>
      </c>
      <c r="B11108" s="3" t="s">
        <v>10583</v>
      </c>
      <c r="C11108" s="3" t="str">
        <f>IFERROR(__xludf.DUMMYFUNCTION("GOOGLETRANSLATE(B11108,""id"",""en"")"),"['Road', 'Road', 'Application', 'MyTelkomsel', 'Buy', 'Package', 'Combo', 'Use', 'Method', 'Payment', 'Shoopepay', 'Telkomsel', ' The package ',' enter ',' money ',' missing ',' Amphyunnn ',' MyTelkomsel ']")</f>
        <v>['Road', 'Road', 'Application', 'MyTelkomsel', 'Buy', 'Package', 'Combo', 'Use', 'Method', 'Payment', 'Shoopepay', 'Telkomsel', ' The package ',' enter ',' money ',' missing ',' Amphyunnn ',' MyTelkomsel ']</v>
      </c>
      <c r="D11108" s="3">
        <v>1.0</v>
      </c>
    </row>
    <row r="11109" ht="15.75" customHeight="1">
      <c r="A11109" s="1">
        <v>11977.0</v>
      </c>
      <c r="B11109" s="3" t="s">
        <v>10584</v>
      </c>
      <c r="C11109" s="3" t="str">
        <f>IFERROR(__xludf.DUMMYFUNCTION("GOOGLETRANSLATE(B11109,""id"",""en"")"),"['Give', 'gift', 'giga', 'internet', 'night', 'send', 'package', 'internet', 'skrg', 'retreat']")</f>
        <v>['Give', 'gift', 'giga', 'internet', 'night', 'send', 'package', 'internet', 'skrg', 'retreat']</v>
      </c>
      <c r="D11109" s="3">
        <v>1.0</v>
      </c>
    </row>
    <row r="11110" ht="15.75" customHeight="1">
      <c r="A11110" s="1">
        <v>11979.0</v>
      </c>
      <c r="B11110" s="3" t="s">
        <v>10585</v>
      </c>
      <c r="C11110" s="3" t="str">
        <f>IFERROR(__xludf.DUMMYFUNCTION("GOOGLETRANSLATE(B11110,""id"",""en"")"),"['Kebaps', 'Open', 'pls', '']")</f>
        <v>['Kebaps', 'Open', 'pls', '']</v>
      </c>
      <c r="D11110" s="3">
        <v>1.0</v>
      </c>
    </row>
    <row r="11111" ht="15.75" customHeight="1">
      <c r="A11111" s="1">
        <v>11980.0</v>
      </c>
      <c r="B11111" s="3" t="s">
        <v>10586</v>
      </c>
      <c r="C11111" s="3" t="str">
        <f>IFERROR(__xludf.DUMMYFUNCTION("GOOGLETRANSLATE(B11111,""id"",""en"")"),"['woi', 'Telkomsel', 'how', 'package', 'omg', 'already', 'expensive', 'signal', 'no', 'wish', 'how', 'customers',' disappointed', '']")</f>
        <v>['woi', 'Telkomsel', 'how', 'package', 'omg', 'already', 'expensive', 'signal', 'no', 'wish', 'how', 'customers',' disappointed', '']</v>
      </c>
      <c r="D11111" s="3">
        <v>1.0</v>
      </c>
    </row>
    <row r="11112" ht="15.75" customHeight="1">
      <c r="A11112" s="1">
        <v>11981.0</v>
      </c>
      <c r="B11112" s="3" t="s">
        <v>10587</v>
      </c>
      <c r="C11112" s="3" t="str">
        <f>IFERROR(__xludf.DUMMYFUNCTION("GOOGLETRANSLATE(B11112,""id"",""en"")"),"['Telkomsel', 'Ank', 'Harram', 'Network', 'Kek', 'Taekk', 'Raying', 'Buy', 'Paketan', 'Telkom', 'Pig', ""]")</f>
        <v>['Telkomsel', 'Ank', 'Harram', 'Network', 'Kek', 'Taekk', 'Raying', 'Buy', 'Paketan', 'Telkom', 'Pig', "]</v>
      </c>
      <c r="D11112" s="3">
        <v>1.0</v>
      </c>
    </row>
    <row r="11113" ht="15.75" customHeight="1">
      <c r="A11113" s="1">
        <v>11982.0</v>
      </c>
      <c r="B11113" s="3" t="s">
        <v>10588</v>
      </c>
      <c r="C11113" s="3" t="str">
        <f>IFERROR(__xludf.DUMMYFUNCTION("GOOGLETRANSLATE(B11113,""id"",""en"")"),"['Benerin', 'connection', 'ugly', 'play', 'game']")</f>
        <v>['Benerin', 'connection', 'ugly', 'play', 'game']</v>
      </c>
      <c r="D11113" s="3">
        <v>1.0</v>
      </c>
    </row>
    <row r="11114" ht="15.75" customHeight="1">
      <c r="A11114" s="1">
        <v>11983.0</v>
      </c>
      <c r="B11114" s="3" t="s">
        <v>10589</v>
      </c>
      <c r="C11114" s="3" t="str">
        <f>IFERROR(__xludf.DUMMYFUNCTION("GOOGLETRANSLATE(B11114,""id"",""en"")"),"['expensive', 'Doank', 'signal', 'JLS']")</f>
        <v>['expensive', 'Doank', 'signal', 'JLS']</v>
      </c>
      <c r="D11114" s="3">
        <v>1.0</v>
      </c>
    </row>
    <row r="11115" ht="15.75" customHeight="1">
      <c r="A11115" s="1">
        <v>11984.0</v>
      </c>
      <c r="B11115" s="3" t="s">
        <v>10590</v>
      </c>
      <c r="C11115" s="3" t="str">
        <f>IFERROR(__xludf.DUMMYFUNCTION("GOOGLETRANSLATE(B11115,""id"",""en"")"),"['APK', 'Best']")</f>
        <v>['APK', 'Best']</v>
      </c>
      <c r="D11115" s="3">
        <v>5.0</v>
      </c>
    </row>
    <row r="11116" ht="15.75" customHeight="1">
      <c r="A11116" s="1">
        <v>11985.0</v>
      </c>
      <c r="B11116" s="3" t="s">
        <v>10591</v>
      </c>
      <c r="C11116" s="3" t="str">
        <f>IFERROR(__xludf.DUMMYFUNCTION("GOOGLETRANSLATE(B11116,""id"",""en"")"),"['best', 'please', 'network', 'strength']")</f>
        <v>['best', 'please', 'network', 'strength']</v>
      </c>
      <c r="D11116" s="3">
        <v>5.0</v>
      </c>
    </row>
    <row r="11117" ht="15.75" customHeight="1">
      <c r="A11117" s="1">
        <v>11986.0</v>
      </c>
      <c r="B11117" s="3" t="s">
        <v>10592</v>
      </c>
      <c r="C11117" s="3" t="str">
        <f>IFERROR(__xludf.DUMMYFUNCTION("GOOGLETRANSLATE(B11117,""id"",""en"")"),"['Telkomsel', 'BEJAD', 'Credit', 'Bobol', 'Worst', 'Telkomsel', 'Laknat', ""]")</f>
        <v>['Telkomsel', 'BEJAD', 'Credit', 'Bobol', 'Worst', 'Telkomsel', 'Laknat', "]</v>
      </c>
      <c r="D11117" s="3">
        <v>1.0</v>
      </c>
    </row>
    <row r="11118" ht="15.75" customHeight="1">
      <c r="A11118" s="1">
        <v>11987.0</v>
      </c>
      <c r="B11118" s="3" t="s">
        <v>10593</v>
      </c>
      <c r="C11118" s="3" t="str">
        <f>IFERROR(__xludf.DUMMYFUNCTION("GOOGLETRANSLATE(B11118,""id"",""en"")"),"['expensive', 'Worth', '']")</f>
        <v>['expensive', 'Worth', '']</v>
      </c>
      <c r="D11118" s="3">
        <v>1.0</v>
      </c>
    </row>
    <row r="11119" ht="15.75" customHeight="1">
      <c r="A11119" s="1">
        <v>11988.0</v>
      </c>
      <c r="B11119" s="3" t="s">
        <v>10594</v>
      </c>
      <c r="C11119" s="3" t="str">
        <f>IFERROR(__xludf.DUMMYFUNCTION("GOOGLETRANSLATE(B11119,""id"",""en"")"),"['Price', 'Package', 'Standard', 'Different', 'People', 'Down', 'Time', 'Price']")</f>
        <v>['Price', 'Package', 'Standard', 'Different', 'People', 'Down', 'Time', 'Price']</v>
      </c>
      <c r="D11119" s="3">
        <v>1.0</v>
      </c>
    </row>
    <row r="11120" ht="15.75" customHeight="1">
      <c r="A11120" s="1">
        <v>11989.0</v>
      </c>
      <c r="B11120" s="3" t="s">
        <v>10595</v>
      </c>
      <c r="C11120" s="3" t="str">
        <f>IFERROR(__xludf.DUMMYFUNCTION("GOOGLETRANSLATE(B11120,""id"",""en"")"),"['quota', 'chat', 'games',' sosmed ',' speed ',' slow ',' accessible ',' game ',' gabisa ',' please ',' lined ',' speed ',' his signal ',' comfortable ',' really ',' please ',' Linerin ',' ']")</f>
        <v>['quota', 'chat', 'games',' sosmed ',' speed ',' slow ',' accessible ',' game ',' gabisa ',' please ',' lined ',' speed ',' his signal ',' comfortable ',' really ',' please ',' Linerin ',' ']</v>
      </c>
      <c r="D11120" s="3">
        <v>1.0</v>
      </c>
    </row>
    <row r="11121" ht="15.75" customHeight="1">
      <c r="A11121" s="1">
        <v>11990.0</v>
      </c>
      <c r="B11121" s="3" t="s">
        <v>10596</v>
      </c>
      <c r="C11121" s="3" t="str">
        <f>IFERROR(__xludf.DUMMYFUNCTION("GOOGLETRANSLATE(B11121,""id"",""en"")"),"['hope', 'free']")</f>
        <v>['hope', 'free']</v>
      </c>
      <c r="D11121" s="3">
        <v>5.0</v>
      </c>
    </row>
    <row r="11122" ht="15.75" customHeight="1">
      <c r="A11122" s="1">
        <v>11991.0</v>
      </c>
      <c r="B11122" s="3" t="s">
        <v>10597</v>
      </c>
      <c r="C11122" s="3" t="str">
        <f>IFERROR(__xludf.DUMMYFUNCTION("GOOGLETRANSLATE(B11122,""id"",""en"")"),"['signal', 'ugly', 'package', 'expensive', 'pulse', 'sumps', 'udha', 'complain', 'no', 'action', 'please', 'fix']")</f>
        <v>['signal', 'ugly', 'package', 'expensive', 'pulse', 'sumps', 'udha', 'complain', 'no', 'action', 'please', 'fix']</v>
      </c>
      <c r="D11122" s="3">
        <v>1.0</v>
      </c>
    </row>
    <row r="11123" ht="15.75" customHeight="1">
      <c r="A11123" s="1">
        <v>11992.0</v>
      </c>
      <c r="B11123" s="3" t="s">
        <v>10598</v>
      </c>
      <c r="C11123" s="3" t="str">
        <f>IFERROR(__xludf.DUMMYFUNCTION("GOOGLETRANSLATE(B11123,""id"",""en"")"),"['Login']")</f>
        <v>['Login']</v>
      </c>
      <c r="D11123" s="3">
        <v>3.0</v>
      </c>
    </row>
    <row r="11124" ht="15.75" customHeight="1">
      <c r="A11124" s="1">
        <v>11993.0</v>
      </c>
      <c r="B11124" s="3" t="s">
        <v>10599</v>
      </c>
      <c r="C11124" s="3" t="str">
        <f>IFERROR(__xludf.DUMMYFUNCTION("GOOGLETRANSLATE(B11124,""id"",""en"")"),"['card', 'Hello', 'package', 'run out', 'use', 'unlimited', 'max', 'pay', 'bill', 'enter', 'post', 'pay', ' number', '']")</f>
        <v>['card', 'Hello', 'package', 'run out', 'use', 'unlimited', 'max', 'pay', 'bill', 'enter', 'post', 'pay', ' number', '']</v>
      </c>
      <c r="D11124" s="3">
        <v>1.0</v>
      </c>
    </row>
    <row r="11125" ht="15.75" customHeight="1">
      <c r="A11125" s="1">
        <v>11997.0</v>
      </c>
      <c r="B11125" s="3" t="s">
        <v>10600</v>
      </c>
      <c r="C11125" s="3" t="str">
        <f>IFERROR(__xludf.DUMMYFUNCTION("GOOGLETRANSLATE(B11125,""id"",""en"")"),"['great', 'really', 'hope', 'network', 'fast']")</f>
        <v>['great', 'really', 'hope', 'network', 'fast']</v>
      </c>
      <c r="D11125" s="3">
        <v>4.0</v>
      </c>
    </row>
    <row r="11126" ht="15.75" customHeight="1">
      <c r="A11126" s="1">
        <v>11998.0</v>
      </c>
      <c r="B11126" s="3" t="s">
        <v>10601</v>
      </c>
      <c r="C11126" s="3" t="str">
        <f>IFERROR(__xludf.DUMMYFUNCTION("GOOGLETRANSLATE(B11126,""id"",""en"")"),"['improvement', 'application', 'solution', 'log', 'use', 'card', 'hello', 'send', 'gift', ""]")</f>
        <v>['improvement', 'application', 'solution', 'log', 'use', 'card', 'hello', 'send', 'gift', "]</v>
      </c>
      <c r="D11126" s="3">
        <v>4.0</v>
      </c>
    </row>
    <row r="11127" ht="15.75" customHeight="1">
      <c r="A11127" s="1">
        <v>11999.0</v>
      </c>
      <c r="B11127" s="3" t="s">
        <v>10602</v>
      </c>
      <c r="C11127" s="3" t="str">
        <f>IFERROR(__xludf.DUMMYFUNCTION("GOOGLETRANSLATE(B11127,""id"",""en"")"),"['feeling', 'package', 'emergency', 'pls', 'pull', 'smua', 'telkomsel', 'error', 'skrg']")</f>
        <v>['feeling', 'package', 'emergency', 'pls', 'pull', 'smua', 'telkomsel', 'error', 'skrg']</v>
      </c>
      <c r="D11127" s="3">
        <v>1.0</v>
      </c>
    </row>
    <row r="11128" ht="15.75" customHeight="1">
      <c r="A11128" s="1">
        <v>12000.0</v>
      </c>
      <c r="B11128" s="3" t="s">
        <v>10603</v>
      </c>
      <c r="C11128" s="3" t="str">
        <f>IFERROR(__xludf.DUMMYFUNCTION("GOOGLETRANSLATE(B11128,""id"",""en"")"),"['Loding', 'Ngadat']")</f>
        <v>['Loding', 'Ngadat']</v>
      </c>
      <c r="D11128" s="3">
        <v>4.0</v>
      </c>
    </row>
    <row r="11129" ht="15.75" customHeight="1">
      <c r="A11129" s="1">
        <v>12001.0</v>
      </c>
      <c r="B11129" s="3" t="s">
        <v>10604</v>
      </c>
      <c r="C11129" s="3" t="str">
        <f>IFERROR(__xludf.DUMMYFUNCTION("GOOGLETRANSLATE(B11129,""id"",""en"")"),"['Plis', 'Telkomsel', 'boss', 'really', '']")</f>
        <v>['Plis', 'Telkomsel', 'boss', 'really', '']</v>
      </c>
      <c r="D11129" s="3">
        <v>1.0</v>
      </c>
    </row>
    <row r="11130" ht="15.75" customHeight="1">
      <c r="A11130" s="1">
        <v>12002.0</v>
      </c>
      <c r="B11130" s="3" t="s">
        <v>10605</v>
      </c>
      <c r="C11130" s="3" t="str">
        <f>IFERROR(__xludf.DUMMYFUNCTION("GOOGLETRANSLATE(B11130,""id"",""en"")"),"['Serimaksih', 'love', 'promo', 'heart', 'happy']")</f>
        <v>['Serimaksih', 'love', 'promo', 'heart', 'happy']</v>
      </c>
      <c r="D11130" s="3">
        <v>5.0</v>
      </c>
    </row>
    <row r="11131" ht="15.75" customHeight="1">
      <c r="A11131" s="1">
        <v>12003.0</v>
      </c>
      <c r="B11131" s="3" t="s">
        <v>7808</v>
      </c>
      <c r="C11131" s="3" t="str">
        <f>IFERROR(__xludf.DUMMYFUNCTION("GOOGLETRANSLATE(B11131,""id"",""en"")"),"['Network', 'Good']")</f>
        <v>['Network', 'Good']</v>
      </c>
      <c r="D11131" s="3">
        <v>5.0</v>
      </c>
    </row>
    <row r="11132" ht="15.75" customHeight="1">
      <c r="A11132" s="1">
        <v>12004.0</v>
      </c>
      <c r="B11132" s="3" t="s">
        <v>10606</v>
      </c>
      <c r="C11132" s="3" t="str">
        <f>IFERROR(__xludf.DUMMYFUNCTION("GOOGLETRANSLATE(B11132,""id"",""en"")"),"['Pay', 'little', 'little', 'pay']")</f>
        <v>['Pay', 'little', 'little', 'pay']</v>
      </c>
      <c r="D11132" s="3">
        <v>1.0</v>
      </c>
    </row>
    <row r="11133" ht="15.75" customHeight="1">
      <c r="A11133" s="1">
        <v>12005.0</v>
      </c>
      <c r="B11133" s="3" t="s">
        <v>10607</v>
      </c>
      <c r="C11133" s="3" t="str">
        <f>IFERROR(__xludf.DUMMYFUNCTION("GOOGLETRANSLATE(B11133,""id"",""en"")"),"['crazy', 'updated', 'click', 'kepakaa', 'eeeeee', 'mnta', 'updated', 'again', 'bravoo', 'dech', 'rich', 'crazy', ' Klen ',' merged ',' bknny ',' service ',' good ',' mlh ',' ']")</f>
        <v>['crazy', 'updated', 'click', 'kepakaa', 'eeeeee', 'mnta', 'updated', 'again', 'bravoo', 'dech', 'rich', 'crazy', ' Klen ',' merged ',' bknny ',' service ',' good ',' mlh ',' ']</v>
      </c>
      <c r="D11133" s="3">
        <v>1.0</v>
      </c>
    </row>
    <row r="11134" ht="15.75" customHeight="1">
      <c r="A11134" s="1">
        <v>12006.0</v>
      </c>
      <c r="B11134" s="3" t="s">
        <v>10608</v>
      </c>
      <c r="C11134" s="3" t="str">
        <f>IFERROR(__xludf.DUMMYFUNCTION("GOOGLETRANSLATE(B11134,""id"",""en"")"),"['Hopefully', 'Telkomsel', 'Sejahtera']")</f>
        <v>['Hopefully', 'Telkomsel', 'Sejahtera']</v>
      </c>
      <c r="D11134" s="3">
        <v>5.0</v>
      </c>
    </row>
    <row r="11135" ht="15.75" customHeight="1">
      <c r="A11135" s="1">
        <v>12007.0</v>
      </c>
      <c r="B11135" s="3" t="s">
        <v>10609</v>
      </c>
      <c r="C11135" s="3" t="str">
        <f>IFERROR(__xludf.DUMMYFUNCTION("GOOGLETRANSLATE(B11135,""id"",""en"")"),"['The network', 'poor', 'times', 'Change', 'Come', 'Ngelag']")</f>
        <v>['The network', 'poor', 'times', 'Change', 'Come', 'Ngelag']</v>
      </c>
      <c r="D11135" s="3">
        <v>1.0</v>
      </c>
    </row>
    <row r="11136" ht="15.75" customHeight="1">
      <c r="A11136" s="1">
        <v>12008.0</v>
      </c>
      <c r="B11136" s="3" t="s">
        <v>10610</v>
      </c>
      <c r="C11136" s="3" t="str">
        <f>IFERROR(__xludf.DUMMYFUNCTION("GOOGLETRANSLATE(B11136,""id"",""en"")"),"['', 'expensive', 'Telkomsel', 'good', 'lotk', 'wkwkwk', 'gtu', 'likes',' malak ',' package ',' CMA ',' standby ',' CPT ',' Abis', 'Ampasss',' pulp ', ""]")</f>
        <v>['', 'expensive', 'Telkomsel', 'good', 'lotk', 'wkwkwk', 'gtu', 'likes',' malak ',' package ',' CMA ',' standby ',' CPT ',' Abis', 'Ampasss',' pulp ', "]</v>
      </c>
      <c r="D11136" s="3">
        <v>2.0</v>
      </c>
    </row>
    <row r="11137" ht="15.75" customHeight="1">
      <c r="A11137" s="1">
        <v>12009.0</v>
      </c>
      <c r="B11137" s="3" t="s">
        <v>10611</v>
      </c>
      <c r="C11137" s="3" t="str">
        <f>IFERROR(__xludf.DUMMYFUNCTION("GOOGLETRANSLATE(B11137,""id"",""en"")"),"['network', 'kya', 'garbage', 'effort', 'loss', 'gara', 'network', 'slow', 'already', 'expensive', 'slow']")</f>
        <v>['network', 'kya', 'garbage', 'effort', 'loss', 'gara', 'network', 'slow', 'already', 'expensive', 'slow']</v>
      </c>
      <c r="D11137" s="3">
        <v>1.0</v>
      </c>
    </row>
    <row r="11138" ht="15.75" customHeight="1">
      <c r="A11138" s="1">
        <v>12010.0</v>
      </c>
      <c r="B11138" s="3" t="s">
        <v>10612</v>
      </c>
      <c r="C11138" s="3" t="str">
        <f>IFERROR(__xludf.DUMMYFUNCTION("GOOGLETRANSLATE(B11138,""id"",""en"")"),"['Good', 'PKE', 'Application', 'LBH', 'Save']")</f>
        <v>['Good', 'PKE', 'Application', 'LBH', 'Save']</v>
      </c>
      <c r="D11138" s="3">
        <v>5.0</v>
      </c>
    </row>
    <row r="11139" ht="15.75" customHeight="1">
      <c r="A11139" s="1">
        <v>12011.0</v>
      </c>
      <c r="B11139" s="3" t="s">
        <v>10613</v>
      </c>
      <c r="C11139" s="3" t="str">
        <f>IFERROR(__xludf.DUMMYFUNCTION("GOOGLETRANSLATE(B11139,""id"",""en"")"),"['Signal', 'Data', 'Area', 'Jayapura', 'Fix', 'Area', 'East', 'Buy', 'Package', 'Data', 'Expensive', 'Quality', ' HRUS ',' Good ',' ']")</f>
        <v>['Signal', 'Data', 'Area', 'Jayapura', 'Fix', 'Area', 'East', 'Buy', 'Package', 'Data', 'Expensive', 'Quality', ' HRUS ',' Good ',' ']</v>
      </c>
      <c r="D11139" s="3">
        <v>1.0</v>
      </c>
    </row>
    <row r="11140" ht="15.75" customHeight="1">
      <c r="A11140" s="1">
        <v>12012.0</v>
      </c>
      <c r="B11140" s="3" t="s">
        <v>10614</v>
      </c>
      <c r="C11140" s="3" t="str">
        <f>IFERROR(__xludf.DUMMYFUNCTION("GOOGLETRANSLATE(B11140,""id"",""en"")"),"['signal', 'ugly', 'please', 'repaired', 'comfortable', 'lag', '']")</f>
        <v>['signal', 'ugly', 'please', 'repaired', 'comfortable', 'lag', '']</v>
      </c>
      <c r="D11140" s="3">
        <v>1.0</v>
      </c>
    </row>
    <row r="11141" ht="15.75" customHeight="1">
      <c r="A11141" s="1">
        <v>12013.0</v>
      </c>
      <c r="B11141" s="3" t="s">
        <v>10615</v>
      </c>
      <c r="C11141" s="3" t="str">
        <f>IFERROR(__xludf.DUMMYFUNCTION("GOOGLETRANSLATE(B11141,""id"",""en"")"),"['Rampok', 'pulse', 'contents',' pulse ',' open ',' apk ',' buy ',' package ',' right ',' check ',' pulses', 'dark', ' Apain ',' Ludes', 'Rampok', 'Rampok', ""]")</f>
        <v>['Rampok', 'pulse', 'contents',' pulse ',' open ',' apk ',' buy ',' package ',' right ',' check ',' pulses', 'dark', ' Apain ',' Ludes', 'Rampok', 'Rampok', "]</v>
      </c>
      <c r="D11141" s="3">
        <v>1.0</v>
      </c>
    </row>
    <row r="11142" ht="15.75" customHeight="1">
      <c r="A11142" s="1">
        <v>12014.0</v>
      </c>
      <c r="B11142" s="3" t="s">
        <v>10616</v>
      </c>
      <c r="C11142" s="3" t="str">
        <f>IFERROR(__xludf.DUMMYFUNCTION("GOOGLETRANSLATE(B11142,""id"",""en"")"),"['signal', 'ugly', 'really', 'disturbance', 'many years', 'use', 'Telkomsel', 'disappointed', 'really', 'Telkomsel', 'setbacks', 'Telkomsel']")</f>
        <v>['signal', 'ugly', 'really', 'disturbance', 'many years', 'use', 'Telkomsel', 'disappointed', 'really', 'Telkomsel', 'setbacks', 'Telkomsel']</v>
      </c>
      <c r="D11142" s="3">
        <v>1.0</v>
      </c>
    </row>
    <row r="11143" ht="15.75" customHeight="1">
      <c r="A11143" s="1">
        <v>12015.0</v>
      </c>
      <c r="B11143" s="3" t="s">
        <v>10617</v>
      </c>
      <c r="C11143" s="3" t="str">
        <f>IFERROR(__xludf.DUMMYFUNCTION("GOOGLETRANSLATE(B11143,""id"",""en"")"),"['Telkomsel', 'in front', '']")</f>
        <v>['Telkomsel', 'in front', '']</v>
      </c>
      <c r="D11143" s="3">
        <v>5.0</v>
      </c>
    </row>
    <row r="11144" ht="15.75" customHeight="1">
      <c r="A11144" s="1">
        <v>12016.0</v>
      </c>
      <c r="B11144" s="3" t="s">
        <v>10618</v>
      </c>
      <c r="C11144" s="3" t="str">
        <f>IFERROR(__xludf.DUMMYFUNCTION("GOOGLETRANSLATE(B11144,""id"",""en"")"),"['Fun', 'Application', 'MyTelkomsel', 'Direct', 'Pulza', 'internet', 'Pulza', 'telephone']")</f>
        <v>['Fun', 'Application', 'MyTelkomsel', 'Direct', 'Pulza', 'internet', 'Pulza', 'telephone']</v>
      </c>
      <c r="D11144" s="3">
        <v>5.0</v>
      </c>
    </row>
    <row r="11145" ht="15.75" customHeight="1">
      <c r="A11145" s="1">
        <v>12018.0</v>
      </c>
      <c r="B11145" s="3" t="s">
        <v>10619</v>
      </c>
      <c r="C11145" s="3" t="str">
        <f>IFERROR(__xludf.DUMMYFUNCTION("GOOGLETRANSLATE(B11145,""id"",""en"")"),"['Points', 'exchanged', 'data']")</f>
        <v>['Points', 'exchanged', 'data']</v>
      </c>
      <c r="D11145" s="3">
        <v>2.0</v>
      </c>
    </row>
    <row r="11146" ht="15.75" customHeight="1">
      <c r="A11146" s="1">
        <v>12019.0</v>
      </c>
      <c r="B11146" s="3" t="s">
        <v>10620</v>
      </c>
      <c r="C11146" s="3" t="str">
        <f>IFERROR(__xludf.DUMMYFUNCTION("GOOGLETRANSLATE(B11146,""id"",""en"")"),"['Signal', 'Telkomsel', 'Ngelag']")</f>
        <v>['Signal', 'Telkomsel', 'Ngelag']</v>
      </c>
      <c r="D11146" s="3">
        <v>1.0</v>
      </c>
    </row>
    <row r="11147" ht="15.75" customHeight="1">
      <c r="A11147" s="1">
        <v>12020.0</v>
      </c>
      <c r="B11147" s="3" t="s">
        <v>10621</v>
      </c>
      <c r="C11147" s="3" t="str">
        <f>IFERROR(__xludf.DUMMYFUNCTION("GOOGLETRANSLATE(B11147,""id"",""en"")"),"['Please', 'repaired', 'at the time', 'exchanges', 'Point', '']")</f>
        <v>['Please', 'repaired', 'at the time', 'exchanges', 'Point', '']</v>
      </c>
      <c r="D11147" s="3">
        <v>1.0</v>
      </c>
    </row>
    <row r="11148" ht="15.75" customHeight="1">
      <c r="A11148" s="1">
        <v>12021.0</v>
      </c>
      <c r="B11148" s="3" t="s">
        <v>10622</v>
      </c>
      <c r="C11148" s="3" t="str">
        <f>IFERROR(__xludf.DUMMYFUNCTION("GOOGLETRANSLATE(B11148,""id"",""en"")"),"['Operator', 'cheap', 'wanted', 'replace', '']")</f>
        <v>['Operator', 'cheap', 'wanted', 'replace', '']</v>
      </c>
      <c r="D11148" s="3">
        <v>3.0</v>
      </c>
    </row>
    <row r="11149" ht="15.75" customHeight="1">
      <c r="A11149" s="1">
        <v>12022.0</v>
      </c>
      <c r="B11149" s="3" t="s">
        <v>10623</v>
      </c>
      <c r="C11149" s="3" t="str">
        <f>IFERROR(__xludf.DUMMYFUNCTION("GOOGLETRANSLATE(B11149,""id"",""en"")"),"['region', 'pik', 'jakarta', 'north', 'signal', 'internet', 'good']")</f>
        <v>['region', 'pik', 'jakarta', 'north', 'signal', 'internet', 'good']</v>
      </c>
      <c r="D11149" s="3">
        <v>5.0</v>
      </c>
    </row>
    <row r="11150" ht="15.75" customHeight="1">
      <c r="A11150" s="1">
        <v>12023.0</v>
      </c>
      <c r="B11150" s="3" t="s">
        <v>10624</v>
      </c>
      <c r="C11150" s="3" t="str">
        <f>IFERROR(__xludf.DUMMYFUNCTION("GOOGLETRANSLATE(B11150,""id"",""en"")"),"['space', 'Untok', 'program', 'beta']")</f>
        <v>['space', 'Untok', 'program', 'beta']</v>
      </c>
      <c r="D11150" s="3">
        <v>5.0</v>
      </c>
    </row>
    <row r="11151" ht="15.75" customHeight="1">
      <c r="A11151" s="1">
        <v>12024.0</v>
      </c>
      <c r="B11151" s="3" t="s">
        <v>10625</v>
      </c>
      <c r="C11151" s="3" t="str">
        <f>IFERROR(__xludf.DUMMYFUNCTION("GOOGLETRANSLATE(B11151,""id"",""en"")"),"['Network', 'ugly', 'price', 'expensive', 'promo', 'conditional', 'forced', 'use', 'card', 'Telkomsel', 'kayak', 'robbery', ' Prioritizing ',' Benefits', 'Ajg']")</f>
        <v>['Network', 'ugly', 'price', 'expensive', 'promo', 'conditional', 'forced', 'use', 'card', 'Telkomsel', 'kayak', 'robbery', ' Prioritizing ',' Benefits', 'Ajg']</v>
      </c>
      <c r="D11151" s="3">
        <v>1.0</v>
      </c>
    </row>
    <row r="11152" ht="15.75" customHeight="1">
      <c r="A11152" s="1">
        <v>12025.0</v>
      </c>
      <c r="B11152" s="3" t="s">
        <v>10626</v>
      </c>
      <c r="C11152" s="3" t="str">
        <f>IFERROR(__xludf.DUMMYFUNCTION("GOOGLETRANSLATE(B11152,""id"",""en"")"),"['Severe', 'Telkomsel', 'Unlimited', 'Leet', 'Please', 'Fix', 'Telkomsel', 'Customer', 'Switch', 'Telkomsel', 'Disappointed', ""]")</f>
        <v>['Severe', 'Telkomsel', 'Unlimited', 'Leet', 'Please', 'Fix', 'Telkomsel', 'Customer', 'Switch', 'Telkomsel', 'Disappointed', "]</v>
      </c>
      <c r="D11152" s="3">
        <v>2.0</v>
      </c>
    </row>
    <row r="11153" ht="15.75" customHeight="1">
      <c r="A11153" s="1">
        <v>12027.0</v>
      </c>
      <c r="B11153" s="3" t="s">
        <v>10627</v>
      </c>
      <c r="C11153" s="3" t="str">
        <f>IFERROR(__xludf.DUMMYFUNCTION("GOOGLETRANSLATE(B11153,""id"",""en"")"),"['fluent', '']")</f>
        <v>['fluent', '']</v>
      </c>
      <c r="D11153" s="3">
        <v>5.0</v>
      </c>
    </row>
    <row r="11154" ht="15.75" customHeight="1">
      <c r="A11154" s="1">
        <v>12028.0</v>
      </c>
      <c r="B11154" s="3" t="s">
        <v>10628</v>
      </c>
      <c r="C11154" s="3" t="str">
        <f>IFERROR(__xludf.DUMMYFUNCTION("GOOGLETRANSLATE(B11154,""id"",""en"")"),"['signal', 'Telkomsel', 'threat', 'threat', 'already', 'bought', 'expensive', 'signal', 'good', ""]")</f>
        <v>['signal', 'Telkomsel', 'threat', 'threat', 'already', 'bought', 'expensive', 'signal', 'good', "]</v>
      </c>
      <c r="D11154" s="3">
        <v>1.0</v>
      </c>
    </row>
    <row r="11155" ht="15.75" customHeight="1">
      <c r="A11155" s="1">
        <v>12029.0</v>
      </c>
      <c r="B11155" s="3" t="s">
        <v>10629</v>
      </c>
      <c r="C11155" s="3" t="str">
        <f>IFERROR(__xludf.DUMMYFUNCTION("GOOGLETRANSLATE(B11155,""id"",""en"")"),"['gift', 'hope', 'fake', 'screen', 'reality', 'speed', 'second', 'down', 'forced', 'information', 'via', 'Medsos',' Connections', 'Internet', 'ugly', 'Wamena', 'District', 'Wamena', 'County', 'Jayawijaya', '']")</f>
        <v>['gift', 'hope', 'fake', 'screen', 'reality', 'speed', 'second', 'down', 'forced', 'information', 'via', 'Medsos',' Connections', 'Internet', 'ugly', 'Wamena', 'District', 'Wamena', 'County', 'Jayawijaya', '']</v>
      </c>
      <c r="D11155" s="3">
        <v>1.0</v>
      </c>
    </row>
    <row r="11156" ht="15.75" customHeight="1">
      <c r="A11156" s="1">
        <v>12030.0</v>
      </c>
      <c r="B11156" s="3" t="s">
        <v>10630</v>
      </c>
      <c r="C11156" s="3" t="str">
        <f>IFERROR(__xludf.DUMMYFUNCTION("GOOGLETRANSLATE(B11156,""id"",""en"")"),"['Signal', 'Bad', 'Papua']")</f>
        <v>['Signal', 'Bad', 'Papua']</v>
      </c>
      <c r="D11156" s="3">
        <v>3.0</v>
      </c>
    </row>
    <row r="11157" ht="15.75" customHeight="1">
      <c r="A11157" s="1">
        <v>12031.0</v>
      </c>
      <c r="B11157" s="3" t="s">
        <v>10631</v>
      </c>
      <c r="C11157" s="3" t="str">
        <f>IFERROR(__xludf.DUMMYFUNCTION("GOOGLETRANSLATE(B11157,""id"",""en"")"),"['Please', 'Clarification', 'Knapa', 'PLSA', 'Cut', 'Borrow', 'Package', 'Read', 'Review', 'Komplen', 'Strange', 'Very', ' Remove ',' APK ',' KLWBBINI ',' ']")</f>
        <v>['Please', 'Clarification', 'Knapa', 'PLSA', 'Cut', 'Borrow', 'Package', 'Read', 'Review', 'Komplen', 'Strange', 'Very', ' Remove ',' APK ',' KLWBBINI ',' ']</v>
      </c>
      <c r="D11157" s="3">
        <v>1.0</v>
      </c>
    </row>
    <row r="11158" ht="15.75" customHeight="1">
      <c r="A11158" s="1">
        <v>12032.0</v>
      </c>
      <c r="B11158" s="3" t="s">
        <v>10632</v>
      </c>
      <c r="C11158" s="3" t="str">
        <f>IFERROR(__xludf.DUMMYFUNCTION("GOOGLETRANSLATE(B11158,""id"",""en"")"),"['happy', 'Telkomsel']")</f>
        <v>['happy', 'Telkomsel']</v>
      </c>
      <c r="D11158" s="3">
        <v>5.0</v>
      </c>
    </row>
    <row r="11159" ht="15.75" customHeight="1">
      <c r="A11159" s="1">
        <v>12033.0</v>
      </c>
      <c r="B11159" s="3" t="s">
        <v>707</v>
      </c>
      <c r="C11159" s="3" t="str">
        <f>IFERROR(__xludf.DUMMYFUNCTION("GOOGLETRANSLATE(B11159,""id"",""en"")"),"['inexpensive']")</f>
        <v>['inexpensive']</v>
      </c>
      <c r="D11159" s="3">
        <v>5.0</v>
      </c>
    </row>
    <row r="11160" ht="15.75" customHeight="1">
      <c r="A11160" s="1">
        <v>12034.0</v>
      </c>
      <c r="B11160" s="3" t="s">
        <v>10633</v>
      </c>
      <c r="C11160" s="3" t="str">
        <f>IFERROR(__xludf.DUMMYFUNCTION("GOOGLETRANSLATE(B11160,""id"",""en"")"),"['staple', 'kasi', 'cheap', 'cheap', 'cracked', 'kidney', 'expensive', 'expensive', 'kasi', 'okay', 'greetings', 'terrain']")</f>
        <v>['staple', 'kasi', 'cheap', 'cheap', 'cracked', 'kidney', 'expensive', 'expensive', 'kasi', 'okay', 'greetings', 'terrain']</v>
      </c>
      <c r="D11160" s="3">
        <v>5.0</v>
      </c>
    </row>
    <row r="11161" ht="15.75" customHeight="1">
      <c r="A11161" s="1">
        <v>12035.0</v>
      </c>
      <c r="B11161" s="3" t="s">
        <v>10634</v>
      </c>
      <c r="C11161" s="3" t="str">
        <f>IFERROR(__xludf.DUMMYFUNCTION("GOOGLETRANSLATE(B11161,""id"",""en"")"),"['Telkomsel', 'Jan', 'Maling', 'Tenan', 'Paketan', 'Expensive', 'Signal', 'Maximum', 'Number', 'Memories',' LGI ',' Telkomsel ',' ']")</f>
        <v>['Telkomsel', 'Jan', 'Maling', 'Tenan', 'Paketan', 'Expensive', 'Signal', 'Maximum', 'Number', 'Memories',' LGI ',' Telkomsel ',' ']</v>
      </c>
      <c r="D11161" s="3">
        <v>1.0</v>
      </c>
    </row>
    <row r="11162" ht="15.75" customHeight="1">
      <c r="A11162" s="1">
        <v>12037.0</v>
      </c>
      <c r="B11162" s="3" t="s">
        <v>10635</v>
      </c>
      <c r="C11162" s="3" t="str">
        <f>IFERROR(__xludf.DUMMYFUNCTION("GOOGLETRANSLATE(B11162,""id"",""en"")"),"['famous', 'signal', 'bikesssss', '']")</f>
        <v>['famous', 'signal', 'bikesssss', '']</v>
      </c>
      <c r="D11162" s="3">
        <v>5.0</v>
      </c>
    </row>
    <row r="11163" ht="15.75" customHeight="1">
      <c r="A11163" s="1">
        <v>12038.0</v>
      </c>
      <c r="B11163" s="3" t="s">
        <v>10636</v>
      </c>
      <c r="C11163" s="3" t="str">
        <f>IFERROR(__xludf.DUMMYFUNCTION("GOOGLETRANSLATE(B11163,""id"",""en"")"),"['network', 'sympathy', 'good']")</f>
        <v>['network', 'sympathy', 'good']</v>
      </c>
      <c r="D11163" s="3">
        <v>5.0</v>
      </c>
    </row>
    <row r="11164" ht="15.75" customHeight="1">
      <c r="A11164" s="1">
        <v>12039.0</v>
      </c>
      <c r="B11164" s="3" t="s">
        <v>10637</v>
      </c>
      <c r="C11164" s="3" t="str">
        <f>IFERROR(__xludf.DUMMYFUNCTION("GOOGLETRANSLATE(B11164,""id"",""en"")"),"['Love', 'star', 'because' cheap ',' price ',' package ']")</f>
        <v>['Love', 'star', 'because' cheap ',' price ',' package ']</v>
      </c>
      <c r="D11164" s="3">
        <v>3.0</v>
      </c>
    </row>
    <row r="11165" ht="15.75" customHeight="1">
      <c r="A11165" s="1">
        <v>12040.0</v>
      </c>
      <c r="B11165" s="3" t="s">
        <v>10638</v>
      </c>
      <c r="C11165" s="3" t="str">
        <f>IFERROR(__xludf.DUMMYFUNCTION("GOOGLETRANSLATE(B11165,""id"",""en"")"),"['Telkomsel', 'teach', 'Package', 'Combo', 'Sakti', 'replaced']")</f>
        <v>['Telkomsel', 'teach', 'Package', 'Combo', 'Sakti', 'replaced']</v>
      </c>
      <c r="D11165" s="3">
        <v>1.0</v>
      </c>
    </row>
    <row r="11166" ht="15.75" customHeight="1">
      <c r="A11166" s="1">
        <v>12041.0</v>
      </c>
      <c r="B11166" s="3" t="s">
        <v>10639</v>
      </c>
      <c r="C11166" s="3" t="str">
        <f>IFERROR(__xludf.DUMMYFUNCTION("GOOGLETRANSLATE(B11166,""id"",""en"")"),"['Leet', 'signal']")</f>
        <v>['Leet', 'signal']</v>
      </c>
      <c r="D11166" s="3">
        <v>3.0</v>
      </c>
    </row>
    <row r="11167" ht="15.75" customHeight="1">
      <c r="A11167" s="1">
        <v>12042.0</v>
      </c>
      <c r="B11167" s="3" t="s">
        <v>10640</v>
      </c>
      <c r="C11167" s="3" t="str">
        <f>IFERROR(__xludf.DUMMYFUNCTION("GOOGLETRANSLATE(B11167,""id"",""en"")"),"['Sorry', 'love', 'star', 'signal', 'Telkomsel', 'ugly', 'really', 'until', 'please', 'fix', 'disappointed', 'repeat', ' Work ',' Thank you ',' Hope ']")</f>
        <v>['Sorry', 'love', 'star', 'signal', 'Telkomsel', 'ugly', 'really', 'until', 'please', 'fix', 'disappointed', 'repeat', ' Work ',' Thank you ',' Hope ']</v>
      </c>
      <c r="D11167" s="3">
        <v>1.0</v>
      </c>
    </row>
    <row r="11168" ht="15.75" customHeight="1">
      <c r="A11168" s="1">
        <v>12043.0</v>
      </c>
      <c r="B11168" s="3" t="s">
        <v>10641</v>
      </c>
      <c r="C11168" s="3" t="str">
        <f>IFERROR(__xludf.DUMMYFUNCTION("GOOGLETRANSLATE(B11168,""id"",""en"")"),"['buy', 'package', 'internet', 'no', 'pulse', 'right', 'pulse', 'settles',' auto ',' move ',' provider ',' not ',' Recommend ']")</f>
        <v>['buy', 'package', 'internet', 'no', 'pulse', 'right', 'pulse', 'settles',' auto ',' move ',' provider ',' not ',' Recommend ']</v>
      </c>
      <c r="D11168" s="3">
        <v>1.0</v>
      </c>
    </row>
    <row r="11169" ht="15.75" customHeight="1">
      <c r="A11169" s="1">
        <v>12044.0</v>
      </c>
      <c r="B11169" s="3" t="s">
        <v>10642</v>
      </c>
      <c r="C11169" s="3" t="str">
        <f>IFERROR(__xludf.DUMMYFUNCTION("GOOGLETRANSLATE(B11169,""id"",""en"")"),"['', 'oath', 'Login', 'Mulu', 'code', 'verification', 'nongol', 'lgi', 'google', 'wonder', 'really', 'apk', 'already ',' patient ',' really ',' open ',' apk ',' told ',' login ',' mulu ',' already ',' patient ',' really ',' apk ',' ksl ', 'very']")</f>
        <v>['', 'oath', 'Login', 'Mulu', 'code', 'verification', 'nongol', 'lgi', 'google', 'wonder', 'really', 'apk', 'already ',' patient ',' really ',' open ',' apk ',' told ',' login ',' mulu ',' already ',' patient ',' really ',' apk ',' ksl ', 'very']</v>
      </c>
      <c r="D11169" s="3">
        <v>1.0</v>
      </c>
    </row>
    <row r="11170" ht="15.75" customHeight="1">
      <c r="A11170" s="1">
        <v>12045.0</v>
      </c>
      <c r="B11170" s="3" t="s">
        <v>10643</v>
      </c>
      <c r="C11170" s="3" t="str">
        <f>IFERROR(__xludf.DUMMYFUNCTION("GOOGLETRANSLATE(B11170,""id"",""en"")"),"['easy understand']")</f>
        <v>['easy understand']</v>
      </c>
      <c r="D11170" s="3">
        <v>5.0</v>
      </c>
    </row>
    <row r="11171" ht="15.75" customHeight="1">
      <c r="A11171" s="1">
        <v>12046.0</v>
      </c>
      <c r="B11171" s="3" t="s">
        <v>10644</v>
      </c>
      <c r="C11171" s="3" t="str">
        <f>IFERROR(__xludf.DUMMYFUNCTION("GOOGLETRANSLATE(B11171,""id"",""en"")"),"['Telkomsel', 'anjg', 'gave', 'quota', 'bonus',' games', 'sincere', 'right', 'used', 'nge', 'game', 'all-round', ' Loading ',' lag ',' gajelas']")</f>
        <v>['Telkomsel', 'anjg', 'gave', 'quota', 'bonus',' games', 'sincere', 'right', 'used', 'nge', 'game', 'all-round', ' Loading ',' lag ',' gajelas']</v>
      </c>
      <c r="D11171" s="3">
        <v>1.0</v>
      </c>
    </row>
    <row r="11172" ht="15.75" customHeight="1">
      <c r="A11172" s="1">
        <v>12047.0</v>
      </c>
      <c r="B11172" s="3" t="s">
        <v>10645</v>
      </c>
      <c r="C11172" s="3" t="str">
        <f>IFERROR(__xludf.DUMMYFUNCTION("GOOGLETRANSLATE(B11172,""id"",""en"")"),"['Hopefully', 'Lottery', 'Main', 'Car', 'Telkomsel', 'Amiinnn']")</f>
        <v>['Hopefully', 'Lottery', 'Main', 'Car', 'Telkomsel', 'Amiinnn']</v>
      </c>
      <c r="D11172" s="3">
        <v>5.0</v>
      </c>
    </row>
    <row r="11173" ht="15.75" customHeight="1">
      <c r="A11173" s="1">
        <v>12048.0</v>
      </c>
      <c r="B11173" s="3" t="s">
        <v>10646</v>
      </c>
      <c r="C11173" s="3" t="str">
        <f>IFERROR(__xludf.DUMMYFUNCTION("GOOGLETRANSLATE(B11173,""id"",""en"")"),"['consumer', 'information', 'complete', 'access',' purchase ',' product ',' Telkomsel ',' etc. ',' Please ',' lower ',' price ',' package ',' Please ',' Addition ',' Network ',' on the road ',' Trankalytan ']")</f>
        <v>['consumer', 'information', 'complete', 'access',' purchase ',' product ',' Telkomsel ',' etc. ',' Please ',' lower ',' price ',' package ',' Please ',' Addition ',' Network ',' on the road ',' Trankalytan ']</v>
      </c>
      <c r="D11173" s="3">
        <v>5.0</v>
      </c>
    </row>
    <row r="11174" ht="15.75" customHeight="1">
      <c r="A11174" s="1">
        <v>12049.0</v>
      </c>
      <c r="B11174" s="3" t="s">
        <v>10647</v>
      </c>
      <c r="C11174" s="3" t="str">
        <f>IFERROR(__xludf.DUMMYFUNCTION("GOOGLETRANSLATE(B11174,""id"",""en"")"),"['Direct', 'kring', 'mantappp']")</f>
        <v>['Direct', 'kring', 'mantappp']</v>
      </c>
      <c r="D11174" s="3">
        <v>5.0</v>
      </c>
    </row>
    <row r="11175" ht="15.75" customHeight="1">
      <c r="A11175" s="1">
        <v>12050.0</v>
      </c>
      <c r="B11175" s="3" t="s">
        <v>10648</v>
      </c>
      <c r="C11175" s="3" t="str">
        <f>IFERROR(__xludf.DUMMYFUNCTION("GOOGLETRANSLATE(B11175,""id"",""en"")"),"['buy', 'package', 'games',' silver ',' accept ',' voucher ',' games', 'accept', 'voucher', 'mlbb', 'purchase', 'package', ' The games, 'disappointing', '']")</f>
        <v>['buy', 'package', 'games',' silver ',' accept ',' voucher ',' games', 'accept', 'voucher', 'mlbb', 'purchase', 'package', ' The games, 'disappointing', '']</v>
      </c>
      <c r="D11175" s="3">
        <v>1.0</v>
      </c>
    </row>
    <row r="11176" ht="15.75" customHeight="1">
      <c r="A11176" s="1">
        <v>12051.0</v>
      </c>
      <c r="B11176" s="3" t="s">
        <v>10649</v>
      </c>
      <c r="C11176" s="3" t="str">
        <f>IFERROR(__xludf.DUMMYFUNCTION("GOOGLETRANSLATE(B11176,""id"",""en"")"),"['Android', 'BLM', 'Please', 'Update', 'Change', ""]")</f>
        <v>['Android', 'BLM', 'Please', 'Update', 'Change', "]</v>
      </c>
      <c r="D11176" s="3">
        <v>1.0</v>
      </c>
    </row>
    <row r="11177" ht="15.75" customHeight="1">
      <c r="A11177" s="1">
        <v>12052.0</v>
      </c>
      <c r="B11177" s="3" t="s">
        <v>10650</v>
      </c>
      <c r="C11177" s="3" t="str">
        <f>IFERROR(__xludf.DUMMYFUNCTION("GOOGLETRANSLATE(B11177,""id"",""en"")"),"['fast', 'access', 'good']")</f>
        <v>['fast', 'access', 'good']</v>
      </c>
      <c r="D11177" s="3">
        <v>5.0</v>
      </c>
    </row>
    <row r="11178" ht="15.75" customHeight="1">
      <c r="A11178" s="1">
        <v>12053.0</v>
      </c>
      <c r="B11178" s="3" t="s">
        <v>10651</v>
      </c>
      <c r="C11178" s="3" t="str">
        <f>IFERROR(__xludf.DUMMYFUNCTION("GOOGLETRANSLATE(B11178,""id"",""en"")"),"['quota', 'internet', 'eat', 'pulse', 'buy', 'pulse', 'yesterday', 'then', 'honest', 'disappointing', 'consultation', 'account', ' Twitter ',' Telkomsel ',' Solution ',' Add ',' Disappointment ']")</f>
        <v>['quota', 'internet', 'eat', 'pulse', 'buy', 'pulse', 'yesterday', 'then', 'honest', 'disappointing', 'consultation', 'account', ' Twitter ',' Telkomsel ',' Solution ',' Add ',' Disappointment ']</v>
      </c>
      <c r="D11178" s="3">
        <v>1.0</v>
      </c>
    </row>
    <row r="11179" ht="15.75" customHeight="1">
      <c r="A11179" s="1">
        <v>12054.0</v>
      </c>
      <c r="B11179" s="3" t="s">
        <v>10652</v>
      </c>
      <c r="C11179" s="3" t="str">
        <f>IFERROR(__xludf.DUMMYFUNCTION("GOOGLETRANSLATE(B11179,""id"",""en"")"),"['Package', 'cheap', 'expensive', 'really', 'pandemic', 'gini']")</f>
        <v>['Package', 'cheap', 'expensive', 'really', 'pandemic', 'gini']</v>
      </c>
      <c r="D11179" s="3">
        <v>4.0</v>
      </c>
    </row>
    <row r="11180" ht="15.75" customHeight="1">
      <c r="A11180" s="1">
        <v>12055.0</v>
      </c>
      <c r="B11180" s="3" t="s">
        <v>10653</v>
      </c>
      <c r="C11180" s="3" t="str">
        <f>IFERROR(__xludf.DUMMYFUNCTION("GOOGLETRANSLATE(B11180,""id"",""en"")"),"['free', 'buy', 'quota', 'according to', 'fund']")</f>
        <v>['free', 'buy', 'quota', 'according to', 'fund']</v>
      </c>
      <c r="D11180" s="3">
        <v>5.0</v>
      </c>
    </row>
    <row r="11181" ht="15.75" customHeight="1">
      <c r="A11181" s="1">
        <v>12057.0</v>
      </c>
      <c r="B11181" s="3" t="s">
        <v>10654</v>
      </c>
      <c r="C11181" s="3" t="str">
        <f>IFERROR(__xludf.DUMMYFUNCTION("GOOGLETRANSLATE(B11181,""id"",""en"")"),"['happy', 'Telkomsel', 'loyal', 'card', 'Telkomsel', 'smp', 'dlu', 'ttp', 'loyal', 'bnyak', 'profit', 'dri', ' Telkomsel ',' then ',' br plness', 'Points',' Anyway ',' happy ',' Telkomsel ',' Success', 'SLLU', 'Telkomsel', 'Love', 'Telkomsel', ""]")</f>
        <v>['happy', 'Telkomsel', 'loyal', 'card', 'Telkomsel', 'smp', 'dlu', 'ttp', 'loyal', 'bnyak', 'profit', 'dri', ' Telkomsel ',' then ',' br plness', 'Points',' Anyway ',' happy ',' Telkomsel ',' Success', 'SLLU', 'Telkomsel', 'Love', 'Telkomsel', "]</v>
      </c>
      <c r="D11181" s="3">
        <v>5.0</v>
      </c>
    </row>
    <row r="11182" ht="15.75" customHeight="1">
      <c r="A11182" s="1">
        <v>12058.0</v>
      </c>
      <c r="B11182" s="3" t="s">
        <v>10655</v>
      </c>
      <c r="C11182" s="3" t="str">
        <f>IFERROR(__xludf.DUMMYFUNCTION("GOOGLETRANSLATE(B11182,""id"",""en"")"),"['network', 'application', 'just', 'package', 'expensive', 'student', 'mhn', 'cheap', 'package', 'data', 'donk', 'Telkomsel', ' Trimakasi ',' before ',' ']")</f>
        <v>['network', 'application', 'just', 'package', 'expensive', 'student', 'mhn', 'cheap', 'package', 'data', 'donk', 'Telkomsel', ' Trimakasi ',' before ',' ']</v>
      </c>
      <c r="D11182" s="3">
        <v>4.0</v>
      </c>
    </row>
    <row r="11183" ht="15.75" customHeight="1">
      <c r="A11183" s="1">
        <v>12059.0</v>
      </c>
      <c r="B11183" s="3" t="s">
        <v>10656</v>
      </c>
      <c r="C11183" s="3" t="str">
        <f>IFERROR(__xludf.DUMMYFUNCTION("GOOGLETRANSLATE(B11183,""id"",""en"")"),"['friend', 'send', 'money', 'thousand', 'enter', 'kepalman', 'adapaun', 'funds',' tlong ',' reversed ',' money ',' NMR ',' Check ',' DIAPK ',' Fund ',' appears', 'balance', 'None', 'APK', 'MyTelkomsel', 'Date', 'WIB', 'HRI', 'Sunday']")</f>
        <v>['friend', 'send', 'money', 'thousand', 'enter', 'kepalman', 'adapaun', 'funds',' tlong ',' reversed ',' money ',' NMR ',' Check ',' DIAPK ',' Fund ',' appears', 'balance', 'None', 'APK', 'MyTelkomsel', 'Date', 'WIB', 'HRI', 'Sunday']</v>
      </c>
      <c r="D11183" s="3">
        <v>1.0</v>
      </c>
    </row>
    <row r="11184" ht="15.75" customHeight="1">
      <c r="A11184" s="1">
        <v>12061.0</v>
      </c>
      <c r="B11184" s="3" t="s">
        <v>10657</v>
      </c>
      <c r="C11184" s="3" t="str">
        <f>IFERROR(__xludf.DUMMYFUNCTION("GOOGLETRANSLATE(B11184,""id"",""en"")"),"['wasteful', 'oath', 'Open', 'Instagram', 'Nise', 'Minutes',' MB ',' Drift ',' Out ',' Sia ',' Sia ',' Live ',' sleep ',' locked ',' MB ',' run out ',' left ',' already ',' package ',' price ',' expensive ',' wasteful ', ""]")</f>
        <v>['wasteful', 'oath', 'Open', 'Instagram', 'Nise', 'Minutes',' MB ',' Drift ',' Out ',' Sia ',' Sia ',' Live ',' sleep ',' locked ',' MB ',' run out ',' left ',' already ',' package ',' price ',' expensive ',' wasteful ', "]</v>
      </c>
      <c r="D11184" s="3">
        <v>1.0</v>
      </c>
    </row>
    <row r="11185" ht="15.75" customHeight="1">
      <c r="A11185" s="1">
        <v>12062.0</v>
      </c>
      <c r="B11185" s="3" t="s">
        <v>10658</v>
      </c>
      <c r="C11185" s="3" t="str">
        <f>IFERROR(__xludf.DUMMYFUNCTION("GOOGLETRANSLATE(B11185,""id"",""en"")"),"['easy', 'buy', 'quota', 'hopefully', 'smooth', 'application', '']")</f>
        <v>['easy', 'buy', 'quota', 'hopefully', 'smooth', 'application', '']</v>
      </c>
      <c r="D11185" s="3">
        <v>5.0</v>
      </c>
    </row>
    <row r="11186" ht="15.75" customHeight="1">
      <c r="A11186" s="1">
        <v>12063.0</v>
      </c>
      <c r="B11186" s="3" t="s">
        <v>10659</v>
      </c>
      <c r="C11186" s="3" t="str">
        <f>IFERROR(__xludf.DUMMYFUNCTION("GOOGLETRANSLATE(B11186,""id"",""en"")"),"['difficult', 'signal']")</f>
        <v>['difficult', 'signal']</v>
      </c>
      <c r="D11186" s="3">
        <v>4.0</v>
      </c>
    </row>
    <row r="11187" ht="15.75" customHeight="1">
      <c r="A11187" s="1">
        <v>12064.0</v>
      </c>
      <c r="B11187" s="3" t="s">
        <v>1782</v>
      </c>
      <c r="C11187" s="3" t="str">
        <f>IFERROR(__xludf.DUMMYFUNCTION("GOOGLETRANSLATE(B11187,""id"",""en"")"),"['network']")</f>
        <v>['network']</v>
      </c>
      <c r="D11187" s="3">
        <v>3.0</v>
      </c>
    </row>
    <row r="11188" ht="15.75" customHeight="1">
      <c r="A11188" s="1">
        <v>12065.0</v>
      </c>
      <c r="B11188" s="3" t="s">
        <v>10660</v>
      </c>
      <c r="C11188" s="3" t="str">
        <f>IFERROR(__xludf.DUMMYFUNCTION("GOOGLETRANSLATE(B11188,""id"",""en"")"),"['Telkomsel', 'operator', 'cellular', 'best', 'Indonesia']")</f>
        <v>['Telkomsel', 'operator', 'cellular', 'best', 'Indonesia']</v>
      </c>
      <c r="D11188" s="3">
        <v>5.0</v>
      </c>
    </row>
    <row r="11189" ht="15.75" customHeight="1">
      <c r="A11189" s="1">
        <v>12066.0</v>
      </c>
      <c r="B11189" s="3" t="s">
        <v>843</v>
      </c>
      <c r="C11189" s="3" t="str">
        <f>IFERROR(__xludf.DUMMYFUNCTION("GOOGLETRANSLATE(B11189,""id"",""en"")"),"['Help', 'Good']")</f>
        <v>['Help', 'Good']</v>
      </c>
      <c r="D11189" s="3">
        <v>4.0</v>
      </c>
    </row>
    <row r="11190" ht="15.75" customHeight="1">
      <c r="A11190" s="1">
        <v>12067.0</v>
      </c>
      <c r="B11190" s="3" t="s">
        <v>10661</v>
      </c>
      <c r="C11190" s="3" t="str">
        <f>IFERROR(__xludf.DUMMYFUNCTION("GOOGLETRANSLATE(B11190,""id"",""en"")"),"['', 'Very', 'Telkomsel', 'Customer', 'Setiamu', ""]")</f>
        <v>['', 'Very', 'Telkomsel', 'Customer', 'Setiamu', "]</v>
      </c>
      <c r="D11190" s="3">
        <v>5.0</v>
      </c>
    </row>
    <row r="11191" ht="15.75" customHeight="1">
      <c r="A11191" s="1">
        <v>12068.0</v>
      </c>
      <c r="B11191" s="3" t="s">
        <v>10662</v>
      </c>
      <c r="C11191" s="3" t="str">
        <f>IFERROR(__xludf.DUMMYFUNCTION("GOOGLETRANSLATE(B11191,""id"",""en"")"),"['Service', 'Good', 'satisfying', '']")</f>
        <v>['Service', 'Good', 'satisfying', '']</v>
      </c>
      <c r="D11191" s="3">
        <v>5.0</v>
      </c>
    </row>
    <row r="11192" ht="15.75" customHeight="1">
      <c r="A11192" s="1">
        <v>12069.0</v>
      </c>
      <c r="B11192" s="3" t="s">
        <v>10663</v>
      </c>
      <c r="C11192" s="3" t="str">
        <f>IFERROR(__xludf.DUMMYFUNCTION("GOOGLETRANSLATE(B11192,""id"",""en"")"),"['Easy', 'Win', 'Lottery', 'Honda', 'Beat']")</f>
        <v>['Easy', 'Win', 'Lottery', 'Honda', 'Beat']</v>
      </c>
      <c r="D11192" s="3">
        <v>1.0</v>
      </c>
    </row>
    <row r="11193" ht="15.75" customHeight="1">
      <c r="A11193" s="1">
        <v>12070.0</v>
      </c>
      <c r="B11193" s="3" t="s">
        <v>10664</v>
      </c>
      <c r="C11193" s="3" t="str">
        <f>IFERROR(__xludf.DUMMYFUNCTION("GOOGLETRANSLATE(B11193,""id"",""en"")"),"['Times', 'Slide', 'Check', 'Bonus', 'Telfon']")</f>
        <v>['Times', 'Slide', 'Check', 'Bonus', 'Telfon']</v>
      </c>
      <c r="D11193" s="3">
        <v>3.0</v>
      </c>
    </row>
    <row r="11194" ht="15.75" customHeight="1">
      <c r="A11194" s="1">
        <v>12071.0</v>
      </c>
      <c r="B11194" s="3" t="s">
        <v>10665</v>
      </c>
      <c r="C11194" s="3" t="str">
        <f>IFERROR(__xludf.DUMMYFUNCTION("GOOGLETRANSLATE(B11194,""id"",""en"")"),"['Login', 'Link', 'SMS', 'Click', 'Feature', 'Email', 'Veronica', 'Opened', 'Bring', 'GraPARI', 'Open', 'The Reasons',' Permissions', 'application', 'breasts',' update ',' the latest ',' already ',' tick ',' permission ',' that's', 'network', 'internet', "&amp;"'keket', 'price' , 'package', 'expensive', 'shy', 'provider', 'next door', 'price', 'package', 'improvement', 'quality', 'network']")</f>
        <v>['Login', 'Link', 'SMS', 'Click', 'Feature', 'Email', 'Veronica', 'Opened', 'Bring', 'GraPARI', 'Open', 'The Reasons',' Permissions', 'application', 'breasts',' update ',' the latest ',' already ',' tick ',' permission ',' that's', 'network', 'internet', 'keket', 'price' , 'package', 'expensive', 'shy', 'provider', 'next door', 'price', 'package', 'improvement', 'quality', 'network']</v>
      </c>
      <c r="D11194" s="3">
        <v>1.0</v>
      </c>
    </row>
    <row r="11195" ht="15.75" customHeight="1">
      <c r="A11195" s="1">
        <v>12072.0</v>
      </c>
      <c r="B11195" s="3" t="s">
        <v>10666</v>
      </c>
      <c r="C11195" s="3" t="str">
        <f>IFERROR(__xludf.DUMMYFUNCTION("GOOGLETRANSLATE(B11195,""id"",""en"")"),"['Please', 'promo', 'multiply', 'reach', 'expanded', 'plobal', 'smooth', 'used', 'Where', 'trimaxih']")</f>
        <v>['Please', 'promo', 'multiply', 'reach', 'expanded', 'plobal', 'smooth', 'used', 'Where', 'trimaxih']</v>
      </c>
      <c r="D11195" s="3">
        <v>5.0</v>
      </c>
    </row>
    <row r="11196" ht="15.75" customHeight="1">
      <c r="A11196" s="1">
        <v>12075.0</v>
      </c>
      <c r="B11196" s="3" t="s">
        <v>10667</v>
      </c>
      <c r="C11196" s="3" t="str">
        <f>IFERROR(__xludf.DUMMYFUNCTION("GOOGLETRANSLATE(B11196,""id"",""en"")"),"['Alhamdulillah', 'Region', 'Good', 'signal', 'strong']")</f>
        <v>['Alhamdulillah', 'Region', 'Good', 'signal', 'strong']</v>
      </c>
      <c r="D11196" s="3">
        <v>4.0</v>
      </c>
    </row>
    <row r="11197" ht="15.75" customHeight="1">
      <c r="A11197" s="1">
        <v>12076.0</v>
      </c>
      <c r="B11197" s="3" t="s">
        <v>10668</v>
      </c>
      <c r="C11197" s="3" t="str">
        <f>IFERROR(__xludf.DUMMYFUNCTION("GOOGLETRANSLATE(B11197,""id"",""en"")"),"['Fix', 'Network', 'Internet']")</f>
        <v>['Fix', 'Network', 'Internet']</v>
      </c>
      <c r="D11197" s="3">
        <v>3.0</v>
      </c>
    </row>
    <row r="11198" ht="15.75" customHeight="1">
      <c r="A11198" s="1">
        <v>12077.0</v>
      </c>
      <c r="B11198" s="3" t="s">
        <v>10669</v>
      </c>
      <c r="C11198" s="3" t="str">
        <f>IFERROR(__xludf.DUMMYFUNCTION("GOOGLETRANSLATE(B11198,""id"",""en"")"),"['', 'Telkomsel', 'Telkomsel', 'visits', 'improved', 'service']")</f>
        <v>['', 'Telkomsel', 'Telkomsel', 'visits', 'improved', 'service']</v>
      </c>
      <c r="D11198" s="3">
        <v>2.0</v>
      </c>
    </row>
    <row r="11199" ht="15.75" customHeight="1">
      <c r="A11199" s="1">
        <v>12078.0</v>
      </c>
      <c r="B11199" s="3" t="s">
        <v>10670</v>
      </c>
      <c r="C11199" s="3" t="str">
        <f>IFERROR(__xludf.DUMMYFUNCTION("GOOGLETRANSLATE(B11199,""id"",""en"")"),"['Try', 'good', 'plus', 'star']")</f>
        <v>['Try', 'good', 'plus', 'star']</v>
      </c>
      <c r="D11199" s="3">
        <v>4.0</v>
      </c>
    </row>
    <row r="11200" ht="15.75" customHeight="1">
      <c r="A11200" s="1">
        <v>12079.0</v>
      </c>
      <c r="B11200" s="3" t="s">
        <v>10671</v>
      </c>
      <c r="C11200" s="3" t="str">
        <f>IFERROR(__xludf.DUMMYFUNCTION("GOOGLETRANSLATE(B11200,""id"",""en"")"),"['Current', 'fun', 'simple', 'fast']")</f>
        <v>['Current', 'fun', 'simple', 'fast']</v>
      </c>
      <c r="D11200" s="3">
        <v>5.0</v>
      </c>
    </row>
    <row r="11201" ht="15.75" customHeight="1">
      <c r="A11201" s="1">
        <v>12080.0</v>
      </c>
      <c r="B11201" s="3" t="s">
        <v>10672</v>
      </c>
      <c r="C11201" s="3" t="str">
        <f>IFERROR(__xludf.DUMMYFUNCTION("GOOGLETRANSLATE(B11201,""id"",""en"")"),"['Lally', 'promo', 'min', '']")</f>
        <v>['Lally', 'promo', 'min', '']</v>
      </c>
      <c r="D11201" s="3">
        <v>5.0</v>
      </c>
    </row>
    <row r="11202" ht="15.75" customHeight="1">
      <c r="A11202" s="1">
        <v>12081.0</v>
      </c>
      <c r="B11202" s="3" t="s">
        <v>10673</v>
      </c>
      <c r="C11202" s="3" t="str">
        <f>IFERROR(__xludf.DUMMYFUNCTION("GOOGLETRANSLATE(B11202,""id"",""en"")"),"['Like', 'confused', 'package', 'number', 'Different', 'Different']")</f>
        <v>['Like', 'confused', 'package', 'number', 'Different', 'Different']</v>
      </c>
      <c r="D11202" s="3">
        <v>3.0</v>
      </c>
    </row>
    <row r="11203" ht="15.75" customHeight="1">
      <c r="A11203" s="1">
        <v>12082.0</v>
      </c>
      <c r="B11203" s="3" t="s">
        <v>10674</v>
      </c>
      <c r="C11203" s="3" t="str">
        <f>IFERROR(__xludf.DUMMYFUNCTION("GOOGLETRANSLATE(B11203,""id"",""en"")"),"['Point', 'already', 'expiration', 'stated', 'pulse', 'quota', 'what's', 'profitable']")</f>
        <v>['Point', 'already', 'expiration', 'stated', 'pulse', 'quota', 'what's', 'profitable']</v>
      </c>
      <c r="D11203" s="3">
        <v>5.0</v>
      </c>
    </row>
    <row r="11204" ht="15.75" customHeight="1">
      <c r="A11204" s="1">
        <v>12083.0</v>
      </c>
      <c r="B11204" s="3" t="s">
        <v>10675</v>
      </c>
      <c r="C11204" s="3" t="str">
        <f>IFERROR(__xludf.DUMMYFUNCTION("GOOGLETRANSLATE(B11204,""id"",""en"")"),"['Telkomsel', 'signal', 'jeleeek', 'bangeeet', 'annoying', 'activation', 'work', 'ugly', 'hrs',' good ',' declined ',' quality ',' ']")</f>
        <v>['Telkomsel', 'signal', 'jeleeek', 'bangeeet', 'annoying', 'activation', 'work', 'ugly', 'hrs',' good ',' declined ',' quality ',' ']</v>
      </c>
      <c r="D11204" s="3">
        <v>1.0</v>
      </c>
    </row>
    <row r="11205" ht="15.75" customHeight="1">
      <c r="A11205" s="1">
        <v>12085.0</v>
      </c>
      <c r="B11205" s="3" t="s">
        <v>10676</v>
      </c>
      <c r="C11205" s="3" t="str">
        <f>IFERROR(__xludf.DUMMYFUNCTION("GOOGLETRANSLATE(B11205,""id"",""en"")"),"['contents', 'package', 'quota', 'use', 'shopeepay', 'balance', 'cheek', 'package', 'enter', 'how', 'loss']")</f>
        <v>['contents', 'package', 'quota', 'use', 'shopeepay', 'balance', 'cheek', 'package', 'enter', 'how', 'loss']</v>
      </c>
      <c r="D11205" s="3">
        <v>1.0</v>
      </c>
    </row>
    <row r="11206" ht="15.75" customHeight="1">
      <c r="A11206" s="1">
        <v>12086.0</v>
      </c>
      <c r="B11206" s="3" t="s">
        <v>10677</v>
      </c>
      <c r="C11206" s="3" t="str">
        <f>IFERROR(__xludf.DUMMYFUNCTION("GOOGLETRANSLATE(B11206,""id"",""en"")"),"['Help', 'thank', 'love', 'tekomsel']")</f>
        <v>['Help', 'thank', 'love', 'tekomsel']</v>
      </c>
      <c r="D11206" s="3">
        <v>5.0</v>
      </c>
    </row>
    <row r="11207" ht="15.75" customHeight="1">
      <c r="A11207" s="1">
        <v>12088.0</v>
      </c>
      <c r="B11207" s="3" t="s">
        <v>10678</v>
      </c>
      <c r="C11207" s="3" t="str">
        <f>IFERROR(__xludf.DUMMYFUNCTION("GOOGLETRANSLATE(B11207,""id"",""en"")"),"['Anyway', 'Nothing', 'Content', 'Mantap']")</f>
        <v>['Anyway', 'Nothing', 'Content', 'Mantap']</v>
      </c>
      <c r="D11207" s="3">
        <v>4.0</v>
      </c>
    </row>
    <row r="11208" ht="15.75" customHeight="1">
      <c r="A11208" s="1">
        <v>12089.0</v>
      </c>
      <c r="B11208" s="3" t="s">
        <v>10679</v>
      </c>
      <c r="C11208" s="3" t="str">
        <f>IFERROR(__xludf.DUMMYFUNCTION("GOOGLETRANSLATE(B11208,""id"",""en"")"),"['Buy', 'Package', 'Geme', 'Telkomsel', 'Internet', 'Geme', 'Mobile', 'Legend', 'Free', 'Firee', 'Pub', 'Mobile', ' COC ',' login ',' regret ',' really ',' buy ',' package ',' Geme ',' Telkomsel ', ""]")</f>
        <v>['Buy', 'Package', 'Geme', 'Telkomsel', 'Internet', 'Geme', 'Mobile', 'Legend', 'Free', 'Firee', 'Pub', 'Mobile', ' COC ',' login ',' regret ',' really ',' buy ',' package ',' Geme ',' Telkomsel ', "]</v>
      </c>
      <c r="D11208" s="3">
        <v>1.0</v>
      </c>
    </row>
    <row r="11209" ht="15.75" customHeight="1">
      <c r="A11209" s="1">
        <v>12090.0</v>
      </c>
      <c r="B11209" s="3" t="s">
        <v>10680</v>
      </c>
      <c r="C11209" s="3" t="str">
        <f>IFERROR(__xludf.DUMMYFUNCTION("GOOGLETRANSLATE(B11209,""id"",""en"")"),"['Like', 'Service', 'Telkomsel']")</f>
        <v>['Like', 'Service', 'Telkomsel']</v>
      </c>
      <c r="D11209" s="3">
        <v>5.0</v>
      </c>
    </row>
    <row r="11210" ht="15.75" customHeight="1">
      <c r="A11210" s="1">
        <v>12091.0</v>
      </c>
      <c r="B11210" s="3" t="s">
        <v>10681</v>
      </c>
      <c r="C11210" s="3" t="str">
        <f>IFERROR(__xludf.DUMMYFUNCTION("GOOGLETRANSLATE(B11210,""id"",""en"")"),"['TRM', 'ksh', 'package', 'TOP', '']")</f>
        <v>['TRM', 'ksh', 'package', 'TOP', '']</v>
      </c>
      <c r="D11210" s="3">
        <v>5.0</v>
      </c>
    </row>
    <row r="11211" ht="15.75" customHeight="1">
      <c r="A11211" s="1">
        <v>12092.0</v>
      </c>
      <c r="B11211" s="3" t="s">
        <v>10682</v>
      </c>
      <c r="C11211" s="3" t="str">
        <f>IFERROR(__xludf.DUMMYFUNCTION("GOOGLETRANSLATE(B11211,""id"",""en"")"),"['Exchange', 'Points',' Gift ',' Telkomsel ',' Enggk ',' JLAS ',' Ditukar ',' Coupon ',' EGK ',' Looks', 'PDHL', 'Points',' Exchange ',' GTU ',' Ngundi ',' EGK ',' LIGHT ',' EGK ',' LIAT ',' ENTH ',' DMN ',' LIAT ',' Winner ',' Lottery ',' Updated ' , 'EG"&amp;"K', 'JLAS', '']")</f>
        <v>['Exchange', 'Points',' Gift ',' Telkomsel ',' Enggk ',' JLAS ',' Ditukar ',' Coupon ',' EGK ',' Looks', 'PDHL', 'Points',' Exchange ',' GTU ',' Ngundi ',' EGK ',' LIGHT ',' EGK ',' LIAT ',' ENTH ',' DMN ',' LIAT ',' Winner ',' Lottery ',' Updated ' , 'EGK', 'JLAS', '']</v>
      </c>
      <c r="D11211" s="3">
        <v>1.0</v>
      </c>
    </row>
    <row r="11212" ht="15.75" customHeight="1">
      <c r="A11212" s="1">
        <v>12093.0</v>
      </c>
      <c r="B11212" s="3" t="s">
        <v>10683</v>
      </c>
      <c r="C11212" s="3" t="str">
        <f>IFERROR(__xludf.DUMMYFUNCTION("GOOGLETRANSLATE(B11212,""id"",""en"")"),"['Good', 'signal', 'strong', 'pokonya', 'top']")</f>
        <v>['Good', 'signal', 'strong', 'pokonya', 'top']</v>
      </c>
      <c r="D11212" s="3">
        <v>5.0</v>
      </c>
    </row>
    <row r="11213" ht="15.75" customHeight="1">
      <c r="A11213" s="1">
        <v>12094.0</v>
      </c>
      <c r="B11213" s="3" t="s">
        <v>10684</v>
      </c>
      <c r="C11213" s="3" t="str">
        <f>IFERROR(__xludf.DUMMYFUNCTION("GOOGLETRANSLATE(B11213,""id"",""en"")"),"['application', 'help', 'hope', 'gift', 'lottery', 'point', 'Telkomsel', '']")</f>
        <v>['application', 'help', 'hope', 'gift', 'lottery', 'point', 'Telkomsel', '']</v>
      </c>
      <c r="D11213" s="3">
        <v>5.0</v>
      </c>
    </row>
    <row r="11214" ht="15.75" customHeight="1">
      <c r="A11214" s="1">
        <v>12095.0</v>
      </c>
      <c r="B11214" s="3" t="s">
        <v>10685</v>
      </c>
      <c r="C11214" s="3" t="str">
        <f>IFERROR(__xludf.DUMMYFUNCTION("GOOGLETRANSLATE(B11214,""id"",""en"")"),"['Satisfied', 'Package', 'my computer']")</f>
        <v>['Satisfied', 'Package', 'my computer']</v>
      </c>
      <c r="D11214" s="3">
        <v>5.0</v>
      </c>
    </row>
    <row r="11215" ht="15.75" customHeight="1">
      <c r="A11215" s="1">
        <v>12096.0</v>
      </c>
      <c r="B11215" s="3" t="s">
        <v>10686</v>
      </c>
      <c r="C11215" s="3" t="str">
        <f>IFERROR(__xludf.DUMMYFUNCTION("GOOGLETRANSLATE(B11215,""id"",""en"")"),"['spirit', 'improve', 'quality', 'network', 'quota', 'unlimited', 'conflict', 'standard', '']")</f>
        <v>['spirit', 'improve', 'quality', 'network', 'quota', 'unlimited', 'conflict', 'standard', '']</v>
      </c>
      <c r="D11215" s="3">
        <v>3.0</v>
      </c>
    </row>
    <row r="11216" ht="15.75" customHeight="1">
      <c r="A11216" s="1">
        <v>12097.0</v>
      </c>
      <c r="B11216" s="3" t="s">
        <v>10687</v>
      </c>
      <c r="C11216" s="3" t="str">
        <f>IFERROR(__xludf.DUMMYFUNCTION("GOOGLETRANSLATE(B11216,""id"",""en"")"),"['cave', 'contents', 'pulse', 'pulse', 'lose']")</f>
        <v>['cave', 'contents', 'pulse', 'pulse', 'lose']</v>
      </c>
      <c r="D11216" s="3">
        <v>1.0</v>
      </c>
    </row>
    <row r="11217" ht="15.75" customHeight="1">
      <c r="A11217" s="1">
        <v>12098.0</v>
      </c>
      <c r="B11217" s="3" t="s">
        <v>10688</v>
      </c>
      <c r="C11217" s="3" t="str">
        <f>IFERROR(__xludf.DUMMYFUNCTION("GOOGLETRANSLATE(B11217,""id"",""en"")"),"['Good', 'easy', 'transaction', 'Telkomsel']")</f>
        <v>['Good', 'easy', 'transaction', 'Telkomsel']</v>
      </c>
      <c r="D11217" s="3">
        <v>5.0</v>
      </c>
    </row>
    <row r="11218" ht="15.75" customHeight="1">
      <c r="A11218" s="1">
        <v>12099.0</v>
      </c>
      <c r="B11218" s="3" t="s">
        <v>10689</v>
      </c>
      <c r="C11218" s="3" t="str">
        <f>IFERROR(__xludf.DUMMYFUNCTION("GOOGLETRANSLATE(B11218,""id"",""en"")"),"['woy', 'knp', 'fill in', 'pulse', 'cut', 'pulse', 'nggk', 'loan', 'nggk', 'jls',' emng ',' ntah ',' Want ',' That's', 'Have', 'Ngelunasin', 'I mean', 'Tipu', 'Tipu', 'Jdnya']")</f>
        <v>['woy', 'knp', 'fill in', 'pulse', 'cut', 'pulse', 'nggk', 'loan', 'nggk', 'jls',' emng ',' ntah ',' Want ',' That's', 'Have', 'Ngelunasin', 'I mean', 'Tipu', 'Tipu', 'Jdnya']</v>
      </c>
      <c r="D11218" s="3">
        <v>1.0</v>
      </c>
    </row>
    <row r="11219" ht="15.75" customHeight="1">
      <c r="A11219" s="1">
        <v>12100.0</v>
      </c>
      <c r="B11219" s="3" t="s">
        <v>10690</v>
      </c>
      <c r="C11219" s="3" t="str">
        <f>IFERROR(__xludf.DUMMYFUNCTION("GOOGLETRANSLATE(B11219,""id"",""en"")"),"['It's easy', 'Anti', 'Ribet', 'Cheap']")</f>
        <v>['It's easy', 'Anti', 'Ribet', 'Cheap']</v>
      </c>
      <c r="D11219" s="3">
        <v>5.0</v>
      </c>
    </row>
    <row r="11220" ht="15.75" customHeight="1">
      <c r="A11220" s="1">
        <v>12102.0</v>
      </c>
      <c r="B11220" s="3" t="s">
        <v>10691</v>
      </c>
      <c r="C11220" s="3" t="str">
        <f>IFERROR(__xludf.DUMMYFUNCTION("GOOGLETRANSLATE(B11220,""id"",""en"")"),"['Lotsin', 'promo', 'boss']")</f>
        <v>['Lotsin', 'promo', 'boss']</v>
      </c>
      <c r="D11220" s="3">
        <v>5.0</v>
      </c>
    </row>
    <row r="11221" ht="15.75" customHeight="1">
      <c r="A11221" s="1">
        <v>12103.0</v>
      </c>
      <c r="B11221" s="3" t="s">
        <v>10692</v>
      </c>
      <c r="C11221" s="3" t="str">
        <f>IFERROR(__xludf.DUMMYFUNCTION("GOOGLETRANSLATE(B11221,""id"",""en"")"),"['Perfoma', 'signal', 'area', 'good', 'tlg', 'increase', '']")</f>
        <v>['Perfoma', 'signal', 'area', 'good', 'tlg', 'increase', '']</v>
      </c>
      <c r="D11221" s="3">
        <v>3.0</v>
      </c>
    </row>
    <row r="11222" ht="15.75" customHeight="1">
      <c r="A11222" s="1">
        <v>12104.0</v>
      </c>
      <c r="B11222" s="3" t="s">
        <v>10693</v>
      </c>
      <c r="C11222" s="3" t="str">
        <f>IFERROR(__xludf.DUMMYFUNCTION("GOOGLETRANSLATE(B11222,""id"",""en"")"),"['Network', 'strong', 'price', 'friendly']")</f>
        <v>['Network', 'strong', 'price', 'friendly']</v>
      </c>
      <c r="D11222" s="3">
        <v>5.0</v>
      </c>
    </row>
    <row r="11223" ht="15.75" customHeight="1">
      <c r="A11223" s="1">
        <v>12105.0</v>
      </c>
      <c r="B11223" s="3" t="s">
        <v>10694</v>
      </c>
      <c r="C11223" s="3" t="str">
        <f>IFERROR(__xludf.DUMMYFUNCTION("GOOGLETRANSLATE(B11223,""id"",""en"")"),"['Package', 'Dinurunin']")</f>
        <v>['Package', 'Dinurunin']</v>
      </c>
      <c r="D11223" s="3">
        <v>5.0</v>
      </c>
    </row>
    <row r="11224" ht="15.75" customHeight="1">
      <c r="A11224" s="1">
        <v>12106.0</v>
      </c>
      <c r="B11224" s="3" t="s">
        <v>3539</v>
      </c>
      <c r="C11224" s="3" t="str">
        <f>IFERROR(__xludf.DUMMYFUNCTION("GOOGLETRANSLATE(B11224,""id"",""en"")"),"['easy']")</f>
        <v>['easy']</v>
      </c>
      <c r="D11224" s="3">
        <v>5.0</v>
      </c>
    </row>
    <row r="11225" ht="15.75" customHeight="1">
      <c r="A11225" s="1">
        <v>12107.0</v>
      </c>
      <c r="B11225" s="3" t="s">
        <v>10695</v>
      </c>
      <c r="C11225" s="3" t="str">
        <f>IFERROR(__xludf.DUMMYFUNCTION("GOOGLETRANSLATE(B11225,""id"",""en"")"),"['hope', 'Telkomsel', 'choice', 'quota', 'price', 'affordable', '']")</f>
        <v>['hope', 'Telkomsel', 'choice', 'quota', 'price', 'affordable', '']</v>
      </c>
      <c r="D11225" s="3">
        <v>3.0</v>
      </c>
    </row>
    <row r="11226" ht="15.75" customHeight="1">
      <c r="A11226" s="1">
        <v>12108.0</v>
      </c>
      <c r="B11226" s="3" t="s">
        <v>10696</v>
      </c>
      <c r="C11226" s="3" t="str">
        <f>IFERROR(__xludf.DUMMYFUNCTION("GOOGLETRANSLATE(B11226,""id"",""en"")"),"['Win', 'Lottery']")</f>
        <v>['Win', 'Lottery']</v>
      </c>
      <c r="D11226" s="3">
        <v>5.0</v>
      </c>
    </row>
    <row r="11227" ht="15.75" customHeight="1">
      <c r="A11227" s="1">
        <v>12109.0</v>
      </c>
      <c r="B11227" s="3" t="s">
        <v>10697</v>
      </c>
      <c r="C11227" s="3" t="str">
        <f>IFERROR(__xludf.DUMMYFUNCTION("GOOGLETRANSLATE(B11227,""id"",""en"")"),"['easy', 'hopefully', 'can', 'luck']")</f>
        <v>['easy', 'hopefully', 'can', 'luck']</v>
      </c>
      <c r="D11227" s="3">
        <v>5.0</v>
      </c>
    </row>
    <row r="11228" ht="15.75" customHeight="1">
      <c r="A11228" s="1">
        <v>12110.0</v>
      </c>
      <c r="B11228" s="3" t="s">
        <v>10698</v>
      </c>
      <c r="C11228" s="3" t="str">
        <f>IFERROR(__xludf.DUMMYFUNCTION("GOOGLETRANSLATE(B11228,""id"",""en"")"),"['Good', 'Please', 'Fix', 'Dikiiiit', 'YHA', 'Want', 'Love', 'Gift', 'Dha', 'Customer', 'Card', 'Telkomsel', ' Blum ',' gift ',' please ',' boss']")</f>
        <v>['Good', 'Please', 'Fix', 'Dikiiiit', 'YHA', 'Want', 'Love', 'Gift', 'Dha', 'Customer', 'Card', 'Telkomsel', ' Blum ',' gift ',' please ',' boss']</v>
      </c>
      <c r="D11228" s="3">
        <v>5.0</v>
      </c>
    </row>
    <row r="11229" ht="15.75" customHeight="1">
      <c r="A11229" s="1">
        <v>12111.0</v>
      </c>
      <c r="B11229" s="3" t="s">
        <v>10699</v>
      </c>
      <c r="C11229" s="3" t="str">
        <f>IFERROR(__xludf.DUMMYFUNCTION("GOOGLETRANSLATE(B11229,""id"",""en"")"),"['function']")</f>
        <v>['function']</v>
      </c>
      <c r="D11229" s="3">
        <v>5.0</v>
      </c>
    </row>
    <row r="11230" ht="15.75" customHeight="1">
      <c r="A11230" s="1">
        <v>12112.0</v>
      </c>
      <c r="B11230" s="3" t="s">
        <v>2387</v>
      </c>
      <c r="C11230" s="3" t="str">
        <f>IFERROR(__xludf.DUMMYFUNCTION("GOOGLETRANSLATE(B11230,""id"",""en"")"),"['best service']")</f>
        <v>['best service']</v>
      </c>
      <c r="D11230" s="3">
        <v>5.0</v>
      </c>
    </row>
    <row r="11231" ht="15.75" customHeight="1">
      <c r="A11231" s="1">
        <v>12113.0</v>
      </c>
      <c r="B11231" s="3" t="s">
        <v>10700</v>
      </c>
      <c r="C11231" s="3" t="str">
        <f>IFERROR(__xludf.DUMMYFUNCTION("GOOGLETRANSLATE(B11231,""id"",""en"")"),"['Buy', 'Package', 'Application', 'already']")</f>
        <v>['Buy', 'Package', 'Application', 'already']</v>
      </c>
      <c r="D11231" s="3">
        <v>1.0</v>
      </c>
    </row>
    <row r="11232" ht="15.75" customHeight="1">
      <c r="A11232" s="1">
        <v>12114.0</v>
      </c>
      <c r="B11232" s="3" t="s">
        <v>10701</v>
      </c>
      <c r="C11232" s="3" t="str">
        <f>IFERROR(__xludf.DUMMYFUNCTION("GOOGLETRANSLATE(B11232,""id"",""en"")"),"['already', 'many years', 'subscription', 'Telkomsel', 'signal', 'slow', 'package', 'internet', 'expensive', 'bngt']")</f>
        <v>['already', 'many years', 'subscription', 'Telkomsel', 'signal', 'slow', 'package', 'internet', 'expensive', 'bngt']</v>
      </c>
      <c r="D11232" s="3">
        <v>2.0</v>
      </c>
    </row>
    <row r="11233" ht="15.75" customHeight="1">
      <c r="A11233" s="1">
        <v>12115.0</v>
      </c>
      <c r="B11233" s="3" t="s">
        <v>10702</v>
      </c>
      <c r="C11233" s="3" t="str">
        <f>IFERROR(__xludf.DUMMYFUNCTION("GOOGLETRANSLATE(B11233,""id"",""en"")"),"['Student', 'expensive', 'Sis']")</f>
        <v>['Student', 'expensive', 'Sis']</v>
      </c>
      <c r="D11233" s="3">
        <v>4.0</v>
      </c>
    </row>
    <row r="11234" ht="15.75" customHeight="1">
      <c r="A11234" s="1">
        <v>12117.0</v>
      </c>
      <c r="B11234" s="3" t="s">
        <v>10703</v>
      </c>
      <c r="C11234" s="3" t="str">
        <f>IFERROR(__xludf.DUMMYFUNCTION("GOOGLETRANSLATE(B11234,""id"",""en"")"),"['Kouta', 'expensive', 'network', 'Buriq']")</f>
        <v>['Kouta', 'expensive', 'network', 'Buriq']</v>
      </c>
      <c r="D11234" s="3">
        <v>1.0</v>
      </c>
    </row>
    <row r="11235" ht="15.75" customHeight="1">
      <c r="A11235" s="1">
        <v>12118.0</v>
      </c>
      <c r="B11235" s="3" t="s">
        <v>10704</v>
      </c>
      <c r="C11235" s="3" t="str">
        <f>IFERROR(__xludf.DUMMYFUNCTION("GOOGLETRANSLATE(B11235,""id"",""en"")"),"['Males',' gift ',' abal ',' kulai ',' era ',' nenenk ',' ancestors', 'people', 'Indonesia', 'gift', 'already', 'Kepo', ' The world ',' Maya ',' Gifts', 'People', 'Bodong', ""]")</f>
        <v>['Males',' gift ',' abal ',' kulai ',' era ',' nenenk ',' ancestors', 'people', 'Indonesia', 'gift', 'already', 'Kepo', ' The world ',' Maya ',' Gifts', 'People', 'Bodong', "]</v>
      </c>
      <c r="D11235" s="3">
        <v>1.0</v>
      </c>
    </row>
    <row r="11236" ht="15.75" customHeight="1">
      <c r="A11236" s="1">
        <v>12119.0</v>
      </c>
      <c r="B11236" s="3" t="s">
        <v>1352</v>
      </c>
      <c r="C11236" s="3" t="str">
        <f>IFERROR(__xludf.DUMMYFUNCTION("GOOGLETRANSLATE(B11236,""id"",""en"")"),"['']")</f>
        <v>['']</v>
      </c>
      <c r="D11236" s="3">
        <v>5.0</v>
      </c>
    </row>
    <row r="11237" ht="15.75" customHeight="1">
      <c r="A11237" s="1">
        <v>12120.0</v>
      </c>
      <c r="B11237" s="3" t="s">
        <v>10705</v>
      </c>
      <c r="C11237" s="3" t="str">
        <f>IFERROR(__xludf.DUMMYFUNCTION("GOOGLETRANSLATE(B11237,""id"",""en"")"),"['BLM', 'Maximal', 'Features', 'Menu', 'Donation']")</f>
        <v>['BLM', 'Maximal', 'Features', 'Menu', 'Donation']</v>
      </c>
      <c r="D11237" s="3">
        <v>1.0</v>
      </c>
    </row>
    <row r="11238" ht="15.75" customHeight="1">
      <c r="A11238" s="1">
        <v>12121.0</v>
      </c>
      <c r="B11238" s="3" t="s">
        <v>10706</v>
      </c>
      <c r="C11238" s="3" t="str">
        <f>IFERROR(__xludf.DUMMYFUNCTION("GOOGLETRANSLATE(B11238,""id"",""en"")"),"['Sya', 'like', 'application']")</f>
        <v>['Sya', 'like', 'application']</v>
      </c>
      <c r="D11238" s="3">
        <v>5.0</v>
      </c>
    </row>
    <row r="11239" ht="15.75" customHeight="1">
      <c r="A11239" s="1">
        <v>12122.0</v>
      </c>
      <c r="B11239" s="3" t="s">
        <v>10707</v>
      </c>
      <c r="C11239" s="3" t="str">
        <f>IFERROR(__xludf.DUMMYFUNCTION("GOOGLETRANSLATE(B11239,""id"",""en"")"),"['Please', 'Fix', 'Login', 'Link', 'Error', 'Miss', 'Persulit']")</f>
        <v>['Please', 'Fix', 'Login', 'Link', 'Error', 'Miss', 'Persulit']</v>
      </c>
      <c r="D11239" s="3">
        <v>1.0</v>
      </c>
    </row>
    <row r="11240" ht="15.75" customHeight="1">
      <c r="A11240" s="1">
        <v>12123.0</v>
      </c>
      <c r="B11240" s="3" t="s">
        <v>10708</v>
      </c>
      <c r="C11240" s="3" t="str">
        <f>IFERROR(__xludf.DUMMYFUNCTION("GOOGLETRANSLATE(B11240,""id"",""en"")"),"['Raying', 'Telkomsel']")</f>
        <v>['Raying', 'Telkomsel']</v>
      </c>
      <c r="D11240" s="3">
        <v>5.0</v>
      </c>
    </row>
    <row r="11241" ht="15.75" customHeight="1">
      <c r="A11241" s="1">
        <v>12124.0</v>
      </c>
      <c r="B11241" s="3" t="s">
        <v>10709</v>
      </c>
      <c r="C11241" s="3" t="str">
        <f>IFERROR(__xludf.DUMMYFUNCTION("GOOGLETRANSLATE(B11241,""id"",""en"")"),"['Good', 'sometimes',' slow ',' error ',' please ',' repaired ',' pulse ',' cut ',' subscribe ',' anything ',' use ',' internet ',' telkomsel ',' check ',' pulse ',' reduced ']")</f>
        <v>['Good', 'sometimes',' slow ',' error ',' please ',' repaired ',' pulse ',' cut ',' subscribe ',' anything ',' use ',' internet ',' telkomsel ',' check ',' pulse ',' reduced ']</v>
      </c>
      <c r="D11241" s="3">
        <v>2.0</v>
      </c>
    </row>
    <row r="11242" ht="15.75" customHeight="1">
      <c r="A11242" s="1">
        <v>12125.0</v>
      </c>
      <c r="B11242" s="3" t="s">
        <v>10710</v>
      </c>
      <c r="C11242" s="3" t="str">
        <f>IFERROR(__xludf.DUMMYFUNCTION("GOOGLETRANSLATE(B11242,""id"",""en"")"),"['Steady', 'profitable']")</f>
        <v>['Steady', 'profitable']</v>
      </c>
      <c r="D11242" s="3">
        <v>5.0</v>
      </c>
    </row>
    <row r="11243" ht="15.75" customHeight="1">
      <c r="A11243" s="1">
        <v>12126.0</v>
      </c>
      <c r="B11243" s="3" t="s">
        <v>10711</v>
      </c>
      <c r="C11243" s="3" t="str">
        <f>IFERROR(__xludf.DUMMYFUNCTION("GOOGLETRANSLATE(B11243,""id"",""en"")"),"['Good', 'promo', '']")</f>
        <v>['Good', 'promo', '']</v>
      </c>
      <c r="D11243" s="3">
        <v>5.0</v>
      </c>
    </row>
    <row r="11244" ht="15.75" customHeight="1">
      <c r="A11244" s="1">
        <v>12127.0</v>
      </c>
      <c r="B11244" s="3" t="s">
        <v>10712</v>
      </c>
      <c r="C11244" s="3" t="str">
        <f>IFERROR(__xludf.DUMMYFUNCTION("GOOGLETRANSLATE(B11244,""id"",""en"")"),"['The application', 'heavy', 'practical', 'really']")</f>
        <v>['The application', 'heavy', 'practical', 'really']</v>
      </c>
      <c r="D11244" s="3">
        <v>1.0</v>
      </c>
    </row>
    <row r="11245" ht="15.75" customHeight="1">
      <c r="A11245" s="1">
        <v>12128.0</v>
      </c>
      <c r="B11245" s="3" t="s">
        <v>10713</v>
      </c>
      <c r="C11245" s="3" t="str">
        <f>IFERROR(__xludf.DUMMYFUNCTION("GOOGLETRANSLATE(B11245,""id"",""en"")"),"['Comfortable', 'really', 'Telkomsel', 'Sometimes',' signal ',' missing ',' Sometimes', 'slow', 'worse', 'yesterday', 'buy', 'package', ' Data ',' price ',' payment ',' ovo ',' status', 'ovo', 'succeed', 'Telkomsel', 'enter', 'package', 'data', 'user', 'c"&amp;"omfortable' ]")</f>
        <v>['Comfortable', 'really', 'Telkomsel', 'Sometimes',' signal ',' missing ',' Sometimes', 'slow', 'worse', 'yesterday', 'buy', 'package', ' Data ',' price ',' payment ',' ovo ',' status', 'ovo', 'succeed', 'Telkomsel', 'enter', 'package', 'data', 'user', 'comfortable' ]</v>
      </c>
      <c r="D11245" s="3">
        <v>1.0</v>
      </c>
    </row>
    <row r="11246" ht="15.75" customHeight="1">
      <c r="A11246" s="1">
        <v>12129.0</v>
      </c>
      <c r="B11246" s="3" t="s">
        <v>10714</v>
      </c>
      <c r="C11246" s="3" t="str">
        <f>IFERROR(__xludf.DUMMYFUNCTION("GOOGLETRANSLATE(B11246,""id"",""en"")"),"['', 'Telkomsel', 'mampt', 'in', 'subscription', 'purchase', 'package', 'data', 'package', 'pulses', ""]")</f>
        <v>['', 'Telkomsel', 'mampt', 'in', 'subscription', 'purchase', 'package', 'data', 'package', 'pulses', "]</v>
      </c>
      <c r="D11246" s="3">
        <v>5.0</v>
      </c>
    </row>
    <row r="11247" ht="15.75" customHeight="1">
      <c r="A11247" s="1">
        <v>12130.0</v>
      </c>
      <c r="B11247" s="3" t="s">
        <v>9871</v>
      </c>
      <c r="C11247" s="3" t="str">
        <f>IFERROR(__xludf.DUMMYFUNCTION("GOOGLETRANSLATE(B11247,""id"",""en"")"),"['Help', 'application']")</f>
        <v>['Help', 'application']</v>
      </c>
      <c r="D11247" s="3">
        <v>5.0</v>
      </c>
    </row>
    <row r="11248" ht="15.75" customHeight="1">
      <c r="A11248" s="1">
        <v>12131.0</v>
      </c>
      <c r="B11248" s="3" t="s">
        <v>10715</v>
      </c>
      <c r="C11248" s="3" t="str">
        <f>IFERROR(__xludf.DUMMYFUNCTION("GOOGLETRANSLATE(B11248,""id"",""en"")"),"['It's easy', 'charging', 'package', 'pulse', 'outside', 'area']")</f>
        <v>['It's easy', 'charging', 'package', 'pulse', 'outside', 'area']</v>
      </c>
      <c r="D11248" s="3">
        <v>5.0</v>
      </c>
    </row>
    <row r="11249" ht="15.75" customHeight="1">
      <c r="A11249" s="1">
        <v>12133.0</v>
      </c>
      <c r="B11249" s="3" t="s">
        <v>10716</v>
      </c>
      <c r="C11249" s="3" t="str">
        <f>IFERROR(__xludf.DUMMYFUNCTION("GOOGLETRANSLATE(B11249,""id"",""en"")"),"['Sugner', 'strong']")</f>
        <v>['Sugner', 'strong']</v>
      </c>
      <c r="D11249" s="3">
        <v>3.0</v>
      </c>
    </row>
    <row r="11250" ht="15.75" customHeight="1">
      <c r="A11250" s="1">
        <v>12134.0</v>
      </c>
      <c r="B11250" s="3" t="s">
        <v>1308</v>
      </c>
      <c r="C11250" s="3" t="str">
        <f>IFERROR(__xludf.DUMMYFUNCTION("GOOGLETRANSLATE(B11250,""id"",""en"")"),"['Application', 'Help']")</f>
        <v>['Application', 'Help']</v>
      </c>
      <c r="D11250" s="3">
        <v>5.0</v>
      </c>
    </row>
    <row r="11251" ht="15.75" customHeight="1">
      <c r="A11251" s="1">
        <v>12135.0</v>
      </c>
      <c r="B11251" s="3" t="s">
        <v>10717</v>
      </c>
      <c r="C11251" s="3" t="str">
        <f>IFERROR(__xludf.DUMMYFUNCTION("GOOGLETRANSLATE(B11251,""id"",""en"")"),"['sympathy', 'signal', 'good', '']")</f>
        <v>['sympathy', 'signal', 'good', '']</v>
      </c>
      <c r="D11251" s="3">
        <v>5.0</v>
      </c>
    </row>
    <row r="11252" ht="15.75" customHeight="1">
      <c r="A11252" s="1">
        <v>12136.0</v>
      </c>
      <c r="B11252" s="3" t="s">
        <v>10718</v>
      </c>
      <c r="C11252" s="3" t="str">
        <f>IFERROR(__xludf.DUMMYFUNCTION("GOOGLETRANSLATE(B11252,""id"",""en"")"),"['supriseedeal', 'LOTIN', '']")</f>
        <v>['supriseedeal', 'LOTIN', '']</v>
      </c>
      <c r="D11252" s="3">
        <v>5.0</v>
      </c>
    </row>
    <row r="11253" ht="15.75" customHeight="1">
      <c r="A11253" s="1">
        <v>12137.0</v>
      </c>
      <c r="B11253" s="3" t="s">
        <v>10719</v>
      </c>
      <c r="C11253" s="3" t="str">
        <f>IFERROR(__xludf.DUMMYFUNCTION("GOOGLETRANSLATE(B11253,""id"",""en"")"),"['Telkomsel', 'AHIR', 'AHIR', 'SELET', 'Network', 'Special', 'Region', 'River', 'Candle', 'Musi', 'Banyuasin', 'Sumsel']")</f>
        <v>['Telkomsel', 'AHIR', 'AHIR', 'SELET', 'Network', 'Special', 'Region', 'River', 'Candle', 'Musi', 'Banyuasin', 'Sumsel']</v>
      </c>
      <c r="D11253" s="3">
        <v>5.0</v>
      </c>
    </row>
    <row r="11254" ht="15.75" customHeight="1">
      <c r="A11254" s="1">
        <v>12138.0</v>
      </c>
      <c r="B11254" s="3" t="s">
        <v>10720</v>
      </c>
      <c r="C11254" s="3" t="str">
        <f>IFERROR(__xludf.DUMMYFUNCTION("GOOGLETRANSLATE(B11254,""id"",""en"")"),"['Telkomsel', 'obstacles', 'quota', 'limit', 'position', 'inland', 'easy', 'extra', 'quota', 'Jaya', 'Telkomsel', ""]")</f>
        <v>['Telkomsel', 'obstacles', 'quota', 'limit', 'position', 'inland', 'easy', 'extra', 'quota', 'Jaya', 'Telkomsel', "]</v>
      </c>
      <c r="D11254" s="3">
        <v>5.0</v>
      </c>
    </row>
    <row r="11255" ht="15.75" customHeight="1">
      <c r="A11255" s="1">
        <v>12139.0</v>
      </c>
      <c r="B11255" s="3" t="s">
        <v>10721</v>
      </c>
      <c r="C11255" s="3" t="str">
        <f>IFERROR(__xludf.DUMMYFUNCTION("GOOGLETRANSLATE(B11255,""id"",""en"")"),"['easy', 'operational', 'function']")</f>
        <v>['easy', 'operational', 'function']</v>
      </c>
      <c r="D11255" s="3">
        <v>4.0</v>
      </c>
    </row>
    <row r="11256" ht="15.75" customHeight="1">
      <c r="A11256" s="1">
        <v>12140.0</v>
      </c>
      <c r="B11256" s="3" t="s">
        <v>10722</v>
      </c>
      <c r="C11256" s="3" t="str">
        <f>IFERROR(__xludf.DUMMYFUNCTION("GOOGLETRANSLATE(B11256,""id"",""en"")"),"['', 'sympathy', 'signal', 'ilang', '']")</f>
        <v>['', 'sympathy', 'signal', 'ilang', '']</v>
      </c>
      <c r="D11256" s="3">
        <v>1.0</v>
      </c>
    </row>
    <row r="11257" ht="15.75" customHeight="1">
      <c r="A11257" s="1">
        <v>12141.0</v>
      </c>
      <c r="B11257" s="3" t="s">
        <v>10723</v>
      </c>
      <c r="C11257" s="3" t="str">
        <f>IFERROR(__xludf.DUMMYFUNCTION("GOOGLETRANSLATE(B11257,""id"",""en"")"),"['Mantul', 'Telkomsel', 'Like', '']")</f>
        <v>['Mantul', 'Telkomsel', 'Like', '']</v>
      </c>
      <c r="D11257" s="3">
        <v>5.0</v>
      </c>
    </row>
    <row r="11258" ht="15.75" customHeight="1">
      <c r="A11258" s="1">
        <v>12142.0</v>
      </c>
      <c r="B11258" s="3" t="s">
        <v>10724</v>
      </c>
      <c r="C11258" s="3" t="str">
        <f>IFERROR(__xludf.DUMMYFUNCTION("GOOGLETRANSLATE(B11258,""id"",""en"")"),"['Cool', 'Application', 'MyTelkomsel', 'Ribet', 'Check', 'Promo', 'Promo', 'Latest']")</f>
        <v>['Cool', 'Application', 'MyTelkomsel', 'Ribet', 'Check', 'Promo', 'Promo', 'Latest']</v>
      </c>
      <c r="D11258" s="3">
        <v>5.0</v>
      </c>
    </row>
    <row r="11259" ht="15.75" customHeight="1">
      <c r="A11259" s="1">
        <v>12143.0</v>
      </c>
      <c r="B11259" s="3" t="s">
        <v>10725</v>
      </c>
      <c r="C11259" s="3" t="str">
        <f>IFERROR(__xludf.DUMMYFUNCTION("GOOGLETRANSLATE(B11259,""id"",""en"")"),"['Sacerban', 'his business', '']")</f>
        <v>['Sacerban', 'his business', '']</v>
      </c>
      <c r="D11259" s="3">
        <v>5.0</v>
      </c>
    </row>
    <row r="11260" ht="15.75" customHeight="1">
      <c r="A11260" s="1">
        <v>12144.0</v>
      </c>
      <c r="B11260" s="3" t="s">
        <v>10726</v>
      </c>
      <c r="C11260" s="3" t="str">
        <f>IFERROR(__xludf.DUMMYFUNCTION("GOOGLETRANSLATE(B11260,""id"",""en"")"),"['buy', 'package', 'clock', 'malem', 'active', '']")</f>
        <v>['buy', 'package', 'clock', 'malem', 'active', '']</v>
      </c>
      <c r="D11260" s="3">
        <v>1.0</v>
      </c>
    </row>
    <row r="11261" ht="15.75" customHeight="1">
      <c r="A11261" s="1">
        <v>12145.0</v>
      </c>
      <c r="B11261" s="3" t="s">
        <v>10727</v>
      </c>
      <c r="C11261" s="3" t="str">
        <f>IFERROR(__xludf.DUMMYFUNCTION("GOOGLETRANSLATE(B11261,""id"",""en"")"),"['easy', 'fast', 'practical']")</f>
        <v>['easy', 'fast', 'practical']</v>
      </c>
      <c r="D11261" s="3">
        <v>5.0</v>
      </c>
    </row>
    <row r="11262" ht="15.75" customHeight="1">
      <c r="A11262" s="1">
        <v>12146.0</v>
      </c>
      <c r="B11262" s="3" t="s">
        <v>10728</v>
      </c>
      <c r="C11262" s="3" t="str">
        <f>IFERROR(__xludf.DUMMYFUNCTION("GOOGLETRANSLATE(B11262,""id"",""en"")"),"['quota', 'belom', 'enter', 'MB', 'per day', 'report', 'TELE', 'Tele', 'for', 'enter', 'toilet', 'hitch', ' Pee']")</f>
        <v>['quota', 'belom', 'enter', 'MB', 'per day', 'report', 'TELE', 'Tele', 'for', 'enter', 'toilet', 'hitch', ' Pee']</v>
      </c>
      <c r="D11262" s="3">
        <v>1.0</v>
      </c>
    </row>
    <row r="11263" ht="15.75" customHeight="1">
      <c r="A11263" s="1">
        <v>12147.0</v>
      </c>
      <c r="B11263" s="3" t="s">
        <v>10729</v>
      </c>
      <c r="C11263" s="3" t="str">
        <f>IFERROR(__xludf.DUMMYFUNCTION("GOOGLETRANSLATE(B11263,""id"",""en"")"),"['Package', 'combo', 'saktinya', 'call', 'sound', 'please', 'reproduced', 'diligent', 'buy', 'combo', 'sakinya']")</f>
        <v>['Package', 'combo', 'saktinya', 'call', 'sound', 'please', 'reproduced', 'diligent', 'buy', 'combo', 'sakinya']</v>
      </c>
      <c r="D11263" s="3">
        <v>4.0</v>
      </c>
    </row>
    <row r="11264" ht="15.75" customHeight="1">
      <c r="A11264" s="1">
        <v>12148.0</v>
      </c>
      <c r="B11264" s="3" t="s">
        <v>10730</v>
      </c>
      <c r="C11264" s="3" t="str">
        <f>IFERROR(__xludf.DUMMYFUNCTION("GOOGLETRANSLATE(B11264,""id"",""en"")"),"['Increase', 'special', 'signal', 'Telkomsel']")</f>
        <v>['Increase', 'special', 'signal', 'Telkomsel']</v>
      </c>
      <c r="D11264" s="3">
        <v>5.0</v>
      </c>
    </row>
    <row r="11265" ht="15.75" customHeight="1">
      <c r="A11265" s="1">
        <v>12149.0</v>
      </c>
      <c r="B11265" s="3" t="s">
        <v>10731</v>
      </c>
      <c r="C11265" s="3" t="str">
        <f>IFERROR(__xludf.DUMMYFUNCTION("GOOGLETRANSLATE(B11265,""id"",""en"")"),"['application', 'bad', 'Install', 'Login', 'told', 'Veronica', 'Sorry', 'Understand', 'Language', 'click', 'Link', 'sent', ' sms', 'sms',' please ',' clarified ',' application ',' difficult ',' login ']")</f>
        <v>['application', 'bad', 'Install', 'Login', 'told', 'Veronica', 'Sorry', 'Understand', 'Language', 'click', 'Link', 'sent', ' sms', 'sms',' please ',' clarified ',' application ',' difficult ',' login ']</v>
      </c>
      <c r="D11265" s="3">
        <v>1.0</v>
      </c>
    </row>
    <row r="11266" ht="15.75" customHeight="1">
      <c r="A11266" s="1">
        <v>12150.0</v>
      </c>
      <c r="B11266" s="3" t="s">
        <v>10732</v>
      </c>
      <c r="C11266" s="3" t="str">
        <f>IFERROR(__xludf.DUMMYFUNCTION("GOOGLETRANSLATE(B11266,""id"",""en"")"),"['Transfer', 'pulse']")</f>
        <v>['Transfer', 'pulse']</v>
      </c>
      <c r="D11266" s="3">
        <v>1.0</v>
      </c>
    </row>
    <row r="11267" ht="15.75" customHeight="1">
      <c r="A11267" s="1">
        <v>12151.0</v>
      </c>
      <c r="B11267" s="3" t="s">
        <v>10733</v>
      </c>
      <c r="C11267" s="3" t="str">
        <f>IFERROR(__xludf.DUMMYFUNCTION("GOOGLETRANSLATE(B11267,""id"",""en"")"),"['Good', 'sekli']")</f>
        <v>['Good', 'sekli']</v>
      </c>
      <c r="D11267" s="3">
        <v>5.0</v>
      </c>
    </row>
    <row r="11268" ht="15.75" customHeight="1">
      <c r="A11268" s="1">
        <v>12153.0</v>
      </c>
      <c r="B11268" s="3" t="s">
        <v>10734</v>
      </c>
      <c r="C11268" s="3" t="str">
        <f>IFERROR(__xludf.DUMMYFUNCTION("GOOGLETRANSLATE(B11268,""id"",""en"")"),"['strange', 'really', 'signal', 'stable', 'login', 'signal', 'direct', 'gsm', 'change', 'nyesek', 'play', 'already', ' draftpick ',' auto ',' GSM ',' hit ',' cheat ',' already ',' that's', 'credit', 'my shift', 'down', 'maxh', 'Telkomsel']")</f>
        <v>['strange', 'really', 'signal', 'stable', 'login', 'signal', 'direct', 'gsm', 'change', 'nyesek', 'play', 'already', ' draftpick ',' auto ',' GSM ',' hit ',' cheat ',' already ',' that's', 'credit', 'my shift', 'down', 'maxh', 'Telkomsel']</v>
      </c>
      <c r="D11268" s="3">
        <v>1.0</v>
      </c>
    </row>
    <row r="11269" ht="15.75" customHeight="1">
      <c r="A11269" s="1">
        <v>12154.0</v>
      </c>
      <c r="B11269" s="3" t="s">
        <v>10735</v>
      </c>
      <c r="C11269" s="3" t="str">
        <f>IFERROR(__xludf.DUMMYFUNCTION("GOOGLETRANSLATE(B11269,""id"",""en"")"),"['function', 'price']")</f>
        <v>['function', 'price']</v>
      </c>
      <c r="D11269" s="3">
        <v>5.0</v>
      </c>
    </row>
    <row r="11270" ht="15.75" customHeight="1">
      <c r="A11270" s="1">
        <v>12155.0</v>
      </c>
      <c r="B11270" s="3" t="s">
        <v>10736</v>
      </c>
      <c r="C11270" s="3" t="str">
        <f>IFERROR(__xludf.DUMMYFUNCTION("GOOGLETRANSLATE(B11270,""id"",""en"")"),"['expensive', 'doang', 'quality', 'network', 'ugly']")</f>
        <v>['expensive', 'doang', 'quality', 'network', 'ugly']</v>
      </c>
      <c r="D11270" s="3">
        <v>1.0</v>
      </c>
    </row>
    <row r="11271" ht="15.75" customHeight="1">
      <c r="A11271" s="1">
        <v>12156.0</v>
      </c>
      <c r="B11271" s="3" t="s">
        <v>10737</v>
      </c>
      <c r="C11271" s="3" t="str">
        <f>IFERROR(__xludf.DUMMYFUNCTION("GOOGLETRANSLATE(B11271,""id"",""en"")"),"['Nice', 'Package', 'Cheap', '']")</f>
        <v>['Nice', 'Package', 'Cheap', '']</v>
      </c>
      <c r="D11271" s="3">
        <v>5.0</v>
      </c>
    </row>
    <row r="11272" ht="15.75" customHeight="1">
      <c r="A11272" s="1">
        <v>12157.0</v>
      </c>
      <c r="B11272" s="3" t="s">
        <v>10738</v>
      </c>
      <c r="C11272" s="3" t="str">
        <f>IFERROR(__xludf.DUMMYFUNCTION("GOOGLETRANSLATE(B11272,""id"",""en"")"),"['trimakasih', 'admin', 'sya', 'satisfied', ""]")</f>
        <v>['trimakasih', 'admin', 'sya', 'satisfied', "]</v>
      </c>
      <c r="D11272" s="3">
        <v>5.0</v>
      </c>
    </row>
    <row r="11273" ht="15.75" customHeight="1">
      <c r="A11273" s="1">
        <v>12158.0</v>
      </c>
      <c r="B11273" s="3" t="s">
        <v>10739</v>
      </c>
      <c r="C11273" s="3" t="str">
        <f>IFERROR(__xludf.DUMMYFUNCTION("GOOGLETRANSLATE(B11273,""id"",""en"")"),"['steady', 'Telkomsel', 'promo', 'kouta']")</f>
        <v>['steady', 'Telkomsel', 'promo', 'kouta']</v>
      </c>
      <c r="D11273" s="3">
        <v>5.0</v>
      </c>
    </row>
    <row r="11274" ht="15.75" customHeight="1">
      <c r="A11274" s="1">
        <v>12159.0</v>
      </c>
      <c r="B11274" s="3" t="s">
        <v>10740</v>
      </c>
      <c r="C11274" s="3" t="str">
        <f>IFERROR(__xludf.DUMMYFUNCTION("GOOGLETRANSLATE(B11274,""id"",""en"")"),"['muter', 'muter', 'muter', 'muter', 'run out', 'quota', 'karna', 'muter', 'muter', 'wasteful', 'comparable', 'thank', ' ']")</f>
        <v>['muter', 'muter', 'muter', 'muter', 'run out', 'quota', 'karna', 'muter', 'muter', 'wasteful', 'comparable', 'thank', ' ']</v>
      </c>
      <c r="D11274" s="3">
        <v>1.0</v>
      </c>
    </row>
    <row r="11275" ht="15.75" customHeight="1">
      <c r="A11275" s="1">
        <v>12160.0</v>
      </c>
      <c r="B11275" s="3" t="s">
        <v>10741</v>
      </c>
      <c r="C11275" s="3" t="str">
        <f>IFERROR(__xludf.DUMMYFUNCTION("GOOGLETRANSLATE(B11275,""id"",""en"")"),"['entry', 'given', 'link', 'expired', 'just', 'sent', 'Telkomsel', 'buy', 'package']")</f>
        <v>['entry', 'given', 'link', 'expired', 'just', 'sent', 'Telkomsel', 'buy', 'package']</v>
      </c>
      <c r="D11275" s="3">
        <v>1.0</v>
      </c>
    </row>
    <row r="11276" ht="15.75" customHeight="1">
      <c r="A11276" s="1">
        <v>12161.0</v>
      </c>
      <c r="B11276" s="3" t="s">
        <v>10742</v>
      </c>
      <c r="C11276" s="3" t="str">
        <f>IFERROR(__xludf.DUMMYFUNCTION("GOOGLETRANSLATE(B11276,""id"",""en"")"),"['already', 'package', 'expensive', 'disorder', 'ngbisin', 'money', 'work', 'difficult', 'gara', 'telkomsel']")</f>
        <v>['already', 'package', 'expensive', 'disorder', 'ngbisin', 'money', 'work', 'difficult', 'gara', 'telkomsel']</v>
      </c>
      <c r="D11276" s="3">
        <v>1.0</v>
      </c>
    </row>
    <row r="11277" ht="15.75" customHeight="1">
      <c r="A11277" s="1">
        <v>12162.0</v>
      </c>
      <c r="B11277" s="3" t="s">
        <v>10743</v>
      </c>
      <c r="C11277" s="3" t="str">
        <f>IFERROR(__xludf.DUMMYFUNCTION("GOOGLETRANSLATE(B11277,""id"",""en"")"),"['card', 'package', 'expensive', 'combo', 'magic', 'cheap', 'price', 'combo', 'below']")</f>
        <v>['card', 'package', 'expensive', 'combo', 'magic', 'cheap', 'price', 'combo', 'below']</v>
      </c>
      <c r="D11277" s="3">
        <v>1.0</v>
      </c>
    </row>
    <row r="11278" ht="15.75" customHeight="1">
      <c r="A11278" s="1">
        <v>12163.0</v>
      </c>
      <c r="B11278" s="3" t="s">
        <v>10744</v>
      </c>
      <c r="C11278" s="3" t="str">
        <f>IFERROR(__xludf.DUMMYFUNCTION("GOOGLETRANSLATE(B11278,""id"",""en"")"),"['Steady', 'Telkomsel', 'Hopefully', 'Success', 'In the future', ""]")</f>
        <v>['Steady', 'Telkomsel', 'Hopefully', 'Success', 'In the future', "]</v>
      </c>
      <c r="D11278" s="3">
        <v>5.0</v>
      </c>
    </row>
    <row r="11279" ht="15.75" customHeight="1">
      <c r="A11279" s="1">
        <v>12164.0</v>
      </c>
      <c r="B11279" s="3" t="s">
        <v>2851</v>
      </c>
      <c r="C11279" s="3" t="str">
        <f>IFERROR(__xludf.DUMMYFUNCTION("GOOGLETRANSLATE(B11279,""id"",""en"")"),"['application', 'good', 'helpful']")</f>
        <v>['application', 'good', 'helpful']</v>
      </c>
      <c r="D11279" s="3">
        <v>4.0</v>
      </c>
    </row>
    <row r="11280" ht="15.75" customHeight="1">
      <c r="A11280" s="1">
        <v>12165.0</v>
      </c>
      <c r="B11280" s="3" t="s">
        <v>10745</v>
      </c>
      <c r="C11280" s="3" t="str">
        <f>IFERROR(__xludf.DUMMYFUNCTION("GOOGLETRANSLATE(B11280,""id"",""en"")"),"['Enjoy', 'application']")</f>
        <v>['Enjoy', 'application']</v>
      </c>
      <c r="D11280" s="3">
        <v>5.0</v>
      </c>
    </row>
    <row r="11281" ht="15.75" customHeight="1">
      <c r="A11281" s="1">
        <v>12168.0</v>
      </c>
      <c r="B11281" s="3" t="s">
        <v>10746</v>
      </c>
      <c r="C11281" s="3" t="str">
        <f>IFERROR(__xludf.DUMMYFUNCTION("GOOGLETRANSLATE(B11281,""id"",""en"")"),"['Simple', 'Easy', 'Use', 'MyTelkomsel', 'Thank you']")</f>
        <v>['Simple', 'Easy', 'Use', 'MyTelkomsel', 'Thank you']</v>
      </c>
      <c r="D11281" s="3">
        <v>5.0</v>
      </c>
    </row>
    <row r="11282" ht="15.75" customHeight="1">
      <c r="A11282" s="1">
        <v>12169.0</v>
      </c>
      <c r="B11282" s="3" t="s">
        <v>10747</v>
      </c>
      <c r="C11282" s="3" t="str">
        <f>IFERROR(__xludf.DUMMYFUNCTION("GOOGLETRANSLATE(B11282,""id"",""en"")"),"['', 'star', 'try']")</f>
        <v>['', 'star', 'try']</v>
      </c>
      <c r="D11282" s="3">
        <v>3.0</v>
      </c>
    </row>
    <row r="11283" ht="15.75" customHeight="1">
      <c r="A11283" s="1">
        <v>12170.0</v>
      </c>
      <c r="B11283" s="3" t="s">
        <v>10748</v>
      </c>
      <c r="C11283" s="3" t="str">
        <f>IFERROR(__xludf.DUMMYFUNCTION("GOOGLETRANSLATE(B11283,""id"",""en"")"),"['NMR', 'People', 'Try', 'JLSkan']")</f>
        <v>['NMR', 'People', 'Try', 'JLSkan']</v>
      </c>
      <c r="D11283" s="3">
        <v>1.0</v>
      </c>
    </row>
    <row r="11284" ht="15.75" customHeight="1">
      <c r="A11284" s="1">
        <v>12171.0</v>
      </c>
      <c r="B11284" s="3" t="s">
        <v>10749</v>
      </c>
      <c r="C11284" s="3" t="str">
        <f>IFERROR(__xludf.DUMMYFUNCTION("GOOGLETRANSLATE(B11284,""id"",""en"")"),"['Good', 'kalilahh', 'basically', 'can', 'can']")</f>
        <v>['Good', 'kalilahh', 'basically', 'can', 'can']</v>
      </c>
      <c r="D11284" s="3">
        <v>5.0</v>
      </c>
    </row>
    <row r="11285" ht="15.75" customHeight="1">
      <c r="A11285" s="1">
        <v>12172.0</v>
      </c>
      <c r="B11285" s="3" t="s">
        <v>3583</v>
      </c>
      <c r="C11285" s="3" t="str">
        <f>IFERROR(__xludf.DUMMYFUNCTION("GOOGLETRANSLATE(B11285,""id"",""en"")"),"['star', '']")</f>
        <v>['star', '']</v>
      </c>
      <c r="D11285" s="3">
        <v>4.0</v>
      </c>
    </row>
    <row r="11286" ht="15.75" customHeight="1">
      <c r="A11286" s="1">
        <v>12173.0</v>
      </c>
      <c r="B11286" s="3" t="s">
        <v>10750</v>
      </c>
      <c r="C11286" s="3" t="str">
        <f>IFERROR(__xludf.DUMMYFUNCTION("GOOGLETRANSLATE(B11286,""id"",""en"")"),"['Sometimes', 'problem', 'buy', 'package', 'emergency']")</f>
        <v>['Sometimes', 'problem', 'buy', 'package', 'emergency']</v>
      </c>
      <c r="D11286" s="3">
        <v>5.0</v>
      </c>
    </row>
    <row r="11287" ht="15.75" customHeight="1">
      <c r="A11287" s="1">
        <v>12174.0</v>
      </c>
      <c r="B11287" s="3" t="s">
        <v>10751</v>
      </c>
      <c r="C11287" s="3" t="str">
        <f>IFERROR(__xludf.DUMMYFUNCTION("GOOGLETRANSLATE(B11287,""id"",""en"")"),"['Vocher', 'Telkomsel', 'expensive', 'buaaanget', 'Different', 'Next to', 'TTD', 'user', 'sympathy', ""]")</f>
        <v>['Vocher', 'Telkomsel', 'expensive', 'buaaanget', 'Different', 'Next to', 'TTD', 'user', 'sympathy', "]</v>
      </c>
      <c r="D11287" s="3">
        <v>1.0</v>
      </c>
    </row>
    <row r="11288" ht="15.75" customHeight="1">
      <c r="A11288" s="1">
        <v>12175.0</v>
      </c>
      <c r="B11288" s="3" t="s">
        <v>10752</v>
      </c>
      <c r="C11288" s="3" t="str">
        <f>IFERROR(__xludf.DUMMYFUNCTION("GOOGLETRANSLATE(B11288,""id"",""en"")"),"['Sip', 'Bgus', 'Skli']")</f>
        <v>['Sip', 'Bgus', 'Skli']</v>
      </c>
      <c r="D11288" s="3">
        <v>5.0</v>
      </c>
    </row>
    <row r="11289" ht="15.75" customHeight="1">
      <c r="A11289" s="1">
        <v>12176.0</v>
      </c>
      <c r="B11289" s="3" t="s">
        <v>10753</v>
      </c>
      <c r="C11289" s="3" t="str">
        <f>IFERROR(__xludf.DUMMYFUNCTION("GOOGLETRANSLATE(B11289,""id"",""en"")"),"['Cheap', 'promo']")</f>
        <v>['Cheap', 'promo']</v>
      </c>
      <c r="D11289" s="3">
        <v>5.0</v>
      </c>
    </row>
    <row r="11290" ht="15.75" customHeight="1">
      <c r="A11290" s="1">
        <v>12177.0</v>
      </c>
      <c r="B11290" s="3" t="s">
        <v>10754</v>
      </c>
      <c r="C11290" s="3" t="str">
        <f>IFERROR(__xludf.DUMMYFUNCTION("GOOGLETRANSLATE(B11290,""id"",""en"")"),"['Points', 'Coy', 'Tuker', 'quota']")</f>
        <v>['Points', 'Coy', 'Tuker', 'quota']</v>
      </c>
      <c r="D11290" s="3">
        <v>1.0</v>
      </c>
    </row>
    <row r="11291" ht="15.75" customHeight="1">
      <c r="A11291" s="1">
        <v>12178.0</v>
      </c>
      <c r="B11291" s="3" t="s">
        <v>10755</v>
      </c>
      <c r="C11291" s="3" t="str">
        <f>IFERROR(__xludf.DUMMYFUNCTION("GOOGLETRANSLATE(B11291,""id"",""en"")"),"['user', 'loyal', 'Telkom', 'bonus', 'promo', 'satisfied', 'bonus', 'user', 'thank', 'love']")</f>
        <v>['user', 'loyal', 'Telkom', 'bonus', 'promo', 'satisfied', 'bonus', 'user', 'thank', 'love']</v>
      </c>
      <c r="D11291" s="3">
        <v>4.0</v>
      </c>
    </row>
    <row r="11292" ht="15.75" customHeight="1">
      <c r="A11292" s="1">
        <v>12179.0</v>
      </c>
      <c r="B11292" s="3" t="s">
        <v>10756</v>
      </c>
      <c r="C11292" s="3" t="str">
        <f>IFERROR(__xludf.DUMMYFUNCTION("GOOGLETRANSLATE(B11292,""id"",""en"")"),"['credit', 'reduced', 'apk', 'bad', 'take', 'pulse', 'excuse me]")</f>
        <v>['credit', 'reduced', 'apk', 'bad', 'take', 'pulse', 'excuse me]</v>
      </c>
      <c r="D11292" s="3">
        <v>1.0</v>
      </c>
    </row>
    <row r="11293" ht="15.75" customHeight="1">
      <c r="A11293" s="1">
        <v>12180.0</v>
      </c>
      <c r="B11293" s="3" t="s">
        <v>890</v>
      </c>
      <c r="C11293" s="3" t="str">
        <f>IFERROR(__xludf.DUMMYFUNCTION("GOOGLETRANSLATE(B11293,""id"",""en"")"),"['good', '']")</f>
        <v>['good', '']</v>
      </c>
      <c r="D11293" s="3">
        <v>5.0</v>
      </c>
    </row>
    <row r="11294" ht="15.75" customHeight="1">
      <c r="A11294" s="1">
        <v>12181.0</v>
      </c>
      <c r="B11294" s="3" t="s">
        <v>10757</v>
      </c>
      <c r="C11294" s="3" t="str">
        <f>IFERROR(__xludf.DUMMYFUNCTION("GOOGLETRANSLATE(B11294,""id"",""en"")"),"['signal', 'where', 'gift']")</f>
        <v>['signal', 'where', 'gift']</v>
      </c>
      <c r="D11294" s="3">
        <v>5.0</v>
      </c>
    </row>
    <row r="11295" ht="15.75" customHeight="1">
      <c r="A11295" s="1">
        <v>12182.0</v>
      </c>
      <c r="B11295" s="3" t="s">
        <v>10758</v>
      </c>
      <c r="C11295" s="3" t="str">
        <f>IFERROR(__xludf.DUMMYFUNCTION("GOOGLETRANSLATE(B11295,""id"",""en"")"),"['', 'Telkomsel', 'convenience', 'ber', 'trimah', 'kasi', 'telkom', 'sal']")</f>
        <v>['', 'Telkomsel', 'convenience', 'ber', 'trimah', 'kasi', 'telkom', 'sal']</v>
      </c>
      <c r="D11295" s="3">
        <v>5.0</v>
      </c>
    </row>
    <row r="11296" ht="15.75" customHeight="1">
      <c r="A11296" s="1">
        <v>12183.0</v>
      </c>
      <c r="B11296" s="3" t="s">
        <v>10759</v>
      </c>
      <c r="C11296" s="3" t="str">
        <f>IFERROR(__xludf.DUMMYFUNCTION("GOOGLETRANSLATE(B11296,""id"",""en"")"),"['Simple', 'practical']")</f>
        <v>['Simple', 'practical']</v>
      </c>
      <c r="D11296" s="3">
        <v>5.0</v>
      </c>
    </row>
    <row r="11297" ht="15.75" customHeight="1">
      <c r="A11297" s="1">
        <v>12184.0</v>
      </c>
      <c r="B11297" s="3" t="s">
        <v>10760</v>
      </c>
      <c r="C11297" s="3" t="str">
        <f>IFERROR(__xludf.DUMMYFUNCTION("GOOGLETRANSLATE(B11297,""id"",""en"")"),"['buy', 'package', 'internet', 'application', 'then', 'plus',' pulse ',' sumps', 'package', 'internet', 'really', 'said', ' Credit ',' Sumpot ',' Karna ',' Wear ',' Credit ',' Access', 'Internet', 'Non', 'Package']")</f>
        <v>['buy', 'package', 'internet', 'application', 'then', 'plus',' pulse ',' sumps', 'package', 'internet', 'really', 'said', ' Credit ',' Sumpot ',' Karna ',' Wear ',' Credit ',' Access', 'Internet', 'Non', 'Package']</v>
      </c>
      <c r="D11297" s="3">
        <v>2.0</v>
      </c>
    </row>
    <row r="11298" ht="15.75" customHeight="1">
      <c r="A11298" s="1">
        <v>12185.0</v>
      </c>
      <c r="B11298" s="3" t="s">
        <v>10761</v>
      </c>
      <c r="C11298" s="3" t="str">
        <f>IFERROR(__xludf.DUMMYFUNCTION("GOOGLETRANSLATE(B11298,""id"",""en"")"),"['promo', 'Addin', 'gan']")</f>
        <v>['promo', 'Addin', 'gan']</v>
      </c>
      <c r="D11298" s="3">
        <v>5.0</v>
      </c>
    </row>
    <row r="11299" ht="15.75" customHeight="1">
      <c r="A11299" s="1">
        <v>12186.0</v>
      </c>
      <c r="B11299" s="3" t="s">
        <v>10762</v>
      </c>
      <c r="C11299" s="3" t="str">
        <f>IFERROR(__xludf.DUMMYFUNCTION("GOOGLETRANSLATE(B11299,""id"",""en"")"),"['Just', 'suggestion', 'Telkomsel', 'Try', 'application', 'contents',' reset ',' vocer ',' tingal ',' scan ',' code ',' vocer ',' Ribet ',' type ',' Thank you ']")</f>
        <v>['Just', 'suggestion', 'Telkomsel', 'Try', 'application', 'contents',' reset ',' vocer ',' tingal ',' scan ',' code ',' vocer ',' Ribet ',' type ',' Thank you ']</v>
      </c>
      <c r="D11299" s="3">
        <v>3.0</v>
      </c>
    </row>
    <row r="11300" ht="15.75" customHeight="1">
      <c r="A11300" s="1">
        <v>12187.0</v>
      </c>
      <c r="B11300" s="3" t="s">
        <v>10763</v>
      </c>
      <c r="C11300" s="3" t="str">
        <f>IFERROR(__xludf.DUMMYFUNCTION("GOOGLETRANSLATE(B11300,""id"",""en"")"),"['Hopefully', 'Telkomsel', 'Ngeluarin', 'Features',' Installment ',' Credit ',' Good ',' Look ',' Hold ',' Credit ',' Installment ',' Credit ',' Emergency ',' ']")</f>
        <v>['Hopefully', 'Telkomsel', 'Ngeluarin', 'Features',' Installment ',' Credit ',' Good ',' Look ',' Hold ',' Credit ',' Installment ',' Credit ',' Emergency ',' ']</v>
      </c>
      <c r="D11300" s="3">
        <v>5.0</v>
      </c>
    </row>
    <row r="11301" ht="15.75" customHeight="1">
      <c r="A11301" s="1">
        <v>12188.0</v>
      </c>
      <c r="B11301" s="3" t="s">
        <v>10764</v>
      </c>
      <c r="C11301" s="3" t="str">
        <f>IFERROR(__xludf.DUMMYFUNCTION("GOOGLETRANSLATE(B11301,""id"",""en"")"),"['Come', 'ugly', 'network', 'Telkomsel', 'please', 'network', 'fix', 'vain', 'vain', 'buy', 'data', 'expensive', ' expensive']")</f>
        <v>['Come', 'ugly', 'network', 'Telkomsel', 'please', 'network', 'fix', 'vain', 'vain', 'buy', 'data', 'expensive', ' expensive']</v>
      </c>
      <c r="D11301" s="3">
        <v>1.0</v>
      </c>
    </row>
    <row r="11302" ht="15.75" customHeight="1">
      <c r="A11302" s="1">
        <v>12189.0</v>
      </c>
      <c r="B11302" s="3" t="s">
        <v>10765</v>
      </c>
      <c r="C11302" s="3" t="str">
        <f>IFERROR(__xludf.DUMMYFUNCTION("GOOGLETRANSLATE(B11302,""id"",""en"")"),"['Telkomsel', 'Network', 'ugly', 'regret', 'cave', 'buy', 'Telkomsel', 'Bela', 'unplug', 'card', 'parahh', 'play', ' Game ',' ']")</f>
        <v>['Telkomsel', 'Network', 'ugly', 'regret', 'cave', 'buy', 'Telkomsel', 'Bela', 'unplug', 'card', 'parahh', 'play', ' Game ',' ']</v>
      </c>
      <c r="D11302" s="3">
        <v>1.0</v>
      </c>
    </row>
    <row r="11303" ht="15.75" customHeight="1">
      <c r="A11303" s="1">
        <v>12190.0</v>
      </c>
      <c r="B11303" s="3" t="s">
        <v>10766</v>
      </c>
      <c r="C11303" s="3" t="str">
        <f>IFERROR(__xludf.DUMMYFUNCTION("GOOGLETRANSLATE(B11303,""id"",""en"")"),"['Gakk', 'Ngilak', 'Signal', 'Mending', 'Move', 'Signal', 'Gaje']")</f>
        <v>['Gakk', 'Ngilak', 'Signal', 'Mending', 'Move', 'Signal', 'Gaje']</v>
      </c>
      <c r="D11303" s="3">
        <v>1.0</v>
      </c>
    </row>
    <row r="11304" ht="15.75" customHeight="1">
      <c r="A11304" s="1">
        <v>12191.0</v>
      </c>
      <c r="B11304" s="3" t="s">
        <v>10767</v>
      </c>
      <c r="C11304" s="3" t="str">
        <f>IFERROR(__xludf.DUMMYFUNCTION("GOOGLETRANSLATE(B11304,""id"",""en"")"),"['Telkomsel', 'Mending', 'Disbanding', 'company', 'Disright', 'consumers',' price ',' package ',' expensive ',' quality ',' champion ',' ugly ',' Lost ',' im ']")</f>
        <v>['Telkomsel', 'Mending', 'Disbanding', 'company', 'Disright', 'consumers',' price ',' package ',' expensive ',' quality ',' champion ',' ugly ',' Lost ',' im ']</v>
      </c>
      <c r="D11304" s="3">
        <v>1.0</v>
      </c>
    </row>
    <row r="11305" ht="15.75" customHeight="1">
      <c r="A11305" s="1">
        <v>12192.0</v>
      </c>
      <c r="B11305" s="3" t="s">
        <v>10768</v>
      </c>
      <c r="C11305" s="3" t="str">
        <f>IFERROR(__xludf.DUMMYFUNCTION("GOOGLETRANSLATE(B11305,""id"",""en"")"),"['', 'Telkomsel', 'emang', 'TOP', '']")</f>
        <v>['', 'Telkomsel', 'emang', 'TOP', '']</v>
      </c>
      <c r="D11305" s="3">
        <v>5.0</v>
      </c>
    </row>
    <row r="11306" ht="15.75" customHeight="1">
      <c r="A11306" s="1">
        <v>12193.0</v>
      </c>
      <c r="B11306" s="3" t="s">
        <v>10769</v>
      </c>
      <c r="C11306" s="3" t="str">
        <f>IFERROR(__xludf.DUMMYFUNCTION("GOOGLETRANSLATE(B11306,""id"",""en"")"),"['Telkomsel', 'contents',' package ',' GB ',' Dipake ',' YouTube ',' clock ',' package ',' already ',' stay ',' MB ',' doang ',' The package ',' it's', 'Bener', 'YouTube', 'etc.', 'pulse', 'sumps',' package ',' data ',' already ',' no ',' Telkomsel ',' ex"&amp;"pensive ' , 'NOT', 'Good', 'ugly', 'Males', 'trs', 'network', 'ugly', 'cook', 'lose', 'package', 'data', 'cheap']")</f>
        <v>['Telkomsel', 'contents',' package ',' GB ',' Dipake ',' YouTube ',' clock ',' package ',' already ',' stay ',' MB ',' doang ',' The package ',' it's', 'Bener', 'YouTube', 'etc.', 'pulse', 'sumps',' package ',' data ',' already ',' no ',' Telkomsel ',' expensive ' , 'NOT', 'Good', 'ugly', 'Males', 'trs', 'network', 'ugly', 'cook', 'lose', 'package', 'data', 'cheap']</v>
      </c>
      <c r="D11306" s="3">
        <v>1.0</v>
      </c>
    </row>
    <row r="11307" ht="15.75" customHeight="1">
      <c r="A11307" s="1">
        <v>12194.0</v>
      </c>
      <c r="B11307" s="3" t="s">
        <v>10770</v>
      </c>
      <c r="C11307" s="3" t="str">
        <f>IFERROR(__xludf.DUMMYFUNCTION("GOOGLETRANSLATE(B11307,""id"",""en"")"),"['Telkomsel', 'slow', 'earnings',' already ',' kepakai ',' already ',' moved ',' indosat ',' darling ',' ama ',' card ',' contents', ' pulses', 'lazy', 'use', 'tasty', 'use', 'indosat']")</f>
        <v>['Telkomsel', 'slow', 'earnings',' already ',' kepakai ',' already ',' moved ',' indosat ',' darling ',' ama ',' card ',' contents', ' pulses', 'lazy', 'use', 'tasty', 'use', 'indosat']</v>
      </c>
      <c r="D11307" s="3">
        <v>1.0</v>
      </c>
    </row>
    <row r="11308" ht="15.75" customHeight="1">
      <c r="A11308" s="1">
        <v>12195.0</v>
      </c>
      <c r="B11308" s="3" t="s">
        <v>2354</v>
      </c>
      <c r="C11308" s="3" t="str">
        <f>IFERROR(__xludf.DUMMYFUNCTION("GOOGLETRANSLATE(B11308,""id"",""en"")"),"['Service', 'fast']")</f>
        <v>['Service', 'fast']</v>
      </c>
      <c r="D11308" s="3">
        <v>5.0</v>
      </c>
    </row>
    <row r="11309" ht="15.75" customHeight="1">
      <c r="A11309" s="1">
        <v>12196.0</v>
      </c>
      <c r="B11309" s="3" t="s">
        <v>10771</v>
      </c>
      <c r="C11309" s="3" t="str">
        <f>IFERROR(__xludf.DUMMYFUNCTION("GOOGLETRANSLATE(B11309,""id"",""en"")"),"['use', 'easy', 'fast', 'cheap']")</f>
        <v>['use', 'easy', 'fast', 'cheap']</v>
      </c>
      <c r="D11309" s="3">
        <v>5.0</v>
      </c>
    </row>
    <row r="11310" ht="15.75" customHeight="1">
      <c r="A11310" s="1">
        <v>12197.0</v>
      </c>
      <c r="B11310" s="3" t="s">
        <v>10772</v>
      </c>
      <c r="C11310" s="3" t="str">
        <f>IFERROR(__xludf.DUMMYFUNCTION("GOOGLETRANSLATE(B11310,""id"",""en"")"),"['Telkomsel', 'network', 'koyo', 'buy', 'buy', 'expensive', 'package', 'internet', 'person', 'blood', 'Telkomsel', 'Medan', ' Labuhan ']")</f>
        <v>['Telkomsel', 'network', 'koyo', 'buy', 'buy', 'expensive', 'package', 'internet', 'person', 'blood', 'Telkomsel', 'Medan', ' Labuhan ']</v>
      </c>
      <c r="D11310" s="3">
        <v>1.0</v>
      </c>
    </row>
    <row r="11311" ht="15.75" customHeight="1">
      <c r="A11311" s="1">
        <v>12198.0</v>
      </c>
      <c r="B11311" s="3" t="s">
        <v>10773</v>
      </c>
      <c r="C11311" s="3" t="str">
        <f>IFERROR(__xludf.DUMMYFUNCTION("GOOGLETRANSLATE(B11311,""id"",""en"")"),"['Msih', 'Stage', 'Experiment']")</f>
        <v>['Msih', 'Stage', 'Experiment']</v>
      </c>
      <c r="D11311" s="3">
        <v>2.0</v>
      </c>
    </row>
    <row r="11312" ht="15.75" customHeight="1">
      <c r="A11312" s="1">
        <v>12199.0</v>
      </c>
      <c r="B11312" s="3" t="s">
        <v>4002</v>
      </c>
      <c r="C11312" s="3" t="str">
        <f>IFERROR(__xludf.DUMMYFUNCTION("GOOGLETRANSLATE(B11312,""id"",""en"")"),"['petrified']")</f>
        <v>['petrified']</v>
      </c>
      <c r="D11312" s="3">
        <v>5.0</v>
      </c>
    </row>
    <row r="11313" ht="15.75" customHeight="1">
      <c r="A11313" s="1">
        <v>12200.0</v>
      </c>
      <c r="B11313" s="3" t="s">
        <v>10774</v>
      </c>
      <c r="C11313" s="3" t="str">
        <f>IFERROR(__xludf.DUMMYFUNCTION("GOOGLETRANSLATE(B11313,""id"",""en"")"),"['Telkomsel', 'Telkomsel', 'here', 'Severe', 'Network', 'Nda', 'NGasi', 'Services',' User ',' Telkomsel ',' Provider ',' KALAIN ',' Please, 'Kasi', 'Quality', 'Price', 'Expensive', 'Quality', 'Samapah', ""]")</f>
        <v>['Telkomsel', 'Telkomsel', 'here', 'Severe', 'Network', 'Nda', 'NGasi', 'Services',' User ',' Telkomsel ',' Provider ',' KALAIN ',' Please, 'Kasi', 'Quality', 'Price', 'Expensive', 'Quality', 'Samapah', "]</v>
      </c>
      <c r="D11313" s="3">
        <v>1.0</v>
      </c>
    </row>
    <row r="11314" ht="15.75" customHeight="1">
      <c r="A11314" s="1">
        <v>12201.0</v>
      </c>
      <c r="B11314" s="3" t="s">
        <v>10775</v>
      </c>
      <c r="C11314" s="3" t="str">
        <f>IFERROR(__xludf.DUMMYFUNCTION("GOOGLETRANSLATE(B11314,""id"",""en"")"),"['price', 'package', 'expensive', 'package', 'cheap', 'boss']")</f>
        <v>['price', 'package', 'expensive', 'package', 'cheap', 'boss']</v>
      </c>
      <c r="D11314" s="3">
        <v>4.0</v>
      </c>
    </row>
    <row r="11315" ht="15.75" customHeight="1">
      <c r="A11315" s="1">
        <v>12203.0</v>
      </c>
      <c r="B11315" s="3" t="s">
        <v>10776</v>
      </c>
      <c r="C11315" s="3" t="str">
        <f>IFERROR(__xludf.DUMMYFUNCTION("GOOGLETRANSLATE(B11315,""id"",""en"")"),"['internet', 'slow', 'log', 'app', 'difficult', 'mending', 'smart', 'network', 'stable', '']")</f>
        <v>['internet', 'slow', 'log', 'app', 'difficult', 'mending', 'smart', 'network', 'stable', '']</v>
      </c>
      <c r="D11315" s="3">
        <v>1.0</v>
      </c>
    </row>
    <row r="11316" ht="15.75" customHeight="1">
      <c r="A11316" s="1">
        <v>12204.0</v>
      </c>
      <c r="B11316" s="3" t="s">
        <v>10777</v>
      </c>
      <c r="C11316" s="3" t="str">
        <f>IFERROR(__xludf.DUMMYFUNCTION("GOOGLETRANSLATE(B11316,""id"",""en"")"),"['delicious',' operator ',' city ',' ilang ',' arises', 'signal', 'fit', 'play', 'pub', 'down', 'okey', 'see', ' Change ',' Change ',' Operator ',' ']")</f>
        <v>['delicious',' operator ',' city ',' ilang ',' arises', 'signal', 'fit', 'play', 'pub', 'down', 'okey', 'see', ' Change ',' Change ',' Operator ',' ']</v>
      </c>
      <c r="D11316" s="3">
        <v>3.0</v>
      </c>
    </row>
    <row r="11317" ht="15.75" customHeight="1">
      <c r="A11317" s="1">
        <v>12205.0</v>
      </c>
      <c r="B11317" s="3" t="s">
        <v>10778</v>
      </c>
      <c r="C11317" s="3" t="str">
        <f>IFERROR(__xludf.DUMMYFUNCTION("GOOGLETRANSLATE(B11317,""id"",""en"")"),"['network', 'Telkomsel', 'disappointing', 'customers', 'Telkomsel', 'disappointing', 'Reasons', 'Telkomsel', 'The network', 'bad', ""]")</f>
        <v>['network', 'Telkomsel', 'disappointing', 'customers', 'Telkomsel', 'disappointing', 'Reasons', 'Telkomsel', 'The network', 'bad', "]</v>
      </c>
      <c r="D11317" s="3">
        <v>2.0</v>
      </c>
    </row>
    <row r="11318" ht="15.75" customHeight="1">
      <c r="A11318" s="1">
        <v>12207.0</v>
      </c>
      <c r="B11318" s="3" t="s">
        <v>10779</v>
      </c>
      <c r="C11318" s="3" t="str">
        <f>IFERROR(__xludf.DUMMYFUNCTION("GOOGLETRANSLATE(B11318,""id"",""en"")"),"['Gift', 'hopefully']")</f>
        <v>['Gift', 'hopefully']</v>
      </c>
      <c r="D11318" s="3">
        <v>5.0</v>
      </c>
    </row>
    <row r="11319" ht="15.75" customHeight="1">
      <c r="A11319" s="1">
        <v>12208.0</v>
      </c>
      <c r="B11319" s="3" t="s">
        <v>10780</v>
      </c>
      <c r="C11319" s="3" t="str">
        <f>IFERROR(__xludf.DUMMYFUNCTION("GOOGLETRANSLATE(B11319,""id"",""en"")"),"['Application', 'BUMN', 'Bad', 'Fill', 'Credit', 'Motode', 'Payment', 'Use', 'Shopeepay', 'Considered', 'SUCCESS', 'BALANCE', ' Shopeepay ',' Lost ',' Shopee ',' Payment ',' SUCCESS ',' Telkomsel ',' FAIL ',' MEAR ',' Enter ',' Word ',' MOVER ',' Wear ','"&amp;" Telkomsel ' , 'Help', 'BUMN', 'Disappoint']")</f>
        <v>['Application', 'BUMN', 'Bad', 'Fill', 'Credit', 'Motode', 'Payment', 'Use', 'Shopeepay', 'Considered', 'SUCCESS', 'BALANCE', ' Shopeepay ',' Lost ',' Shopee ',' Payment ',' SUCCESS ',' Telkomsel ',' FAIL ',' MEAR ',' Enter ',' Word ',' MOVER ',' Wear ',' Telkomsel ' , 'Help', 'BUMN', 'Disappoint']</v>
      </c>
      <c r="D11319" s="3">
        <v>1.0</v>
      </c>
    </row>
    <row r="11320" ht="15.75" customHeight="1">
      <c r="A11320" s="1">
        <v>12209.0</v>
      </c>
      <c r="B11320" s="3" t="s">
        <v>10781</v>
      </c>
      <c r="C11320" s="3" t="str">
        <f>IFERROR(__xludf.DUMMYFUNCTION("GOOGLETRANSLATE(B11320,""id"",""en"")"),"['informative', 'features', 'signal', 'Where', '']")</f>
        <v>['informative', 'features', 'signal', 'Where', '']</v>
      </c>
      <c r="D11320" s="3">
        <v>5.0</v>
      </c>
    </row>
    <row r="11321" ht="15.75" customHeight="1">
      <c r="A11321" s="1">
        <v>12210.0</v>
      </c>
      <c r="B11321" s="3" t="s">
        <v>10782</v>
      </c>
      <c r="C11321" s="3" t="str">
        <f>IFERROR(__xludf.DUMMYFUNCTION("GOOGLETRANSLATE(B11321,""id"",""en"")"),"['Congratulations',' night ',' mission ',' min ',' right ',' packagein ',' likes', 'gabisaa', 'no', 'message', 'beg', 'repaired', ' Services ',' in the future ',' so "", 'thank you',""]")</f>
        <v>['Congratulations',' night ',' mission ',' min ',' right ',' packagein ',' likes', 'gabisaa', 'no', 'message', 'beg', 'repaired', ' Services ',' in the future ',' so ", 'thank you',"]</v>
      </c>
      <c r="D11321" s="3">
        <v>1.0</v>
      </c>
    </row>
    <row r="11322" ht="15.75" customHeight="1">
      <c r="A11322" s="1">
        <v>12211.0</v>
      </c>
      <c r="B11322" s="3" t="s">
        <v>5327</v>
      </c>
      <c r="C11322" s="3" t="str">
        <f>IFERROR(__xludf.DUMMYFUNCTION("GOOGLETRANSLATE(B11322,""id"",""en"")"),"['Application', 'Useful']")</f>
        <v>['Application', 'Useful']</v>
      </c>
      <c r="D11322" s="3">
        <v>4.0</v>
      </c>
    </row>
    <row r="11323" ht="15.75" customHeight="1">
      <c r="A11323" s="1">
        <v>12212.0</v>
      </c>
      <c r="B11323" s="3" t="s">
        <v>10783</v>
      </c>
      <c r="C11323" s="3" t="str">
        <f>IFERROR(__xludf.DUMMYFUNCTION("GOOGLETRANSLATE(B11323,""id"",""en"")"),"['poor', 'play', 'Cut', 'pulse', 'delight']")</f>
        <v>['poor', 'play', 'Cut', 'pulse', 'delight']</v>
      </c>
      <c r="D11323" s="3">
        <v>1.0</v>
      </c>
    </row>
    <row r="11324" ht="15.75" customHeight="1">
      <c r="A11324" s="1">
        <v>12213.0</v>
      </c>
      <c r="B11324" s="3" t="s">
        <v>5655</v>
      </c>
      <c r="C11324" s="3" t="str">
        <f>IFERROR(__xludf.DUMMYFUNCTION("GOOGLETRANSLATE(B11324,""id"",""en"")"),"['satisfied', '']")</f>
        <v>['satisfied', '']</v>
      </c>
      <c r="D11324" s="3">
        <v>5.0</v>
      </c>
    </row>
    <row r="11325" ht="15.75" customHeight="1">
      <c r="A11325" s="1">
        <v>12214.0</v>
      </c>
      <c r="B11325" s="3" t="s">
        <v>10784</v>
      </c>
      <c r="C11325" s="3" t="str">
        <f>IFERROR(__xludf.DUMMYFUNCTION("GOOGLETRANSLATE(B11325,""id"",""en"")"),"['expensive', 'expensive', 'Betol', 'Package', 'Telkomsel', 'mah']")</f>
        <v>['expensive', 'expensive', 'Betol', 'Package', 'Telkomsel', 'mah']</v>
      </c>
      <c r="D11325" s="3">
        <v>5.0</v>
      </c>
    </row>
    <row r="11326" ht="15.75" customHeight="1">
      <c r="A11326" s="1">
        <v>12215.0</v>
      </c>
      <c r="B11326" s="3" t="s">
        <v>10785</v>
      </c>
      <c r="C11326" s="3" t="str">
        <f>IFERROR(__xludf.DUMMYFUNCTION("GOOGLETRANSLATE(B11326,""id"",""en"")"),"['Application', 'Help', 'Increase', 'Quality', 'Service', 'The Network', 'Hopefully', 'Jaya', 'Telkomsel']")</f>
        <v>['Application', 'Help', 'Increase', 'Quality', 'Service', 'The Network', 'Hopefully', 'Jaya', 'Telkomsel']</v>
      </c>
      <c r="D11326" s="3">
        <v>5.0</v>
      </c>
    </row>
    <row r="11327" ht="15.75" customHeight="1">
      <c r="A11327" s="1">
        <v>12216.0</v>
      </c>
      <c r="B11327" s="3" t="s">
        <v>10786</v>
      </c>
      <c r="C11327" s="3" t="str">
        <f>IFERROR(__xludf.DUMMYFUNCTION("GOOGLETRANSLATE(B11327,""id"",""en"")"),"['garbage', 'network', 'expensive', 'doang', 'quality', 'minus',' ping ',' nggk ',' stable ',' city ',' kek ',' gini ',' The signal ',' GMNA ',' remote ',' ']")</f>
        <v>['garbage', 'network', 'expensive', 'doang', 'quality', 'minus',' ping ',' nggk ',' stable ',' city ',' kek ',' gini ',' The signal ',' GMNA ',' remote ',' ']</v>
      </c>
      <c r="D11327" s="3">
        <v>1.0</v>
      </c>
    </row>
    <row r="11328" ht="15.75" customHeight="1">
      <c r="A11328" s="1">
        <v>12217.0</v>
      </c>
      <c r="B11328" s="3" t="s">
        <v>10787</v>
      </c>
      <c r="C11328" s="3" t="str">
        <f>IFERROR(__xludf.DUMMYFUNCTION("GOOGLETRANSLATE(B11328,""id"",""en"")"),"['Telkomsel', 'good', 'signal', 'ugly', 'UDH', 'Lost', 'Indosat']")</f>
        <v>['Telkomsel', 'good', 'signal', 'ugly', 'UDH', 'Lost', 'Indosat']</v>
      </c>
      <c r="D11328" s="3">
        <v>1.0</v>
      </c>
    </row>
    <row r="11329" ht="15.75" customHeight="1">
      <c r="A11329" s="1">
        <v>12218.0</v>
      </c>
      <c r="B11329" s="3" t="s">
        <v>10788</v>
      </c>
      <c r="C11329" s="3" t="str">
        <f>IFERROR(__xludf.DUMMYFUNCTION("GOOGLETRANSLATE(B11329,""id"",""en"")"),"['Network', 'strong', 'Indonesia']")</f>
        <v>['Network', 'strong', 'Indonesia']</v>
      </c>
      <c r="D11329" s="3">
        <v>5.0</v>
      </c>
    </row>
    <row r="11330" ht="15.75" customHeight="1">
      <c r="A11330" s="1">
        <v>12219.0</v>
      </c>
      <c r="B11330" s="3" t="s">
        <v>10789</v>
      </c>
      <c r="C11330" s="3" t="str">
        <f>IFERROR(__xludf.DUMMYFUNCTION("GOOGLETRANSLATE(B11330,""id"",""en"")"),"['Network', 'ugly', 'Consider', 'talk', ""]")</f>
        <v>['Network', 'ugly', 'Consider', 'talk', "]</v>
      </c>
      <c r="D11330" s="3">
        <v>1.0</v>
      </c>
    </row>
    <row r="11331" ht="15.75" customHeight="1">
      <c r="A11331" s="1">
        <v>12220.0</v>
      </c>
      <c r="B11331" s="3" t="s">
        <v>10790</v>
      </c>
      <c r="C11331" s="3" t="str">
        <f>IFERROR(__xludf.DUMMYFUNCTION("GOOGLETRANSLATE(B11331,""id"",""en"")"),"['', 'Belik', 'package', 'expensive', 'network', 'full', 'play', 'games',' kayak ',' kbtllll ',' pork ',' ashuu ',' laq ',' Severe ',' Disappointed ',' Liat ',' Telkomsel ',' Belik ',' Package ',' Unlimited ',' HRI ',' Night ',' Afternoon ',' Cuman ',' Am"&amp;"a ', 'Facebook', 'kayak', 'KNTL', 'repay', 'AJG', 'card', 'already', 'promo', 'cheap', 'belik', 'pulse', 'contents',' package ',' Laq ',' parahhhh ',' ajgg ',' threat ',' chicken ',' pulse ',' rb ',' top ',' lost ',' rb ',' where ',' try ', 'Data', 'life'"&amp;", 'subscribe']")</f>
        <v>['', 'Belik', 'package', 'expensive', 'network', 'full', 'play', 'games',' kayak ',' kbtllll ',' pork ',' ashuu ',' laq ',' Severe ',' Disappointed ',' Liat ',' Telkomsel ',' Belik ',' Package ',' Unlimited ',' HRI ',' Night ',' Afternoon ',' Cuman ',' Ama ', 'Facebook', 'kayak', 'KNTL', 'repay', 'AJG', 'card', 'already', 'promo', 'cheap', 'belik', 'pulse', 'contents',' package ',' Laq ',' parahhhh ',' ajgg ',' threat ',' chicken ',' pulse ',' rb ',' top ',' lost ',' rb ',' where ',' try ', 'Data', 'life', 'subscribe']</v>
      </c>
      <c r="D11331" s="3">
        <v>2.0</v>
      </c>
    </row>
    <row r="11332" ht="15.75" customHeight="1">
      <c r="A11332" s="1">
        <v>12221.0</v>
      </c>
      <c r="B11332" s="3" t="s">
        <v>10791</v>
      </c>
      <c r="C11332" s="3" t="str">
        <f>IFERROR(__xludf.DUMMYFUNCTION("GOOGLETRANSLATE(B11332,""id"",""en"")"),"['Good', 'hope', 'send', 'pulse']")</f>
        <v>['Good', 'hope', 'send', 'pulse']</v>
      </c>
      <c r="D11332" s="3">
        <v>5.0</v>
      </c>
    </row>
    <row r="11333" ht="15.75" customHeight="1">
      <c r="A11333" s="1">
        <v>12222.0</v>
      </c>
      <c r="B11333" s="3" t="s">
        <v>10792</v>
      </c>
      <c r="C11333" s="3" t="str">
        <f>IFERROR(__xludf.DUMMYFUNCTION("GOOGLETRANSLATE(B11333,""id"",""en"")"),"['Help', 'practical', 'check', 'quota', 'buy', 'quota', ""]")</f>
        <v>['Help', 'practical', 'check', 'quota', 'buy', 'quota', "]</v>
      </c>
      <c r="D11333" s="3">
        <v>5.0</v>
      </c>
    </row>
    <row r="11334" ht="15.75" customHeight="1">
      <c r="A11334" s="1">
        <v>12223.0</v>
      </c>
      <c r="B11334" s="3" t="s">
        <v>10793</v>
      </c>
      <c r="C11334" s="3" t="str">
        <f>IFERROR(__xludf.DUMMYFUNCTION("GOOGLETRANSLATE(B11334,""id"",""en"")"),"['Provider', 'Worst', 'use', 'oath', 'Mending', 'AXIS', 'Network', 'Stable', 'Provider', 'Thinking', 'Money', 'Paketan', ' expensive ',' Hadeh ',' Mending ',' Closed ',' Telkomnyet ']")</f>
        <v>['Provider', 'Worst', 'use', 'oath', 'Mending', 'AXIS', 'Network', 'Stable', 'Provider', 'Thinking', 'Money', 'Paketan', ' expensive ',' Hadeh ',' Mending ',' Closed ',' Telkomnyet ']</v>
      </c>
      <c r="D11334" s="3">
        <v>1.0</v>
      </c>
    </row>
    <row r="11335" ht="15.75" customHeight="1">
      <c r="A11335" s="1">
        <v>12224.0</v>
      </c>
      <c r="B11335" s="3" t="s">
        <v>10794</v>
      </c>
      <c r="C11335" s="3" t="str">
        <f>IFERROR(__xludf.DUMMYFUNCTION("GOOGLETRANSLATE(B11335,""id"",""en"")"),"['Good', 'satisfy']")</f>
        <v>['Good', 'satisfy']</v>
      </c>
      <c r="D11335" s="3">
        <v>5.0</v>
      </c>
    </row>
    <row r="11336" ht="15.75" customHeight="1">
      <c r="A11336" s="1">
        <v>12225.0</v>
      </c>
      <c r="B11336" s="3" t="s">
        <v>10795</v>
      </c>
      <c r="C11336" s="3" t="str">
        <f>IFERROR(__xludf.DUMMYFUNCTION("GOOGLETRANSLATE(B11336,""id"",""en"")"),"['cheat', 'really', 'price', 'package', 'surprise', 'deal', 'cheap', 'mah', 'yes', 'card', ""]")</f>
        <v>['cheat', 'really', 'price', 'package', 'surprise', 'deal', 'cheap', 'mah', 'yes', 'card', "]</v>
      </c>
      <c r="D11336" s="3">
        <v>1.0</v>
      </c>
    </row>
    <row r="11337" ht="15.75" customHeight="1">
      <c r="A11337" s="1">
        <v>12226.0</v>
      </c>
      <c r="B11337" s="3" t="s">
        <v>10796</v>
      </c>
      <c r="C11337" s="3" t="str">
        <f>IFERROR(__xludf.DUMMYFUNCTION("GOOGLETRANSLATE(B11337,""id"",""en"")"),"['intention', 'application', 'menuhin', 'data', 'open', 'white', 'screen']")</f>
        <v>['intention', 'application', 'menuhin', 'data', 'open', 'white', 'screen']</v>
      </c>
      <c r="D11337" s="3">
        <v>1.0</v>
      </c>
    </row>
    <row r="11338" ht="15.75" customHeight="1">
      <c r="A11338" s="1">
        <v>12227.0</v>
      </c>
      <c r="B11338" s="3" t="s">
        <v>10797</v>
      </c>
      <c r="C11338" s="3" t="str">
        <f>IFERROR(__xludf.DUMMYFUNCTION("GOOGLETRANSLATE(B11338,""id"",""en"")"),"['pulse', 'rb', 'stay', 'no', 'entry', 'mind', 'where', 'pulse', 'nya', 'application', 'SNGT', 'bad']")</f>
        <v>['pulse', 'rb', 'stay', 'no', 'entry', 'mind', 'where', 'pulse', 'nya', 'application', 'SNGT', 'bad']</v>
      </c>
      <c r="D11338" s="3">
        <v>1.0</v>
      </c>
    </row>
    <row r="11339" ht="15.75" customHeight="1">
      <c r="A11339" s="1">
        <v>12228.0</v>
      </c>
      <c r="B11339" s="3" t="s">
        <v>10798</v>
      </c>
      <c r="C11339" s="3" t="str">
        <f>IFERROR(__xludf.DUMMYFUNCTION("GOOGLETRANSLATE(B11339,""id"",""en"")"),"['Increase', 'promo', 'package', 'yaa', 'unlimited', 'thank', 'love']")</f>
        <v>['Increase', 'promo', 'package', 'yaa', 'unlimited', 'thank', 'love']</v>
      </c>
      <c r="D11339" s="3">
        <v>4.0</v>
      </c>
    </row>
    <row r="11340" ht="15.75" customHeight="1">
      <c r="A11340" s="1">
        <v>12229.0</v>
      </c>
      <c r="B11340" s="3" t="s">
        <v>10799</v>
      </c>
      <c r="C11340" s="3" t="str">
        <f>IFERROR(__xludf.DUMMYFUNCTION("GOOGLETRANSLATE(B11340,""id"",""en"")"),"['APL', 'good', 'darling', 'update', 'package', 'Telkomsel', 'expensive', '']")</f>
        <v>['APL', 'good', 'darling', 'update', 'package', 'Telkomsel', 'expensive', '']</v>
      </c>
      <c r="D11340" s="3">
        <v>5.0</v>
      </c>
    </row>
    <row r="11341" ht="15.75" customHeight="1">
      <c r="A11341" s="1">
        <v>12230.0</v>
      </c>
      <c r="B11341" s="3" t="s">
        <v>10800</v>
      </c>
      <c r="C11341" s="3" t="str">
        <f>IFERROR(__xludf.DUMMYFUNCTION("GOOGLETRANSLATE(B11341,""id"",""en"")"),"['application', 'Telkomsel', 'skrng', 'easy', 'left', 'brp', 'quota', 'left', 'choice', 'purchase', 'package', 'internet', ' Trima ',' Kasih ',' Telkomsel ',' Easy ',' ']")</f>
        <v>['application', 'Telkomsel', 'skrng', 'easy', 'left', 'brp', 'quota', 'left', 'choice', 'purchase', 'package', 'internet', ' Trima ',' Kasih ',' Telkomsel ',' Easy ',' ']</v>
      </c>
      <c r="D11341" s="3">
        <v>5.0</v>
      </c>
    </row>
    <row r="11342" ht="15.75" customHeight="1">
      <c r="A11342" s="1">
        <v>12231.0</v>
      </c>
      <c r="B11342" s="3" t="s">
        <v>10801</v>
      </c>
      <c r="C11342" s="3" t="str">
        <f>IFERROR(__xludf.DUMMYFUNCTION("GOOGLETRANSLATE(B11342,""id"",""en"")"),"['Package', 'Internet', 'Sumpot', 'Turning', 'Package', 'Data', 'Disappointed']")</f>
        <v>['Package', 'Internet', 'Sumpot', 'Turning', 'Package', 'Data', 'Disappointed']</v>
      </c>
      <c r="D11342" s="3">
        <v>1.0</v>
      </c>
    </row>
    <row r="11343" ht="15.75" customHeight="1">
      <c r="A11343" s="1">
        <v>12232.0</v>
      </c>
      <c r="B11343" s="3" t="s">
        <v>10802</v>
      </c>
      <c r="C11343" s="3" t="str">
        <f>IFERROR(__xludf.DUMMYFUNCTION("GOOGLETRANSLATE(B11343,""id"",""en"")"),"['expensive', 'price']")</f>
        <v>['expensive', 'price']</v>
      </c>
      <c r="D11343" s="3">
        <v>4.0</v>
      </c>
    </row>
    <row r="11344" ht="15.75" customHeight="1">
      <c r="A11344" s="1">
        <v>12233.0</v>
      </c>
      <c r="B11344" s="3" t="s">
        <v>10803</v>
      </c>
      <c r="C11344" s="3" t="str">
        <f>IFERROR(__xludf.DUMMYFUNCTION("GOOGLETRANSLATE(B11344,""id"",""en"")"),"['easy', 'application']")</f>
        <v>['easy', 'application']</v>
      </c>
      <c r="D11344" s="3">
        <v>5.0</v>
      </c>
    </row>
    <row r="11345" ht="15.75" customHeight="1">
      <c r="A11345" s="1">
        <v>12234.0</v>
      </c>
      <c r="B11345" s="3" t="s">
        <v>10804</v>
      </c>
      <c r="C11345" s="3" t="str">
        <f>IFERROR(__xludf.DUMMYFUNCTION("GOOGLETRANSLATE(B11345,""id"",""en"")"),"['Network', 'Lemot', 'Indonesia']")</f>
        <v>['Network', 'Lemot', 'Indonesia']</v>
      </c>
      <c r="D11345" s="3">
        <v>1.0</v>
      </c>
    </row>
    <row r="11346" ht="15.75" customHeight="1">
      <c r="A11346" s="1">
        <v>12235.0</v>
      </c>
      <c r="B11346" s="3" t="s">
        <v>10805</v>
      </c>
      <c r="C11346" s="3" t="str">
        <f>IFERROR(__xludf.DUMMYFUNCTION("GOOGLETRANSLATE(B11346,""id"",""en"")"),"['Skrng', 'Network', 'Telkomsel', 'Bad', 'Bad', 'Network', 'Telkomsel', 'Network', 'Good', 'Personal', 'Sekrang', 'Disappointing', ' already ',' buy ',' data ',' expensive ',' network ',' comparable ',' DGAN ',' price ',' beg ',' network ',' reinforced ',"&amp;"' disappointing ',' user ' , 'Lovers', 'May', 'Telkomsel', 'trimakasih']")</f>
        <v>['Skrng', 'Network', 'Telkomsel', 'Bad', 'Bad', 'Network', 'Telkomsel', 'Network', 'Good', 'Personal', 'Sekrang', 'Disappointing', ' already ',' buy ',' data ',' expensive ',' network ',' comparable ',' DGAN ',' price ',' beg ',' network ',' reinforced ',' disappointing ',' user ' , 'Lovers', 'May', 'Telkomsel', 'trimakasih']</v>
      </c>
      <c r="D11346" s="3">
        <v>1.0</v>
      </c>
    </row>
    <row r="11347" ht="15.75" customHeight="1">
      <c r="A11347" s="1">
        <v>12236.0</v>
      </c>
      <c r="B11347" s="3" t="s">
        <v>10806</v>
      </c>
      <c r="C11347" s="3" t="str">
        <f>IFERROR(__xludf.DUMMYFUNCTION("GOOGLETRANSLATE(B11347,""id"",""en"")"),"['Forward', 'my boss']")</f>
        <v>['Forward', 'my boss']</v>
      </c>
      <c r="D11347" s="3">
        <v>5.0</v>
      </c>
    </row>
    <row r="11348" ht="15.75" customHeight="1">
      <c r="A11348" s="1">
        <v>12237.0</v>
      </c>
      <c r="B11348" s="3" t="s">
        <v>10807</v>
      </c>
      <c r="C11348" s="3" t="str">
        <f>IFERROR(__xludf.DUMMYFUNCTION("GOOGLETRANSLATE(B11348,""id"",""en"")"),"['hope', 'gift', 'Telkomsel', 'Amin', 'Allah', ""]")</f>
        <v>['hope', 'gift', 'Telkomsel', 'Amin', 'Allah', "]</v>
      </c>
      <c r="D11348" s="3">
        <v>5.0</v>
      </c>
    </row>
    <row r="11349" ht="15.75" customHeight="1">
      <c r="A11349" s="1">
        <v>12238.0</v>
      </c>
      <c r="B11349" s="3" t="s">
        <v>2496</v>
      </c>
      <c r="C11349" s="3" t="str">
        <f>IFERROR(__xludf.DUMMYFUNCTION("GOOGLETRANSLATE(B11349,""id"",""en"")"),"['bad network', '']")</f>
        <v>['bad network', '']</v>
      </c>
      <c r="D11349" s="3">
        <v>1.0</v>
      </c>
    </row>
    <row r="11350" ht="15.75" customHeight="1">
      <c r="A11350" s="1">
        <v>12239.0</v>
      </c>
      <c r="B11350" s="3" t="s">
        <v>10808</v>
      </c>
      <c r="C11350" s="3" t="str">
        <f>IFERROR(__xludf.DUMMYFUNCTION("GOOGLETRANSLATE(B11350,""id"",""en"")"),"['Cheap', 'buy', 'quota', 'internet', 'steady', 'Telkomsel', '']")</f>
        <v>['Cheap', 'buy', 'quota', 'internet', 'steady', 'Telkomsel', '']</v>
      </c>
      <c r="D11350" s="3">
        <v>5.0</v>
      </c>
    </row>
    <row r="11351" ht="15.75" customHeight="1">
      <c r="A11351" s="1">
        <v>12241.0</v>
      </c>
      <c r="B11351" s="3" t="s">
        <v>534</v>
      </c>
      <c r="C11351" s="3" t="str">
        <f>IFERROR(__xludf.DUMMYFUNCTION("GOOGLETRANSLATE(B11351,""id"",""en"")"),"['Steady', 'Telkomsel', '']")</f>
        <v>['Steady', 'Telkomsel', '']</v>
      </c>
      <c r="D11351" s="3">
        <v>5.0</v>
      </c>
    </row>
    <row r="11352" ht="15.75" customHeight="1">
      <c r="A11352" s="1">
        <v>12242.0</v>
      </c>
      <c r="B11352" s="3" t="s">
        <v>10809</v>
      </c>
      <c r="C11352" s="3" t="str">
        <f>IFERROR(__xludf.DUMMYFUNCTION("GOOGLETRANSLATE(B11352,""id"",""en"")"),"['really like']")</f>
        <v>['really like']</v>
      </c>
      <c r="D11352" s="3">
        <v>5.0</v>
      </c>
    </row>
    <row r="11353" ht="15.75" customHeight="1">
      <c r="A11353" s="1">
        <v>12243.0</v>
      </c>
      <c r="B11353" s="3" t="s">
        <v>10810</v>
      </c>
      <c r="C11353" s="3" t="str">
        <f>IFERROR(__xludf.DUMMYFUNCTION("GOOGLETRANSLATE(B11353,""id"",""en"")"),"['Jos', 'Jaya', 'SLLU', 'sympathy', 'thank', 'love']")</f>
        <v>['Jos', 'Jaya', 'SLLU', 'sympathy', 'thank', 'love']</v>
      </c>
      <c r="D11353" s="3">
        <v>5.0</v>
      </c>
    </row>
    <row r="11354" ht="15.75" customHeight="1">
      <c r="A11354" s="1">
        <v>12244.0</v>
      </c>
      <c r="B11354" s="3" t="s">
        <v>5112</v>
      </c>
      <c r="C11354" s="3" t="str">
        <f>IFERROR(__xludf.DUMMYFUNCTION("GOOGLETRANSLATE(B11354,""id"",""en"")"),"['Practical', 'fast']")</f>
        <v>['Practical', 'fast']</v>
      </c>
      <c r="D11354" s="3">
        <v>5.0</v>
      </c>
    </row>
    <row r="11355" ht="15.75" customHeight="1">
      <c r="A11355" s="1">
        <v>12245.0</v>
      </c>
      <c r="B11355" s="3" t="s">
        <v>10811</v>
      </c>
      <c r="C11355" s="3" t="str">
        <f>IFERROR(__xludf.DUMMYFUNCTION("GOOGLETRANSLATE(B11355,""id"",""en"")"),"['Search', 'Winner', 'Lottery', 'Points', 'Telkomsel', 'Kah', 'Lottery', 'Fake']")</f>
        <v>['Search', 'Winner', 'Lottery', 'Points', 'Telkomsel', 'Kah', 'Lottery', 'Fake']</v>
      </c>
      <c r="D11355" s="3">
        <v>1.0</v>
      </c>
    </row>
    <row r="11356" ht="15.75" customHeight="1">
      <c r="A11356" s="1">
        <v>12246.0</v>
      </c>
      <c r="B11356" s="3" t="s">
        <v>10812</v>
      </c>
      <c r="C11356" s="3" t="str">
        <f>IFERROR(__xludf.DUMMYFUNCTION("GOOGLETRANSLATE(B11356,""id"",""en"")"),"['Heh', 'promo', 'expensive']")</f>
        <v>['Heh', 'promo', 'expensive']</v>
      </c>
      <c r="D11356" s="3">
        <v>1.0</v>
      </c>
    </row>
    <row r="11357" ht="15.75" customHeight="1">
      <c r="A11357" s="1">
        <v>12247.0</v>
      </c>
      <c r="B11357" s="3" t="s">
        <v>4334</v>
      </c>
      <c r="C11357" s="3" t="str">
        <f>IFERROR(__xludf.DUMMYFUNCTION("GOOGLETRANSLATE(B11357,""id"",""en"")"),"['bad signal']")</f>
        <v>['bad signal']</v>
      </c>
      <c r="D11357" s="3">
        <v>1.0</v>
      </c>
    </row>
    <row r="11358" ht="15.75" customHeight="1">
      <c r="A11358" s="1">
        <v>12249.0</v>
      </c>
      <c r="B11358" s="3" t="s">
        <v>10813</v>
      </c>
      <c r="C11358" s="3" t="str">
        <f>IFERROR(__xludf.DUMMYFUNCTION("GOOGLETRANSLATE(B11358,""id"",""en"")"),"['connection', 'here', 'ugly', 'lost', 'cheap', 'Telkomsel', 'package', 'expensive', 'connection', 'cheap']")</f>
        <v>['connection', 'here', 'ugly', 'lost', 'cheap', 'Telkomsel', 'package', 'expensive', 'connection', 'cheap']</v>
      </c>
      <c r="D11358" s="3">
        <v>1.0</v>
      </c>
    </row>
    <row r="11359" ht="15.75" customHeight="1">
      <c r="A11359" s="1">
        <v>12250.0</v>
      </c>
      <c r="B11359" s="3" t="s">
        <v>10814</v>
      </c>
      <c r="C11359" s="3" t="str">
        <f>IFERROR(__xludf.DUMMYFUNCTION("GOOGLETRANSLATE(B11359,""id"",""en"")"),"['Ngga', 'Ribet']")</f>
        <v>['Ngga', 'Ribet']</v>
      </c>
      <c r="D11359" s="3">
        <v>5.0</v>
      </c>
    </row>
    <row r="11360" ht="15.75" customHeight="1">
      <c r="A11360" s="1">
        <v>12254.0</v>
      </c>
      <c r="B11360" s="3" t="s">
        <v>10815</v>
      </c>
      <c r="C11360" s="3" t="str">
        <f>IFERROR(__xludf.DUMMYFUNCTION("GOOGLETRANSLATE(B11360,""id"",""en"")"),"['Package', 'pulse', 'thousand']")</f>
        <v>['Package', 'pulse', 'thousand']</v>
      </c>
      <c r="D11360" s="3">
        <v>1.0</v>
      </c>
    </row>
    <row r="11361" ht="15.75" customHeight="1">
      <c r="A11361" s="1">
        <v>12255.0</v>
      </c>
      <c r="B11361" s="3" t="s">
        <v>10816</v>
      </c>
      <c r="C11361" s="3" t="str">
        <f>IFERROR(__xludf.DUMMYFUNCTION("GOOGLETRANSLATE(B11361,""id"",""en"")"),"['buy', 'quota', 'buy', 'because', 'pulse', 'contents', 'pulse', ""]")</f>
        <v>['buy', 'quota', 'buy', 'because', 'pulse', 'contents', 'pulse', "]</v>
      </c>
      <c r="D11361" s="3">
        <v>2.0</v>
      </c>
    </row>
    <row r="11362" ht="15.75" customHeight="1">
      <c r="A11362" s="1">
        <v>12257.0</v>
      </c>
      <c r="B11362" s="3" t="s">
        <v>10817</v>
      </c>
      <c r="C11362" s="3" t="str">
        <f>IFERROR(__xludf.DUMMYFUNCTION("GOOGLETRANSLATE(B11362,""id"",""en"")"),"['SLLU', 'confusion']")</f>
        <v>['SLLU', 'confusion']</v>
      </c>
      <c r="D11362" s="3">
        <v>5.0</v>
      </c>
    </row>
    <row r="11363" ht="15.75" customHeight="1">
      <c r="A11363" s="1">
        <v>12258.0</v>
      </c>
      <c r="B11363" s="3" t="s">
        <v>10818</v>
      </c>
      <c r="C11363" s="3" t="str">
        <f>IFERROR(__xludf.DUMMYFUNCTION("GOOGLETRANSLATE(B11363,""id"",""en"")"),"['Sangat', 'petrified', 'Shars',' Improvement ',' Network ',' Island ',' Kalimantan ',' Maximum ',' City ',' City ',' Loutical ',' Movers', ' mining ',' difficult ',' access', 'internet', 'toling', 'at the level', 'region', 'Island', 'Kalimantan', 'thank "&amp;"you']")</f>
        <v>['Sangat', 'petrified', 'Shars',' Improvement ',' Network ',' Island ',' Kalimantan ',' Maximum ',' City ',' City ',' Loutical ',' Movers', ' mining ',' difficult ',' access', 'internet', 'toling', 'at the level', 'region', 'Island', 'Kalimantan', 'thank you']</v>
      </c>
      <c r="D11363" s="3">
        <v>4.0</v>
      </c>
    </row>
    <row r="11364" ht="15.75" customHeight="1">
      <c r="A11364" s="1">
        <v>12259.0</v>
      </c>
      <c r="B11364" s="3" t="s">
        <v>10819</v>
      </c>
      <c r="C11364" s="3" t="str">
        <f>IFERROR(__xludf.DUMMYFUNCTION("GOOGLETRANSLATE(B11364,""id"",""en"")"),"['Beleat', 'Love', 'Package', 'Combo', '']")</f>
        <v>['Beleat', 'Love', 'Package', 'Combo', '']</v>
      </c>
      <c r="D11364" s="3">
        <v>5.0</v>
      </c>
    </row>
    <row r="11365" ht="15.75" customHeight="1">
      <c r="A11365" s="1">
        <v>12260.0</v>
      </c>
      <c r="B11365" s="3" t="s">
        <v>10820</v>
      </c>
      <c r="C11365" s="3" t="str">
        <f>IFERROR(__xludf.DUMMYFUNCTION("GOOGLETRANSLATE(B11365,""id"",""en"")"),"['Hello', 'buy', 'package', 'GB', 'price', 'thousand', 'disorder', 'quota', 'enter', 'pulses',' reduced ',' what ',' Please, 'repaired', 'loss', ""]")</f>
        <v>['Hello', 'buy', 'package', 'GB', 'price', 'thousand', 'disorder', 'quota', 'enter', 'pulses',' reduced ',' what ',' Please, 'repaired', 'loss', "]</v>
      </c>
      <c r="D11365" s="3">
        <v>1.0</v>
      </c>
    </row>
    <row r="11366" ht="15.75" customHeight="1">
      <c r="A11366" s="1">
        <v>12261.0</v>
      </c>
      <c r="B11366" s="3" t="s">
        <v>10821</v>
      </c>
      <c r="C11366" s="3" t="str">
        <f>IFERROR(__xludf.DUMMYFUNCTION("GOOGLETRANSLATE(B11366,""id"",""en"")"),"['discount', 'broooo']")</f>
        <v>['discount', 'broooo']</v>
      </c>
      <c r="D11366" s="3">
        <v>5.0</v>
      </c>
    </row>
    <row r="11367" ht="15.75" customHeight="1">
      <c r="A11367" s="1">
        <v>12262.0</v>
      </c>
      <c r="B11367" s="3" t="s">
        <v>10822</v>
      </c>
      <c r="C11367" s="3" t="str">
        <f>IFERROR(__xludf.DUMMYFUNCTION("GOOGLETRANSLATE(B11367,""id"",""en"")"),"['Steady', 'Deh', 'Anyway']")</f>
        <v>['Steady', 'Deh', 'Anyway']</v>
      </c>
      <c r="D11367" s="3">
        <v>5.0</v>
      </c>
    </row>
    <row r="11368" ht="15.75" customHeight="1">
      <c r="A11368" s="1">
        <v>12263.0</v>
      </c>
      <c r="B11368" s="3" t="s">
        <v>10823</v>
      </c>
      <c r="C11368" s="3" t="str">
        <f>IFERROR(__xludf.DUMMYFUNCTION("GOOGLETRANSLATE(B11368,""id"",""en"")"),"['garbage', 'signal', 'Awl', 'buy', 'safe', 'AIA', 'turn', 'UDH', 'usage', 'direct', 'pulp', 'signal', ' slow ',' really ',' kek ',' snail ',' ']")</f>
        <v>['garbage', 'signal', 'Awl', 'buy', 'safe', 'AIA', 'turn', 'UDH', 'usage', 'direct', 'pulp', 'signal', ' slow ',' really ',' kek ',' snail ',' ']</v>
      </c>
      <c r="D11368" s="3">
        <v>1.0</v>
      </c>
    </row>
    <row r="11369" ht="15.75" customHeight="1">
      <c r="A11369" s="1">
        <v>12264.0</v>
      </c>
      <c r="B11369" s="3" t="s">
        <v>10824</v>
      </c>
      <c r="C11369" s="3" t="str">
        <f>IFERROR(__xludf.DUMMYFUNCTION("GOOGLETRANSLATE(B11369,""id"",""en"")"),"['Network', 'difficult']")</f>
        <v>['Network', 'difficult']</v>
      </c>
      <c r="D11369" s="3">
        <v>4.0</v>
      </c>
    </row>
    <row r="11370" ht="15.75" customHeight="1">
      <c r="A11370" s="1">
        <v>12265.0</v>
      </c>
      <c r="B11370" s="3" t="s">
        <v>10825</v>
      </c>
      <c r="C11370" s="3" t="str">
        <f>IFERROR(__xludf.DUMMYFUNCTION("GOOGLETRANSLATE(B11370,""id"",""en"")"),"['Try', 'dlu', 'good', 'kasi', ""]")</f>
        <v>['Try', 'dlu', 'good', 'kasi', "]</v>
      </c>
      <c r="D11370" s="3">
        <v>3.0</v>
      </c>
    </row>
    <row r="11371" ht="15.75" customHeight="1">
      <c r="A11371" s="1">
        <v>12266.0</v>
      </c>
      <c r="B11371" s="3" t="s">
        <v>10826</v>
      </c>
      <c r="C11371" s="3" t="str">
        <f>IFERROR(__xludf.DUMMYFUNCTION("GOOGLETRANSLATE(B11371,""id"",""en"")"),"['original', 'network', 'slow', 'bnget', 'pulp', 'regret', 'buy', 'telkom', 'worth', 'bnget', 'win', 'price', ' Doang ',' given ',' star ',' decent ',' ']")</f>
        <v>['original', 'network', 'slow', 'bnget', 'pulp', 'regret', 'buy', 'telkom', 'worth', 'bnget', 'win', 'price', ' Doang ',' given ',' star ',' decent ',' ']</v>
      </c>
      <c r="D11371" s="3">
        <v>1.0</v>
      </c>
    </row>
    <row r="11372" ht="15.75" customHeight="1">
      <c r="A11372" s="1">
        <v>12267.0</v>
      </c>
      <c r="B11372" s="3" t="s">
        <v>10827</v>
      </c>
      <c r="C11372" s="3" t="str">
        <f>IFERROR(__xludf.DUMMYFUNCTION("GOOGLETRANSLATE(B11372,""id"",""en"")"),"['Telkomsel', 'slow', 'really', 'network', 'data', 'kayak', 'user', 'Telkomsel', 'comfortable', 'please', 'update', 'network', ' urusin ',' price ',' package ',' expensive ',' network ',' ugly ',' package ',' expensive ',' ngalotak ',' telkomsel ']")</f>
        <v>['Telkomsel', 'slow', 'really', 'network', 'data', 'kayak', 'user', 'Telkomsel', 'comfortable', 'please', 'update', 'network', ' urusin ',' price ',' package ',' expensive ',' network ',' ugly ',' package ',' expensive ',' ngalotak ',' telkomsel ']</v>
      </c>
      <c r="D11372" s="3">
        <v>1.0</v>
      </c>
    </row>
    <row r="11373" ht="15.75" customHeight="1">
      <c r="A11373" s="1">
        <v>12269.0</v>
      </c>
      <c r="B11373" s="3" t="s">
        <v>10828</v>
      </c>
      <c r="C11373" s="3" t="str">
        <f>IFERROR(__xludf.DUMMYFUNCTION("GOOGLETRANSLATE(B11373,""id"",""en"")"),"['Exchange', 'Point', 'Telkomsel', 'failed', 'trs', 'please', 'help', 'star', 'Lower']")</f>
        <v>['Exchange', 'Point', 'Telkomsel', 'failed', 'trs', 'please', 'help', 'star', 'Lower']</v>
      </c>
      <c r="D11373" s="3">
        <v>2.0</v>
      </c>
    </row>
    <row r="11374" ht="15.75" customHeight="1">
      <c r="A11374" s="1">
        <v>12270.0</v>
      </c>
      <c r="B11374" s="3" t="s">
        <v>10829</v>
      </c>
      <c r="C11374" s="3" t="str">
        <f>IFERROR(__xludf.DUMMYFUNCTION("GOOGLETRANSLATE(B11374,""id"",""en"")"),"['Bgus', 'contents', 'pulse']")</f>
        <v>['Bgus', 'contents', 'pulse']</v>
      </c>
      <c r="D11374" s="3">
        <v>5.0</v>
      </c>
    </row>
    <row r="11375" ht="15.75" customHeight="1">
      <c r="A11375" s="1">
        <v>12271.0</v>
      </c>
      <c r="B11375" s="3" t="s">
        <v>10830</v>
      </c>
      <c r="C11375" s="3" t="str">
        <f>IFERROR(__xludf.DUMMYFUNCTION("GOOGLETRANSLATE(B11375,""id"",""en"")"),"['Network', 'Telkomsel', 'missing', 'lost', 'difficult', 'open', 'internet', 'package', 'tolang', 'Telkomsel', 'fix', 'network']")</f>
        <v>['Network', 'Telkomsel', 'missing', 'lost', 'difficult', 'open', 'internet', 'package', 'tolang', 'Telkomsel', 'fix', 'network']</v>
      </c>
      <c r="D11375" s="3">
        <v>2.0</v>
      </c>
    </row>
    <row r="11376" ht="15.75" customHeight="1">
      <c r="A11376" s="1">
        <v>12272.0</v>
      </c>
      <c r="B11376" s="3" t="s">
        <v>10831</v>
      </c>
      <c r="C11376" s="3" t="str">
        <f>IFERROR(__xludf.DUMMYFUNCTION("GOOGLETRANSLATE(B11376,""id"",""en"")"),"['Application', 'Helping', 'Network', 'Indonesia', 'Mantap', ""]")</f>
        <v>['Application', 'Helping', 'Network', 'Indonesia', 'Mantap', "]</v>
      </c>
      <c r="D11376" s="3">
        <v>5.0</v>
      </c>
    </row>
    <row r="11377" ht="15.75" customHeight="1">
      <c r="A11377" s="1">
        <v>12273.0</v>
      </c>
      <c r="B11377" s="3" t="s">
        <v>10832</v>
      </c>
      <c r="C11377" s="3" t="str">
        <f>IFERROR(__xludf.DUMMYFUNCTION("GOOGLETRANSLATE(B11377,""id"",""en"")"),"['', 'Good', 'ugly', 'Karna', 'Make', 'Telkomsel']")</f>
        <v>['', 'Good', 'ugly', 'Karna', 'Make', 'Telkomsel']</v>
      </c>
      <c r="D11377" s="3">
        <v>5.0</v>
      </c>
    </row>
    <row r="11378" ht="15.75" customHeight="1">
      <c r="A11378" s="1">
        <v>12274.0</v>
      </c>
      <c r="B11378" s="3" t="s">
        <v>10833</v>
      </c>
      <c r="C11378" s="3" t="str">
        <f>IFERROR(__xludf.DUMMYFUNCTION("GOOGLETRANSLATE(B11378,""id"",""en"")"),"['Watch', 'YouTube', 'buffering', 'Mending', 'sell', 'China', 'Nie', 'Telkomsel']")</f>
        <v>['Watch', 'YouTube', 'buffering', 'Mending', 'sell', 'China', 'Nie', 'Telkomsel']</v>
      </c>
      <c r="D11378" s="3">
        <v>1.0</v>
      </c>
    </row>
    <row r="11379" ht="15.75" customHeight="1">
      <c r="A11379" s="1">
        <v>12275.0</v>
      </c>
      <c r="B11379" s="3" t="s">
        <v>10834</v>
      </c>
      <c r="C11379" s="3" t="str">
        <f>IFERROR(__xludf.DUMMYFUNCTION("GOOGLETRANSLATE(B11379,""id"",""en"")"),"['Please', 'fix', 'buy', 'package', 'call', 'all day', 'quota', 'call', 'use', 'call', 'worn', 'rates',' Normal ',' Sometimes', 'aware', 'pulse', 'run out', 'check', 'quota', 'call', 'sometimes',' whole ', ""]")</f>
        <v>['Please', 'fix', 'buy', 'package', 'call', 'all day', 'quota', 'call', 'use', 'call', 'worn', 'rates',' Normal ',' Sometimes', 'aware', 'pulse', 'run out', 'check', 'quota', 'call', 'sometimes',' whole ', "]</v>
      </c>
      <c r="D11379" s="3">
        <v>3.0</v>
      </c>
    </row>
    <row r="11380" ht="15.75" customHeight="1">
      <c r="A11380" s="1">
        <v>12276.0</v>
      </c>
      <c r="B11380" s="3" t="s">
        <v>10835</v>
      </c>
      <c r="C11380" s="3" t="str">
        <f>IFERROR(__xludf.DUMMYFUNCTION("GOOGLETRANSLATE(B11380,""id"",""en"")"),"['Helpful', 'People']")</f>
        <v>['Helpful', 'People']</v>
      </c>
      <c r="D11380" s="3">
        <v>5.0</v>
      </c>
    </row>
    <row r="11381" ht="15.75" customHeight="1">
      <c r="A11381" s="1">
        <v>12277.0</v>
      </c>
      <c r="B11381" s="3" t="s">
        <v>10836</v>
      </c>
      <c r="C11381" s="3" t="str">
        <f>IFERROR(__xludf.DUMMYFUNCTION("GOOGLETRANSLATE(B11381,""id"",""en"")"),"['Alhamdulillah', 'help']")</f>
        <v>['Alhamdulillah', 'help']</v>
      </c>
      <c r="D11381" s="3">
        <v>5.0</v>
      </c>
    </row>
    <row r="11382" ht="15.75" customHeight="1">
      <c r="A11382" s="1">
        <v>12278.0</v>
      </c>
      <c r="B11382" s="3" t="s">
        <v>10837</v>
      </c>
      <c r="C11382" s="3" t="str">
        <f>IFERROR(__xludf.DUMMYFUNCTION("GOOGLETRANSLATE(B11382,""id"",""en"")"),"['signal', 'ugly', 'package', 'expensive']")</f>
        <v>['signal', 'ugly', 'package', 'expensive']</v>
      </c>
      <c r="D11382" s="3">
        <v>1.0</v>
      </c>
    </row>
    <row r="11383" ht="15.75" customHeight="1">
      <c r="A11383" s="1">
        <v>12279.0</v>
      </c>
      <c r="B11383" s="3" t="s">
        <v>10838</v>
      </c>
      <c r="C11383" s="3" t="str">
        <f>IFERROR(__xludf.DUMMYFUNCTION("GOOGLETRANSLATE(B11383,""id"",""en"")"),"['Quality', 'Network', 'City', 'City']")</f>
        <v>['Quality', 'Network', 'City', 'City']</v>
      </c>
      <c r="D11383" s="3">
        <v>5.0</v>
      </c>
    </row>
    <row r="11384" ht="15.75" customHeight="1">
      <c r="A11384" s="1">
        <v>12280.0</v>
      </c>
      <c r="B11384" s="3" t="s">
        <v>10839</v>
      </c>
      <c r="C11384" s="3" t="str">
        <f>IFERROR(__xludf.DUMMYFUNCTION("GOOGLETRANSLATE(B11384,""id"",""en"")"),"['Alikasi', 'Telkomsel', 'Improved', 'ugly', 'Maubuka', 'Application', 'Telkomsel', 'Disconnected', 'THN', 'Customer', 'Telkomsel', 'Good', ' The application ',' Please ',' Sorry ',' Love ',' Star ']")</f>
        <v>['Alikasi', 'Telkomsel', 'Improved', 'ugly', 'Maubuka', 'Application', 'Telkomsel', 'Disconnected', 'THN', 'Customer', 'Telkomsel', 'Good', ' The application ',' Please ',' Sorry ',' Love ',' Star ']</v>
      </c>
      <c r="D11384" s="3">
        <v>1.0</v>
      </c>
    </row>
    <row r="11385" ht="15.75" customHeight="1">
      <c r="A11385" s="1">
        <v>12281.0</v>
      </c>
      <c r="B11385" s="3" t="s">
        <v>10840</v>
      </c>
      <c r="C11385" s="3" t="str">
        <f>IFERROR(__xludf.DUMMYFUNCTION("GOOGLETRANSLATE(B11385,""id"",""en"")"),"['Good', 'supports']")</f>
        <v>['Good', 'supports']</v>
      </c>
      <c r="D11385" s="3">
        <v>5.0</v>
      </c>
    </row>
    <row r="11386" ht="15.75" customHeight="1">
      <c r="A11386" s="1">
        <v>12282.0</v>
      </c>
      <c r="B11386" s="3" t="s">
        <v>10841</v>
      </c>
      <c r="C11386" s="3" t="str">
        <f>IFERROR(__xludf.DUMMYFUNCTION("GOOGLETRANSLATE(B11386,""id"",""en"")"),"['application', 'garbage', 'lose', 'provider', 'provide', 'application', 'kayak', 'gini', 'suck', 'quota', 'no', 'suck', ' Credit ',' Features ',' Safe ',' Credit ',' Thinking ',' People ',' Buy ',' Credit ',' Pas ',' Pasan ',' then ',' Cut "", 'That's' ,"&amp;" 'Rp', 'Tetep', 'right', 'buy', 'quota', '']")</f>
        <v>['application', 'garbage', 'lose', 'provider', 'provide', 'application', 'kayak', 'gini', 'suck', 'quota', 'no', 'suck', ' Credit ',' Features ',' Safe ',' Credit ',' Thinking ',' People ',' Buy ',' Credit ',' Pas ',' Pasan ',' then ',' Cut ", 'That's' , 'Rp', 'Tetep', 'right', 'buy', 'quota', '']</v>
      </c>
      <c r="D11386" s="3">
        <v>1.0</v>
      </c>
    </row>
    <row r="11387" ht="15.75" customHeight="1">
      <c r="A11387" s="1">
        <v>12283.0</v>
      </c>
      <c r="B11387" s="3" t="s">
        <v>10842</v>
      </c>
      <c r="C11387" s="3" t="str">
        <f>IFERROR(__xludf.DUMMYFUNCTION("GOOGLETRANSLATE(B11387,""id"",""en"")"),"['Speed', 'Pilah', 'Select', 'Area', 'Putok', 'Disappointed', 'Expensive', 'Quality']")</f>
        <v>['Speed', 'Pilah', 'Select', 'Area', 'Putok', 'Disappointed', 'Expensive', 'Quality']</v>
      </c>
      <c r="D11387" s="3">
        <v>1.0</v>
      </c>
    </row>
    <row r="11388" ht="15.75" customHeight="1">
      <c r="A11388" s="1">
        <v>12284.0</v>
      </c>
      <c r="B11388" s="3" t="s">
        <v>10843</v>
      </c>
      <c r="C11388" s="3" t="str">
        <f>IFERROR(__xludf.DUMMYFUNCTION("GOOGLETRANSLATE(B11388,""id"",""en"")"),"['Application', 'Cool', 'Package', 'Data', 'Love', 'Discount', 'Donk']")</f>
        <v>['Application', 'Cool', 'Package', 'Data', 'Love', 'Discount', 'Donk']</v>
      </c>
      <c r="D11388" s="3">
        <v>4.0</v>
      </c>
    </row>
    <row r="11389" ht="15.75" customHeight="1">
      <c r="A11389" s="1">
        <v>12285.0</v>
      </c>
      <c r="B11389" s="3" t="s">
        <v>10844</v>
      </c>
      <c r="C11389" s="3" t="str">
        <f>IFERROR(__xludf.DUMMYFUNCTION("GOOGLETRANSLATE(B11389,""id"",""en"")"),"['Note', 'Package', 'printed', 'price', 'pulse', 'todak']")</f>
        <v>['Note', 'Package', 'printed', 'price', 'pulse', 'todak']</v>
      </c>
      <c r="D11389" s="3">
        <v>2.0</v>
      </c>
    </row>
    <row r="11390" ht="15.75" customHeight="1">
      <c r="A11390" s="1">
        <v>12286.0</v>
      </c>
      <c r="B11390" s="3" t="s">
        <v>10845</v>
      </c>
      <c r="C11390" s="3" t="str">
        <f>IFERROR(__xludf.DUMMYFUNCTION("GOOGLETRANSLATE(B11390,""id"",""en"")"),"['Easy', 'hopefully', 'can', 'hokky']")</f>
        <v>['Easy', 'hopefully', 'can', 'hokky']</v>
      </c>
      <c r="D11390" s="3">
        <v>5.0</v>
      </c>
    </row>
    <row r="11391" ht="15.75" customHeight="1">
      <c r="A11391" s="1">
        <v>12287.0</v>
      </c>
      <c r="B11391" s="3" t="s">
        <v>10846</v>
      </c>
      <c r="C11391" s="3" t="str">
        <f>IFERROR(__xludf.DUMMYFUNCTION("GOOGLETRANSLATE(B11391,""id"",""en"")"),"['network', 'Telkomsel', 'satisfying', 'please', 'repaired', 'immigration', 'customer', 'thank', 'love']")</f>
        <v>['network', 'Telkomsel', 'satisfying', 'please', 'repaired', 'immigration', 'customer', 'thank', 'love']</v>
      </c>
      <c r="D11391" s="3">
        <v>2.0</v>
      </c>
    </row>
    <row r="11392" ht="15.75" customHeight="1">
      <c r="A11392" s="1">
        <v>12288.0</v>
      </c>
      <c r="B11392" s="3" t="s">
        <v>10847</v>
      </c>
      <c r="C11392" s="3" t="str">
        <f>IFERROR(__xludf.DUMMYFUNCTION("GOOGLETRANSLATE(B11392,""id"",""en"")"),"['', 'try']")</f>
        <v>['', 'try']</v>
      </c>
      <c r="D11392" s="3">
        <v>3.0</v>
      </c>
    </row>
    <row r="11393" ht="15.75" customHeight="1">
      <c r="A11393" s="1">
        <v>12289.0</v>
      </c>
      <c r="B11393" s="3" t="s">
        <v>10848</v>
      </c>
      <c r="C11393" s="3" t="str">
        <f>IFERROR(__xludf.DUMMYFUNCTION("GOOGLETRANSLATE(B11393,""id"",""en"")"),"['Open', 'apk', 'Telkomsel', 'enter', 'signal', 'network', 'good', ""]")</f>
        <v>['Open', 'apk', 'Telkomsel', 'enter', 'signal', 'network', 'good', "]</v>
      </c>
      <c r="D11393" s="3">
        <v>1.0</v>
      </c>
    </row>
    <row r="11394" ht="15.75" customHeight="1">
      <c r="A11394" s="1">
        <v>12290.0</v>
      </c>
      <c r="B11394" s="3" t="s">
        <v>10849</v>
      </c>
      <c r="C11394" s="3" t="str">
        <f>IFERROR(__xludf.DUMMYFUNCTION("GOOGLETRANSLATE(B11394,""id"",""en"")"),"['Kasi', 'fast', 'your network', 'Telkomsel']")</f>
        <v>['Kasi', 'fast', 'your network', 'Telkomsel']</v>
      </c>
      <c r="D11394" s="3">
        <v>5.0</v>
      </c>
    </row>
    <row r="11395" ht="15.75" customHeight="1">
      <c r="A11395" s="1">
        <v>12291.0</v>
      </c>
      <c r="B11395" s="3" t="s">
        <v>10850</v>
      </c>
      <c r="C11395" s="3" t="str">
        <f>IFERROR(__xludf.DUMMYFUNCTION("GOOGLETRANSLATE(B11395,""id"",""en"")"),"['Bener', 'Bener', 'Disappointing', 'Sintal', 'Difficult', 'Disappointing', 'Cell']")</f>
        <v>['Bener', 'Bener', 'Disappointing', 'Sintal', 'Difficult', 'Disappointing', 'Cell']</v>
      </c>
      <c r="D11395" s="3">
        <v>1.0</v>
      </c>
    </row>
    <row r="11396" ht="15.75" customHeight="1">
      <c r="A11396" s="1">
        <v>12292.0</v>
      </c>
      <c r="B11396" s="3" t="s">
        <v>10851</v>
      </c>
      <c r="C11396" s="3" t="str">
        <f>IFERROR(__xludf.DUMMYFUNCTION("GOOGLETRANSLATE(B11396,""id"",""en"")"),"['signal', 'nomer', 'evidence', 'slow']")</f>
        <v>['signal', 'nomer', 'evidence', 'slow']</v>
      </c>
      <c r="D11396" s="3">
        <v>1.0</v>
      </c>
    </row>
    <row r="11397" ht="15.75" customHeight="1">
      <c r="A11397" s="1">
        <v>12293.0</v>
      </c>
      <c r="B11397" s="3" t="s">
        <v>10852</v>
      </c>
      <c r="C11397" s="3" t="str">
        <f>IFERROR(__xludf.DUMMYFUNCTION("GOOGLETRANSLATE(B11397,""id"",""en"")"),"['Telkomsel', 'card', 'Hello', 'Sousal', 'ugly', 'city', 'Telkomsel', 'superior', 'please', 'fix', ""]")</f>
        <v>['Telkomsel', 'card', 'Hello', 'Sousal', 'ugly', 'city', 'Telkomsel', 'superior', 'please', 'fix', "]</v>
      </c>
      <c r="D11397" s="3">
        <v>2.0</v>
      </c>
    </row>
    <row r="11398" ht="15.75" customHeight="1">
      <c r="A11398" s="1">
        <v>12294.0</v>
      </c>
      <c r="B11398" s="3" t="s">
        <v>10853</v>
      </c>
      <c r="C11398" s="3" t="str">
        <f>IFERROR(__xludf.DUMMYFUNCTION("GOOGLETRANSLATE(B11398,""id"",""en"")"),"['ugly', 'network', 'min', 'please', 'repaired', 'kayak', 'gini', 'move', 'tired', 'play', 'game', 'slow' Please, 'Min', 'repaired']")</f>
        <v>['ugly', 'network', 'min', 'please', 'repaired', 'kayak', 'gini', 'move', 'tired', 'play', 'game', 'slow' Please, 'Min', 'repaired']</v>
      </c>
      <c r="D11398" s="3">
        <v>1.0</v>
      </c>
    </row>
    <row r="11399" ht="15.75" customHeight="1">
      <c r="A11399" s="1">
        <v>12295.0</v>
      </c>
      <c r="B11399" s="3" t="s">
        <v>10854</v>
      </c>
      <c r="C11399" s="3" t="str">
        <f>IFERROR(__xludf.DUMMYFUNCTION("GOOGLETRANSLATE(B11399,""id"",""en"")"),"['disappointing', 'signal', 'Drop', 'annoying', 'activity', 'please', 'fix', 'subscription', 'use', 'Telkomsel', 'disappointing']")</f>
        <v>['disappointing', 'signal', 'Drop', 'annoying', 'activity', 'please', 'fix', 'subscription', 'use', 'Telkomsel', 'disappointing']</v>
      </c>
      <c r="D11399" s="3">
        <v>1.0</v>
      </c>
    </row>
    <row r="11400" ht="15.75" customHeight="1">
      <c r="A11400" s="1">
        <v>12296.0</v>
      </c>
      <c r="B11400" s="3" t="s">
        <v>10855</v>
      </c>
      <c r="C11400" s="3" t="str">
        <f>IFERROR(__xludf.DUMMYFUNCTION("GOOGLETRANSLATE(B11400,""id"",""en"")"),"['APK', 'Need', 'version', 'Android', 'Kasih', 'Solution', 'cellphone', 'version', 'Android', 'Available', 'Update', 'device', ' Lunnya ',' buy ',' cellphone ',' ']")</f>
        <v>['APK', 'Need', 'version', 'Android', 'Kasih', 'Solution', 'cellphone', 'version', 'Android', 'Available', 'Update', 'device', ' Lunnya ',' buy ',' cellphone ',' ']</v>
      </c>
      <c r="D11400" s="3">
        <v>1.0</v>
      </c>
    </row>
    <row r="11401" ht="15.75" customHeight="1">
      <c r="A11401" s="1">
        <v>12297.0</v>
      </c>
      <c r="B11401" s="3" t="s">
        <v>10856</v>
      </c>
      <c r="C11401" s="3" t="str">
        <f>IFERROR(__xludf.DUMMYFUNCTION("GOOGLETRANSLATE(B11401,""id"",""en"")"),"['Price', 'Changed', '']")</f>
        <v>['Price', 'Changed', '']</v>
      </c>
      <c r="D11401" s="3">
        <v>3.0</v>
      </c>
    </row>
    <row r="11402" ht="15.75" customHeight="1">
      <c r="A11402" s="1">
        <v>12298.0</v>
      </c>
      <c r="B11402" s="3" t="s">
        <v>10857</v>
      </c>
      <c r="C11402" s="3" t="str">
        <f>IFERROR(__xludf.DUMMYFUNCTION("GOOGLETRANSLATE(B11402,""id"",""en"")"),"['Purchase', 'Package', 'Application', 'Telkomsel', 'Easy', 'Information', 'Feel', 'Quality', 'Internet', 'Signal', 'Telkomsel', 'Reduced', ' "", 'Please', 'Maap', 'just', 'UNEK', 'UNEK', 'Hopefully', 'front']")</f>
        <v>['Purchase', 'Package', 'Application', 'Telkomsel', 'Easy', 'Information', 'Feel', 'Quality', 'Internet', 'Signal', 'Telkomsel', 'Reduced', ' ", 'Please', 'Maap', 'just', 'UNEK', 'UNEK', 'Hopefully', 'front']</v>
      </c>
      <c r="D11402" s="3">
        <v>4.0</v>
      </c>
    </row>
    <row r="11403" ht="15.75" customHeight="1">
      <c r="A11403" s="1">
        <v>12299.0</v>
      </c>
      <c r="B11403" s="3" t="s">
        <v>10858</v>
      </c>
      <c r="C11403" s="3" t="str">
        <f>IFERROR(__xludf.DUMMYFUNCTION("GOOGLETRANSLATE(B11403,""id"",""en"")"),"['Original', 'Network', 'Severe']")</f>
        <v>['Original', 'Network', 'Severe']</v>
      </c>
      <c r="D11403" s="3">
        <v>1.0</v>
      </c>
    </row>
    <row r="11404" ht="15.75" customHeight="1">
      <c r="A11404" s="1">
        <v>12301.0</v>
      </c>
      <c r="B11404" s="3" t="s">
        <v>10859</v>
      </c>
      <c r="C11404" s="3" t="str">
        <f>IFERROR(__xludf.DUMMYFUNCTION("GOOGLETRANSLATE(B11404,""id"",""en"")"),"['crazy', 'buy', 'package', 'data', 'times', 'no', 'entry', 'money', 'scorched', 'pulak']")</f>
        <v>['crazy', 'buy', 'package', 'data', 'times', 'no', 'entry', 'money', 'scorched', 'pulak']</v>
      </c>
      <c r="D11404" s="3">
        <v>1.0</v>
      </c>
    </row>
    <row r="11405" ht="15.75" customHeight="1">
      <c r="A11405" s="1">
        <v>12302.0</v>
      </c>
      <c r="B11405" s="3" t="s">
        <v>10860</v>
      </c>
      <c r="C11405" s="3" t="str">
        <f>IFERROR(__xludf.DUMMYFUNCTION("GOOGLETRANSLATE(B11405,""id"",""en"")"),"['please', 'signal', 'improve', 'open', 'task', 'signal', 'knp', 'missing', 'min', 'package', 'expensive', 'please', ' Loss', 'Donk']")</f>
        <v>['please', 'signal', 'improve', 'open', 'task', 'signal', 'knp', 'missing', 'min', 'package', 'expensive', 'please', ' Loss', 'Donk']</v>
      </c>
      <c r="D11405" s="3">
        <v>1.0</v>
      </c>
    </row>
    <row r="11406" ht="15.75" customHeight="1">
      <c r="A11406" s="1">
        <v>12303.0</v>
      </c>
      <c r="B11406" s="3" t="s">
        <v>4112</v>
      </c>
      <c r="C11406" s="3" t="str">
        <f>IFERROR(__xludf.DUMMYFUNCTION("GOOGLETRANSLATE(B11406,""id"",""en"")"),"['Service', 'steady']")</f>
        <v>['Service', 'steady']</v>
      </c>
      <c r="D11406" s="3">
        <v>5.0</v>
      </c>
    </row>
    <row r="11407" ht="15.75" customHeight="1">
      <c r="A11407" s="1">
        <v>12304.0</v>
      </c>
      <c r="B11407" s="3" t="s">
        <v>10861</v>
      </c>
      <c r="C11407" s="3" t="str">
        <f>IFERROR(__xludf.DUMMYFUNCTION("GOOGLETRANSLATE(B11407,""id"",""en"")"),"['Steady', 'it's easy', '']")</f>
        <v>['Steady', 'it's easy', '']</v>
      </c>
      <c r="D11407" s="3">
        <v>5.0</v>
      </c>
    </row>
    <row r="11408" ht="15.75" customHeight="1">
      <c r="A11408" s="1">
        <v>12305.0</v>
      </c>
      <c r="B11408" s="3" t="s">
        <v>10862</v>
      </c>
      <c r="C11408" s="3" t="str">
        <f>IFERROR(__xludf.DUMMYFUNCTION("GOOGLETRANSLATE(B11408,""id"",""en"")"),"['Boss', 'Sorry', 'Signal', 'Telkomsel', 'ILNG', 'Bossa', ""]")</f>
        <v>['Boss', 'Sorry', 'Signal', 'Telkomsel', 'ILNG', 'Bossa', "]</v>
      </c>
      <c r="D11408" s="3">
        <v>1.0</v>
      </c>
    </row>
    <row r="11409" ht="15.75" customHeight="1">
      <c r="A11409" s="1">
        <v>12306.0</v>
      </c>
      <c r="B11409" s="3" t="s">
        <v>10863</v>
      </c>
      <c r="C11409" s="3" t="str">
        <f>IFERROR(__xludf.DUMMYFUNCTION("GOOGLETRANSLATE(B11409,""id"",""en"")"),"['Network', 'satisfying']")</f>
        <v>['Network', 'satisfying']</v>
      </c>
      <c r="D11409" s="3">
        <v>3.0</v>
      </c>
    </row>
    <row r="11410" ht="15.75" customHeight="1">
      <c r="A11410" s="1">
        <v>12307.0</v>
      </c>
      <c r="B11410" s="3" t="s">
        <v>10864</v>
      </c>
      <c r="C11410" s="3" t="str">
        <f>IFERROR(__xludf.DUMMYFUNCTION("GOOGLETRANSLATE(B11410,""id"",""en"")"),"['', 'Telkomsel', 'Display', 'Difficult', 'operated', 'Sometimes', 'screen', 'shifted', 'right', 'left']")</f>
        <v>['', 'Telkomsel', 'Display', 'Difficult', 'operated', 'Sometimes', 'screen', 'shifted', 'right', 'left']</v>
      </c>
      <c r="D11410" s="3">
        <v>1.0</v>
      </c>
    </row>
    <row r="11411" ht="15.75" customHeight="1">
      <c r="A11411" s="1">
        <v>12308.0</v>
      </c>
      <c r="B11411" s="3" t="s">
        <v>10865</v>
      </c>
      <c r="C11411" s="3" t="str">
        <f>IFERROR(__xludf.DUMMYFUNCTION("GOOGLETRANSLATE(B11411,""id"",""en"")"),"['Network', 'slow', 'package', 'data', 'stunned', 'price', 'price', 'doang', 'expensive', 'network', 'slow', 'chuakss']")</f>
        <v>['Network', 'slow', 'package', 'data', 'stunned', 'price', 'price', 'doang', 'expensive', 'network', 'slow', 'chuakss']</v>
      </c>
      <c r="D11411" s="3">
        <v>1.0</v>
      </c>
    </row>
    <row r="11412" ht="15.75" customHeight="1">
      <c r="A11412" s="1">
        <v>12309.0</v>
      </c>
      <c r="B11412" s="3" t="s">
        <v>10866</v>
      </c>
      <c r="C11412" s="3" t="str">
        <f>IFERROR(__xludf.DUMMYFUNCTION("GOOGLETRANSLATE(B11412,""id"",""en"")"),"['already', 'expensive', 'signal', 'good', 'idiot']")</f>
        <v>['already', 'expensive', 'signal', 'good', 'idiot']</v>
      </c>
      <c r="D11412" s="3">
        <v>1.0</v>
      </c>
    </row>
    <row r="11413" ht="15.75" customHeight="1">
      <c r="A11413" s="1">
        <v>12310.0</v>
      </c>
      <c r="B11413" s="3" t="s">
        <v>10867</v>
      </c>
      <c r="C11413" s="3" t="str">
        <f>IFERROR(__xludf.DUMMYFUNCTION("GOOGLETRANSLATE(B11413,""id"",""en"")"),"['Place', 'Wonosari', 'Wetan', 'Gang', 'Surabaya', 'Signal', 'Telkomsel', 'Special', 'Data', 'ugly', ""]")</f>
        <v>['Place', 'Wonosari', 'Wetan', 'Gang', 'Surabaya', 'Signal', 'Telkomsel', 'Special', 'Data', 'ugly', "]</v>
      </c>
      <c r="D11413" s="3">
        <v>5.0</v>
      </c>
    </row>
    <row r="11414" ht="15.75" customHeight="1">
      <c r="A11414" s="1">
        <v>12311.0</v>
      </c>
      <c r="B11414" s="3" t="s">
        <v>10868</v>
      </c>
      <c r="C11414" s="3" t="str">
        <f>IFERROR(__xludf.DUMMYFUNCTION("GOOGLETRANSLATE(B11414,""id"",""en"")"),"['Telkomsel', 'network', 'widespread', 'connect', 'distance']")</f>
        <v>['Telkomsel', 'network', 'widespread', 'connect', 'distance']</v>
      </c>
      <c r="D11414" s="3">
        <v>5.0</v>
      </c>
    </row>
    <row r="11415" ht="15.75" customHeight="1">
      <c r="A11415" s="1">
        <v>12312.0</v>
      </c>
      <c r="B11415" s="3" t="s">
        <v>10869</v>
      </c>
      <c r="C11415" s="3" t="str">
        <f>IFERROR(__xludf.DUMMYFUNCTION("GOOGLETRANSLATE(B11415,""id"",""en"")"),"['Telkomsel', 'making it easier', 'service', 'network', 'information', 'communication', 'supports',' acceleration ',' progress', 'meregala', 'field', 'Telkomsel', ' Services', 'increasingly', 'increases',' limit ',' user ',' ']")</f>
        <v>['Telkomsel', 'making it easier', 'service', 'network', 'information', 'communication', 'supports',' acceleration ',' progress', 'meregala', 'field', 'Telkomsel', ' Services', 'increasingly', 'increases',' limit ',' user ',' ']</v>
      </c>
      <c r="D11415" s="3">
        <v>5.0</v>
      </c>
    </row>
    <row r="11416" ht="15.75" customHeight="1">
      <c r="A11416" s="1">
        <v>12313.0</v>
      </c>
      <c r="B11416" s="3" t="s">
        <v>10870</v>
      </c>
      <c r="C11416" s="3" t="str">
        <f>IFERROR(__xludf.DUMMYFUNCTION("GOOGLETRANSLATE(B11416,""id"",""en"")"),"['Network', 'please', 'fix', 'bad', 'signal', 'please', 'pliss', 'fix', 'thx']")</f>
        <v>['Network', 'please', 'fix', 'bad', 'signal', 'please', 'pliss', 'fix', 'thx']</v>
      </c>
      <c r="D11416" s="3">
        <v>1.0</v>
      </c>
    </row>
    <row r="11417" ht="15.75" customHeight="1">
      <c r="A11417" s="1">
        <v>12314.0</v>
      </c>
      <c r="B11417" s="3" t="s">
        <v>10871</v>
      </c>
      <c r="C11417" s="3" t="str">
        <f>IFERROR(__xludf.DUMMYFUNCTION("GOOGLETRANSLATE(B11417,""id"",""en"")"),"['Current', 'Jaya', 'Mantap', 'gan']")</f>
        <v>['Current', 'Jaya', 'Mantap', 'gan']</v>
      </c>
      <c r="D11417" s="3">
        <v>5.0</v>
      </c>
    </row>
    <row r="11418" ht="15.75" customHeight="1">
      <c r="A11418" s="1">
        <v>12315.0</v>
      </c>
      <c r="B11418" s="3" t="s">
        <v>9163</v>
      </c>
      <c r="C11418" s="3" t="str">
        <f>IFERROR(__xludf.DUMMYFUNCTION("GOOGLETRANSLATE(B11418,""id"",""en"")"),"['Help', 'promo']")</f>
        <v>['Help', 'promo']</v>
      </c>
      <c r="D11418" s="3">
        <v>5.0</v>
      </c>
    </row>
    <row r="11419" ht="15.75" customHeight="1">
      <c r="A11419" s="1">
        <v>12316.0</v>
      </c>
      <c r="B11419" s="3" t="s">
        <v>10872</v>
      </c>
      <c r="C11419" s="3" t="str">
        <f>IFERROR(__xludf.DUMMYFUNCTION("GOOGLETRANSLATE(B11419,""id"",""en"")"),"['Telkomsel', 'cool', 'cool', 'hope', 'success', 'aamiin']")</f>
        <v>['Telkomsel', 'cool', 'cool', 'hope', 'success', 'aamiin']</v>
      </c>
      <c r="D11419" s="3">
        <v>5.0</v>
      </c>
    </row>
    <row r="11420" ht="15.75" customHeight="1">
      <c r="A11420" s="1">
        <v>12317.0</v>
      </c>
      <c r="B11420" s="3" t="s">
        <v>10873</v>
      </c>
      <c r="C11420" s="3" t="str">
        <f>IFERROR(__xludf.DUMMYFUNCTION("GOOGLETRANSLATE(B11420,""id"",""en"")"),"['times', 'use', 'application', 'Telkomsel', 'benefits', 'gift', '']")</f>
        <v>['times', 'use', 'application', 'Telkomsel', 'benefits', 'gift', '']</v>
      </c>
      <c r="D11420" s="3">
        <v>5.0</v>
      </c>
    </row>
    <row r="11421" ht="15.75" customHeight="1">
      <c r="A11421" s="1">
        <v>12318.0</v>
      </c>
      <c r="B11421" s="3" t="s">
        <v>10874</v>
      </c>
      <c r="C11421" s="3" t="str">
        <f>IFERROR(__xludf.DUMMYFUNCTION("GOOGLETRANSLATE(B11421,""id"",""en"")"),"['please', 'network', 'internet', 'good', 'slow', 'here', 'ugly', 'network', 'internet', 'severe', ""]")</f>
        <v>['please', 'network', 'internet', 'good', 'slow', 'here', 'ugly', 'network', 'internet', 'severe', "]</v>
      </c>
      <c r="D11421" s="3">
        <v>2.0</v>
      </c>
    </row>
    <row r="11422" ht="15.75" customHeight="1">
      <c r="A11422" s="1">
        <v>12319.0</v>
      </c>
      <c r="B11422" s="3" t="s">
        <v>10875</v>
      </c>
      <c r="C11422" s="3" t="str">
        <f>IFERROR(__xludf.DUMMYFUNCTION("GOOGLETRANSLATE(B11422,""id"",""en"")"),"['signal', 'ugly', 'pisan', 'good', 'lose']")</f>
        <v>['signal', 'ugly', 'pisan', 'good', 'lose']</v>
      </c>
      <c r="D11422" s="3">
        <v>1.0</v>
      </c>
    </row>
    <row r="11423" ht="15.75" customHeight="1">
      <c r="A11423" s="1">
        <v>12322.0</v>
      </c>
      <c r="B11423" s="3" t="s">
        <v>10876</v>
      </c>
      <c r="C11423" s="3" t="str">
        <f>IFERROR(__xludf.DUMMYFUNCTION("GOOGLETRANSLATE(B11423,""id"",""en"")"),"['signal', 'ugly', 'mulu', 'severe', '']")</f>
        <v>['signal', 'ugly', 'mulu', 'severe', '']</v>
      </c>
      <c r="D11423" s="3">
        <v>1.0</v>
      </c>
    </row>
    <row r="11424" ht="15.75" customHeight="1">
      <c r="A11424" s="1">
        <v>12323.0</v>
      </c>
      <c r="B11424" s="3" t="s">
        <v>10877</v>
      </c>
      <c r="C11424" s="3" t="str">
        <f>IFERROR(__xludf.DUMMYFUNCTION("GOOGLETRANSLATE(B11424,""id"",""en"")"),"['users',' Telkomsel ',' tens', 'price', 'expensive', 'times',' compared to ',' Medan ',' network ',' severe ',' slow ',' please ',' Repaired ',' ']")</f>
        <v>['users',' Telkomsel ',' tens', 'price', 'expensive', 'times',' compared to ',' Medan ',' network ',' severe ',' slow ',' please ',' Repaired ',' ']</v>
      </c>
      <c r="D11424" s="3">
        <v>1.0</v>
      </c>
    </row>
    <row r="11425" ht="15.75" customHeight="1">
      <c r="A11425" s="1">
        <v>12325.0</v>
      </c>
      <c r="B11425" s="3" t="s">
        <v>10878</v>
      </c>
      <c r="C11425" s="3" t="str">
        <f>IFERROR(__xludf.DUMMYFUNCTION("GOOGLETRANSLATE(B11425,""id"",""en"")"),"['Easy', 'Application']")</f>
        <v>['Easy', 'Application']</v>
      </c>
      <c r="D11425" s="3">
        <v>5.0</v>
      </c>
    </row>
    <row r="11426" ht="15.75" customHeight="1">
      <c r="A11426" s="1">
        <v>12326.0</v>
      </c>
      <c r="B11426" s="3" t="s">
        <v>10879</v>
      </c>
      <c r="C11426" s="3" t="str">
        <f>IFERROR(__xludf.DUMMYFUNCTION("GOOGLETRANSLATE(B11426,""id"",""en"")"),"['Star', 'good', 'good', 'signal', 'kasi', 'star', '']")</f>
        <v>['Star', 'good', 'good', 'signal', 'kasi', 'star', '']</v>
      </c>
      <c r="D11426" s="3">
        <v>5.0</v>
      </c>
    </row>
    <row r="11427" ht="15.75" customHeight="1">
      <c r="A11427" s="1">
        <v>12327.0</v>
      </c>
      <c r="B11427" s="3" t="s">
        <v>10880</v>
      </c>
      <c r="C11427" s="3" t="str">
        <f>IFERROR(__xludf.DUMMYFUNCTION("GOOGLETRANSLATE(B11427,""id"",""en"")"),"['signal', 'ugly', 'already', 'buy', 'quota', 'expensive', 'network', 'stable', 'bad', 'signal', 'Telkomsel', 'contact', ' Telkomsel ',' Via ',' Gmail ',' response ',' automatic ',' according to ']")</f>
        <v>['signal', 'ugly', 'already', 'buy', 'quota', 'expensive', 'network', 'stable', 'bad', 'signal', 'Telkomsel', 'contact', ' Telkomsel ',' Via ',' Gmail ',' response ',' automatic ',' according to ']</v>
      </c>
      <c r="D11427" s="3">
        <v>1.0</v>
      </c>
    </row>
    <row r="11428" ht="15.75" customHeight="1">
      <c r="A11428" s="1">
        <v>12328.0</v>
      </c>
      <c r="B11428" s="3" t="s">
        <v>10881</v>
      </c>
      <c r="C11428" s="3" t="str">
        <f>IFERROR(__xludf.DUMMYFUNCTION("GOOGLETRANSLATE(B11428,""id"",""en"")"),"['A month', 'Ngelag', 'internet']")</f>
        <v>['A month', 'Ngelag', 'internet']</v>
      </c>
      <c r="D11428" s="3">
        <v>4.0</v>
      </c>
    </row>
    <row r="11429" ht="15.75" customHeight="1">
      <c r="A11429" s="1">
        <v>12329.0</v>
      </c>
      <c r="B11429" s="3" t="s">
        <v>10882</v>
      </c>
      <c r="C11429" s="3" t="str">
        <f>IFERROR(__xludf.DUMMYFUNCTION("GOOGLETRANSLATE(B11429,""id"",""en"")"),"['Burick', 'signal', 'broken', 'broken']")</f>
        <v>['Burick', 'signal', 'broken', 'broken']</v>
      </c>
      <c r="D11429" s="3">
        <v>1.0</v>
      </c>
    </row>
    <row r="11430" ht="15.75" customHeight="1">
      <c r="A11430" s="1">
        <v>12331.0</v>
      </c>
      <c r="B11430" s="3" t="s">
        <v>4334</v>
      </c>
      <c r="C11430" s="3" t="str">
        <f>IFERROR(__xludf.DUMMYFUNCTION("GOOGLETRANSLATE(B11430,""id"",""en"")"),"['bad signal']")</f>
        <v>['bad signal']</v>
      </c>
      <c r="D11430" s="3">
        <v>5.0</v>
      </c>
    </row>
    <row r="11431" ht="15.75" customHeight="1">
      <c r="A11431" s="1">
        <v>12332.0</v>
      </c>
      <c r="B11431" s="3" t="s">
        <v>10883</v>
      </c>
      <c r="C11431" s="3" t="str">
        <f>IFERROR(__xludf.DUMMYFUNCTION("GOOGLETRANSLATE(B11431,""id"",""en"")"),"['network', 'damaged', 'area', 'mojokerto', 'defective', 'network', 'gabisa', 'unreg', 'data', 'already', 'finished', 'bankrupt', ' already']")</f>
        <v>['network', 'damaged', 'area', 'mojokerto', 'defective', 'network', 'gabisa', 'unreg', 'data', 'already', 'finished', 'bankrupt', ' already']</v>
      </c>
      <c r="D11431" s="3">
        <v>1.0</v>
      </c>
    </row>
    <row r="11432" ht="15.75" customHeight="1">
      <c r="A11432" s="1">
        <v>12333.0</v>
      </c>
      <c r="B11432" s="3" t="s">
        <v>10884</v>
      </c>
      <c r="C11432" s="3" t="str">
        <f>IFERROR(__xludf.DUMMYFUNCTION("GOOGLETRANSLATE(B11432,""id"",""en"")"),"['Network', 'blm', 'stable']")</f>
        <v>['Network', 'blm', 'stable']</v>
      </c>
      <c r="D11432" s="3">
        <v>4.0</v>
      </c>
    </row>
    <row r="11433" ht="15.75" customHeight="1">
      <c r="A11433" s="1">
        <v>12334.0</v>
      </c>
      <c r="B11433" s="3" t="s">
        <v>10885</v>
      </c>
      <c r="C11433" s="3" t="str">
        <f>IFERROR(__xludf.DUMMYFUNCTION("GOOGLETRANSLATE(B11433,""id"",""en"")"),"['Increases', 'Area', 'Liang', 'Anggang', 'Platform', 'Ulin', ""]")</f>
        <v>['Increases', 'Area', 'Liang', 'Anggang', 'Platform', 'Ulin', "]</v>
      </c>
      <c r="D11433" s="3">
        <v>5.0</v>
      </c>
    </row>
    <row r="11434" ht="15.75" customHeight="1">
      <c r="A11434" s="1">
        <v>12335.0</v>
      </c>
      <c r="B11434" s="3" t="s">
        <v>10886</v>
      </c>
      <c r="C11434" s="3" t="str">
        <f>IFERROR(__xludf.DUMMYFUNCTION("GOOGLETRANSLATE(B11434,""id"",""en"")"),"['network', 'Telkomsel', 'good', 'please', 'repaired', '']")</f>
        <v>['network', 'Telkomsel', 'good', 'please', 'repaired', '']</v>
      </c>
      <c r="D11434" s="3">
        <v>1.0</v>
      </c>
    </row>
    <row r="11435" ht="15.75" customHeight="1">
      <c r="A11435" s="1">
        <v>12336.0</v>
      </c>
      <c r="B11435" s="3" t="s">
        <v>10887</v>
      </c>
      <c r="C11435" s="3" t="str">
        <f>IFERROR(__xludf.DUMMYFUNCTION("GOOGLETRANSLATE(B11435,""id"",""en"")"),"['Package', 'Internet', 'Consistent']")</f>
        <v>['Package', 'Internet', 'Consistent']</v>
      </c>
      <c r="D11435" s="3">
        <v>1.0</v>
      </c>
    </row>
    <row r="11436" ht="15.75" customHeight="1">
      <c r="A11436" s="1">
        <v>12337.0</v>
      </c>
      <c r="B11436" s="3" t="s">
        <v>10888</v>
      </c>
      <c r="C11436" s="3" t="str">
        <f>IFERROR(__xludf.DUMMYFUNCTION("GOOGLETRANSLATE(B11436,""id"",""en"")"),"['Telkomsel', 'steady', 'bnnggeeettt']")</f>
        <v>['Telkomsel', 'steady', 'bnnggeeettt']</v>
      </c>
      <c r="D11436" s="3">
        <v>4.0</v>
      </c>
    </row>
    <row r="11437" ht="15.75" customHeight="1">
      <c r="A11437" s="1">
        <v>12338.0</v>
      </c>
      <c r="B11437" s="3" t="s">
        <v>10889</v>
      </c>
      <c r="C11437" s="3" t="str">
        <f>IFERROR(__xludf.DUMMYFUNCTION("GOOGLETRANSLATE(B11437,""id"",""en"")"),"['Satisfied', 'The network', 'broad']")</f>
        <v>['Satisfied', 'The network', 'broad']</v>
      </c>
      <c r="D11437" s="3">
        <v>5.0</v>
      </c>
    </row>
    <row r="11438" ht="15.75" customHeight="1">
      <c r="A11438" s="1">
        <v>12339.0</v>
      </c>
      <c r="B11438" s="3" t="s">
        <v>10890</v>
      </c>
      <c r="C11438" s="3" t="str">
        <f>IFERROR(__xludf.DUMMYFUNCTION("GOOGLETRANSLATE(B11438,""id"",""en"")"),"['Lemot', 'how']")</f>
        <v>['Lemot', 'how']</v>
      </c>
      <c r="D11438" s="3">
        <v>3.0</v>
      </c>
    </row>
    <row r="11439" ht="15.75" customHeight="1">
      <c r="A11439" s="1">
        <v>12340.0</v>
      </c>
      <c r="B11439" s="3" t="s">
        <v>10891</v>
      </c>
      <c r="C11439" s="3" t="str">
        <f>IFERROR(__xludf.DUMMYFUNCTION("GOOGLETRANSLATE(B11439,""id"",""en"")"),"['mantaapp', 'position', 'top', '']")</f>
        <v>['mantaapp', 'position', 'top', '']</v>
      </c>
      <c r="D11439" s="3">
        <v>5.0</v>
      </c>
    </row>
    <row r="11440" ht="15.75" customHeight="1">
      <c r="A11440" s="1">
        <v>12341.0</v>
      </c>
      <c r="B11440" s="3" t="s">
        <v>10892</v>
      </c>
      <c r="C11440" s="3" t="str">
        <f>IFERROR(__xludf.DUMMYFUNCTION("GOOGLETRANSLATE(B11440,""id"",""en"")"),"['quota', 'gamesmax', 'bother', 'login', 'game', 'use', 'quota', 'main', 'kayak', 'get', 'FUP', 'BANKUR', ' Nybar ',' application ',' already ',' that's', 'no', 'unreg', 'package', '']")</f>
        <v>['quota', 'gamesmax', 'bother', 'login', 'game', 'use', 'quota', 'main', 'kayak', 'get', 'FUP', 'BANKUR', ' Nybar ',' application ',' already ',' that's', 'no', 'unreg', 'package', '']</v>
      </c>
      <c r="D11440" s="3">
        <v>2.0</v>
      </c>
    </row>
    <row r="11441" ht="15.75" customHeight="1">
      <c r="A11441" s="1">
        <v>12342.0</v>
      </c>
      <c r="B11441" s="3" t="s">
        <v>10893</v>
      </c>
      <c r="C11441" s="3" t="str">
        <f>IFERROR(__xludf.DUMMYFUNCTION("GOOGLETRANSLATE(B11441,""id"",""en"")"),"['Relying', 'Telkom', 'Actually', 'The network', 'populat', 'Many', 'Buy', 'Package', 'Internet', 'Credit', 'Reduced', 'wkwkw', ' My faith ',' wkwkwk ',' improvement ',' yaa ',' min ']")</f>
        <v>['Relying', 'Telkom', 'Actually', 'The network', 'populat', 'Many', 'Buy', 'Package', 'Internet', 'Credit', 'Reduced', 'wkwkw', ' My faith ',' wkwkwk ',' improvement ',' yaa ',' min ']</v>
      </c>
      <c r="D11441" s="3">
        <v>2.0</v>
      </c>
    </row>
    <row r="11442" ht="15.75" customHeight="1">
      <c r="A11442" s="1">
        <v>12343.0</v>
      </c>
      <c r="B11442" s="3" t="s">
        <v>10894</v>
      </c>
      <c r="C11442" s="3" t="str">
        <f>IFERROR(__xludf.DUMMYFUNCTION("GOOGLETRANSLATE(B11442,""id"",""en"")"),"['discount', 'doang', 'cheap', 'buy', 'quota', 'network', 'ugly', 'play', 'red', 'yellow', 'rare', 'green', ' Fix ',' Claim ',' Network ',' Number ',' Indo ']")</f>
        <v>['discount', 'doang', 'cheap', 'buy', 'quota', 'network', 'ugly', 'play', 'red', 'yellow', 'rare', 'green', ' Fix ',' Claim ',' Network ',' Number ',' Indo ']</v>
      </c>
      <c r="D11442" s="3">
        <v>1.0</v>
      </c>
    </row>
    <row r="11443" ht="15.75" customHeight="1">
      <c r="A11443" s="1">
        <v>12347.0</v>
      </c>
      <c r="B11443" s="3" t="s">
        <v>10895</v>
      </c>
      <c r="C11443" s="3" t="str">
        <f>IFERROR(__xludf.DUMMYFUNCTION("GOOGLETRANSLATE(B11443,""id"",""en"")"),"['', 'Understand', 'Points', 'Bintang', '']")</f>
        <v>['', 'Understand', 'Points', 'Bintang', '']</v>
      </c>
      <c r="D11443" s="3">
        <v>3.0</v>
      </c>
    </row>
    <row r="11444" ht="15.75" customHeight="1">
      <c r="A11444" s="1">
        <v>12348.0</v>
      </c>
      <c r="B11444" s="3" t="s">
        <v>10896</v>
      </c>
      <c r="C11444" s="3" t="str">
        <f>IFERROR(__xludf.DUMMYFUNCTION("GOOGLETRANSLATE(B11444,""id"",""en"")"),"['card', 'pig', 'pulse', 'cave', 'sumps',' mulu ',' cave ',' minjem ',' pulse ',' subscribe ',' anything ',' contents', ' Credit ',' Sumpot ',' Mulu ',' Taiiiiii ',' ']")</f>
        <v>['card', 'pig', 'pulse', 'cave', 'sumps',' mulu ',' cave ',' minjem ',' pulse ',' subscribe ',' anything ',' contents', ' Credit ',' Sumpot ',' Mulu ',' Taiiiiii ',' ']</v>
      </c>
      <c r="D11444" s="3">
        <v>1.0</v>
      </c>
    </row>
    <row r="11445" ht="15.75" customHeight="1">
      <c r="A11445" s="1">
        <v>12349.0</v>
      </c>
      <c r="B11445" s="3" t="s">
        <v>10897</v>
      </c>
      <c r="C11445" s="3" t="str">
        <f>IFERROR(__xludf.DUMMYFUNCTION("GOOGLETRANSLATE(B11445,""id"",""en"")"),"['Accurate', 'fast', 'benefits']")</f>
        <v>['Accurate', 'fast', 'benefits']</v>
      </c>
      <c r="D11445" s="3">
        <v>5.0</v>
      </c>
    </row>
    <row r="11446" ht="15.75" customHeight="1">
      <c r="A11446" s="1">
        <v>12350.0</v>
      </c>
      <c r="B11446" s="3" t="s">
        <v>10898</v>
      </c>
      <c r="C11446" s="3" t="str">
        <f>IFERROR(__xludf.DUMMYFUNCTION("GOOGLETRANSLATE(B11446,""id"",""en"")"),"['Telkomsel', 'lemoooooot']")</f>
        <v>['Telkomsel', 'lemoooooot']</v>
      </c>
      <c r="D11446" s="3">
        <v>2.0</v>
      </c>
    </row>
    <row r="11447" ht="15.75" customHeight="1">
      <c r="A11447" s="1">
        <v>12351.0</v>
      </c>
      <c r="B11447" s="3" t="s">
        <v>10899</v>
      </c>
      <c r="C11447" s="3" t="str">
        <f>IFERROR(__xludf.DUMMYFUNCTION("GOOGLETRANSLATE(B11447,""id"",""en"")"),"['Buy', 'Package', 'Data', 'App', 'Telkomsel', 'SMS', 'On', 'Credit', 'Sumpot', 'Repeat', 'Times', ""]")</f>
        <v>['Buy', 'Package', 'Data', 'App', 'Telkomsel', 'SMS', 'On', 'Credit', 'Sumpot', 'Repeat', 'Times', "]</v>
      </c>
      <c r="D11447" s="3">
        <v>1.0</v>
      </c>
    </row>
    <row r="11448" ht="15.75" customHeight="1">
      <c r="A11448" s="1">
        <v>12352.0</v>
      </c>
      <c r="B11448" s="3" t="s">
        <v>10900</v>
      </c>
      <c r="C11448" s="3" t="str">
        <f>IFERROR(__xludf.DUMMYFUNCTION("GOOGLETRANSLATE(B11448,""id"",""en"")"),"['card', 'expensive', 'boss',' network ',' contents', 'package', 'fit', 'play', 'game', 'signal', 'berek', 'times',' ']")</f>
        <v>['card', 'expensive', 'boss',' network ',' contents', 'package', 'fit', 'play', 'game', 'signal', 'berek', 'times',' ']</v>
      </c>
      <c r="D11448" s="3">
        <v>1.0</v>
      </c>
    </row>
    <row r="11449" ht="15.75" customHeight="1">
      <c r="A11449" s="1">
        <v>12353.0</v>
      </c>
      <c r="B11449" s="3" t="s">
        <v>10901</v>
      </c>
      <c r="C11449" s="3" t="str">
        <f>IFERROR(__xludf.DUMMYFUNCTION("GOOGLETRANSLATE(B11449,""id"",""en"")"),"['signal', 'strong', 'quality', 'speed', 'internetny', 'ugly', 'please', 'increase', 'network', 'Telkomsel']")</f>
        <v>['signal', 'strong', 'quality', 'speed', 'internetny', 'ugly', 'please', 'increase', 'network', 'Telkomsel']</v>
      </c>
      <c r="D11449" s="3">
        <v>2.0</v>
      </c>
    </row>
    <row r="11450" ht="15.75" customHeight="1">
      <c r="A11450" s="1">
        <v>12354.0</v>
      </c>
      <c r="B11450" s="3" t="s">
        <v>3049</v>
      </c>
      <c r="C11450" s="3" t="str">
        <f>IFERROR(__xludf.DUMMYFUNCTION("GOOGLETRANSLATE(B11450,""id"",""en"")"),"['Network', 'stable']")</f>
        <v>['Network', 'stable']</v>
      </c>
      <c r="D11450" s="3">
        <v>3.0</v>
      </c>
    </row>
    <row r="11451" ht="15.75" customHeight="1">
      <c r="A11451" s="1">
        <v>12355.0</v>
      </c>
      <c r="B11451" s="3" t="s">
        <v>10902</v>
      </c>
      <c r="C11451" s="3" t="str">
        <f>IFERROR(__xludf.DUMMYFUNCTION("GOOGLETRANSLATE(B11451,""id"",""en"")"),"['access', 'easy']")</f>
        <v>['access', 'easy']</v>
      </c>
      <c r="D11451" s="3">
        <v>5.0</v>
      </c>
    </row>
    <row r="11452" ht="15.75" customHeight="1">
      <c r="A11452" s="1">
        <v>12356.0</v>
      </c>
      <c r="B11452" s="3" t="s">
        <v>10903</v>
      </c>
      <c r="C11452" s="3" t="str">
        <f>IFERROR(__xludf.DUMMYFUNCTION("GOOGLETRANSLATE(B11452,""id"",""en"")"),"['Direct', 'response', 'trmksih']")</f>
        <v>['Direct', 'response', 'trmksih']</v>
      </c>
      <c r="D11452" s="3">
        <v>5.0</v>
      </c>
    </row>
    <row r="11453" ht="15.75" customHeight="1">
      <c r="A11453" s="1">
        <v>12357.0</v>
      </c>
      <c r="B11453" s="3" t="s">
        <v>10904</v>
      </c>
      <c r="C11453" s="3" t="str">
        <f>IFERROR(__xludf.DUMMYFUNCTION("GOOGLETRANSLATE(B11453,""id"",""en"")"),"['Network', 'Not bad']")</f>
        <v>['Network', 'Not bad']</v>
      </c>
      <c r="D11453" s="3">
        <v>3.0</v>
      </c>
    </row>
    <row r="11454" ht="15.75" customHeight="1">
      <c r="A11454" s="1">
        <v>12358.0</v>
      </c>
      <c r="B11454" s="3" t="s">
        <v>10905</v>
      </c>
      <c r="C11454" s="3" t="str">
        <f>IFERROR(__xludf.DUMMYFUNCTION("GOOGLETRANSLATE(B11454,""id"",""en"")"),"['application', 'good', 'makes it easy', 'transaction', 'package', 'phone', '']")</f>
        <v>['application', 'good', 'makes it easy', 'transaction', 'package', 'phone', '']</v>
      </c>
      <c r="D11454" s="3">
        <v>5.0</v>
      </c>
    </row>
    <row r="11455" ht="15.75" customHeight="1">
      <c r="A11455" s="1">
        <v>12359.0</v>
      </c>
      <c r="B11455" s="3" t="s">
        <v>10906</v>
      </c>
      <c r="C11455" s="3" t="str">
        <f>IFERROR(__xludf.DUMMYFUNCTION("GOOGLETRANSLATE(B11455,""id"",""en"")"),"['Bad', 'slow', 'garbage', 'please', 'repaired', 'BNR', 'detrimental', 'disappointing', '']")</f>
        <v>['Bad', 'slow', 'garbage', 'please', 'repaired', 'BNR', 'detrimental', 'disappointing', '']</v>
      </c>
      <c r="D11455" s="3">
        <v>1.0</v>
      </c>
    </row>
    <row r="11456" ht="15.75" customHeight="1">
      <c r="A11456" s="1">
        <v>12360.0</v>
      </c>
      <c r="B11456" s="3" t="s">
        <v>10907</v>
      </c>
      <c r="C11456" s="3" t="str">
        <f>IFERROR(__xludf.DUMMYFUNCTION("GOOGLETRANSLATE(B11456,""id"",""en"")"),"['Affiliate', 'Good', 'SDAN', 'Fun']")</f>
        <v>['Affiliate', 'Good', 'SDAN', 'Fun']</v>
      </c>
      <c r="D11456" s="3">
        <v>5.0</v>
      </c>
    </row>
    <row r="11457" ht="15.75" customHeight="1">
      <c r="A11457" s="1">
        <v>12362.0</v>
      </c>
      <c r="B11457" s="3" t="s">
        <v>10908</v>
      </c>
      <c r="C11457" s="3" t="str">
        <f>IFERROR(__xludf.DUMMYFUNCTION("GOOGLETRANSLATE(B11457,""id"",""en"")"),"['Quota', 'Talk', 'Minutes', 'APK', 'Operator', 'Please', 'The sentence', ""]")</f>
        <v>['Quota', 'Talk', 'Minutes', 'APK', 'Operator', 'Please', 'The sentence', "]</v>
      </c>
      <c r="D11457" s="3">
        <v>3.0</v>
      </c>
    </row>
    <row r="11458" ht="15.75" customHeight="1">
      <c r="A11458" s="1">
        <v>12363.0</v>
      </c>
      <c r="B11458" s="3" t="s">
        <v>10909</v>
      </c>
      <c r="C11458" s="3" t="str">
        <f>IFERROR(__xludf.DUMMYFUNCTION("GOOGLETRANSLATE(B11458,""id"",""en"")"),"['distinguished', 'user', 'package', 'offered', 'reply', 'contact', 'twitter', 'sorry', 'mbak', 'faza', 'no', 'active', ' Twitter ',' ']")</f>
        <v>['distinguished', 'user', 'package', 'offered', 'reply', 'contact', 'twitter', 'sorry', 'mbak', 'faza', 'no', 'active', ' Twitter ',' ']</v>
      </c>
      <c r="D11458" s="3">
        <v>2.0</v>
      </c>
    </row>
    <row r="11459" ht="15.75" customHeight="1">
      <c r="A11459" s="1">
        <v>12364.0</v>
      </c>
      <c r="B11459" s="3" t="s">
        <v>10910</v>
      </c>
      <c r="C11459" s="3" t="str">
        <f>IFERROR(__xludf.DUMMYFUNCTION("GOOGLETRANSLATE(B11459,""id"",""en"")"),"['Telkom', 'Gerbing', 'slow', 'price', 'expensive']")</f>
        <v>['Telkom', 'Gerbing', 'slow', 'price', 'expensive']</v>
      </c>
      <c r="D11459" s="3">
        <v>1.0</v>
      </c>
    </row>
    <row r="11460" ht="15.75" customHeight="1">
      <c r="A11460" s="1">
        <v>12365.0</v>
      </c>
      <c r="B11460" s="3" t="s">
        <v>10911</v>
      </c>
      <c r="C11460" s="3" t="str">
        <f>IFERROR(__xludf.DUMMYFUNCTION("GOOGLETRANSLATE(B11460,""id"",""en"")"),"['like', 'the application']")</f>
        <v>['like', 'the application']</v>
      </c>
      <c r="D11460" s="3">
        <v>5.0</v>
      </c>
    </row>
    <row r="11461" ht="15.75" customHeight="1">
      <c r="A11461" s="1">
        <v>12366.0</v>
      </c>
      <c r="B11461" s="3" t="s">
        <v>10912</v>
      </c>
      <c r="C11461" s="3" t="str">
        <f>IFERROR(__xludf.DUMMYFUNCTION("GOOGLETRANSLATE(B11461,""id"",""en"")"),"['Severe', 'severe']")</f>
        <v>['Severe', 'severe']</v>
      </c>
      <c r="D11461" s="3">
        <v>1.0</v>
      </c>
    </row>
    <row r="11462" ht="15.75" customHeight="1">
      <c r="A11462" s="1">
        <v>12367.0</v>
      </c>
      <c r="B11462" s="3" t="s">
        <v>10913</v>
      </c>
      <c r="C11462" s="3" t="str">
        <f>IFERROR(__xludf.DUMMYFUNCTION("GOOGLETRANSLATE(B11462,""id"",""en"")"),"['Network', 'steady', 'just', 'Meet', 'data', 'a little', 'ngeleg', 'switch', 'change', 'card', 'network', 'BURIK', ' ']")</f>
        <v>['Network', 'steady', 'just', 'Meet', 'data', 'a little', 'ngeleg', 'switch', 'change', 'card', 'network', 'BURIK', ' ']</v>
      </c>
      <c r="D11462" s="3">
        <v>1.0</v>
      </c>
    </row>
    <row r="11463" ht="15.75" customHeight="1">
      <c r="A11463" s="1">
        <v>12368.0</v>
      </c>
      <c r="B11463" s="3" t="s">
        <v>10914</v>
      </c>
      <c r="C11463" s="3" t="str">
        <f>IFERROR(__xludf.DUMMYFUNCTION("GOOGLETRANSLATE(B11463,""id"",""en"")"),"['Disappointed', 'Telkomsel', 'oath', 'ugly', 'really', 'Udaah', 'package', 'expensive', 'expensive', 'Ujan', 'signal', 'gada', ' high school ',' Makinnnnn ',' disappoints', 'pokonya', 'mah', '']")</f>
        <v>['Disappointed', 'Telkomsel', 'oath', 'ugly', 'really', 'Udaah', 'package', 'expensive', 'expensive', 'Ujan', 'signal', 'gada', ' high school ',' Makinnnnn ',' disappoints', 'pokonya', 'mah', '']</v>
      </c>
      <c r="D11463" s="3">
        <v>1.0</v>
      </c>
    </row>
    <row r="11464" ht="15.75" customHeight="1">
      <c r="A11464" s="1">
        <v>12369.0</v>
      </c>
      <c r="B11464" s="3" t="s">
        <v>10915</v>
      </c>
      <c r="C11464" s="3" t="str">
        <f>IFERROR(__xludf.DUMMYFUNCTION("GOOGLETRANSLATE(B11464,""id"",""en"")"),"['pulse', 'Sumpot', 'quota']")</f>
        <v>['pulse', 'Sumpot', 'quota']</v>
      </c>
      <c r="D11464" s="3">
        <v>1.0</v>
      </c>
    </row>
    <row r="11465" ht="15.75" customHeight="1">
      <c r="A11465" s="1">
        <v>12370.0</v>
      </c>
      <c r="B11465" s="3" t="s">
        <v>10916</v>
      </c>
      <c r="C11465" s="3" t="str">
        <f>IFERROR(__xludf.DUMMYFUNCTION("GOOGLETRANSLATE(B11465,""id"",""en"")"),"['regret', 'buy', 'card', 'prime', 'contents',' pulse ',' pulse ',' truncated ',' pulse ',' ask ',' silence ',' take ',' pulse', '']")</f>
        <v>['regret', 'buy', 'card', 'prime', 'contents',' pulse ',' pulse ',' truncated ',' pulse ',' ask ',' silence ',' take ',' pulse', '']</v>
      </c>
      <c r="D11465" s="3">
        <v>1.0</v>
      </c>
    </row>
    <row r="11466" ht="15.75" customHeight="1">
      <c r="A11466" s="1">
        <v>12371.0</v>
      </c>
      <c r="B11466" s="3" t="s">
        <v>10917</v>
      </c>
      <c r="C11466" s="3" t="str">
        <f>IFERROR(__xludf.DUMMYFUNCTION("GOOGLETRANSLATE(B11466,""id"",""en"")"),"['Telkomsel', 'weve', 'fast', 'annoying', 'expensive', 'open', 'Telkomsel', 'minutes',' pulse ',' chopped ',' conscora ',' quota ',' wasteful ',' alias', 'easy', 'run out', 'watch', 'youtube', 'minute', 'use', 'card', 'mb', 'use', 'telkomsel', 'mb' ]")</f>
        <v>['Telkomsel', 'weve', 'fast', 'annoying', 'expensive', 'open', 'Telkomsel', 'minutes',' pulse ',' chopped ',' conscora ',' quota ',' wasteful ',' alias', 'easy', 'run out', 'watch', 'youtube', 'minute', 'use', 'card', 'mb', 'use', 'telkomsel', 'mb' ]</v>
      </c>
      <c r="D11466" s="3">
        <v>1.0</v>
      </c>
    </row>
    <row r="11467" ht="15.75" customHeight="1">
      <c r="A11467" s="1">
        <v>12372.0</v>
      </c>
      <c r="B11467" s="3" t="s">
        <v>10918</v>
      </c>
      <c r="C11467" s="3" t="str">
        <f>IFERROR(__xludf.DUMMYFUNCTION("GOOGLETRANSLATE(B11467,""id"",""en"")"),"['', 'card', 'Telkomsel', 'okay', 'network', 'good', 'stable', 'here', 'ugly', 'network']")</f>
        <v>['', 'card', 'Telkomsel', 'okay', 'network', 'good', 'stable', 'here', 'ugly', 'network']</v>
      </c>
      <c r="D11467" s="3">
        <v>1.0</v>
      </c>
    </row>
    <row r="11468" ht="15.75" customHeight="1">
      <c r="A11468" s="1">
        <v>12373.0</v>
      </c>
      <c r="B11468" s="3" t="s">
        <v>10919</v>
      </c>
      <c r="C11468" s="3" t="str">
        <f>IFERROR(__xludf.DUMMYFUNCTION("GOOGLETRANSLATE(B11468,""id"",""en"")"),"['makes it easier', 'charging', 'package', 'promo']")</f>
        <v>['makes it easier', 'charging', 'package', 'promo']</v>
      </c>
      <c r="D11468" s="3">
        <v>5.0</v>
      </c>
    </row>
    <row r="11469" ht="15.75" customHeight="1">
      <c r="A11469" s="1">
        <v>12374.0</v>
      </c>
      <c r="B11469" s="3" t="s">
        <v>4091</v>
      </c>
      <c r="C11469" s="3" t="str">
        <f>IFERROR(__xludf.DUMMYFUNCTION("GOOGLETRANSLATE(B11469,""id"",""en"")"),"['Applikasih', 'help']")</f>
        <v>['Applikasih', 'help']</v>
      </c>
      <c r="D11469" s="3">
        <v>5.0</v>
      </c>
    </row>
    <row r="11470" ht="15.75" customHeight="1">
      <c r="A11470" s="1">
        <v>12375.0</v>
      </c>
      <c r="B11470" s="3" t="s">
        <v>1572</v>
      </c>
      <c r="C11470" s="3" t="str">
        <f>IFERROR(__xludf.DUMMYFUNCTION("GOOGLETRANSLATE(B11470,""id"",""en"")"),"['Love', 'Star']")</f>
        <v>['Love', 'Star']</v>
      </c>
      <c r="D11470" s="3">
        <v>5.0</v>
      </c>
    </row>
    <row r="11471" ht="15.75" customHeight="1">
      <c r="A11471" s="1">
        <v>12376.0</v>
      </c>
      <c r="B11471" s="3" t="s">
        <v>10920</v>
      </c>
      <c r="C11471" s="3" t="str">
        <f>IFERROR(__xludf.DUMMYFUNCTION("GOOGLETRANSLATE(B11471,""id"",""en"")"),"['Super', ""]")</f>
        <v>['Super', "]</v>
      </c>
      <c r="D11471" s="3">
        <v>5.0</v>
      </c>
    </row>
    <row r="11472" ht="15.75" customHeight="1">
      <c r="A11472" s="1">
        <v>12377.0</v>
      </c>
      <c r="B11472" s="3" t="s">
        <v>10921</v>
      </c>
      <c r="C11472" s="3" t="str">
        <f>IFERROR(__xludf.DUMMYFUNCTION("GOOGLETRANSLATE(B11472,""id"",""en"")"),"['disappointed', 'signal', 'ugly', 'charging', 'voucher', 'difficult', 'system', 'busy', 'mulu', 'admin', 'slow', 'skp', ' according to ',' price ',' fuck ',' mandatory ',' replace ',' provider ',' disappointed ']")</f>
        <v>['disappointed', 'signal', 'ugly', 'charging', 'voucher', 'difficult', 'system', 'busy', 'mulu', 'admin', 'slow', 'skp', ' according to ',' price ',' fuck ',' mandatory ',' replace ',' provider ',' disappointed ']</v>
      </c>
      <c r="D11472" s="3">
        <v>1.0</v>
      </c>
    </row>
    <row r="11473" ht="15.75" customHeight="1">
      <c r="A11473" s="1">
        <v>12378.0</v>
      </c>
      <c r="B11473" s="3" t="s">
        <v>10922</v>
      </c>
      <c r="C11473" s="3" t="str">
        <f>IFERROR(__xludf.DUMMYFUNCTION("GOOGLETRANSLATE(B11473,""id"",""en"")"),"['Ndak', 'signal', 'Trekomsel']")</f>
        <v>['Ndak', 'signal', 'Trekomsel']</v>
      </c>
      <c r="D11473" s="3">
        <v>2.0</v>
      </c>
    </row>
    <row r="11474" ht="15.75" customHeight="1">
      <c r="A11474" s="1">
        <v>12379.0</v>
      </c>
      <c r="B11474" s="3" t="s">
        <v>10923</v>
      </c>
      <c r="C11474" s="3" t="str">
        <f>IFERROR(__xludf.DUMMYFUNCTION("GOOGLETRANSLATE(B11474,""id"",""en"")"),"['signal', 'strong', 'rare', 'disorder', 'staple', 'satisfied', 'wear', 'card', 'sympathy']")</f>
        <v>['signal', 'strong', 'rare', 'disorder', 'staple', 'satisfied', 'wear', 'card', 'sympathy']</v>
      </c>
      <c r="D11474" s="3">
        <v>4.0</v>
      </c>
    </row>
    <row r="11475" ht="15.75" customHeight="1">
      <c r="A11475" s="1">
        <v>12380.0</v>
      </c>
      <c r="B11475" s="3" t="s">
        <v>10924</v>
      </c>
      <c r="C11475" s="3" t="str">
        <f>IFERROR(__xludf.DUMMYFUNCTION("GOOGLETRANSLATE(B11475,""id"",""en"")"),"['Good', 'network', 'ngilance', 'price', 'package', 'expensive', 'signal', 'kek', 'that's', '']")</f>
        <v>['Good', 'network', 'ngilance', 'price', 'package', 'expensive', 'signal', 'kek', 'that's', '']</v>
      </c>
      <c r="D11475" s="3">
        <v>1.0</v>
      </c>
    </row>
    <row r="11476" ht="15.75" customHeight="1">
      <c r="A11476" s="1">
        <v>12381.0</v>
      </c>
      <c r="B11476" s="3" t="s">
        <v>10925</v>
      </c>
      <c r="C11476" s="3" t="str">
        <f>IFERROR(__xludf.DUMMYFUNCTION("GOOGLETRANSLATE(B11476,""id"",""en"")"),"['Telkomsel', 'all-round', 'cheap']")</f>
        <v>['Telkomsel', 'all-round', 'cheap']</v>
      </c>
      <c r="D11476" s="3">
        <v>5.0</v>
      </c>
    </row>
    <row r="11477" ht="15.75" customHeight="1">
      <c r="A11477" s="1">
        <v>12382.0</v>
      </c>
      <c r="B11477" s="3" t="s">
        <v>10926</v>
      </c>
      <c r="C11477" s="3" t="str">
        <f>IFERROR(__xludf.DUMMYFUNCTION("GOOGLETRANSLATE(B11477,""id"",""en"")"),"['Telkomsel', 'The network', 'BURIK', 'rotten', 'city', 'buy', 'quota', 'ngemis']")</f>
        <v>['Telkomsel', 'The network', 'BURIK', 'rotten', 'city', 'buy', 'quota', 'ngemis']</v>
      </c>
      <c r="D11477" s="3">
        <v>1.0</v>
      </c>
    </row>
    <row r="11478" ht="15.75" customHeight="1">
      <c r="A11478" s="1">
        <v>12383.0</v>
      </c>
      <c r="B11478" s="3" t="s">
        <v>10927</v>
      </c>
      <c r="C11478" s="3" t="str">
        <f>IFERROR(__xludf.DUMMYFUNCTION("GOOGLETRANSLATE(B11478,""id"",""en"")"),"['Contents', 'Data', 'Ful']")</f>
        <v>['Contents', 'Data', 'Ful']</v>
      </c>
      <c r="D11478" s="3">
        <v>5.0</v>
      </c>
    </row>
    <row r="11479" ht="15.75" customHeight="1">
      <c r="A11479" s="1">
        <v>12384.0</v>
      </c>
      <c r="B11479" s="3" t="s">
        <v>10928</v>
      </c>
      <c r="C11479" s="3" t="str">
        <f>IFERROR(__xludf.DUMMYFUNCTION("GOOGLETRANSLATE(B11479,""id"",""en"")"),"['Credit', 'Call', 'Credit', 'Data']")</f>
        <v>['Credit', 'Call', 'Credit', 'Data']</v>
      </c>
      <c r="D11479" s="3">
        <v>4.0</v>
      </c>
    </row>
    <row r="11480" ht="15.75" customHeight="1">
      <c r="A11480" s="1">
        <v>12385.0</v>
      </c>
      <c r="B11480" s="3" t="s">
        <v>10929</v>
      </c>
      <c r="C11480" s="3" t="str">
        <f>IFERROR(__xludf.DUMMYFUNCTION("GOOGLETRANSLATE(B11480,""id"",""en"")"),"['Cool', 'Application', 'Please','A ',' Win ',' Lottery ',' Telkomsel ',' Gift ',' Car ', ""]")</f>
        <v>['Cool', 'Application', 'Please','A ',' Win ',' Lottery ',' Telkomsel ',' Gift ',' Car ', "]</v>
      </c>
      <c r="D11480" s="3">
        <v>5.0</v>
      </c>
    </row>
    <row r="11481" ht="15.75" customHeight="1">
      <c r="A11481" s="1">
        <v>12386.0</v>
      </c>
      <c r="B11481" s="3" t="s">
        <v>10930</v>
      </c>
      <c r="C11481" s="3" t="str">
        <f>IFERROR(__xludf.DUMMYFUNCTION("GOOGLETRANSLATE(B11481,""id"",""en"")"),"['', 'Telkomsel', 'Severe', 'Network', 'Lost', 'Telkomsel', ""]")</f>
        <v>['', 'Telkomsel', 'Severe', 'Network', 'Lost', 'Telkomsel', "]</v>
      </c>
      <c r="D11481" s="3">
        <v>1.0</v>
      </c>
    </row>
    <row r="11482" ht="15.75" customHeight="1">
      <c r="A11482" s="1">
        <v>12387.0</v>
      </c>
      <c r="B11482" s="3" t="s">
        <v>10931</v>
      </c>
      <c r="C11482" s="3" t="str">
        <f>IFERROR(__xludf.DUMMYFUNCTION("GOOGLETRANSLATE(B11482,""id"",""en"")"),"['loss',' I ',' subscription ',' Telkomsel ',' loss', 'I', 'buy', 'package', 'internet', 'slow', 'love', 'package', ' Internet ',' difficult ',' people ']")</f>
        <v>['loss',' I ',' subscription ',' Telkomsel ',' loss', 'I', 'buy', 'package', 'internet', 'slow', 'love', 'package', ' Internet ',' difficult ',' people ']</v>
      </c>
      <c r="D11482" s="3">
        <v>1.0</v>
      </c>
    </row>
    <row r="11483" ht="15.75" customHeight="1">
      <c r="A11483" s="1">
        <v>12388.0</v>
      </c>
      <c r="B11483" s="3" t="s">
        <v>10932</v>
      </c>
      <c r="C11483" s="3" t="str">
        <f>IFERROR(__xludf.DUMMYFUNCTION("GOOGLETRANSLATE(B11483,""id"",""en"")"),"['network', 'signal', 'consistent']")</f>
        <v>['network', 'signal', 'consistent']</v>
      </c>
      <c r="D11483" s="3">
        <v>5.0</v>
      </c>
    </row>
    <row r="11484" ht="15.75" customHeight="1">
      <c r="A11484" s="1">
        <v>12389.0</v>
      </c>
      <c r="B11484" s="3" t="s">
        <v>10933</v>
      </c>
      <c r="C11484" s="3" t="str">
        <f>IFERROR(__xludf.DUMMYFUNCTION("GOOGLETRANSLATE(B11484,""id"",""en"")"),"['Signal', 'Telkomsel', 'Bad', 'City', '']")</f>
        <v>['Signal', 'Telkomsel', 'Bad', 'City', '']</v>
      </c>
      <c r="D11484" s="3">
        <v>4.0</v>
      </c>
    </row>
    <row r="11485" ht="15.75" customHeight="1">
      <c r="A11485" s="1">
        <v>12390.0</v>
      </c>
      <c r="B11485" s="3" t="s">
        <v>10934</v>
      </c>
      <c r="C11485" s="3" t="str">
        <f>IFERROR(__xludf.DUMMYFUNCTION("GOOGLETRANSLATE(B11485,""id"",""en"")"),"['Disappointed', 'Telkomsel', 'sucked', 'pulse', 'network', 'ugly']")</f>
        <v>['Disappointed', 'Telkomsel', 'sucked', 'pulse', 'network', 'ugly']</v>
      </c>
      <c r="D11485" s="3">
        <v>1.0</v>
      </c>
    </row>
    <row r="11486" ht="15.75" customHeight="1">
      <c r="A11486" s="1">
        <v>12391.0</v>
      </c>
      <c r="B11486" s="3" t="s">
        <v>10935</v>
      </c>
      <c r="C11486" s="3" t="str">
        <f>IFERROR(__xludf.DUMMYFUNCTION("GOOGLETRANSLATE(B11486,""id"",""en"")"),"['Network', 'Emotion', 'Gara', 'Gara', 'Network', 'No', 'Play', 'Game', 'Please', 'Fix']")</f>
        <v>['Network', 'Emotion', 'Gara', 'Gara', 'Network', 'No', 'Play', 'Game', 'Please', 'Fix']</v>
      </c>
      <c r="D11486" s="3">
        <v>1.0</v>
      </c>
    </row>
    <row r="11487" ht="15.75" customHeight="1">
      <c r="A11487" s="1">
        <v>12392.0</v>
      </c>
      <c r="B11487" s="3" t="s">
        <v>10936</v>
      </c>
      <c r="C11487" s="3" t="str">
        <f>IFERROR(__xludf.DUMMYFUNCTION("GOOGLETRANSLATE(B11487,""id"",""en"")"),"['Package', 'Telkomsel', 'Nurse', 'expensive', 'OMG', 'should', ""]")</f>
        <v>['Package', 'Telkomsel', 'Nurse', 'expensive', 'OMG', 'should', "]</v>
      </c>
      <c r="D11487" s="3">
        <v>5.0</v>
      </c>
    </row>
    <row r="11488" ht="15.75" customHeight="1">
      <c r="A11488" s="1">
        <v>12393.0</v>
      </c>
      <c r="B11488" s="3" t="s">
        <v>10937</v>
      </c>
      <c r="C11488" s="3" t="str">
        <f>IFERROR(__xludf.DUMMYFUNCTION("GOOGLETRANSLATE(B11488,""id"",""en"")"),"['Wonder', 'Telkomsel', 'quota', 'enter', 'buy', 'quota', 'quota', 'enter', 'GB', 'wonder']")</f>
        <v>['Wonder', 'Telkomsel', 'quota', 'enter', 'buy', 'quota', 'quota', 'enter', 'GB', 'wonder']</v>
      </c>
      <c r="D11488" s="3">
        <v>5.0</v>
      </c>
    </row>
    <row r="11489" ht="15.75" customHeight="1">
      <c r="A11489" s="1">
        <v>12394.0</v>
      </c>
      <c r="B11489" s="3" t="s">
        <v>996</v>
      </c>
      <c r="C11489" s="3" t="str">
        <f>IFERROR(__xludf.DUMMYFUNCTION("GOOGLETRANSLATE(B11489,""id"",""en"")"),"['Application', 'Good', '']")</f>
        <v>['Application', 'Good', '']</v>
      </c>
      <c r="D11489" s="3">
        <v>5.0</v>
      </c>
    </row>
    <row r="11490" ht="15.75" customHeight="1">
      <c r="A11490" s="1">
        <v>12395.0</v>
      </c>
      <c r="B11490" s="3" t="s">
        <v>10938</v>
      </c>
      <c r="C11490" s="3" t="str">
        <f>IFERROR(__xludf.DUMMYFUNCTION("GOOGLETRANSLATE(B11490,""id"",""en"")"),"['quality', 'network', 'ugly', 'price', 'expensive', 'network', 'rotten', ""]")</f>
        <v>['quality', 'network', 'ugly', 'price', 'expensive', 'network', 'rotten', "]</v>
      </c>
      <c r="D11490" s="3">
        <v>1.0</v>
      </c>
    </row>
    <row r="11491" ht="15.75" customHeight="1">
      <c r="A11491" s="1">
        <v>12396.0</v>
      </c>
      <c r="B11491" s="3" t="s">
        <v>10939</v>
      </c>
      <c r="C11491" s="3" t="str">
        <f>IFERROR(__xludf.DUMMYFUNCTION("GOOGLETRANSLATE(B11491,""id"",""en"")"),"['signal', 'LEG']")</f>
        <v>['signal', 'LEG']</v>
      </c>
      <c r="D11491" s="3">
        <v>2.0</v>
      </c>
    </row>
    <row r="11492" ht="15.75" customHeight="1">
      <c r="A11492" s="1">
        <v>12397.0</v>
      </c>
      <c r="B11492" s="3" t="s">
        <v>10940</v>
      </c>
      <c r="C11492" s="3" t="str">
        <f>IFERROR(__xludf.DUMMYFUNCTION("GOOGLETRANSLATE(B11492,""id"",""en"")"),"['Network', 'cheap', 'lost']")</f>
        <v>['Network', 'cheap', 'lost']</v>
      </c>
      <c r="D11492" s="3">
        <v>1.0</v>
      </c>
    </row>
    <row r="11493" ht="15.75" customHeight="1">
      <c r="A11493" s="1">
        <v>12398.0</v>
      </c>
      <c r="B11493" s="3" t="s">
        <v>10941</v>
      </c>
      <c r="C11493" s="3" t="str">
        <f>IFERROR(__xludf.DUMMYFUNCTION("GOOGLETRANSLATE(B11493,""id"",""en"")"),"['EMG', 'Best', 'Telkomsel']")</f>
        <v>['EMG', 'Best', 'Telkomsel']</v>
      </c>
      <c r="D11493" s="3">
        <v>5.0</v>
      </c>
    </row>
    <row r="11494" ht="15.75" customHeight="1">
      <c r="A11494" s="1">
        <v>12400.0</v>
      </c>
      <c r="B11494" s="3" t="s">
        <v>10942</v>
      </c>
      <c r="C11494" s="3" t="str">
        <f>IFERROR(__xludf.DUMMYFUNCTION("GOOGLETRANSLATE(B11494,""id"",""en"")"),"['Contains', 'promo', 'promo', 'happy']")</f>
        <v>['Contains', 'promo', 'promo', 'happy']</v>
      </c>
      <c r="D11494" s="3">
        <v>5.0</v>
      </c>
    </row>
    <row r="11495" ht="15.75" customHeight="1">
      <c r="A11495" s="1">
        <v>12401.0</v>
      </c>
      <c r="B11495" s="3" t="s">
        <v>10943</v>
      </c>
      <c r="C11495" s="3" t="str">
        <f>IFERROR(__xludf.DUMMYFUNCTION("GOOGLETRANSLATE(B11495,""id"",""en"")"),"['Cheap', 'fast']")</f>
        <v>['Cheap', 'fast']</v>
      </c>
      <c r="D11495" s="3">
        <v>5.0</v>
      </c>
    </row>
    <row r="11496" ht="15.75" customHeight="1">
      <c r="A11496" s="1">
        <v>12402.0</v>
      </c>
      <c r="B11496" s="3" t="s">
        <v>5123</v>
      </c>
      <c r="C11496" s="3" t="str">
        <f>IFERROR(__xludf.DUMMYFUNCTION("GOOGLETRANSLATE(B11496,""id"",""en"")"),"['Margnt', '']")</f>
        <v>['Margnt', '']</v>
      </c>
      <c r="D11496" s="3">
        <v>5.0</v>
      </c>
    </row>
    <row r="11497" ht="15.75" customHeight="1">
      <c r="A11497" s="1">
        <v>12403.0</v>
      </c>
      <c r="B11497" s="3" t="s">
        <v>1781</v>
      </c>
      <c r="C11497" s="3" t="str">
        <f>IFERROR(__xludf.DUMMYFUNCTION("GOOGLETRANSLATE(B11497,""id"",""en"")"),"['satisfying', 'help']")</f>
        <v>['satisfying', 'help']</v>
      </c>
      <c r="D11497" s="3">
        <v>5.0</v>
      </c>
    </row>
    <row r="11498" ht="15.75" customHeight="1">
      <c r="A11498" s="1">
        <v>12404.0</v>
      </c>
      <c r="B11498" s="3" t="s">
        <v>7808</v>
      </c>
      <c r="C11498" s="3" t="str">
        <f>IFERROR(__xludf.DUMMYFUNCTION("GOOGLETRANSLATE(B11498,""id"",""en"")"),"['Network', 'Good']")</f>
        <v>['Network', 'Good']</v>
      </c>
      <c r="D11498" s="3">
        <v>3.0</v>
      </c>
    </row>
    <row r="11499" ht="15.75" customHeight="1">
      <c r="A11499" s="1">
        <v>12405.0</v>
      </c>
      <c r="B11499" s="3" t="s">
        <v>10944</v>
      </c>
      <c r="C11499" s="3" t="str">
        <f>IFERROR(__xludf.DUMMYFUNCTION("GOOGLETRANSLATE(B11499,""id"",""en"")"),"['Network', 'severe', 'slow', 'dlu', 'fast', 'severe', '']")</f>
        <v>['Network', 'severe', 'slow', 'dlu', 'fast', 'severe', '']</v>
      </c>
      <c r="D11499" s="3">
        <v>1.0</v>
      </c>
    </row>
    <row r="11500" ht="15.75" customHeight="1">
      <c r="A11500" s="1">
        <v>12406.0</v>
      </c>
      <c r="B11500" s="3" t="s">
        <v>10945</v>
      </c>
      <c r="C11500" s="3" t="str">
        <f>IFERROR(__xludf.DUMMYFUNCTION("GOOGLETRANSLATE(B11500,""id"",""en"")"),"['Disappointed', 'card', 'hello', 'already', 'week', 'connection', 'internet', 'pay', 'package', 'dipake', 'tetep', 'paid', ' Better']")</f>
        <v>['Disappointed', 'card', 'hello', 'already', 'week', 'connection', 'internet', 'pay', 'package', 'dipake', 'tetep', 'paid', ' Better']</v>
      </c>
      <c r="D11500" s="3">
        <v>1.0</v>
      </c>
    </row>
    <row r="11501" ht="15.75" customHeight="1">
      <c r="A11501" s="1">
        <v>12407.0</v>
      </c>
      <c r="B11501" s="3" t="s">
        <v>10946</v>
      </c>
      <c r="C11501" s="3" t="str">
        <f>IFERROR(__xludf.DUMMYFUNCTION("GOOGLETRANSLATE(B11501,""id"",""en"")"),"['Updated', 'Leet']")</f>
        <v>['Updated', 'Leet']</v>
      </c>
      <c r="D11501" s="3">
        <v>1.0</v>
      </c>
    </row>
    <row r="11502" ht="15.75" customHeight="1">
      <c r="A11502" s="1">
        <v>12408.0</v>
      </c>
      <c r="B11502" s="3" t="s">
        <v>10947</v>
      </c>
      <c r="C11502" s="3" t="str">
        <f>IFERROR(__xludf.DUMMYFUNCTION("GOOGLETRANSLATE(B11502,""id"",""en"")"),"['signal', 'strong', 'package', 'save']")</f>
        <v>['signal', 'strong', 'package', 'save']</v>
      </c>
      <c r="D11502" s="3">
        <v>5.0</v>
      </c>
    </row>
    <row r="11503" ht="15.75" customHeight="1">
      <c r="A11503" s="1">
        <v>12409.0</v>
      </c>
      <c r="B11503" s="3" t="s">
        <v>10948</v>
      </c>
      <c r="C11503" s="3" t="str">
        <f>IFERROR(__xludf.DUMMYFUNCTION("GOOGLETRANSLATE(B11503,""id"",""en"")"),"['', 'steady', 'times',' appeal ',' buy ',' package ',' dial ',' expensive ',' apps', 'pretty', 'piece', 'plus',' sometimes ',' gift ',' package ',' cheap ',' steady ',' times', 'baahh']")</f>
        <v>['', 'steady', 'times',' appeal ',' buy ',' package ',' dial ',' expensive ',' apps', 'pretty', 'piece', 'plus',' sometimes ',' gift ',' package ',' cheap ',' steady ',' times', 'baahh']</v>
      </c>
      <c r="D11503" s="3">
        <v>5.0</v>
      </c>
    </row>
    <row r="11504" ht="15.75" customHeight="1">
      <c r="A11504" s="1">
        <v>12410.0</v>
      </c>
      <c r="B11504" s="3" t="s">
        <v>10949</v>
      </c>
      <c r="C11504" s="3" t="str">
        <f>IFERROR(__xludf.DUMMYFUNCTION("GOOGLETRANSLATE(B11504,""id"",""en"")"),"['Customer', 'Disappointed', 'Network', 'ugly', '']")</f>
        <v>['Customer', 'Disappointed', 'Network', 'ugly', '']</v>
      </c>
      <c r="D11504" s="3">
        <v>1.0</v>
      </c>
    </row>
    <row r="11505" ht="15.75" customHeight="1">
      <c r="A11505" s="1">
        <v>12411.0</v>
      </c>
      <c r="B11505" s="3" t="s">
        <v>10950</v>
      </c>
      <c r="C11505" s="3" t="str">
        <f>IFERROR(__xludf.DUMMYFUNCTION("GOOGLETRANSLATE(B11505,""id"",""en"")"),"['Telkomsel', 'Juoos']")</f>
        <v>['Telkomsel', 'Juoos']</v>
      </c>
      <c r="D11505" s="3">
        <v>5.0</v>
      </c>
    </row>
    <row r="11506" ht="15.75" customHeight="1">
      <c r="A11506" s="1">
        <v>12412.0</v>
      </c>
      <c r="B11506" s="3" t="s">
        <v>10951</v>
      </c>
      <c r="C11506" s="3" t="str">
        <f>IFERROR(__xludf.DUMMYFUNCTION("GOOGLETRANSLATE(B11506,""id"",""en"")"),"['Help', 'skali', 'pokonya', 'Telkomsel']")</f>
        <v>['Help', 'skali', 'pokonya', 'Telkomsel']</v>
      </c>
      <c r="D11506" s="3">
        <v>5.0</v>
      </c>
    </row>
    <row r="11507" ht="15.75" customHeight="1">
      <c r="A11507" s="1">
        <v>12413.0</v>
      </c>
      <c r="B11507" s="3" t="s">
        <v>2620</v>
      </c>
      <c r="C11507" s="3" t="str">
        <f>IFERROR(__xludf.DUMMYFUNCTION("GOOGLETRANSLATE(B11507,""id"",""en"")"),"Of course")</f>
        <v>Of course</v>
      </c>
      <c r="D11507" s="3">
        <v>5.0</v>
      </c>
    </row>
    <row r="11508" ht="15.75" customHeight="1">
      <c r="A11508" s="1">
        <v>12415.0</v>
      </c>
      <c r="B11508" s="3" t="s">
        <v>10952</v>
      </c>
      <c r="C11508" s="3" t="str">
        <f>IFERROR(__xludf.DUMMYFUNCTION("GOOGLETRANSLATE(B11508,""id"",""en"")"),"['Telkomsel', 'the network', 'fix', 'idiot', 'bnget', 'jringnn', 'beg', 'sorry', 'sya', 'talk', 'gini', 'fed up']")</f>
        <v>['Telkomsel', 'the network', 'fix', 'idiot', 'bnget', 'jringnn', 'beg', 'sorry', 'sya', 'talk', 'gini', 'fed up']</v>
      </c>
      <c r="D11508" s="3">
        <v>1.0</v>
      </c>
    </row>
    <row r="11509" ht="15.75" customHeight="1">
      <c r="A11509" s="1">
        <v>12416.0</v>
      </c>
      <c r="B11509" s="3" t="s">
        <v>4198</v>
      </c>
      <c r="C11509" s="3" t="str">
        <f>IFERROR(__xludf.DUMMYFUNCTION("GOOGLETRANSLATE(B11509,""id"",""en"")"),"['application', 'good', 'help', ""]")</f>
        <v>['application', 'good', 'help', "]</v>
      </c>
      <c r="D11509" s="3">
        <v>5.0</v>
      </c>
    </row>
    <row r="11510" ht="15.75" customHeight="1">
      <c r="A11510" s="1">
        <v>12417.0</v>
      </c>
      <c r="B11510" s="3" t="s">
        <v>10953</v>
      </c>
      <c r="C11510" s="3" t="str">
        <f>IFERROR(__xludf.DUMMYFUNCTION("GOOGLETRANSLATE(B11510,""id"",""en"")"),"['Najiss',' quota ',' expensive ',' signal ',' quality ',' come on ',' signal ',' wandered ',' in the city ',' doang ',' all-round ',' Pocusiling ',' rural ',' shy ',' customers', 'complement', 'yes',' price ',' expensive ',' signal ',' ugly ',' sometimes"&amp;"', 'signal', 'lost' , '']")</f>
        <v>['Najiss',' quota ',' expensive ',' signal ',' quality ',' come on ',' signal ',' wandered ',' in the city ',' doang ',' all-round ',' Pocusiling ',' rural ',' shy ',' customers', 'complement', 'yes',' price ',' expensive ',' signal ',' ugly ',' sometimes', 'signal', 'lost' , '']</v>
      </c>
      <c r="D11510" s="3">
        <v>1.0</v>
      </c>
    </row>
    <row r="11511" ht="15.75" customHeight="1">
      <c r="A11511" s="1">
        <v>12419.0</v>
      </c>
      <c r="B11511" s="3" t="s">
        <v>2953</v>
      </c>
      <c r="C11511" s="3" t="str">
        <f>IFERROR(__xludf.DUMMYFUNCTION("GOOGLETRANSLATE(B11511,""id"",""en"")"),"['Application', 'Helpful']")</f>
        <v>['Application', 'Helpful']</v>
      </c>
      <c r="D11511" s="3">
        <v>5.0</v>
      </c>
    </row>
    <row r="11512" ht="15.75" customHeight="1">
      <c r="A11512" s="1">
        <v>12420.0</v>
      </c>
      <c r="B11512" s="3" t="s">
        <v>10954</v>
      </c>
      <c r="C11512" s="3" t="str">
        <f>IFERROR(__xludf.DUMMYFUNCTION("GOOGLETRANSLATE(B11512,""id"",""en"")"),"['Loading', 'the application', 'difficult', 'really', 'Mytsel', 'Roli', 'Difficult', 'Senewen', 'Tlong', 'Fix', 'Service', 'Love', ' ']")</f>
        <v>['Loading', 'the application', 'difficult', 'really', 'Mytsel', 'Roli', 'Difficult', 'Senewen', 'Tlong', 'Fix', 'Service', 'Love', ' ']</v>
      </c>
      <c r="D11512" s="3">
        <v>2.0</v>
      </c>
    </row>
    <row r="11513" ht="15.75" customHeight="1">
      <c r="A11513" s="1">
        <v>12421.0</v>
      </c>
      <c r="B11513" s="3" t="s">
        <v>10955</v>
      </c>
      <c r="C11513" s="3" t="str">
        <f>IFERROR(__xludf.DUMMYFUNCTION("GOOGLETRANSLATE(B11513,""id"",""en"")"),"['Singnal', 'good']")</f>
        <v>['Singnal', 'good']</v>
      </c>
      <c r="D11513" s="3">
        <v>5.0</v>
      </c>
    </row>
    <row r="11514" ht="15.75" customHeight="1">
      <c r="A11514" s="1">
        <v>12423.0</v>
      </c>
      <c r="B11514" s="3" t="s">
        <v>10956</v>
      </c>
      <c r="C11514" s="3" t="str">
        <f>IFERROR(__xludf.DUMMYFUNCTION("GOOGLETRANSLATE(B11514,""id"",""en"")"),"['Telkomsel', 'no', 'Ribet']")</f>
        <v>['Telkomsel', 'no', 'Ribet']</v>
      </c>
      <c r="D11514" s="3">
        <v>5.0</v>
      </c>
    </row>
    <row r="11515" ht="15.75" customHeight="1">
      <c r="A11515" s="1">
        <v>12424.0</v>
      </c>
      <c r="B11515" s="3" t="s">
        <v>10957</v>
      </c>
      <c r="C11515" s="3" t="str">
        <f>IFERROR(__xludf.DUMMYFUNCTION("GOOGLETRANSLATE(B11515,""id"",""en"")"),"['thank', 'love', 'Telkomsel', 'hot', 'promo', 'hope', 'success']")</f>
        <v>['thank', 'love', 'Telkomsel', 'hot', 'promo', 'hope', 'success']</v>
      </c>
      <c r="D11515" s="3">
        <v>5.0</v>
      </c>
    </row>
    <row r="11516" ht="15.75" customHeight="1">
      <c r="A11516" s="1">
        <v>12425.0</v>
      </c>
      <c r="B11516" s="3" t="s">
        <v>10958</v>
      </c>
      <c r="C11516" s="3" t="str">
        <f>IFERROR(__xludf.DUMMYFUNCTION("GOOGLETRANSLATE(B11516,""id"",""en"")"),"['', 'made easier']")</f>
        <v>['', 'made easier']</v>
      </c>
      <c r="D11516" s="3">
        <v>4.0</v>
      </c>
    </row>
    <row r="11517" ht="15.75" customHeight="1">
      <c r="A11517" s="1">
        <v>12426.0</v>
      </c>
      <c r="B11517" s="3" t="s">
        <v>10959</v>
      </c>
      <c r="C11517" s="3" t="str">
        <f>IFERROR(__xludf.DUMMYFUNCTION("GOOGLETRANSLATE(B11517,""id"",""en"")"),"['buy', 'pulse', 'easy']")</f>
        <v>['buy', 'pulse', 'easy']</v>
      </c>
      <c r="D11517" s="3">
        <v>5.0</v>
      </c>
    </row>
    <row r="11518" ht="15.75" customHeight="1">
      <c r="A11518" s="1">
        <v>12427.0</v>
      </c>
      <c r="B11518" s="3" t="s">
        <v>2620</v>
      </c>
      <c r="C11518" s="3" t="str">
        <f>IFERROR(__xludf.DUMMYFUNCTION("GOOGLETRANSLATE(B11518,""id"",""en"")"),"Of course")</f>
        <v>Of course</v>
      </c>
      <c r="D11518" s="3">
        <v>1.0</v>
      </c>
    </row>
    <row r="11519" ht="15.75" customHeight="1">
      <c r="A11519" s="1">
        <v>12428.0</v>
      </c>
      <c r="B11519" s="3" t="s">
        <v>10960</v>
      </c>
      <c r="C11519" s="3" t="str">
        <f>IFERROR(__xludf.DUMMYFUNCTION("GOOGLETRANSLATE(B11519,""id"",""en"")"),"['greedy', 'owner', 'Telkomsel', 'directors',' Telkomsel ',' program ',' influential ',' network ',' price ',' package ',' expensive ',' good ',' times', 'network', 'already', 'loss',' times', 'buy', 'package', 'because', 'already', 'many', 'friend', 'num"&amp;"ber', 'already' , 'thrust', 'Yesterday', '']")</f>
        <v>['greedy', 'owner', 'Telkomsel', 'directors',' Telkomsel ',' program ',' influential ',' network ',' price ',' package ',' expensive ',' good ',' times', 'network', 'already', 'loss',' times', 'buy', 'package', 'because', 'already', 'many', 'friend', 'number', 'already' , 'thrust', 'Yesterday', '']</v>
      </c>
      <c r="D11519" s="3">
        <v>1.0</v>
      </c>
    </row>
    <row r="11520" ht="15.75" customHeight="1">
      <c r="A11520" s="1">
        <v>12429.0</v>
      </c>
      <c r="B11520" s="3" t="s">
        <v>10961</v>
      </c>
      <c r="C11520" s="3" t="str">
        <f>IFERROR(__xludf.DUMMYFUNCTION("GOOGLETRANSLATE(B11520,""id"",""en"")"),"['', 'signal', 'experience', 'decline', 'categorized', 'weak', 'bad', 'package', 'internet', 'satisfaction', 'customers',' Telkomsel ',' user ',' Win ',' Lottery ',' Application ',' Telkimssel ',' Exchange ',' Points', 'Minimal', 'Glass',' Umbrella ',' Li"&amp;"tu ',' Telkomsel ',' Increases']")</f>
        <v>['', 'signal', 'experience', 'decline', 'categorized', 'weak', 'bad', 'package', 'internet', 'satisfaction', 'customers',' Telkomsel ',' user ',' Win ',' Lottery ',' Application ',' Telkimssel ',' Exchange ',' Points', 'Minimal', 'Glass',' Umbrella ',' Litu ',' Telkomsel ',' Increases']</v>
      </c>
      <c r="D11520" s="3">
        <v>1.0</v>
      </c>
    </row>
    <row r="11521" ht="15.75" customHeight="1">
      <c r="A11521" s="1">
        <v>12430.0</v>
      </c>
      <c r="B11521" s="3" t="s">
        <v>10962</v>
      </c>
      <c r="C11521" s="3" t="str">
        <f>IFERROR(__xludf.DUMMYFUNCTION("GOOGLETRANSLATE(B11521,""id"",""en"")"),"['Telkomsel', 'signal', 'UDH', 'ugly', 'artisan', 'robp', 'recommended', 'contents',' package ',' pulse ',' ilang ',' please ',' Fix ',' service ',' already ',' loss', 'money']")</f>
        <v>['Telkomsel', 'signal', 'UDH', 'ugly', 'artisan', 'robp', 'recommended', 'contents',' package ',' pulse ',' ilang ',' please ',' Fix ',' service ',' already ',' loss', 'money']</v>
      </c>
      <c r="D11521" s="3">
        <v>1.0</v>
      </c>
    </row>
    <row r="11522" ht="15.75" customHeight="1">
      <c r="A11522" s="1">
        <v>12431.0</v>
      </c>
      <c r="B11522" s="3" t="s">
        <v>10963</v>
      </c>
      <c r="C11522" s="3" t="str">
        <f>IFERROR(__xludf.DUMMYFUNCTION("GOOGLETRANSLATE(B11522,""id"",""en"")"),"['mantaaaappp', 'just', 'blm', 'prnh', 'dapetin', 'event', 'gift', 'point', 'hopefully', 'in the future', 'winner', 'exchange', ' Points', 'gift', 'hehehee']")</f>
        <v>['mantaaaappp', 'just', 'blm', 'prnh', 'dapetin', 'event', 'gift', 'point', 'hopefully', 'in the future', 'winner', 'exchange', ' Points', 'gift', 'hehehee']</v>
      </c>
      <c r="D11522" s="3">
        <v>5.0</v>
      </c>
    </row>
    <row r="11523" ht="15.75" customHeight="1">
      <c r="A11523" s="1">
        <v>12434.0</v>
      </c>
      <c r="B11523" s="3" t="s">
        <v>10964</v>
      </c>
      <c r="C11523" s="3" t="str">
        <f>IFERROR(__xludf.DUMMYFUNCTION("GOOGLETRANSLATE(B11523,""id"",""en"")"),"['week', 'network', 'Telkomsel', 'bad', 'signal', 'disconnected', 'connection', 'internet', 'lost', 'annoying', 'interrupted', 'consumer', ' buy ',' products', 'pay', 'money', 'obligation', 'right', 'consumer', 'according to', 'product', 'consumer', 'buy'"&amp;", 'money', 'service' , 'bad', 'bad', 'bad', 'provider', '']")</f>
        <v>['week', 'network', 'Telkomsel', 'bad', 'signal', 'disconnected', 'connection', 'internet', 'lost', 'annoying', 'interrupted', 'consumer', ' buy ',' products', 'pay', 'money', 'obligation', 'right', 'consumer', 'according to', 'product', 'consumer', 'buy', 'money', 'service' , 'bad', 'bad', 'bad', 'provider', '']</v>
      </c>
      <c r="D11523" s="3">
        <v>1.0</v>
      </c>
    </row>
    <row r="11524" ht="15.75" customHeight="1">
      <c r="A11524" s="1">
        <v>12435.0</v>
      </c>
      <c r="B11524" s="3" t="s">
        <v>10965</v>
      </c>
      <c r="C11524" s="3" t="str">
        <f>IFERROR(__xludf.DUMMYFUNCTION("GOOGLETRANSLATE(B11524,""id"",""en"")"),"['Hopefully', 'Success', 'Telkomsel']")</f>
        <v>['Hopefully', 'Success', 'Telkomsel']</v>
      </c>
      <c r="D11524" s="3">
        <v>5.0</v>
      </c>
    </row>
    <row r="11525" ht="15.75" customHeight="1">
      <c r="A11525" s="1">
        <v>12436.0</v>
      </c>
      <c r="B11525" s="3" t="s">
        <v>10966</v>
      </c>
      <c r="C11525" s="3" t="str">
        <f>IFERROR(__xludf.DUMMYFUNCTION("GOOGLETRANSLATE(B11525,""id"",""en"")"),"['What's',' Telkomsel ',' package ',' data ',' expensive ',' quality ',' ugly ',' mending ',' dead ',' network ',' Telkomsel ',' greople ',' Open ',' improved ',' deteriorating ',' Said ',' ']")</f>
        <v>['What's',' Telkomsel ',' package ',' data ',' expensive ',' quality ',' ugly ',' mending ',' dead ',' network ',' Telkomsel ',' greople ',' Open ',' improved ',' deteriorating ',' Said ',' ']</v>
      </c>
      <c r="D11525" s="3">
        <v>1.0</v>
      </c>
    </row>
    <row r="11526" ht="15.75" customHeight="1">
      <c r="A11526" s="1">
        <v>12437.0</v>
      </c>
      <c r="B11526" s="3" t="s">
        <v>10967</v>
      </c>
      <c r="C11526" s="3" t="str">
        <f>IFERROR(__xludf.DUMMYFUNCTION("GOOGLETRANSLATE(B11526,""id"",""en"")"),"['suggestion', 'peket', 'expensive', 'network', 'good', 'udh', 'expensive', 'network', 'lemod', 'lemod', 'mending', 'price', ' Cheap ',' loss']")</f>
        <v>['suggestion', 'peket', 'expensive', 'network', 'good', 'udh', 'expensive', 'network', 'lemod', 'lemod', 'mending', 'price', ' Cheap ',' loss']</v>
      </c>
      <c r="D11526" s="3">
        <v>1.0</v>
      </c>
    </row>
    <row r="11527" ht="15.75" customHeight="1">
      <c r="A11527" s="1">
        <v>12438.0</v>
      </c>
      <c r="B11527" s="3" t="s">
        <v>10968</v>
      </c>
      <c r="C11527" s="3" t="str">
        <f>IFERROR(__xludf.DUMMYFUNCTION("GOOGLETRANSLATE(B11527,""id"",""en"")"),"['Test', 'love', 'dlu', 'bru', 'love', 'star', '']")</f>
        <v>['Test', 'love', 'dlu', 'bru', 'love', 'star', '']</v>
      </c>
      <c r="D11527" s="3">
        <v>1.0</v>
      </c>
    </row>
    <row r="11528" ht="15.75" customHeight="1">
      <c r="A11528" s="1">
        <v>12439.0</v>
      </c>
      <c r="B11528" s="3" t="s">
        <v>10969</v>
      </c>
      <c r="C11528" s="3" t="str">
        <f>IFERROR(__xludf.DUMMYFUNCTION("GOOGLETRANSLATE(B11528,""id"",""en"")"),"['Telkomsel', 'Network', 'Kntl', 'Ajg']")</f>
        <v>['Telkomsel', 'Network', 'Kntl', 'Ajg']</v>
      </c>
      <c r="D11528" s="3">
        <v>1.0</v>
      </c>
    </row>
    <row r="11529" ht="15.75" customHeight="1">
      <c r="A11529" s="1">
        <v>12440.0</v>
      </c>
      <c r="B11529" s="3" t="s">
        <v>10970</v>
      </c>
      <c r="C11529" s="3" t="str">
        <f>IFERROR(__xludf.DUMMYFUNCTION("GOOGLETRANSLATE(B11529,""id"",""en"")"),"['Information', 'Useful']")</f>
        <v>['Information', 'Useful']</v>
      </c>
      <c r="D11529" s="3">
        <v>4.0</v>
      </c>
    </row>
    <row r="11530" ht="15.75" customHeight="1">
      <c r="A11530" s="1">
        <v>12441.0</v>
      </c>
      <c r="B11530" s="3" t="s">
        <v>10971</v>
      </c>
      <c r="C11530" s="3" t="str">
        <f>IFERROR(__xludf.DUMMYFUNCTION("GOOGLETRANSLATE(B11530,""id"",""en"")"),"['user', 'card', 'buy', 'package', 'unlimitide', 'taste', 'getting', 'trick', 'open', 'cave', 'udh', 'get', ' Open ',' buy ',' Speed ​​',' Mbps', 'Open', 'hilarious']")</f>
        <v>['user', 'card', 'buy', 'package', 'unlimitide', 'taste', 'getting', 'trick', 'open', 'cave', 'udh', 'get', ' Open ',' buy ',' Speed ​​',' Mbps', 'Open', 'hilarious']</v>
      </c>
      <c r="D11530" s="3">
        <v>1.0</v>
      </c>
    </row>
    <row r="11531" ht="15.75" customHeight="1">
      <c r="A11531" s="1">
        <v>12442.0</v>
      </c>
      <c r="B11531" s="3" t="s">
        <v>10972</v>
      </c>
      <c r="C11531" s="3" t="str">
        <f>IFERROR(__xludf.DUMMYFUNCTION("GOOGLETRANSLATE(B11531,""id"",""en"")"),"['Convenience', '']")</f>
        <v>['Convenience', '']</v>
      </c>
      <c r="D11531" s="3">
        <v>5.0</v>
      </c>
    </row>
    <row r="11532" ht="15.75" customHeight="1">
      <c r="A11532" s="1">
        <v>12443.0</v>
      </c>
      <c r="B11532" s="3" t="s">
        <v>10973</v>
      </c>
      <c r="C11532" s="3" t="str">
        <f>IFERROR(__xludf.DUMMYFUNCTION("GOOGLETRANSLATE(B11532,""id"",""en"")"),"['Hello', 'min', 'pulse', 'reduced', 'turn on', 'data', 'cellular', 'belom', 'pulse', 'sumps',' rb ',' epokan ',' Rich ',' Telkomsel ',' savage ',' Sumpot ',' No "", 'Minutes', 'Reduced', 'Credit', 'Data', 'Cellular', 'Disabled', 'Minutes', 'Reduced' , 'O"&amp;"ut', 'pulse', 'please', 'fix', 'Please']")</f>
        <v>['Hello', 'min', 'pulse', 'reduced', 'turn on', 'data', 'cellular', 'belom', 'pulse', 'sumps',' rb ',' epokan ',' Rich ',' Telkomsel ',' savage ',' Sumpot ',' No ", 'Minutes', 'Reduced', 'Credit', 'Data', 'Cellular', 'Disabled', 'Minutes', 'Reduced' , 'Out', 'pulse', 'please', 'fix', 'Please']</v>
      </c>
      <c r="D11532" s="3">
        <v>1.0</v>
      </c>
    </row>
    <row r="11533" ht="15.75" customHeight="1">
      <c r="A11533" s="1">
        <v>12444.0</v>
      </c>
      <c r="B11533" s="3" t="s">
        <v>10974</v>
      </c>
      <c r="C11533" s="3" t="str">
        <f>IFERROR(__xludf.DUMMYFUNCTION("GOOGLETRANSLATE(B11533,""id"",""en"")"),"['updated', 'opened', 'what', 'nich', '']")</f>
        <v>['updated', 'opened', 'what', 'nich', '']</v>
      </c>
      <c r="D11533" s="3">
        <v>3.0</v>
      </c>
    </row>
    <row r="11534" ht="15.75" customHeight="1">
      <c r="A11534" s="1">
        <v>12445.0</v>
      </c>
      <c r="B11534" s="3" t="s">
        <v>10975</v>
      </c>
      <c r="C11534" s="3" t="str">
        <f>IFERROR(__xludf.DUMMYFUNCTION("GOOGLETRANSLATE(B11534,""id"",""en"")"),"['Package', 'Kring', 'expensive']")</f>
        <v>['Package', 'Kring', 'expensive']</v>
      </c>
      <c r="D11534" s="3">
        <v>3.0</v>
      </c>
    </row>
    <row r="11535" ht="15.75" customHeight="1">
      <c r="A11535" s="1">
        <v>12446.0</v>
      </c>
      <c r="B11535" s="3" t="s">
        <v>10976</v>
      </c>
      <c r="C11535" s="3" t="str">
        <f>IFERROR(__xludf.DUMMYFUNCTION("GOOGLETRANSLATE(B11535,""id"",""en"")"),"['PREVENTORY']")</f>
        <v>['PREVENTORY']</v>
      </c>
      <c r="D11535" s="3">
        <v>5.0</v>
      </c>
    </row>
    <row r="11536" ht="15.75" customHeight="1">
      <c r="A11536" s="1">
        <v>12447.0</v>
      </c>
      <c r="B11536" s="3" t="s">
        <v>10977</v>
      </c>
      <c r="C11536" s="3" t="str">
        <f>IFERROR(__xludf.DUMMYFUNCTION("GOOGLETRANSLATE(B11536,""id"",""en"")"),"['buy', 'quota', 'save']")</f>
        <v>['buy', 'quota', 'save']</v>
      </c>
      <c r="D11536" s="3">
        <v>5.0</v>
      </c>
    </row>
    <row r="11537" ht="15.75" customHeight="1">
      <c r="A11537" s="1">
        <v>12448.0</v>
      </c>
      <c r="B11537" s="3" t="s">
        <v>10978</v>
      </c>
      <c r="C11537" s="3" t="str">
        <f>IFERROR(__xludf.DUMMYFUNCTION("GOOGLETRANSLATE(B11537,""id"",""en"")"),"['Chief', 'easy', 'purchase', 'internet', 'thank', 'love', 'telkosel', ""]")</f>
        <v>['Chief', 'easy', 'purchase', 'internet', 'thank', 'love', 'telkosel', "]</v>
      </c>
      <c r="D11537" s="3">
        <v>5.0</v>
      </c>
    </row>
    <row r="11538" ht="15.75" customHeight="1">
      <c r="A11538" s="1">
        <v>12449.0</v>
      </c>
      <c r="B11538" s="3" t="s">
        <v>10979</v>
      </c>
      <c r="C11538" s="3" t="str">
        <f>IFERROR(__xludf.DUMMYFUNCTION("GOOGLETRANSLATE(B11538,""id"",""en"")"),"['Maintain', '']")</f>
        <v>['Maintain', '']</v>
      </c>
      <c r="D11538" s="3">
        <v>5.0</v>
      </c>
    </row>
    <row r="11539" ht="15.75" customHeight="1">
      <c r="A11539" s="1">
        <v>12452.0</v>
      </c>
      <c r="B11539" s="3" t="s">
        <v>10980</v>
      </c>
      <c r="C11539" s="3" t="str">
        <f>IFERROR(__xludf.DUMMYFUNCTION("GOOGLETRANSLATE(B11539,""id"",""en"")"),"['likes', 'Telkomsel', 'because', 'Hadia', 'points']")</f>
        <v>['likes', 'Telkomsel', 'because', 'Hadia', 'points']</v>
      </c>
      <c r="D11539" s="3">
        <v>5.0</v>
      </c>
    </row>
    <row r="11540" ht="15.75" customHeight="1">
      <c r="A11540" s="1">
        <v>12453.0</v>
      </c>
      <c r="B11540" s="3" t="s">
        <v>10981</v>
      </c>
      <c r="C11540" s="3" t="str">
        <f>IFERROR(__xludf.DUMMYFUNCTION("GOOGLETRANSLATE(B11540,""id"",""en"")"),"['Sometimes', 'ajg']")</f>
        <v>['Sometimes', 'ajg']</v>
      </c>
      <c r="D11540" s="3">
        <v>1.0</v>
      </c>
    </row>
    <row r="11541" ht="15.75" customHeight="1">
      <c r="A11541" s="1">
        <v>12454.0</v>
      </c>
      <c r="B11541" s="3" t="s">
        <v>10982</v>
      </c>
      <c r="C11541" s="3" t="str">
        <f>IFERROR(__xludf.DUMMYFUNCTION("GOOGLETRANSLATE(B11541,""id"",""en"")"),"['', 'Karna', 'Try']")</f>
        <v>['', 'Karna', 'Try']</v>
      </c>
      <c r="D11541" s="3">
        <v>4.0</v>
      </c>
    </row>
    <row r="11542" ht="15.75" customHeight="1">
      <c r="A11542" s="1">
        <v>12455.0</v>
      </c>
      <c r="B11542" s="3" t="s">
        <v>10983</v>
      </c>
      <c r="C11542" s="3" t="str">
        <f>IFERROR(__xludf.DUMMYFUNCTION("GOOGLETRANSLATE(B11542,""id"",""en"")"),"['It's easy', 'transact', 'info', 'package', 'internet', 'phone', 'sms',' price ',' cheap ',' bought ',' application ',' call ',' Number ']")</f>
        <v>['It's easy', 'transact', 'info', 'package', 'internet', 'phone', 'sms',' price ',' cheap ',' bought ',' application ',' call ',' Number ']</v>
      </c>
      <c r="D11542" s="3">
        <v>5.0</v>
      </c>
    </row>
    <row r="11543" ht="15.75" customHeight="1">
      <c r="A11543" s="1">
        <v>12456.0</v>
      </c>
      <c r="B11543" s="3" t="s">
        <v>10984</v>
      </c>
      <c r="C11543" s="3" t="str">
        <f>IFERROR(__xludf.DUMMYFUNCTION("GOOGLETRANSLATE(B11543,""id"",""en"")"),"['Application', 'Heavy', 'Yakalu', 'Application', 'Check', 'Credit', 'Quota', 'Heavy', 'Feature', 'Useful']")</f>
        <v>['Application', 'Heavy', 'Yakalu', 'Application', 'Check', 'Credit', 'Quota', 'Heavy', 'Feature', 'Useful']</v>
      </c>
      <c r="D11543" s="3">
        <v>2.0</v>
      </c>
    </row>
    <row r="11544" ht="15.75" customHeight="1">
      <c r="A11544" s="1">
        <v>12457.0</v>
      </c>
      <c r="B11544" s="3" t="s">
        <v>10985</v>
      </c>
      <c r="C11544" s="3" t="str">
        <f>IFERROR(__xludf.DUMMYFUNCTION("GOOGLETRANSLATE(B11544,""id"",""en"")"),"['Helpful', 'Feature', 'complete']")</f>
        <v>['Helpful', 'Feature', 'complete']</v>
      </c>
      <c r="D11544" s="3">
        <v>5.0</v>
      </c>
    </row>
    <row r="11545" ht="15.75" customHeight="1">
      <c r="A11545" s="1">
        <v>12459.0</v>
      </c>
      <c r="B11545" s="3" t="s">
        <v>10986</v>
      </c>
      <c r="C11545" s="3" t="str">
        <f>IFERROR(__xludf.DUMMYFUNCTION("GOOGLETRANSLATE(B11545,""id"",""en"")"),"['Telkomsel', 'how', 'data', 'on', 'used', 'pdhl', 'buy', 'card']")</f>
        <v>['Telkomsel', 'how', 'data', 'on', 'used', 'pdhl', 'buy', 'card']</v>
      </c>
      <c r="D11545" s="3">
        <v>1.0</v>
      </c>
    </row>
    <row r="11546" ht="15.75" customHeight="1">
      <c r="A11546" s="1">
        <v>12460.0</v>
      </c>
      <c r="B11546" s="3" t="s">
        <v>10987</v>
      </c>
      <c r="C11546" s="3" t="str">
        <f>IFERROR(__xludf.DUMMYFUNCTION("GOOGLETRANSLATE(B11546,""id"",""en"")"),"['cs',' training ',' yaa ',' buy ',' pulse ',' no ',' enter ',' chat ',' kill ',' telephone ',' team ',' leader ',' No ',' care ',' he asked ', ""]")</f>
        <v>['cs',' training ',' yaa ',' buy ',' pulse ',' no ',' enter ',' chat ',' kill ',' telephone ',' team ',' leader ',' No ',' care ',' he asked ', "]</v>
      </c>
      <c r="D11546" s="3">
        <v>1.0</v>
      </c>
    </row>
    <row r="11547" ht="15.75" customHeight="1">
      <c r="A11547" s="1">
        <v>12462.0</v>
      </c>
      <c r="B11547" s="3" t="s">
        <v>10988</v>
      </c>
      <c r="C11547" s="3" t="str">
        <f>IFERROR(__xludf.DUMMYFUNCTION("GOOGLETRANSLATE(B11547,""id"",""en"")"),"['Special', 'Boyolali', 'Kec', 'Klego', 'Paketanmu', 'MAYAL', 'DEVOTION', 'Quality', 'Your Signal', 'Nomer', 'Thus',' Thinking ',' consumers', 'woii', 'just', 'just', 'take', 'exorbitant', 'me', 'switch', 'smartfren', 'your signal', 'canal', 'rotten' , 'K"&amp;"ek', 'gini', 'pay', 'expensive', 'facility', 'garbage']")</f>
        <v>['Special', 'Boyolali', 'Kec', 'Klego', 'Paketanmu', 'MAYAL', 'DEVOTION', 'Quality', 'Your Signal', 'Nomer', 'Thus',' Thinking ',' consumers', 'woii', 'just', 'just', 'take', 'exorbitant', 'me', 'switch', 'smartfren', 'your signal', 'canal', 'rotten' , 'Kek', 'gini', 'pay', 'expensive', 'facility', 'garbage']</v>
      </c>
      <c r="D11547" s="3">
        <v>1.0</v>
      </c>
    </row>
    <row r="11548" ht="15.75" customHeight="1">
      <c r="A11548" s="1">
        <v>12463.0</v>
      </c>
      <c r="B11548" s="3" t="s">
        <v>10989</v>
      </c>
      <c r="C11548" s="3" t="str">
        <f>IFERROR(__xludf.DUMMYFUNCTION("GOOGLETRANSLATE(B11548,""id"",""en"")"),"['The application', 'ugly', 'really', 'login', 'link', 'expiration']")</f>
        <v>['The application', 'ugly', 'really', 'login', 'link', 'expiration']</v>
      </c>
      <c r="D11548" s="3">
        <v>1.0</v>
      </c>
    </row>
    <row r="11549" ht="15.75" customHeight="1">
      <c r="A11549" s="1">
        <v>12464.0</v>
      </c>
      <c r="B11549" s="3" t="s">
        <v>10990</v>
      </c>
      <c r="C11549" s="3" t="str">
        <f>IFERROR(__xludf.DUMMYFUNCTION("GOOGLETRANSLATE(B11549,""id"",""en"")"),"['Paketannya', 'cheap', '']")</f>
        <v>['Paketannya', 'cheap', '']</v>
      </c>
      <c r="D11549" s="3">
        <v>5.0</v>
      </c>
    </row>
    <row r="11550" ht="15.75" customHeight="1">
      <c r="A11550" s="1">
        <v>12465.0</v>
      </c>
      <c r="B11550" s="3" t="s">
        <v>10991</v>
      </c>
      <c r="C11550" s="3" t="str">
        <f>IFERROR(__xludf.DUMMYFUNCTION("GOOGLETRANSLATE(B11550,""id"",""en"")"),"['Good', 'users',' Telkomsel ',' benefit ',' quota ',' cheap ',' package ',' call ',' super ',' cheap ',' innovation ',' wear ',' Cards', 'Telkomsel', 'Success',' Slalu ',' Telkomsel ',' ']")</f>
        <v>['Good', 'users',' Telkomsel ',' benefit ',' quota ',' cheap ',' package ',' call ',' super ',' cheap ',' innovation ',' wear ',' Cards', 'Telkomsel', 'Success',' Slalu ',' Telkomsel ',' ']</v>
      </c>
      <c r="D11550" s="3">
        <v>5.0</v>
      </c>
    </row>
    <row r="11551" ht="15.75" customHeight="1">
      <c r="A11551" s="1">
        <v>12466.0</v>
      </c>
      <c r="B11551" s="3" t="s">
        <v>10992</v>
      </c>
      <c r="C11551" s="3" t="str">
        <f>IFERROR(__xludf.DUMMYFUNCTION("GOOGLETRANSLATE(B11551,""id"",""en"")"),"['APK', 'good', 'really', 'help', 'purchase', 'package', 'pulse', 'bismillahirrahmanirrahim', 'get', 'pulse', ""]")</f>
        <v>['APK', 'good', 'really', 'help', 'purchase', 'package', 'pulse', 'bismillahirrahmanirrahim', 'get', 'pulse', "]</v>
      </c>
      <c r="D11551" s="3">
        <v>5.0</v>
      </c>
    </row>
    <row r="11552" ht="15.75" customHeight="1">
      <c r="A11552" s="1">
        <v>12467.0</v>
      </c>
      <c r="B11552" s="3" t="s">
        <v>10993</v>
      </c>
      <c r="C11552" s="3" t="str">
        <f>IFERROR(__xludf.DUMMYFUNCTION("GOOGLETRANSLATE(B11552,""id"",""en"")"),"['JLAS', 'Paketann', 'Tetep', 'plsa', 'takell', 'hbs']")</f>
        <v>['JLAS', 'Paketann', 'Tetep', 'plsa', 'takell', 'hbs']</v>
      </c>
      <c r="D11552" s="3">
        <v>1.0</v>
      </c>
    </row>
    <row r="11553" ht="15.75" customHeight="1">
      <c r="A11553" s="1">
        <v>12468.0</v>
      </c>
      <c r="B11553" s="3" t="s">
        <v>10994</v>
      </c>
      <c r="C11553" s="3" t="str">
        <f>IFERROR(__xludf.DUMMYFUNCTION("GOOGLETRANSLATE(B11553,""id"",""en"")"),"['', 'helpful']")</f>
        <v>['', 'helpful']</v>
      </c>
      <c r="D11553" s="3">
        <v>5.0</v>
      </c>
    </row>
    <row r="11554" ht="15.75" customHeight="1">
      <c r="A11554" s="1">
        <v>12469.0</v>
      </c>
      <c r="B11554" s="3" t="s">
        <v>10995</v>
      </c>
      <c r="C11554" s="3" t="str">
        <f>IFERROR(__xludf.DUMMYFUNCTION("GOOGLETRANSLATE(B11554,""id"",""en"")"),"['Network', 'Full', 'Ngelag', 'Whatsih', 'then', 'buy', 'quota']")</f>
        <v>['Network', 'Full', 'Ngelag', 'Whatsih', 'then', 'buy', 'quota']</v>
      </c>
      <c r="D11554" s="3">
        <v>1.0</v>
      </c>
    </row>
    <row r="11555" ht="15.75" customHeight="1">
      <c r="A11555" s="1">
        <v>12470.0</v>
      </c>
      <c r="B11555" s="3" t="s">
        <v>10996</v>
      </c>
      <c r="C11555" s="3" t="str">
        <f>IFERROR(__xludf.DUMMYFUNCTION("GOOGLETRANSLATE(B11555,""id"",""en"")"),"['Package', 'Clock', 'Price']")</f>
        <v>['Package', 'Clock', 'Price']</v>
      </c>
      <c r="D11555" s="3">
        <v>5.0</v>
      </c>
    </row>
    <row r="11556" ht="15.75" customHeight="1">
      <c r="A11556" s="1">
        <v>12471.0</v>
      </c>
      <c r="B11556" s="3" t="s">
        <v>10997</v>
      </c>
      <c r="C11556" s="3" t="str">
        <f>IFERROR(__xludf.DUMMYFUNCTION("GOOGLETRANSLATE(B11556,""id"",""en"")"),"['Cool', 'Bangat', 'LIAT', 'LIAT']")</f>
        <v>['Cool', 'Bangat', 'LIAT', 'LIAT']</v>
      </c>
      <c r="D11556" s="3">
        <v>5.0</v>
      </c>
    </row>
    <row r="11557" ht="15.75" customHeight="1">
      <c r="A11557" s="1">
        <v>12472.0</v>
      </c>
      <c r="B11557" s="3" t="s">
        <v>10998</v>
      </c>
      <c r="C11557" s="3" t="str">
        <f>IFERROR(__xludf.DUMMYFUNCTION("GOOGLETRANSLATE(B11557,""id"",""en"")"),"['Helpful', 'ATIII']")</f>
        <v>['Helpful', 'ATIII']</v>
      </c>
      <c r="D11557" s="3">
        <v>5.0</v>
      </c>
    </row>
    <row r="11558" ht="15.75" customHeight="1">
      <c r="A11558" s="1">
        <v>12473.0</v>
      </c>
      <c r="B11558" s="3" t="s">
        <v>10999</v>
      </c>
      <c r="C11558" s="3" t="str">
        <f>IFERROR(__xludf.DUMMYFUNCTION("GOOGLETRANSLATE(B11558,""id"",""en"")"),"['Purchase', 'Package', 'play', 'Package', 'appears',' package ',' promo ',' cheap ',' package ',' buy ',' hard ',' forgiveness', ' MLM ',' Hadeeehhh ',' spent ',' pulse ',' main ',' appears', 'package', 'promo', 'bought', 'claimed', 'hrga', 'package', 'e"&amp;"xpensive' , 'compared to', 'provider', 'next door', 'difficult', 'slow', 'open', 'app', 'Telkomsel', '']")</f>
        <v>['Purchase', 'Package', 'play', 'Package', 'appears',' package ',' promo ',' cheap ',' package ',' buy ',' hard ',' forgiveness', ' MLM ',' Hadeeehhh ',' spent ',' pulse ',' main ',' appears', 'package', 'promo', 'bought', 'claimed', 'hrga', 'package', 'expensive' , 'compared to', 'provider', 'next door', 'difficult', 'slow', 'open', 'app', 'Telkomsel', '']</v>
      </c>
      <c r="D11558" s="3">
        <v>1.0</v>
      </c>
    </row>
    <row r="11559" ht="15.75" customHeight="1">
      <c r="A11559" s="1">
        <v>12474.0</v>
      </c>
      <c r="B11559" s="3" t="s">
        <v>890</v>
      </c>
      <c r="C11559" s="3" t="str">
        <f>IFERROR(__xludf.DUMMYFUNCTION("GOOGLETRANSLATE(B11559,""id"",""en"")"),"['good', '']")</f>
        <v>['good', '']</v>
      </c>
      <c r="D11559" s="3">
        <v>4.0</v>
      </c>
    </row>
    <row r="11560" ht="15.75" customHeight="1">
      <c r="A11560" s="1">
        <v>12475.0</v>
      </c>
      <c r="B11560" s="3" t="s">
        <v>11000</v>
      </c>
      <c r="C11560" s="3" t="str">
        <f>IFERROR(__xludf.DUMMYFUNCTION("GOOGLETRANSLATE(B11560,""id"",""en"")"),"['Quality', 'Siyala', 'Good']")</f>
        <v>['Quality', 'Siyala', 'Good']</v>
      </c>
      <c r="D11560" s="3">
        <v>4.0</v>
      </c>
    </row>
    <row r="11561" ht="15.75" customHeight="1">
      <c r="A11561" s="1">
        <v>12476.0</v>
      </c>
      <c r="B11561" s="3" t="s">
        <v>11001</v>
      </c>
      <c r="C11561" s="3" t="str">
        <f>IFERROR(__xludf.DUMMYFUNCTION("GOOGLETRANSLATE(B11561,""id"",""en"")"),"['Network', 'Network', 'smooth', 'Telkomsel', 'weird']")</f>
        <v>['Network', 'Network', 'smooth', 'Telkomsel', 'weird']</v>
      </c>
      <c r="D11561" s="3">
        <v>1.0</v>
      </c>
    </row>
    <row r="11562" ht="15.75" customHeight="1">
      <c r="A11562" s="1">
        <v>12477.0</v>
      </c>
      <c r="B11562" s="3" t="s">
        <v>5464</v>
      </c>
      <c r="C11562" s="3" t="str">
        <f>IFERROR(__xludf.DUMMYFUNCTION("GOOGLETRANSLATE(B11562,""id"",""en"")"),"['pulse', 'Sumpot']")</f>
        <v>['pulse', 'Sumpot']</v>
      </c>
      <c r="D11562" s="3">
        <v>1.0</v>
      </c>
    </row>
    <row r="11563" ht="15.75" customHeight="1">
      <c r="A11563" s="1">
        <v>12478.0</v>
      </c>
      <c r="B11563" s="3" t="s">
        <v>11002</v>
      </c>
      <c r="C11563" s="3" t="str">
        <f>IFERROR(__xludf.DUMMYFUNCTION("GOOGLETRANSLATE(B11563,""id"",""en"")"),"['open', 'application', 'open', 'please', 'repair', 'condition']")</f>
        <v>['open', 'application', 'open', 'please', 'repair', 'condition']</v>
      </c>
      <c r="D11563" s="3">
        <v>3.0</v>
      </c>
    </row>
    <row r="11564" ht="15.75" customHeight="1">
      <c r="A11564" s="1">
        <v>12479.0</v>
      </c>
      <c r="B11564" s="3" t="s">
        <v>1273</v>
      </c>
      <c r="C11564" s="3" t="str">
        <f>IFERROR(__xludf.DUMMYFUNCTION("GOOGLETRANSLATE(B11564,""id"",""en"")"),"['Star', 'Talk']")</f>
        <v>['Star', 'Talk']</v>
      </c>
      <c r="D11564" s="3">
        <v>5.0</v>
      </c>
    </row>
    <row r="11565" ht="15.75" customHeight="1">
      <c r="A11565" s="1">
        <v>12480.0</v>
      </c>
      <c r="B11565" s="3" t="s">
        <v>11003</v>
      </c>
      <c r="C11565" s="3" t="str">
        <f>IFERROR(__xludf.DUMMYFUNCTION("GOOGLETRANSLATE(B11565,""id"",""en"")"),"['Network', 'Leet', 'please']")</f>
        <v>['Network', 'Leet', 'please']</v>
      </c>
      <c r="D11565" s="3">
        <v>3.0</v>
      </c>
    </row>
    <row r="11566" ht="15.75" customHeight="1">
      <c r="A11566" s="1">
        <v>12481.0</v>
      </c>
      <c r="B11566" s="3" t="s">
        <v>11004</v>
      </c>
      <c r="C11566" s="3" t="str">
        <f>IFERROR(__xludf.DUMMYFUNCTION("GOOGLETRANSLATE(B11566,""id"",""en"")"),"['already', 'buy', 'package', 'gamemax', 'mytelkomsel', 'diamond', 'quota', 'enter', 'pulse', 'run out', 'how', 'Telkomsel', ' Talikin ',' pulse ']")</f>
        <v>['already', 'buy', 'package', 'gamemax', 'mytelkomsel', 'diamond', 'quota', 'enter', 'pulse', 'run out', 'how', 'Telkomsel', ' Talikin ',' pulse ']</v>
      </c>
      <c r="D11566" s="3">
        <v>1.0</v>
      </c>
    </row>
    <row r="11567" ht="15.75" customHeight="1">
      <c r="A11567" s="1">
        <v>12482.0</v>
      </c>
      <c r="B11567" s="3" t="s">
        <v>11005</v>
      </c>
      <c r="C11567" s="3" t="str">
        <f>IFERROR(__xludf.DUMMYFUNCTION("GOOGLETRANSLATE(B11567,""id"",""en"")"),"['Yes', 'advanced', 'TRS', 'Telkomsel']")</f>
        <v>['Yes', 'advanced', 'TRS', 'Telkomsel']</v>
      </c>
      <c r="D11567" s="3">
        <v>5.0</v>
      </c>
    </row>
    <row r="11568" ht="15.75" customHeight="1">
      <c r="A11568" s="1">
        <v>12483.0</v>
      </c>
      <c r="B11568" s="3" t="s">
        <v>11006</v>
      </c>
      <c r="C11568" s="3" t="str">
        <f>IFERROR(__xludf.DUMMYFUNCTION("GOOGLETRANSLATE(B11568,""id"",""en"")"),"['APK', 'Bangus']")</f>
        <v>['APK', 'Bangus']</v>
      </c>
      <c r="D11568" s="3">
        <v>5.0</v>
      </c>
    </row>
    <row r="11569" ht="15.75" customHeight="1">
      <c r="A11569" s="1">
        <v>12484.0</v>
      </c>
      <c r="B11569" s="3" t="s">
        <v>11007</v>
      </c>
      <c r="C11569" s="3" t="str">
        <f>IFERROR(__xludf.DUMMYFUNCTION("GOOGLETRANSLATE(B11569,""id"",""en"")"),"['My place', 'stay', 'my place', 'work', 'signal', 'rotten', 'really', 'good', 'love', 'star', ""]")</f>
        <v>['My place', 'stay', 'my place', 'work', 'signal', 'rotten', 'really', 'good', 'love', 'star', "]</v>
      </c>
      <c r="D11569" s="3">
        <v>3.0</v>
      </c>
    </row>
    <row r="11570" ht="15.75" customHeight="1">
      <c r="A11570" s="1">
        <v>12485.0</v>
      </c>
      <c r="B11570" s="3" t="s">
        <v>8489</v>
      </c>
      <c r="C11570" s="3" t="str">
        <f>IFERROR(__xludf.DUMMYFUNCTION("GOOGLETRANSLATE(B11570,""id"",""en"")"),"['convenience', 'user']")</f>
        <v>['convenience', 'user']</v>
      </c>
      <c r="D11570" s="3">
        <v>5.0</v>
      </c>
    </row>
    <row r="11571" ht="15.75" customHeight="1">
      <c r="A11571" s="1">
        <v>12486.0</v>
      </c>
      <c r="B11571" s="3" t="s">
        <v>11008</v>
      </c>
      <c r="C11571" s="3" t="str">
        <f>IFERROR(__xludf.DUMMYFUNCTION("GOOGLETRANSLATE(B11571,""id"",""en"")"),"['Steady', 'Diman', 'Where', 'Network', 'Telkomsel', 'Angle', 'Angle', 'Sulawesi', 'Help', 'Workers', 'Outdoor']")</f>
        <v>['Steady', 'Diman', 'Where', 'Network', 'Telkomsel', 'Angle', 'Angle', 'Sulawesi', 'Help', 'Workers', 'Outdoor']</v>
      </c>
      <c r="D11571" s="3">
        <v>5.0</v>
      </c>
    </row>
    <row r="11572" ht="15.75" customHeight="1">
      <c r="A11572" s="1">
        <v>12487.0</v>
      </c>
      <c r="B11572" s="3" t="s">
        <v>11009</v>
      </c>
      <c r="C11572" s="3" t="str">
        <f>IFERROR(__xludf.DUMMYFUNCTION("GOOGLETRANSLATE(B11572,""id"",""en"")"),"['apk', 'ugly', 'bngt', 'gabisa', 'list', 'user', '']")</f>
        <v>['apk', 'ugly', 'bngt', 'gabisa', 'list', 'user', '']</v>
      </c>
      <c r="D11572" s="3">
        <v>1.0</v>
      </c>
    </row>
    <row r="11573" ht="15.75" customHeight="1">
      <c r="A11573" s="1">
        <v>12488.0</v>
      </c>
      <c r="B11573" s="3" t="s">
        <v>11010</v>
      </c>
      <c r="C11573" s="3" t="str">
        <f>IFERROR(__xludf.DUMMYFUNCTION("GOOGLETRANSLATE(B11573,""id"",""en"")"),"['Such as', 'Log', 'Link', 'SMS']")</f>
        <v>['Such as', 'Log', 'Link', 'SMS']</v>
      </c>
      <c r="D11573" s="3">
        <v>3.0</v>
      </c>
    </row>
    <row r="11574" ht="15.75" customHeight="1">
      <c r="A11574" s="1">
        <v>12489.0</v>
      </c>
      <c r="B11574" s="3" t="s">
        <v>11011</v>
      </c>
      <c r="C11574" s="3" t="str">
        <f>IFERROR(__xludf.DUMMYFUNCTION("GOOGLETRANSLATE(B11574,""id"",""en"")"),"['Telkomsel', 'example', 'open', 'dositu', 'choice', 'package', 'weekend', 'iyakan', 'apply', ""]")</f>
        <v>['Telkomsel', 'example', 'open', 'dositu', 'choice', 'package', 'weekend', 'iyakan', 'apply', "]</v>
      </c>
      <c r="D11574" s="3">
        <v>1.0</v>
      </c>
    </row>
    <row r="11575" ht="15.75" customHeight="1">
      <c r="A11575" s="1">
        <v>12490.0</v>
      </c>
      <c r="B11575" s="3" t="s">
        <v>11012</v>
      </c>
      <c r="C11575" s="3" t="str">
        <f>IFERROR(__xludf.DUMMYFUNCTION("GOOGLETRANSLATE(B11575,""id"",""en"")"),"['Forced', 'Download', 'Application', 'Check', 'Quota', 'Disappointing']")</f>
        <v>['Forced', 'Download', 'Application', 'Check', 'Quota', 'Disappointing']</v>
      </c>
      <c r="D11575" s="3">
        <v>1.0</v>
      </c>
    </row>
    <row r="11576" ht="15.75" customHeight="1">
      <c r="A11576" s="1">
        <v>12491.0</v>
      </c>
      <c r="B11576" s="3" t="s">
        <v>11013</v>
      </c>
      <c r="C11576" s="3" t="str">
        <f>IFERROR(__xludf.DUMMYFUNCTION("GOOGLETRANSLATE(B11576,""id"",""en"")"),"['Network', 'ngelag', 'difficult', 'play', 'game', 'online', 'quota', 'expensive', 'ngelag', 'asw']")</f>
        <v>['Network', 'ngelag', 'difficult', 'play', 'game', 'online', 'quota', 'expensive', 'ngelag', 'asw']</v>
      </c>
      <c r="D11576" s="3">
        <v>1.0</v>
      </c>
    </row>
    <row r="11577" ht="15.75" customHeight="1">
      <c r="A11577" s="1">
        <v>12492.0</v>
      </c>
      <c r="B11577" s="3" t="s">
        <v>11014</v>
      </c>
      <c r="C11577" s="3" t="str">
        <f>IFERROR(__xludf.DUMMYFUNCTION("GOOGLETRANSLATE(B11577,""id"",""en"")"),"['expensive', 'expensive', 'briefly', 'replace', 'card', '']")</f>
        <v>['expensive', 'expensive', 'briefly', 'replace', 'card', '']</v>
      </c>
      <c r="D11577" s="3">
        <v>1.0</v>
      </c>
    </row>
    <row r="11578" ht="15.75" customHeight="1">
      <c r="A11578" s="1">
        <v>12493.0</v>
      </c>
      <c r="B11578" s="3" t="s">
        <v>11015</v>
      </c>
      <c r="C11578" s="3" t="str">
        <f>IFERROR(__xludf.DUMMYFUNCTION("GOOGLETRANSLATE(B11578,""id"",""en"")"),"['Network', 'internet', 'bad', 'signal', 'indicator', 'speed', 'internet', 'please', 'provider', 'follow up', 'application', 'please', ' Details', 'ynag', 'accurate', 'related', 'speed', 'Mbps',' harmed ',' buy ',' package ',' internet ',' please ',' resp"&amp;"onded ',' serious' ]")</f>
        <v>['Network', 'internet', 'bad', 'signal', 'indicator', 'speed', 'internet', 'please', 'provider', 'follow up', 'application', 'please', ' Details', 'ynag', 'accurate', 'related', 'speed', 'Mbps',' harmed ',' buy ',' package ',' internet ',' please ',' responded ',' serious' ]</v>
      </c>
      <c r="D11578" s="3">
        <v>1.0</v>
      </c>
    </row>
    <row r="11579" ht="15.75" customHeight="1">
      <c r="A11579" s="1">
        <v>12494.0</v>
      </c>
      <c r="B11579" s="3" t="s">
        <v>11016</v>
      </c>
      <c r="C11579" s="3" t="str">
        <f>IFERROR(__xludf.DUMMYFUNCTION("GOOGLETRANSLATE(B11579,""id"",""en"")"),"['Sorry', 'collapse', 'rating', 'tlng', 'connection', 'updated', 'enhanced', 'stable', 'network', 'in the area', 'remote', 'rural']")</f>
        <v>['Sorry', 'collapse', 'rating', 'tlng', 'connection', 'updated', 'enhanced', 'stable', 'network', 'in the area', 'remote', 'rural']</v>
      </c>
      <c r="D11579" s="3">
        <v>2.0</v>
      </c>
    </row>
    <row r="11580" ht="15.75" customHeight="1">
      <c r="A11580" s="1">
        <v>12495.0</v>
      </c>
      <c r="B11580" s="3" t="s">
        <v>11017</v>
      </c>
      <c r="C11580" s="3" t="str">
        <f>IFERROR(__xludf.DUMMYFUNCTION("GOOGLETRANSLATE(B11580,""id"",""en"")"),"['signal', 'ugly', 'trs', 'play', 'ngeleg']")</f>
        <v>['signal', 'ugly', 'trs', 'play', 'ngeleg']</v>
      </c>
      <c r="D11580" s="3">
        <v>1.0</v>
      </c>
    </row>
    <row r="11581" ht="15.75" customHeight="1">
      <c r="A11581" s="1">
        <v>12497.0</v>
      </c>
      <c r="B11581" s="3" t="s">
        <v>11018</v>
      </c>
      <c r="C11581" s="3" t="str">
        <f>IFERROR(__xludf.DUMMYFUNCTION("GOOGLETRANSLATE(B11581,""id"",""en"")"),"['Register', 'number', 'list', 'number', 'list', 'delete', 'number', 'use', 'thank you']")</f>
        <v>['Register', 'number', 'list', 'number', 'list', 'delete', 'number', 'use', 'thank you']</v>
      </c>
      <c r="D11581" s="3">
        <v>5.0</v>
      </c>
    </row>
    <row r="11582" ht="15.75" customHeight="1">
      <c r="A11582" s="1">
        <v>12498.0</v>
      </c>
      <c r="B11582" s="3" t="s">
        <v>11019</v>
      </c>
      <c r="C11582" s="3" t="str">
        <f>IFERROR(__xludf.DUMMYFUNCTION("GOOGLETRANSLATE(B11582,""id"",""en"")"),"['good', 'just', 'signal', 'ugly', 'package', 'margeable', 'increase', 'signal', 'please', 'cheap', 'package', ""]")</f>
        <v>['good', 'just', 'signal', 'ugly', 'package', 'margeable', 'increase', 'signal', 'please', 'cheap', 'package', "]</v>
      </c>
      <c r="D11582" s="3">
        <v>3.0</v>
      </c>
    </row>
    <row r="11583" ht="15.75" customHeight="1">
      <c r="A11583" s="1">
        <v>12499.0</v>
      </c>
      <c r="B11583" s="3" t="s">
        <v>11020</v>
      </c>
      <c r="C11583" s="3" t="str">
        <f>IFERROR(__xludf.DUMMYFUNCTION("GOOGLETRANSLATE(B11583,""id"",""en"")"),"['Not bad', 'good', 'TPI', 'LEG']")</f>
        <v>['Not bad', 'good', 'TPI', 'LEG']</v>
      </c>
      <c r="D11583" s="3">
        <v>3.0</v>
      </c>
    </row>
    <row r="11584" ht="15.75" customHeight="1">
      <c r="A11584" s="1">
        <v>12500.0</v>
      </c>
      <c r="B11584" s="3" t="s">
        <v>11021</v>
      </c>
      <c r="C11584" s="3" t="str">
        <f>IFERROR(__xludf.DUMMYFUNCTION("GOOGLETRANSLATE(B11584,""id"",""en"")"),"['Signal', 'Klau', 'Brada', 'Didlm', 'home', 'address',' Coconut ',' kel ',' Jawi ',' Jawi ',' Kec ',' Bulumumpa ',' Kab ',' Bulukumba ',' Sulawesi ',' South ',' benchmark ',' mosque ']")</f>
        <v>['Signal', 'Klau', 'Brada', 'Didlm', 'home', 'address',' Coconut ',' kel ',' Jawi ',' Jawi ',' Kec ',' Bulumumpa ',' Kab ',' Bulukumba ',' Sulawesi ',' South ',' benchmark ',' mosque ']</v>
      </c>
      <c r="D11584" s="3">
        <v>5.0</v>
      </c>
    </row>
    <row r="11585" ht="15.75" customHeight="1">
      <c r="A11585" s="1">
        <v>12501.0</v>
      </c>
      <c r="B11585" s="3" t="s">
        <v>1316</v>
      </c>
      <c r="C11585" s="3" t="str">
        <f>IFERROR(__xludf.DUMMYFUNCTION("GOOGLETRANSLATE(B11585,""id"",""en"")"),"['steady', 'signal', 'good']")</f>
        <v>['steady', 'signal', 'good']</v>
      </c>
      <c r="D11585" s="3">
        <v>5.0</v>
      </c>
    </row>
    <row r="11586" ht="15.75" customHeight="1">
      <c r="A11586" s="1">
        <v>12502.0</v>
      </c>
      <c r="B11586" s="3" t="s">
        <v>11022</v>
      </c>
      <c r="C11586" s="3" t="str">
        <f>IFERROR(__xludf.DUMMYFUNCTION("GOOGLETRANSLATE(B11586,""id"",""en"")"),"['Cheap', 'really', 'buy', 'quota', 'wasteful']")</f>
        <v>['Cheap', 'really', 'buy', 'quota', 'wasteful']</v>
      </c>
      <c r="D11586" s="3">
        <v>5.0</v>
      </c>
    </row>
    <row r="11587" ht="15.75" customHeight="1">
      <c r="A11587" s="1">
        <v>12505.0</v>
      </c>
      <c r="B11587" s="3" t="s">
        <v>11023</v>
      </c>
      <c r="C11587" s="3" t="str">
        <f>IFERROR(__xludf.DUMMYFUNCTION("GOOGLETRANSLATE(B11587,""id"",""en"")"),"['Good', 'really', 'the application', 'bikesssss', 'really', 'staple', 'good', 'deh']")</f>
        <v>['Good', 'really', 'the application', 'bikesssss', 'really', 'staple', 'good', 'deh']</v>
      </c>
      <c r="D11587" s="3">
        <v>5.0</v>
      </c>
    </row>
    <row r="11588" ht="15.75" customHeight="1">
      <c r="A11588" s="1">
        <v>12506.0</v>
      </c>
      <c r="B11588" s="3" t="s">
        <v>11024</v>
      </c>
      <c r="C11588" s="3" t="str">
        <f>IFERROR(__xludf.DUMMYFUNCTION("GOOGLETRANSLATE(B11588,""id"",""en"")"),"['Love', 'Package', 'Promo', 'Select', 'Select', 'Number', 'Yesterday', 'Package', 'GB', 'Phew', 'Talk', 'Signal', ' internet ',' area ',' bandwidth ',' big ',' ahhh ',' forget ',' talk ',' area ', ""]")</f>
        <v>['Love', 'Package', 'Promo', 'Select', 'Select', 'Number', 'Yesterday', 'Package', 'GB', 'Phew', 'Talk', 'Signal', ' internet ',' area ',' bandwidth ',' big ',' ahhh ',' forget ',' talk ',' area ', "]</v>
      </c>
      <c r="D11588" s="3">
        <v>1.0</v>
      </c>
    </row>
    <row r="11589" ht="15.75" customHeight="1">
      <c r="A11589" s="1">
        <v>12507.0</v>
      </c>
      <c r="B11589" s="3" t="s">
        <v>11025</v>
      </c>
      <c r="C11589" s="3" t="str">
        <f>IFERROR(__xludf.DUMMYFUNCTION("GOOGLETRANSLATE(B11589,""id"",""en"")"),"['', 'Cobaien', 'Telkomsel', 'Good']")</f>
        <v>['', 'Cobaien', 'Telkomsel', 'Good']</v>
      </c>
      <c r="D11589" s="3">
        <v>5.0</v>
      </c>
    </row>
    <row r="11590" ht="15.75" customHeight="1">
      <c r="A11590" s="1">
        <v>12508.0</v>
      </c>
      <c r="B11590" s="3" t="s">
        <v>11026</v>
      </c>
      <c r="C11590" s="3" t="str">
        <f>IFERROR(__xludf.DUMMYFUNCTION("GOOGLETRANSLATE(B11590,""id"",""en"")"),"['Purchase', 'easy', 'pulse', 'package', 'internet', 'home', 'munt', 'dies',' road ',' it's out ',' pulse ',' package ',' Internet ',' Bonus', 'Gifts',' Offers', 'Telkomsel', 'Success',' Telkomsel ',' ']")</f>
        <v>['Purchase', 'easy', 'pulse', 'package', 'internet', 'home', 'munt', 'dies',' road ',' it's out ',' pulse ',' package ',' Internet ',' Bonus', 'Gifts',' Offers', 'Telkomsel', 'Success',' Telkomsel ',' ']</v>
      </c>
      <c r="D11590" s="3">
        <v>5.0</v>
      </c>
    </row>
    <row r="11591" ht="15.75" customHeight="1">
      <c r="A11591" s="1">
        <v>12509.0</v>
      </c>
      <c r="B11591" s="3" t="s">
        <v>11027</v>
      </c>
      <c r="C11591" s="3" t="str">
        <f>IFERROR(__xludf.DUMMYFUNCTION("GOOGLETRANSLATE(B11591,""id"",""en"")"),"['Telkomsel', 'repairs',' cable ',' already ',' finished ',' signal ',' difficult ',' price ',' package ',' add ',' customer ',' disappointed ',' price ',' suits', 'quality']")</f>
        <v>['Telkomsel', 'repairs',' cable ',' already ',' finished ',' signal ',' difficult ',' price ',' package ',' add ',' customer ',' disappointed ',' price ',' suits', 'quality']</v>
      </c>
      <c r="D11591" s="3">
        <v>1.0</v>
      </c>
    </row>
    <row r="11592" ht="15.75" customHeight="1">
      <c r="A11592" s="1">
        <v>12510.0</v>
      </c>
      <c r="B11592" s="3" t="s">
        <v>11028</v>
      </c>
      <c r="C11592" s="3" t="str">
        <f>IFERROR(__xludf.DUMMYFUNCTION("GOOGLETRANSLATE(B11592,""id"",""en"")"),"['Network', 'strong', 'border', 'empty', 'border', 'empty', '']")</f>
        <v>['Network', 'strong', 'border', 'empty', 'border', 'empty', '']</v>
      </c>
      <c r="D11592" s="3">
        <v>1.0</v>
      </c>
    </row>
    <row r="11593" ht="15.75" customHeight="1">
      <c r="A11593" s="1">
        <v>12511.0</v>
      </c>
      <c r="B11593" s="3" t="s">
        <v>11029</v>
      </c>
      <c r="C11593" s="3" t="str">
        <f>IFERROR(__xludf.DUMMYFUNCTION("GOOGLETRANSLATE(B11593,""id"",""en"")"),"['Telkomsel', 'Help', 'Sarans', 'Communication', 'Telkomsel', 'Present', 'Region', 'Mountains', 'Plains']")</f>
        <v>['Telkomsel', 'Help', 'Sarans', 'Communication', 'Telkomsel', 'Present', 'Region', 'Mountains', 'Plains']</v>
      </c>
      <c r="D11593" s="3">
        <v>5.0</v>
      </c>
    </row>
    <row r="11594" ht="15.75" customHeight="1">
      <c r="A11594" s="1">
        <v>12512.0</v>
      </c>
      <c r="B11594" s="3" t="s">
        <v>11030</v>
      </c>
      <c r="C11594" s="3" t="str">
        <f>IFERROR(__xludf.DUMMYFUNCTION("GOOGLETRANSLATE(B11594,""id"",""en"")"),"['signalny', 'nothing', 'appeal', 'mainny', 'topmarkotob', 'wall', 'lhebgodheb', 'dech', 'explained', '']")</f>
        <v>['signalny', 'nothing', 'appeal', 'mainny', 'topmarkotob', 'wall', 'lhebgodheb', 'dech', 'explained', '']</v>
      </c>
      <c r="D11594" s="3">
        <v>5.0</v>
      </c>
    </row>
    <row r="11595" ht="15.75" customHeight="1">
      <c r="A11595" s="1">
        <v>12513.0</v>
      </c>
      <c r="B11595" s="3" t="s">
        <v>11031</v>
      </c>
      <c r="C11595" s="3" t="str">
        <f>IFERROR(__xludf.DUMMYFUNCTION("GOOGLETRANSLATE(B11595,""id"",""en"")"),"['Good', 'makes it easy', 'access']")</f>
        <v>['Good', 'makes it easy', 'access']</v>
      </c>
      <c r="D11595" s="3">
        <v>5.0</v>
      </c>
    </row>
    <row r="11596" ht="15.75" customHeight="1">
      <c r="A11596" s="1">
        <v>12514.0</v>
      </c>
      <c r="B11596" s="3" t="s">
        <v>11032</v>
      </c>
      <c r="C11596" s="3" t="str">
        <f>IFERROR(__xludf.DUMMYFUNCTION("GOOGLETRANSLATE(B11596,""id"",""en"")"),"['pity', 'love', 'star', 'wkwkwkw', 'sorry', 'love', 'hijrah', 'provider', 'active', 'card', 'brief', 'thank you', ' Customers', 'Telkomsel', '']")</f>
        <v>['pity', 'love', 'star', 'wkwkwkw', 'sorry', 'love', 'hijrah', 'provider', 'active', 'card', 'brief', 'thank you', ' Customers', 'Telkomsel', '']</v>
      </c>
      <c r="D11596" s="3">
        <v>1.0</v>
      </c>
    </row>
    <row r="11597" ht="15.75" customHeight="1">
      <c r="A11597" s="1">
        <v>12515.0</v>
      </c>
      <c r="B11597" s="3" t="s">
        <v>11033</v>
      </c>
      <c r="C11597" s="3" t="str">
        <f>IFERROR(__xludf.DUMMYFUNCTION("GOOGLETRANSLATE(B11597,""id"",""en"")"),"['Delicious', 'uses', 'Ribet']")</f>
        <v>['Delicious', 'uses', 'Ribet']</v>
      </c>
      <c r="D11597" s="3">
        <v>5.0</v>
      </c>
    </row>
    <row r="11598" ht="15.75" customHeight="1">
      <c r="A11598" s="1">
        <v>12516.0</v>
      </c>
      <c r="B11598" s="3" t="s">
        <v>11034</v>
      </c>
      <c r="C11598" s="3" t="str">
        <f>IFERROR(__xludf.DUMMYFUNCTION("GOOGLETRANSLATE(B11598,""id"",""en"")"),"['Please', 'quota', 'cheap', '']")</f>
        <v>['Please', 'quota', 'cheap', '']</v>
      </c>
      <c r="D11598" s="3">
        <v>5.0</v>
      </c>
    </row>
    <row r="11599" ht="15.75" customHeight="1">
      <c r="A11599" s="1">
        <v>12517.0</v>
      </c>
      <c r="B11599" s="3" t="s">
        <v>11035</v>
      </c>
      <c r="C11599" s="3" t="str">
        <f>IFERROR(__xludf.DUMMYFUNCTION("GOOGLETRANSLATE(B11599,""id"",""en"")"),"['kerennnb', 'staple']")</f>
        <v>['kerennnb', 'staple']</v>
      </c>
      <c r="D11599" s="3">
        <v>5.0</v>
      </c>
    </row>
    <row r="11600" ht="15.75" customHeight="1">
      <c r="A11600" s="1">
        <v>12518.0</v>
      </c>
      <c r="B11600" s="3" t="s">
        <v>3878</v>
      </c>
      <c r="C11600" s="3" t="str">
        <f>IFERROR(__xludf.DUMMYFUNCTION("GOOGLETRANSLATE(B11600,""id"",""en"")"),"['Enhanced']")</f>
        <v>['Enhanced']</v>
      </c>
      <c r="D11600" s="3">
        <v>3.0</v>
      </c>
    </row>
    <row r="11601" ht="15.75" customHeight="1">
      <c r="A11601" s="1">
        <v>12519.0</v>
      </c>
      <c r="B11601" s="3" t="s">
        <v>11036</v>
      </c>
      <c r="C11601" s="3" t="str">
        <f>IFERROR(__xludf.DUMMYFUNCTION("GOOGLETRANSLATE(B11601,""id"",""en"")"),"['Application', 'Select', 'Select', 'Package', 'Account', 'Different', 'Offer', 'Price']")</f>
        <v>['Application', 'Select', 'Select', 'Package', 'Account', 'Different', 'Offer', 'Price']</v>
      </c>
      <c r="D11601" s="3">
        <v>1.0</v>
      </c>
    </row>
    <row r="11602" ht="15.75" customHeight="1">
      <c r="A11602" s="1">
        <v>12520.0</v>
      </c>
      <c r="B11602" s="3" t="s">
        <v>11037</v>
      </c>
      <c r="C11602" s="3" t="str">
        <f>IFERROR(__xludf.DUMMYFUNCTION("GOOGLETRANSLATE(B11602,""id"",""en"")"),"['price', 'down', 'expensive', 'times', 'boss', 'package', 'package', 'call', 'already', 'less', ""]")</f>
        <v>['price', 'down', 'expensive', 'times', 'boss', 'package', 'package', 'call', 'already', 'less', "]</v>
      </c>
      <c r="D11602" s="3">
        <v>3.0</v>
      </c>
    </row>
    <row r="11603" ht="15.75" customHeight="1">
      <c r="A11603" s="1">
        <v>12521.0</v>
      </c>
      <c r="B11603" s="3" t="s">
        <v>11038</v>
      </c>
      <c r="C11603" s="3" t="str">
        <f>IFERROR(__xludf.DUMMYFUNCTION("GOOGLETRANSLATE(B11603,""id"",""en"")"),"['happy', 'Satisfied', 'really', 'service', 'Telkomse', 'thanks',' Telkomsel ',' present ',' best ',' vocational "", '']")</f>
        <v>['happy', 'Satisfied', 'really', 'service', 'Telkomse', 'thanks',' Telkomsel ',' present ',' best ',' vocational ", '']</v>
      </c>
      <c r="D11603" s="3">
        <v>5.0</v>
      </c>
    </row>
    <row r="11604" ht="15.75" customHeight="1">
      <c r="A11604" s="1">
        <v>12522.0</v>
      </c>
      <c r="B11604" s="3" t="s">
        <v>11039</v>
      </c>
      <c r="C11604" s="3" t="str">
        <f>IFERROR(__xludf.DUMMYFUNCTION("GOOGLETRANSLATE(B11604,""id"",""en"")"),"['Use', 'quota', 'multimedia', 'gmn', '']")</f>
        <v>['Use', 'quota', 'multimedia', 'gmn', '']</v>
      </c>
      <c r="D11604" s="3">
        <v>3.0</v>
      </c>
    </row>
    <row r="11605" ht="15.75" customHeight="1">
      <c r="A11605" s="1">
        <v>12523.0</v>
      </c>
      <c r="B11605" s="3" t="s">
        <v>11040</v>
      </c>
      <c r="C11605" s="3" t="str">
        <f>IFERROR(__xludf.DUMMYFUNCTION("GOOGLETRANSLATE(B11605,""id"",""en"")"),"['Application', 'Helping', 'User', 'Increases', 'Comfort']")</f>
        <v>['Application', 'Helping', 'User', 'Increases', 'Comfort']</v>
      </c>
      <c r="D11605" s="3">
        <v>5.0</v>
      </c>
    </row>
    <row r="11606" ht="15.75" customHeight="1">
      <c r="A11606" s="1">
        <v>12524.0</v>
      </c>
      <c r="B11606" s="3" t="s">
        <v>11041</v>
      </c>
      <c r="C11606" s="3" t="str">
        <f>IFERROR(__xludf.DUMMYFUNCTION("GOOGLETRANSLATE(B11606,""id"",""en"")"),"['Practical', 'SNGT', 'Accurate', '']")</f>
        <v>['Practical', 'SNGT', 'Accurate', '']</v>
      </c>
      <c r="D11606" s="3">
        <v>5.0</v>
      </c>
    </row>
    <row r="11607" ht="15.75" customHeight="1">
      <c r="A11607" s="1">
        <v>12525.0</v>
      </c>
      <c r="B11607" s="3" t="s">
        <v>11042</v>
      </c>
      <c r="C11607" s="3" t="str">
        <f>IFERROR(__xludf.DUMMYFUNCTION("GOOGLETRANSLATE(B11607,""id"",""en"")"),"['Credit', 'sucked', 'package', 'min', 'complain', 'pulses', 'salespeople', '']")</f>
        <v>['Credit', 'sucked', 'package', 'min', 'complain', 'pulses', 'salespeople', '']</v>
      </c>
      <c r="D11607" s="3">
        <v>2.0</v>
      </c>
    </row>
    <row r="11608" ht="15.75" customHeight="1">
      <c r="A11608" s="1">
        <v>12526.0</v>
      </c>
      <c r="B11608" s="3" t="s">
        <v>11043</v>
      </c>
      <c r="C11608" s="3" t="str">
        <f>IFERROR(__xludf.DUMMYFUNCTION("GOOGLETRANSLATE(B11608,""id"",""en"")"),"['application', 'jelekkkk', 'yes',' pay ',' package ',' emergency ',' TPI ',' cut ',' balance ',' pulse ',' Telkomsel ',' friendly ',' Customers', 'famous',' sell ',' products', 'expensive', '']")</f>
        <v>['application', 'jelekkkk', 'yes',' pay ',' package ',' emergency ',' TPI ',' cut ',' balance ',' pulse ',' Telkomsel ',' friendly ',' Customers', 'famous',' sell ',' products', 'expensive', '']</v>
      </c>
      <c r="D11608" s="3">
        <v>1.0</v>
      </c>
    </row>
    <row r="11609" ht="15.75" customHeight="1">
      <c r="A11609" s="1">
        <v>12527.0</v>
      </c>
      <c r="B11609" s="3" t="s">
        <v>11044</v>
      </c>
      <c r="C11609" s="3" t="str">
        <f>IFERROR(__xludf.DUMMYFUNCTION("GOOGLETRANSLATE(B11609,""id"",""en"")"),"['Jripping', 'Worst']")</f>
        <v>['Jripping', 'Worst']</v>
      </c>
      <c r="D11609" s="3">
        <v>1.0</v>
      </c>
    </row>
    <row r="11610" ht="15.75" customHeight="1">
      <c r="A11610" s="1">
        <v>12528.0</v>
      </c>
      <c r="B11610" s="3" t="s">
        <v>11045</v>
      </c>
      <c r="C11610" s="3" t="str">
        <f>IFERROR(__xludf.DUMMYFUNCTION("GOOGLETRANSLATE(B11610,""id"",""en"")"),"['Affordable', 'TPI', 'KLW', 'Dead', 'Lights', 'Overcast', 'Like', 'Lemooot', ""]")</f>
        <v>['Affordable', 'TPI', 'KLW', 'Dead', 'Lights', 'Overcast', 'Like', 'Lemooot', "]</v>
      </c>
      <c r="D11610" s="3">
        <v>5.0</v>
      </c>
    </row>
    <row r="11611" ht="15.75" customHeight="1">
      <c r="A11611" s="1">
        <v>12529.0</v>
      </c>
      <c r="B11611" s="3" t="s">
        <v>11046</v>
      </c>
      <c r="C11611" s="3" t="str">
        <f>IFERROR(__xludf.DUMMYFUNCTION("GOOGLETRANSLATE(B11611,""id"",""en"")"),"['Application', 'Help', 'Increase', 'Promotions', '']")</f>
        <v>['Application', 'Help', 'Increase', 'Promotions', '']</v>
      </c>
      <c r="D11611" s="3">
        <v>5.0</v>
      </c>
    </row>
    <row r="11612" ht="15.75" customHeight="1">
      <c r="A11612" s="1">
        <v>12530.0</v>
      </c>
      <c r="B11612" s="3" t="s">
        <v>11047</v>
      </c>
      <c r="C11612" s="3" t="str">
        <f>IFERROR(__xludf.DUMMYFUNCTION("GOOGLETRANSLATE(B11612,""id"",""en"")"),"['Telkomsel', 'Service', 'Network', 'Best', 'Customer']")</f>
        <v>['Telkomsel', 'Service', 'Network', 'Best', 'Customer']</v>
      </c>
      <c r="D11612" s="3">
        <v>5.0</v>
      </c>
    </row>
    <row r="11613" ht="15.75" customHeight="1">
      <c r="A11613" s="1">
        <v>12531.0</v>
      </c>
      <c r="B11613" s="3" t="s">
        <v>779</v>
      </c>
      <c r="C11613" s="3" t="str">
        <f>IFERROR(__xludf.DUMMYFUNCTION("GOOGLETRANSLATE(B11613,""id"",""en"")"),"['Good', 'easy']")</f>
        <v>['Good', 'easy']</v>
      </c>
      <c r="D11613" s="3">
        <v>5.0</v>
      </c>
    </row>
    <row r="11614" ht="15.75" customHeight="1">
      <c r="A11614" s="1">
        <v>12532.0</v>
      </c>
      <c r="B11614" s="3" t="s">
        <v>11048</v>
      </c>
      <c r="C11614" s="3" t="str">
        <f>IFERROR(__xludf.DUMMYFUNCTION("GOOGLETRANSLATE(B11614,""id"",""en"")"),"['Telkomsel', 'bodies',' easy ',' disorder ',' package ',' expensive ',' intention ',' behavior ',' my place ',' telumpet ',' fix ',' his web ',' Bentar ',' ilang ',' signal ',' emang ',' card ',' broken ',' expensive ',' signal ',' rich ',' pig ']")</f>
        <v>['Telkomsel', 'bodies',' easy ',' disorder ',' package ',' expensive ',' intention ',' behavior ',' my place ',' telumpet ',' fix ',' his web ',' Bentar ',' ilang ',' signal ',' emang ',' card ',' broken ',' expensive ',' signal ',' rich ',' pig ']</v>
      </c>
      <c r="D11614" s="3">
        <v>1.0</v>
      </c>
    </row>
    <row r="11615" ht="15.75" customHeight="1">
      <c r="A11615" s="1">
        <v>12533.0</v>
      </c>
      <c r="B11615" s="3" t="s">
        <v>11049</v>
      </c>
      <c r="C11615" s="3" t="str">
        <f>IFERROR(__xludf.DUMMYFUNCTION("GOOGLETRANSLATE(B11615,""id"",""en"")"),"['Disappointed', 'buy', 'package', 'education', 'use', 'Please', 'help', 'package', 'education']")</f>
        <v>['Disappointed', 'buy', 'package', 'education', 'use', 'Please', 'help', 'package', 'education']</v>
      </c>
      <c r="D11615" s="3">
        <v>5.0</v>
      </c>
    </row>
    <row r="11616" ht="15.75" customHeight="1">
      <c r="A11616" s="1">
        <v>12534.0</v>
      </c>
      <c r="B11616" s="3" t="s">
        <v>9214</v>
      </c>
      <c r="C11616" s="3" t="str">
        <f>IFERROR(__xludf.DUMMYFUNCTION("GOOGLETRANSLATE(B11616,""id"",""en"")"),"['Likes', 'APK']")</f>
        <v>['Likes', 'APK']</v>
      </c>
      <c r="D11616" s="3">
        <v>5.0</v>
      </c>
    </row>
    <row r="11617" ht="15.75" customHeight="1">
      <c r="A11617" s="1">
        <v>12535.0</v>
      </c>
      <c r="B11617" s="3" t="s">
        <v>11050</v>
      </c>
      <c r="C11617" s="3" t="str">
        <f>IFERROR(__xludf.DUMMYFUNCTION("GOOGLETRANSLATE(B11617,""id"",""en"")"),"['difficult', 'buy', 'package', 'easy', 'masalaj', 'network', 'please', 'try', 'minute', 'tried', 'what', 'Telkomsel', ' proceed', '']")</f>
        <v>['difficult', 'buy', 'package', 'easy', 'masalaj', 'network', 'please', 'try', 'minute', 'tried', 'what', 'Telkomsel', ' proceed', '']</v>
      </c>
      <c r="D11617" s="3">
        <v>2.0</v>
      </c>
    </row>
    <row r="11618" ht="15.75" customHeight="1">
      <c r="A11618" s="1">
        <v>12536.0</v>
      </c>
      <c r="B11618" s="3" t="s">
        <v>1352</v>
      </c>
      <c r="C11618" s="3" t="str">
        <f>IFERROR(__xludf.DUMMYFUNCTION("GOOGLETRANSLATE(B11618,""id"",""en"")"),"['']")</f>
        <v>['']</v>
      </c>
      <c r="D11618" s="3">
        <v>5.0</v>
      </c>
    </row>
    <row r="11619" ht="15.75" customHeight="1">
      <c r="A11619" s="1">
        <v>12537.0</v>
      </c>
      <c r="B11619" s="3" t="s">
        <v>11051</v>
      </c>
      <c r="C11619" s="3" t="str">
        <f>IFERROR(__xludf.DUMMYFUNCTION("GOOGLETRANSLATE(B11619,""id"",""en"")"),"['Good', 'great', 'satisfied', 'deh']")</f>
        <v>['Good', 'great', 'satisfied', 'deh']</v>
      </c>
      <c r="D11619" s="3">
        <v>5.0</v>
      </c>
    </row>
    <row r="11620" ht="15.75" customHeight="1">
      <c r="A11620" s="1">
        <v>12538.0</v>
      </c>
      <c r="B11620" s="3" t="s">
        <v>11052</v>
      </c>
      <c r="C11620" s="3" t="str">
        <f>IFERROR(__xludf.DUMMYFUNCTION("GOOGLETRANSLATE(B11620,""id"",""en"")"),"['Promo', 'for a while']")</f>
        <v>['Promo', 'for a while']</v>
      </c>
      <c r="D11620" s="3">
        <v>1.0</v>
      </c>
    </row>
    <row r="11621" ht="15.75" customHeight="1">
      <c r="A11621" s="1">
        <v>12539.0</v>
      </c>
      <c r="B11621" s="3" t="s">
        <v>4873</v>
      </c>
      <c r="C11621" s="3" t="str">
        <f>IFERROR(__xludf.DUMMYFUNCTION("GOOGLETRANSLATE(B11621,""id"",""en"")"),"['', '']")</f>
        <v>['', '']</v>
      </c>
      <c r="D11621" s="3">
        <v>3.0</v>
      </c>
    </row>
    <row r="11622" ht="15.75" customHeight="1">
      <c r="A11622" s="1">
        <v>12540.0</v>
      </c>
      <c r="B11622" s="3" t="s">
        <v>11053</v>
      </c>
      <c r="C11622" s="3" t="str">
        <f>IFERROR(__xludf.DUMMYFUNCTION("GOOGLETRANSLATE(B11622,""id"",""en"")"),"['type', 'package', 'try', 'quota', 'main']")</f>
        <v>['type', 'package', 'try', 'quota', 'main']</v>
      </c>
      <c r="D11622" s="3">
        <v>1.0</v>
      </c>
    </row>
    <row r="11623" ht="15.75" customHeight="1">
      <c r="A11623" s="1">
        <v>12541.0</v>
      </c>
      <c r="B11623" s="3" t="s">
        <v>11054</v>
      </c>
      <c r="C11623" s="3" t="str">
        <f>IFERROR(__xludf.DUMMYFUNCTION("GOOGLETRANSLATE(B11623,""id"",""en"")"),"['difficult', 'enter', 'check', 'quota']")</f>
        <v>['difficult', 'enter', 'check', 'quota']</v>
      </c>
      <c r="D11623" s="3">
        <v>2.0</v>
      </c>
    </row>
    <row r="11624" ht="15.75" customHeight="1">
      <c r="A11624" s="1">
        <v>12542.0</v>
      </c>
      <c r="B11624" s="3" t="s">
        <v>11055</v>
      </c>
      <c r="C11624" s="3" t="str">
        <f>IFERROR(__xludf.DUMMYFUNCTION("GOOGLETRANSLATE(B11624,""id"",""en"")"),"['already', 'good', '']")</f>
        <v>['already', 'good', '']</v>
      </c>
      <c r="D11624" s="3">
        <v>5.0</v>
      </c>
    </row>
    <row r="11625" ht="15.75" customHeight="1">
      <c r="A11625" s="1">
        <v>12543.0</v>
      </c>
      <c r="B11625" s="3" t="s">
        <v>11056</v>
      </c>
      <c r="C11625" s="3" t="str">
        <f>IFERROR(__xludf.DUMMYFUNCTION("GOOGLETRANSLATE(B11625,""id"",""en"")"),"['The network', 'slow', 'slow']")</f>
        <v>['The network', 'slow', 'slow']</v>
      </c>
      <c r="D11625" s="3">
        <v>1.0</v>
      </c>
    </row>
    <row r="11626" ht="15.75" customHeight="1">
      <c r="A11626" s="1">
        <v>12544.0</v>
      </c>
      <c r="B11626" s="3" t="s">
        <v>11057</v>
      </c>
      <c r="C11626" s="3" t="str">
        <f>IFERROR(__xludf.DUMMYFUNCTION("GOOGLETRANSLATE(B11626,""id"",""en"")"),"['satisfying', 'thank', 'love', 'Telkomsel']")</f>
        <v>['satisfying', 'thank', 'love', 'Telkomsel']</v>
      </c>
      <c r="D11626" s="3">
        <v>5.0</v>
      </c>
    </row>
    <row r="11627" ht="15.75" customHeight="1">
      <c r="A11627" s="1">
        <v>12545.0</v>
      </c>
      <c r="B11627" s="3" t="s">
        <v>2204</v>
      </c>
      <c r="C11627" s="3" t="str">
        <f>IFERROR(__xludf.DUMMYFUNCTION("GOOGLETRANSLATE(B11627,""id"",""en"")"),"['signal', 'good']")</f>
        <v>['signal', 'good']</v>
      </c>
      <c r="D11627" s="3">
        <v>5.0</v>
      </c>
    </row>
    <row r="11628" ht="15.75" customHeight="1">
      <c r="A11628" s="1">
        <v>12546.0</v>
      </c>
      <c r="B11628" s="3" t="s">
        <v>11058</v>
      </c>
      <c r="C11628" s="3" t="str">
        <f>IFERROR(__xludf.DUMMYFUNCTION("GOOGLETRANSLATE(B11628,""id"",""en"")"),"['Help', 'Application', 'Telkomsel', 'Promo', 'Surprise', 'Deal', 'Tempture']")</f>
        <v>['Help', 'Application', 'Telkomsel', 'Promo', 'Surprise', 'Deal', 'Tempture']</v>
      </c>
      <c r="D11628" s="3">
        <v>5.0</v>
      </c>
    </row>
    <row r="11629" ht="15.75" customHeight="1">
      <c r="A11629" s="1">
        <v>12547.0</v>
      </c>
      <c r="B11629" s="3" t="s">
        <v>11059</v>
      </c>
      <c r="C11629" s="3" t="str">
        <f>IFERROR(__xludf.DUMMYFUNCTION("GOOGLETRANSLATE(B11629,""id"",""en"")"),"['Change', 'card', 'Pinda', 'Operator', 'Telkomsel', 'Slalu', 'Best', 'Choice', ""]")</f>
        <v>['Change', 'card', 'Pinda', 'Operator', 'Telkomsel', 'Slalu', 'Best', 'Choice', "]</v>
      </c>
      <c r="D11629" s="3">
        <v>5.0</v>
      </c>
    </row>
    <row r="11630" ht="15.75" customHeight="1">
      <c r="A11630" s="1">
        <v>12548.0</v>
      </c>
      <c r="B11630" s="3" t="s">
        <v>11060</v>
      </c>
      <c r="C11630" s="3" t="str">
        <f>IFERROR(__xludf.DUMMYFUNCTION("GOOGLETRANSLATE(B11630,""id"",""en"")"),"['Increase', 'quality', 'inland', 'miss', 'information']")</f>
        <v>['Increase', 'quality', 'inland', 'miss', 'information']</v>
      </c>
      <c r="D11630" s="3">
        <v>5.0</v>
      </c>
    </row>
    <row r="11631" ht="15.75" customHeight="1">
      <c r="A11631" s="1">
        <v>12549.0</v>
      </c>
      <c r="B11631" s="3" t="s">
        <v>11061</v>
      </c>
      <c r="C11631" s="3" t="str">
        <f>IFERROR(__xludf.DUMMYFUNCTION("GOOGLETRANSLATE(B11631,""id"",""en"")"),"['dlu']")</f>
        <v>['dlu']</v>
      </c>
      <c r="D11631" s="3">
        <v>2.0</v>
      </c>
    </row>
    <row r="11632" ht="15.75" customHeight="1">
      <c r="A11632" s="1">
        <v>12550.0</v>
      </c>
      <c r="B11632" s="3" t="s">
        <v>11062</v>
      </c>
      <c r="C11632" s="3" t="str">
        <f>IFERROR(__xludf.DUMMYFUNCTION("GOOGLETRANSLATE(B11632,""id"",""en"")"),"['Gmn', 'Open']")</f>
        <v>['Gmn', 'Open']</v>
      </c>
      <c r="D11632" s="3">
        <v>4.0</v>
      </c>
    </row>
    <row r="11633" ht="15.75" customHeight="1">
      <c r="A11633" s="1">
        <v>12551.0</v>
      </c>
      <c r="B11633" s="3" t="s">
        <v>11063</v>
      </c>
      <c r="C11633" s="3" t="str">
        <f>IFERROR(__xludf.DUMMYFUNCTION("GOOGLETRANSLATE(B11633,""id"",""en"")"),"['signal', 'okay', 'really']")</f>
        <v>['signal', 'okay', 'really']</v>
      </c>
      <c r="D11633" s="3">
        <v>5.0</v>
      </c>
    </row>
    <row r="11634" ht="15.75" customHeight="1">
      <c r="A11634" s="1">
        <v>12552.0</v>
      </c>
      <c r="B11634" s="3" t="s">
        <v>11064</v>
      </c>
      <c r="C11634" s="3" t="str">
        <f>IFERROR(__xludf.DUMMYFUNCTION("GOOGLETRANSLATE(B11634,""id"",""en"")"),"['Telkomsel', 'Good', 'Helpful']")</f>
        <v>['Telkomsel', 'Good', 'Helpful']</v>
      </c>
      <c r="D11634" s="3">
        <v>5.0</v>
      </c>
    </row>
    <row r="11635" ht="15.75" customHeight="1">
      <c r="A11635" s="1">
        <v>12553.0</v>
      </c>
      <c r="B11635" s="3" t="s">
        <v>11065</v>
      </c>
      <c r="C11635" s="3" t="str">
        <f>IFERROR(__xludf.DUMMYFUNCTION("GOOGLETRANSLATE(B11635,""id"",""en"")"),"['Signal', 'Sometimes',' Bad ',' Price ',' Doang ',' High ',' Quality ',' Low ',' Telkomsel ',' Name ',' Doang ',' Good ',' quality ',' bad ']")</f>
        <v>['Signal', 'Sometimes',' Bad ',' Price ',' Doang ',' High ',' Quality ',' Low ',' Telkomsel ',' Name ',' Doang ',' Good ',' quality ',' bad ']</v>
      </c>
      <c r="D11635" s="3">
        <v>1.0</v>
      </c>
    </row>
    <row r="11636" ht="15.75" customHeight="1">
      <c r="A11636" s="1">
        <v>12554.0</v>
      </c>
      <c r="B11636" s="3" t="s">
        <v>11066</v>
      </c>
      <c r="C11636" s="3" t="str">
        <f>IFERROR(__xludf.DUMMYFUNCTION("GOOGLETRANSLATE(B11636,""id"",""en"")"),"['Stuck', 'logo', '']")</f>
        <v>['Stuck', 'logo', '']</v>
      </c>
      <c r="D11636" s="3">
        <v>1.0</v>
      </c>
    </row>
    <row r="11637" ht="15.75" customHeight="1">
      <c r="A11637" s="1">
        <v>12555.0</v>
      </c>
      <c r="B11637" s="3" t="s">
        <v>11067</v>
      </c>
      <c r="C11637" s="3" t="str">
        <f>IFERROR(__xludf.DUMMYFUNCTION("GOOGLETRANSLATE(B11637,""id"",""en"")"),"['Hopefully', 'Durable']")</f>
        <v>['Hopefully', 'Durable']</v>
      </c>
      <c r="D11637" s="3">
        <v>5.0</v>
      </c>
    </row>
    <row r="11638" ht="15.75" customHeight="1">
      <c r="A11638" s="1">
        <v>12556.0</v>
      </c>
      <c r="B11638" s="3" t="s">
        <v>11068</v>
      </c>
      <c r="C11638" s="3" t="str">
        <f>IFERROR(__xludf.DUMMYFUNCTION("GOOGLETRANSLATE(B11638,""id"",""en"")"),"['Features',' pulse ',' safe ',' data ',' run out ',' suck ',' pulse ',' increase ',' tissue ',' until ',' califies', 'neighbor', ' Sebete ', ""]")</f>
        <v>['Features',' pulse ',' safe ',' data ',' run out ',' suck ',' pulse ',' increase ',' tissue ',' until ',' califies', 'neighbor', ' Sebete ', "]</v>
      </c>
      <c r="D11638" s="3">
        <v>5.0</v>
      </c>
    </row>
    <row r="11639" ht="15.75" customHeight="1">
      <c r="A11639" s="1">
        <v>12557.0</v>
      </c>
      <c r="B11639" s="3" t="s">
        <v>11069</v>
      </c>
      <c r="C11639" s="3" t="str">
        <f>IFERROR(__xludf.DUMMYFUNCTION("GOOGLETRANSLATE(B11639,""id"",""en"")"),"['oath', 'calm', 'cave', 'maen', 'game', 'ajg', 'ugly', 'severe', 'Telkomsel']")</f>
        <v>['oath', 'calm', 'cave', 'maen', 'game', 'ajg', 'ugly', 'severe', 'Telkomsel']</v>
      </c>
      <c r="D11639" s="3">
        <v>1.0</v>
      </c>
    </row>
    <row r="11640" ht="15.75" customHeight="1">
      <c r="A11640" s="1">
        <v>12558.0</v>
      </c>
      <c r="B11640" s="3" t="s">
        <v>11070</v>
      </c>
      <c r="C11640" s="3" t="str">
        <f>IFERROR(__xludf.DUMMYFUNCTION("GOOGLETRANSLATE(B11640,""id"",""en"")"),"['Enter', 'repeated', 'then']")</f>
        <v>['Enter', 'repeated', 'then']</v>
      </c>
      <c r="D11640" s="3">
        <v>3.0</v>
      </c>
    </row>
    <row r="11641" ht="15.75" customHeight="1">
      <c r="A11641" s="1">
        <v>12559.0</v>
      </c>
      <c r="B11641" s="3" t="s">
        <v>11071</v>
      </c>
      <c r="C11641" s="3" t="str">
        <f>IFERROR(__xludf.DUMMYFUNCTION("GOOGLETRANSLATE(B11641,""id"",""en"")"),"['Appellation', 'Delete', 'Playstore', 'Painting', 'Buy', 'Package', 'The Reasons',' Sorry ',' Disruption ',' System ',' Money ',' Basic ',' Application ',' garbage ']")</f>
        <v>['Appellation', 'Delete', 'Playstore', 'Painting', 'Buy', 'Package', 'The Reasons',' Sorry ',' Disruption ',' System ',' Money ',' Basic ',' Application ',' garbage ']</v>
      </c>
      <c r="D11641" s="3">
        <v>1.0</v>
      </c>
    </row>
    <row r="11642" ht="15.75" customHeight="1">
      <c r="A11642" s="1">
        <v>12560.0</v>
      </c>
      <c r="B11642" s="3" t="s">
        <v>11072</v>
      </c>
      <c r="C11642" s="3" t="str">
        <f>IFERROR(__xludf.DUMMYFUNCTION("GOOGLETRANSLATE(B11642,""id"",""en"")"),"['Dipake', 'listen', 'Music', 'signal', 'quota', 'please', 'repaired', 'fix']")</f>
        <v>['Dipake', 'listen', 'Music', 'signal', 'quota', 'please', 'repaired', 'fix']</v>
      </c>
      <c r="D11642" s="3">
        <v>1.0</v>
      </c>
    </row>
    <row r="11643" ht="15.75" customHeight="1">
      <c r="A11643" s="1">
        <v>12561.0</v>
      </c>
      <c r="B11643" s="3" t="s">
        <v>11073</v>
      </c>
      <c r="C11643" s="3" t="str">
        <f>IFERROR(__xludf.DUMMYFUNCTION("GOOGLETRANSLATE(B11643,""id"",""en"")"),"['Safet', 'Sapet', 'promo', 'cheap']")</f>
        <v>['Safet', 'Sapet', 'promo', 'cheap']</v>
      </c>
      <c r="D11643" s="3">
        <v>4.0</v>
      </c>
    </row>
    <row r="11644" ht="15.75" customHeight="1">
      <c r="A11644" s="1">
        <v>12562.0</v>
      </c>
      <c r="B11644" s="3" t="s">
        <v>11074</v>
      </c>
      <c r="C11644" s="3" t="str">
        <f>IFERROR(__xludf.DUMMYFUNCTION("GOOGLETRANSLATE(B11644,""id"",""en"")"),"['Good', 'Download']")</f>
        <v>['Good', 'Download']</v>
      </c>
      <c r="D11644" s="3">
        <v>5.0</v>
      </c>
    </row>
    <row r="11645" ht="15.75" customHeight="1">
      <c r="A11645" s="1">
        <v>12563.0</v>
      </c>
      <c r="B11645" s="3" t="s">
        <v>11075</v>
      </c>
      <c r="C11645" s="3" t="str">
        <f>IFERROR(__xludf.DUMMYFUNCTION("GOOGLETRANSLATE(B11645,""id"",""en"")"),"['Claim', 'gift', 'use', 'Points']")</f>
        <v>['Claim', 'gift', 'use', 'Points']</v>
      </c>
      <c r="D11645" s="3">
        <v>3.0</v>
      </c>
    </row>
    <row r="11646" ht="15.75" customHeight="1">
      <c r="A11646" s="1">
        <v>12564.0</v>
      </c>
      <c r="B11646" s="3" t="s">
        <v>11076</v>
      </c>
      <c r="C11646" s="3" t="str">
        <f>IFERROR(__xludf.DUMMYFUNCTION("GOOGLETRANSLATE(B11646,""id"",""en"")"),"['Not bad', 'Oklah', '']")</f>
        <v>['Not bad', 'Oklah', '']</v>
      </c>
      <c r="D11646" s="3">
        <v>4.0</v>
      </c>
    </row>
    <row r="11647" ht="15.75" customHeight="1">
      <c r="A11647" s="1">
        <v>12565.0</v>
      </c>
      <c r="B11647" s="3" t="s">
        <v>11077</v>
      </c>
      <c r="C11647" s="3" t="str">
        <f>IFERROR(__xludf.DUMMYFUNCTION("GOOGLETRANSLATE(B11647,""id"",""en"")"),"['easy', 'bnget', 'purchase', 'package', 'data', 'price', 'cheap', 'bnget']")</f>
        <v>['easy', 'bnget', 'purchase', 'package', 'data', 'price', 'cheap', 'bnget']</v>
      </c>
      <c r="D11647" s="3">
        <v>5.0</v>
      </c>
    </row>
    <row r="11648" ht="15.75" customHeight="1">
      <c r="A11648" s="1">
        <v>12566.0</v>
      </c>
      <c r="B11648" s="3" t="s">
        <v>11078</v>
      </c>
      <c r="C11648" s="3" t="str">
        <f>IFERROR(__xludf.DUMMYFUNCTION("GOOGLETRANSLATE(B11648,""id"",""en"")"),"['APK', 'Best', 'The field', 'Thanks']")</f>
        <v>['APK', 'Best', 'The field', 'Thanks']</v>
      </c>
      <c r="D11648" s="3">
        <v>5.0</v>
      </c>
    </row>
    <row r="11649" ht="15.75" customHeight="1">
      <c r="A11649" s="1">
        <v>12567.0</v>
      </c>
      <c r="B11649" s="3" t="s">
        <v>11079</v>
      </c>
      <c r="C11649" s="3" t="str">
        <f>IFERROR(__xludf.DUMMYFUNCTION("GOOGLETRANSLATE(B11649,""id"",""en"")"),"['Assalamualaikum', 'Retired', 'Age', 'Stay', 'Village', 'City', 'Network', 'Tsel', 'Sometimes',' Dead ',' Lights', 'PLN', ' Dead ',' signal ',' tsel ',' lost ',' difficult ',' ber ',' communication ',' org ',' use ',' can ',' sent ',' tsel ',' inform "" "&amp;", 'thank', 'love', 'Wassallam']")</f>
        <v>['Assalamualaikum', 'Retired', 'Age', 'Stay', 'Village', 'City', 'Network', 'Tsel', 'Sometimes',' Dead ',' Lights', 'PLN', ' Dead ',' signal ',' tsel ',' lost ',' difficult ',' ber ',' communication ',' org ',' use ',' can ',' sent ',' tsel ',' inform " , 'thank', 'love', 'Wassallam']</v>
      </c>
      <c r="D11649" s="3">
        <v>5.0</v>
      </c>
    </row>
    <row r="11650" ht="15.75" customHeight="1">
      <c r="A11650" s="1">
        <v>12568.0</v>
      </c>
      <c r="B11650" s="3" t="s">
        <v>11080</v>
      </c>
      <c r="C11650" s="3" t="str">
        <f>IFERROR(__xludf.DUMMYFUNCTION("GOOGLETRANSLATE(B11650,""id"",""en"")"),"['Telkomsel', 'Heart', 'Best', 'Application', 'Telkomsel', 'Easy', 'Loading', 'Features',' Hopefully ',' Telkomsel ',' Service ',' Best ',' Customers', 'customers']")</f>
        <v>['Telkomsel', 'Heart', 'Best', 'Application', 'Telkomsel', 'Easy', 'Loading', 'Features',' Hopefully ',' Telkomsel ',' Service ',' Best ',' Customers', 'customers']</v>
      </c>
      <c r="D11650" s="3">
        <v>5.0</v>
      </c>
    </row>
    <row r="11651" ht="15.75" customHeight="1">
      <c r="A11651" s="1">
        <v>12569.0</v>
      </c>
      <c r="B11651" s="3" t="s">
        <v>11081</v>
      </c>
      <c r="C11651" s="3" t="str">
        <f>IFERROR(__xludf.DUMMYFUNCTION("GOOGLETRANSLATE(B11651,""id"",""en"")"),"['method', 'payment', 'buy', 'pulse', 'package', 'data', 'problematic']")</f>
        <v>['method', 'payment', 'buy', 'pulse', 'package', 'data', 'problematic']</v>
      </c>
      <c r="D11651" s="3">
        <v>1.0</v>
      </c>
    </row>
    <row r="11652" ht="15.75" customHeight="1">
      <c r="A11652" s="1">
        <v>12571.0</v>
      </c>
      <c r="B11652" s="3" t="s">
        <v>11082</v>
      </c>
      <c r="C11652" s="3" t="str">
        <f>IFERROR(__xludf.DUMMYFUNCTION("GOOGLETRANSLATE(B11652,""id"",""en"")"),"['', 'blessing']")</f>
        <v>['', 'blessing']</v>
      </c>
      <c r="D11652" s="3">
        <v>5.0</v>
      </c>
    </row>
    <row r="11653" ht="15.75" customHeight="1">
      <c r="A11653" s="1">
        <v>12572.0</v>
      </c>
      <c r="B11653" s="3" t="s">
        <v>11083</v>
      </c>
      <c r="C11653" s="3" t="str">
        <f>IFERROR(__xludf.DUMMYFUNCTION("GOOGLETRANSLATE(B11653,""id"",""en"")"),"['satisfying', 'gift', 'price', 'quota', 'affordable', 'network', 'good']")</f>
        <v>['satisfying', 'gift', 'price', 'quota', 'affordable', 'network', 'good']</v>
      </c>
      <c r="D11653" s="3">
        <v>3.0</v>
      </c>
    </row>
    <row r="11654" ht="15.75" customHeight="1">
      <c r="A11654" s="1">
        <v>12573.0</v>
      </c>
      <c r="B11654" s="3" t="s">
        <v>11084</v>
      </c>
      <c r="C11654" s="3" t="str">
        <f>IFERROR(__xludf.DUMMYFUNCTION("GOOGLETRANSLATE(B11654,""id"",""en"")"),"['Thank you', 'serve', ""]")</f>
        <v>['Thank you', 'serve', "]</v>
      </c>
      <c r="D11654" s="3">
        <v>5.0</v>
      </c>
    </row>
    <row r="11655" ht="15.75" customHeight="1">
      <c r="A11655" s="1">
        <v>12574.0</v>
      </c>
      <c r="B11655" s="3" t="s">
        <v>11085</v>
      </c>
      <c r="C11655" s="3" t="str">
        <f>IFERROR(__xludf.DUMMYFUNCTION("GOOGLETRANSLATE(B11655,""id"",""en"")"),"['Application', 'Sngat', 'Good']")</f>
        <v>['Application', 'Sngat', 'Good']</v>
      </c>
      <c r="D11655" s="3">
        <v>5.0</v>
      </c>
    </row>
    <row r="11656" ht="15.75" customHeight="1">
      <c r="A11656" s="1">
        <v>12575.0</v>
      </c>
      <c r="B11656" s="3" t="s">
        <v>11086</v>
      </c>
      <c r="C11656" s="3" t="str">
        <f>IFERROR(__xludf.DUMMYFUNCTION("GOOGLETRANSLATE(B11656,""id"",""en"")"),"['Network', 'The widest', 'Indonesia', 'died', 'City', 'signal', 'Down', 'GSM', 'Interney', 'LEG', 'PIK', 'Signal', ' Stable ',' Internet ',' Leet ',' Kapok ',' Quota ',' Telkomsel ', ""]")</f>
        <v>['Network', 'The widest', 'Indonesia', 'died', 'City', 'signal', 'Down', 'GSM', 'Interney', 'LEG', 'PIK', 'Signal', ' Stable ',' Internet ',' Leet ',' Kapok ',' Quota ',' Telkomsel ', "]</v>
      </c>
      <c r="D11656" s="3">
        <v>1.0</v>
      </c>
    </row>
    <row r="11657" ht="15.75" customHeight="1">
      <c r="A11657" s="1">
        <v>12576.0</v>
      </c>
      <c r="B11657" s="3" t="s">
        <v>11087</v>
      </c>
      <c r="C11657" s="3" t="str">
        <f>IFERROR(__xludf.DUMMYFUNCTION("GOOGLETRANSLATE(B11657,""id"",""en"")"),"['', 'Telkomsel', 'call', 'economical', 'klau', 'untum', 'package', 'telvon']")</f>
        <v>['', 'Telkomsel', 'call', 'economical', 'klau', 'untum', 'package', 'telvon']</v>
      </c>
      <c r="D11657" s="3">
        <v>5.0</v>
      </c>
    </row>
    <row r="11658" ht="15.75" customHeight="1">
      <c r="A11658" s="1">
        <v>12577.0</v>
      </c>
      <c r="B11658" s="3" t="s">
        <v>11088</v>
      </c>
      <c r="C11658" s="3" t="str">
        <f>IFERROR(__xludf.DUMMYFUNCTION("GOOGLETRANSLATE(B11658,""id"",""en"")"),"['Synity', 'ugly', 'truzz']")</f>
        <v>['Synity', 'ugly', 'truzz']</v>
      </c>
      <c r="D11658" s="3">
        <v>1.0</v>
      </c>
    </row>
    <row r="11659" ht="15.75" customHeight="1">
      <c r="A11659" s="1">
        <v>12578.0</v>
      </c>
      <c r="B11659" s="3" t="s">
        <v>3692</v>
      </c>
      <c r="C11659" s="3" t="str">
        <f>IFERROR(__xludf.DUMMYFUNCTION("GOOGLETRANSLATE(B11659,""id"",""en"")"),"['application', 'steady', '']")</f>
        <v>['application', 'steady', '']</v>
      </c>
      <c r="D11659" s="3">
        <v>5.0</v>
      </c>
    </row>
    <row r="11660" ht="15.75" customHeight="1">
      <c r="A11660" s="1">
        <v>12579.0</v>
      </c>
      <c r="B11660" s="3" t="s">
        <v>11089</v>
      </c>
      <c r="C11660" s="3" t="str">
        <f>IFERROR(__xludf.DUMMYFUNCTION("GOOGLETRANSLATE(B11660,""id"",""en"")"),"['Keep', 'Pela Career', 'Serrver', 'Stable']")</f>
        <v>['Keep', 'Pela Career', 'Serrver', 'Stable']</v>
      </c>
      <c r="D11660" s="3">
        <v>5.0</v>
      </c>
    </row>
    <row r="11661" ht="15.75" customHeight="1">
      <c r="A11661" s="1">
        <v>12580.0</v>
      </c>
      <c r="B11661" s="3" t="s">
        <v>11090</v>
      </c>
      <c r="C11661" s="3" t="str">
        <f>IFERROR(__xludf.DUMMYFUNCTION("GOOGLETRANSLATE(B11661,""id"",""en"")"),"['tdnya', 'happy', 'really', 'Telkomsel', 'dpet', 'promo', 'cheerful', 'hrmakan', 'pretty', 'friendly', 'bunched', 'smakin', ' KSNI ',' smakin ',' skrng ',' rise ',' folding ',' hadeuh ',' bangett ',' bangett ',' not ',' recommended ',' minimal ',' nmbah "&amp;"',' active ' , 'HRGA', 'compensation', 'mah', 'rb', 'small week', 'tlong', 'dturunin', 'price', 'loss', 'customer', ""]")</f>
        <v>['tdnya', 'happy', 'really', 'Telkomsel', 'dpet', 'promo', 'cheerful', 'hrmakan', 'pretty', 'friendly', 'bunched', 'smakin', ' KSNI ',' smakin ',' skrng ',' rise ',' folding ',' hadeuh ',' bangett ',' bangett ',' not ',' recommended ',' minimal ',' nmbah ',' active ' , 'HRGA', 'compensation', 'mah', 'rb', 'small week', 'tlong', 'dturunin', 'price', 'loss', 'customer', "]</v>
      </c>
      <c r="D11661" s="3">
        <v>2.0</v>
      </c>
    </row>
    <row r="11662" ht="15.75" customHeight="1">
      <c r="A11662" s="1">
        <v>12581.0</v>
      </c>
      <c r="B11662" s="3" t="s">
        <v>11091</v>
      </c>
      <c r="C11662" s="3" t="str">
        <f>IFERROR(__xludf.DUMMYFUNCTION("GOOGLETRANSLATE(B11662,""id"",""en"")"),"['Region', 'Maluku', 'Telkomsel', 'use', '']")</f>
        <v>['Region', 'Maluku', 'Telkomsel', 'use', '']</v>
      </c>
      <c r="D11662" s="3">
        <v>5.0</v>
      </c>
    </row>
    <row r="11663" ht="15.75" customHeight="1">
      <c r="A11663" s="1">
        <v>12582.0</v>
      </c>
      <c r="B11663" s="3" t="s">
        <v>11092</v>
      </c>
      <c r="C11663" s="3" t="str">
        <f>IFERROR(__xludf.DUMMYFUNCTION("GOOGLETRANSLATE(B11663,""id"",""en"")"),"['Please', 'DOWN', 'Telkomsel', 'Mission', 'Gift', 'Daily', 'Check', 'Removed', 'Gift', 'Voucher', 'Application', 'Zalora', ' Update ',' Gift ',' Kouta ',' Minimal ',' GB ',' Review ',' Thank ',' Love ', ""]")</f>
        <v>['Please', 'DOWN', 'Telkomsel', 'Mission', 'Gift', 'Daily', 'Check', 'Removed', 'Gift', 'Voucher', 'Application', 'Zalora', ' Update ',' Gift ',' Kouta ',' Minimal ',' GB ',' Review ',' Thank ',' Love ', "]</v>
      </c>
      <c r="D11663" s="3">
        <v>1.0</v>
      </c>
    </row>
    <row r="11664" ht="15.75" customHeight="1">
      <c r="A11664" s="1">
        <v>12583.0</v>
      </c>
      <c r="B11664" s="3" t="s">
        <v>11093</v>
      </c>
      <c r="C11664" s="3" t="str">
        <f>IFERROR(__xludf.DUMMYFUNCTION("GOOGLETRANSLATE(B11664,""id"",""en"")"),"['internet', 'ugly', 'pdhl', 'card', 'hello', 'can', 'sms', 'data', 'safe', '']")</f>
        <v>['internet', 'ugly', 'pdhl', 'card', 'hello', 'can', 'sms', 'data', 'safe', '']</v>
      </c>
      <c r="D11664" s="3">
        <v>1.0</v>
      </c>
    </row>
    <row r="11665" ht="15.75" customHeight="1">
      <c r="A11665" s="1">
        <v>12584.0</v>
      </c>
      <c r="B11665" s="3" t="s">
        <v>11094</v>
      </c>
      <c r="C11665" s="3" t="str">
        <f>IFERROR(__xludf.DUMMYFUNCTION("GOOGLETRANSLATE(B11665,""id"",""en"")"),"['Package', 'Data', 'Area', 'Papua', 'Peace', '']")</f>
        <v>['Package', 'Data', 'Area', 'Papua', 'Peace', '']</v>
      </c>
      <c r="D11665" s="3">
        <v>5.0</v>
      </c>
    </row>
    <row r="11666" ht="15.75" customHeight="1">
      <c r="A11666" s="1">
        <v>12585.0</v>
      </c>
      <c r="B11666" s="3" t="s">
        <v>11095</v>
      </c>
      <c r="C11666" s="3" t="str">
        <f>IFERROR(__xludf.DUMMYFUNCTION("GOOGLETRANSLATE(B11666,""id"",""en"")"),"['applicationx', 'ugly', 'regret', 'donwload']")</f>
        <v>['applicationx', 'ugly', 'regret', 'donwload']</v>
      </c>
      <c r="D11666" s="3">
        <v>1.0</v>
      </c>
    </row>
    <row r="11667" ht="15.75" customHeight="1">
      <c r="A11667" s="1">
        <v>12586.0</v>
      </c>
      <c r="B11667" s="3" t="s">
        <v>11096</v>
      </c>
      <c r="C11667" s="3" t="str">
        <f>IFERROR(__xludf.DUMMYFUNCTION("GOOGLETRANSLATE(B11667,""id"",""en"")"),"['min', 'pulsesq', 'reduced', 'consumer', 'loss', 'min', 'please', 'repaired', 'system']")</f>
        <v>['min', 'pulsesq', 'reduced', 'consumer', 'loss', 'min', 'please', 'repaired', 'system']</v>
      </c>
      <c r="D11667" s="3">
        <v>3.0</v>
      </c>
    </row>
    <row r="11668" ht="15.75" customHeight="1">
      <c r="A11668" s="1">
        <v>12587.0</v>
      </c>
      <c r="B11668" s="3" t="s">
        <v>11097</v>
      </c>
      <c r="C11668" s="3" t="str">
        <f>IFERROR(__xludf.DUMMYFUNCTION("GOOGLETRANSLATE(B11668,""id"",""en"")"),"['Good', 'easy', 'user', 'promo', 'promo', 'keep', 'increase']")</f>
        <v>['Good', 'easy', 'user', 'promo', 'promo', 'keep', 'increase']</v>
      </c>
      <c r="D11668" s="3">
        <v>5.0</v>
      </c>
    </row>
    <row r="11669" ht="15.75" customHeight="1">
      <c r="A11669" s="1">
        <v>12588.0</v>
      </c>
      <c r="B11669" s="3" t="s">
        <v>11098</v>
      </c>
      <c r="C11669" s="3" t="str">
        <f>IFERROR(__xludf.DUMMYFUNCTION("GOOGLETRANSLATE(B11669,""id"",""en"")"),"['easy', 'purchase', 'quota', 'application', 'easy']")</f>
        <v>['easy', 'purchase', 'quota', 'application', 'easy']</v>
      </c>
      <c r="D11669" s="3">
        <v>5.0</v>
      </c>
    </row>
    <row r="11670" ht="15.75" customHeight="1">
      <c r="A11670" s="1">
        <v>12589.0</v>
      </c>
      <c r="B11670" s="3" t="s">
        <v>11099</v>
      </c>
      <c r="C11670" s="3" t="str">
        <f>IFERROR(__xludf.DUMMYFUNCTION("GOOGLETRANSLATE(B11670,""id"",""en"")"),"['application', 'buy', 'quota', 'payment', 'shopeepay', 'quota', 'ngk', 'entry', 'funds',' reduced ',' conditions', 'complicated', ' iklasin ',' itung ',' alms', ""]")</f>
        <v>['application', 'buy', 'quota', 'payment', 'shopeepay', 'quota', 'ngk', 'entry', 'funds',' reduced ',' conditions', 'complicated', ' iklasin ',' itung ',' alms', "]</v>
      </c>
      <c r="D11670" s="3">
        <v>1.0</v>
      </c>
    </row>
    <row r="11671" ht="15.75" customHeight="1">
      <c r="A11671" s="1">
        <v>12590.0</v>
      </c>
      <c r="B11671" s="3" t="s">
        <v>9693</v>
      </c>
      <c r="C11671" s="3" t="str">
        <f>IFERROR(__xludf.DUMMYFUNCTION("GOOGLETRANSLATE(B11671,""id"",""en"")"),"['', 'Telkomsel']")</f>
        <v>['', 'Telkomsel']</v>
      </c>
      <c r="D11671" s="3">
        <v>1.0</v>
      </c>
    </row>
    <row r="11672" ht="15.75" customHeight="1">
      <c r="A11672" s="1">
        <v>12591.0</v>
      </c>
      <c r="B11672" s="3" t="s">
        <v>11100</v>
      </c>
      <c r="C11672" s="3" t="str">
        <f>IFERROR(__xludf.DUMMYFUNCTION("GOOGLETRANSLATE(B11672,""id"",""en"")"),"['The network', 'strong', 'disorder', 'perfect']")</f>
        <v>['The network', 'strong', 'disorder', 'perfect']</v>
      </c>
      <c r="D11672" s="3">
        <v>5.0</v>
      </c>
    </row>
    <row r="11673" ht="15.75" customHeight="1">
      <c r="A11673" s="1">
        <v>12592.0</v>
      </c>
      <c r="B11673" s="3" t="s">
        <v>11101</v>
      </c>
      <c r="C11673" s="3" t="str">
        <f>IFERROR(__xludf.DUMMYFUNCTION("GOOGLETRANSLATE(B11673,""id"",""en"")"),"['application', 'help', 'makes it easy', 'bangeeet']")</f>
        <v>['application', 'help', 'makes it easy', 'bangeeet']</v>
      </c>
      <c r="D11673" s="3">
        <v>5.0</v>
      </c>
    </row>
    <row r="11674" ht="15.75" customHeight="1">
      <c r="A11674" s="1">
        <v>12593.0</v>
      </c>
      <c r="B11674" s="3" t="s">
        <v>445</v>
      </c>
      <c r="C11674" s="3" t="str">
        <f>IFERROR(__xludf.DUMMYFUNCTION("GOOGLETRANSLATE(B11674,""id"",""en"")"),"['', 'beneficial']")</f>
        <v>['', 'beneficial']</v>
      </c>
      <c r="D11674" s="3">
        <v>2.0</v>
      </c>
    </row>
    <row r="11675" ht="15.75" customHeight="1">
      <c r="A11675" s="1">
        <v>12594.0</v>
      </c>
      <c r="B11675" s="3" t="s">
        <v>11102</v>
      </c>
      <c r="C11675" s="3" t="str">
        <f>IFERROR(__xludf.DUMMYFUNCTION("GOOGLETRANSLATE(B11675,""id"",""en"")"),"['Helpful', 'help', 'activity', 'a day']")</f>
        <v>['Helpful', 'help', 'activity', 'a day']</v>
      </c>
      <c r="D11675" s="3">
        <v>5.0</v>
      </c>
    </row>
    <row r="11676" ht="15.75" customHeight="1">
      <c r="A11676" s="1">
        <v>12595.0</v>
      </c>
      <c r="B11676" s="3" t="s">
        <v>11103</v>
      </c>
      <c r="C11676" s="3" t="str">
        <f>IFERROR(__xludf.DUMMYFUNCTION("GOOGLETRANSLATE(B11676,""id"",""en"")"),"['Steady', 'Love', 'Bintang', 'Dahh', '']")</f>
        <v>['Steady', 'Love', 'Bintang', 'Dahh', '']</v>
      </c>
      <c r="D11676" s="3">
        <v>5.0</v>
      </c>
    </row>
    <row r="11677" ht="15.75" customHeight="1">
      <c r="A11677" s="1">
        <v>12596.0</v>
      </c>
      <c r="B11677" s="3" t="s">
        <v>11104</v>
      </c>
      <c r="C11677" s="3" t="str">
        <f>IFERROR(__xludf.DUMMYFUNCTION("GOOGLETRANSLATE(B11677,""id"",""en"")"),"['Snack', 'Link']")</f>
        <v>['Snack', 'Link']</v>
      </c>
      <c r="D11677" s="3">
        <v>5.0</v>
      </c>
    </row>
    <row r="11678" ht="15.75" customHeight="1">
      <c r="A11678" s="1">
        <v>12597.0</v>
      </c>
      <c r="B11678" s="3" t="s">
        <v>11105</v>
      </c>
      <c r="C11678" s="3" t="str">
        <f>IFERROR(__xludf.DUMMYFUNCTION("GOOGLETRANSLATE(B11678,""id"",""en"")"),"['Package', 'Need', 'Wanted', 'Increases', 'Package']")</f>
        <v>['Package', 'Need', 'Wanted', 'Increases', 'Package']</v>
      </c>
      <c r="D11678" s="3">
        <v>3.0</v>
      </c>
    </row>
    <row r="11679" ht="15.75" customHeight="1">
      <c r="A11679" s="1">
        <v>12598.0</v>
      </c>
      <c r="B11679" s="3" t="s">
        <v>4561</v>
      </c>
      <c r="C11679" s="3" t="str">
        <f>IFERROR(__xludf.DUMMYFUNCTION("GOOGLETRANSLATE(B11679,""id"",""en"")"),"['APK', 'Good', '']")</f>
        <v>['APK', 'Good', '']</v>
      </c>
      <c r="D11679" s="3">
        <v>5.0</v>
      </c>
    </row>
    <row r="11680" ht="15.75" customHeight="1">
      <c r="A11680" s="1">
        <v>12600.0</v>
      </c>
      <c r="B11680" s="3" t="s">
        <v>11106</v>
      </c>
      <c r="C11680" s="3" t="str">
        <f>IFERROR(__xludf.DUMMYFUNCTION("GOOGLETRANSLATE(B11680,""id"",""en"")"),"['Hopefully', 'Telkomsel', 'Success']")</f>
        <v>['Hopefully', 'Telkomsel', 'Success']</v>
      </c>
      <c r="D11680" s="3">
        <v>5.0</v>
      </c>
    </row>
    <row r="11681" ht="15.75" customHeight="1">
      <c r="A11681" s="1">
        <v>12601.0</v>
      </c>
      <c r="B11681" s="3" t="s">
        <v>11107</v>
      </c>
      <c r="C11681" s="3" t="str">
        <f>IFERROR(__xludf.DUMMYFUNCTION("GOOGLETRANSLATE(B11681,""id"",""en"")"),"['Sorry', 'function', 'Points']")</f>
        <v>['Sorry', 'function', 'Points']</v>
      </c>
      <c r="D11681" s="3">
        <v>2.0</v>
      </c>
    </row>
    <row r="11682" ht="15.75" customHeight="1">
      <c r="A11682" s="1">
        <v>12602.0</v>
      </c>
      <c r="B11682" s="3" t="s">
        <v>11108</v>
      </c>
      <c r="C11682" s="3" t="str">
        <f>IFERROR(__xludf.DUMMYFUNCTION("GOOGLETRANSLATE(B11682,""id"",""en"")"),"['Severe', 'slow', 'bgti']")</f>
        <v>['Severe', 'slow', 'bgti']</v>
      </c>
      <c r="D11682" s="3">
        <v>1.0</v>
      </c>
    </row>
    <row r="11683" ht="15.75" customHeight="1">
      <c r="A11683" s="1">
        <v>12603.0</v>
      </c>
      <c r="B11683" s="3" t="s">
        <v>11109</v>
      </c>
      <c r="C11683" s="3" t="str">
        <f>IFERROR(__xludf.DUMMYFUNCTION("GOOGLETRANSLATE(B11683,""id"",""en"")"),"['', 'Telkom', 'fill', 'grace', 'gmna']")</f>
        <v>['', 'Telkom', 'fill', 'grace', 'gmna']</v>
      </c>
      <c r="D11683" s="3">
        <v>5.0</v>
      </c>
    </row>
    <row r="11684" ht="15.75" customHeight="1">
      <c r="A11684" s="1">
        <v>12605.0</v>
      </c>
      <c r="B11684" s="3" t="s">
        <v>11110</v>
      </c>
      <c r="C11684" s="3" t="str">
        <f>IFERROR(__xludf.DUMMYFUNCTION("GOOGLETRANSLATE(B11684,""id"",""en"")"),"['send', 'prize', 'quota', 'parent', 'package', 'internet', 'choice', 'combo', 'magic', 'per month', 'price', 'cheap', ' expensive ',' poor ',' use ',' number ',' Telkomsel ',' quality ',' network ',' Telkomsel ',' ugly ',' really ',' different ',' like '"&amp;",' disappointed ' , 'Quality', 'Telkomsel', 'Auto', 'Move', 'card', '']")</f>
        <v>['send', 'prize', 'quota', 'parent', 'package', 'internet', 'choice', 'combo', 'magic', 'per month', 'price', 'cheap', ' expensive ',' poor ',' use ',' number ',' Telkomsel ',' quality ',' network ',' Telkomsel ',' ugly ',' really ',' different ',' like ',' disappointed ' , 'Quality', 'Telkomsel', 'Auto', 'Move', 'card', '']</v>
      </c>
      <c r="D11684" s="3">
        <v>2.0</v>
      </c>
    </row>
    <row r="11685" ht="15.75" customHeight="1">
      <c r="A11685" s="1">
        <v>12606.0</v>
      </c>
      <c r="B11685" s="3" t="s">
        <v>11111</v>
      </c>
      <c r="C11685" s="3" t="str">
        <f>IFERROR(__xludf.DUMMYFUNCTION("GOOGLETRANSLATE(B11685,""id"",""en"")"),"['Quality', 'sympathy', 'dlu', 'number', 'The', 'Best', 'poko', '']")</f>
        <v>['Quality', 'sympathy', 'dlu', 'number', 'The', 'Best', 'poko', '']</v>
      </c>
      <c r="D11685" s="3">
        <v>5.0</v>
      </c>
    </row>
    <row r="11686" ht="15.75" customHeight="1">
      <c r="A11686" s="1">
        <v>12607.0</v>
      </c>
      <c r="B11686" s="3" t="s">
        <v>11112</v>
      </c>
      <c r="C11686" s="3" t="str">
        <f>IFERROR(__xludf.DUMMYFUNCTION("GOOGLETRANSLATE(B11686,""id"",""en"")"),"['Glad', 'Easy', 'Use', 'Ribet', 'Activity']")</f>
        <v>['Glad', 'Easy', 'Use', 'Ribet', 'Activity']</v>
      </c>
      <c r="D11686" s="3">
        <v>4.0</v>
      </c>
    </row>
    <row r="11687" ht="15.75" customHeight="1">
      <c r="A11687" s="1">
        <v>12609.0</v>
      </c>
      <c r="B11687" s="3" t="s">
        <v>11113</v>
      </c>
      <c r="C11687" s="3" t="str">
        <f>IFERROR(__xludf.DUMMYFUNCTION("GOOGLETRANSLATE(B11687,""id"",""en"")"),"['signal', 'Telkomsel', 'rotten', 'really']")</f>
        <v>['signal', 'Telkomsel', 'rotten', 'really']</v>
      </c>
      <c r="D11687" s="3">
        <v>1.0</v>
      </c>
    </row>
    <row r="11688" ht="15.75" customHeight="1">
      <c r="A11688" s="1">
        <v>12610.0</v>
      </c>
      <c r="B11688" s="3" t="s">
        <v>11114</v>
      </c>
      <c r="C11688" s="3" t="str">
        <f>IFERROR(__xludf.DUMMYFUNCTION("GOOGLETRANSLATE(B11688,""id"",""en"")"),"['Package', 'already', 'right']")</f>
        <v>['Package', 'already', 'right']</v>
      </c>
      <c r="D11688" s="3">
        <v>5.0</v>
      </c>
    </row>
    <row r="11689" ht="15.75" customHeight="1">
      <c r="A11689" s="1">
        <v>12611.0</v>
      </c>
      <c r="B11689" s="3" t="s">
        <v>11115</v>
      </c>
      <c r="C11689" s="3" t="str">
        <f>IFERROR(__xludf.DUMMYFUNCTION("GOOGLETRANSLATE(B11689,""id"",""en"")"),"['sympathy', 'synonym', 'bad', 'severe', 'different', 'sympathy', 'signal', 'good', 'really', ""]")</f>
        <v>['sympathy', 'synonym', 'bad', 'severe', 'different', 'sympathy', 'signal', 'good', 'really', "]</v>
      </c>
      <c r="D11689" s="3">
        <v>1.0</v>
      </c>
    </row>
    <row r="11690" ht="15.75" customHeight="1">
      <c r="A11690" s="1">
        <v>12612.0</v>
      </c>
      <c r="B11690" s="3" t="s">
        <v>11116</v>
      </c>
      <c r="C11690" s="3" t="str">
        <f>IFERROR(__xludf.DUMMYFUNCTION("GOOGLETRANSLATE(B11690,""id"",""en"")"),"['Since', 'Slank', 'Telkom', 'Signal', 'Points',' Credit ',' ilang ',' Molo ',' Tong ',' empty ',' loud ',' Bunyinye ',' Sit ',' sweet ',' Doank ',' Commissioner ',' Slengean ',' DPT ',' Heritage ', ""]")</f>
        <v>['Since', 'Slank', 'Telkom', 'Signal', 'Points',' Credit ',' ilang ',' Molo ',' Tong ',' empty ',' loud ',' Bunyinye ',' Sit ',' sweet ',' Doank ',' Commissioner ',' Slengean ',' DPT ',' Heritage ', "]</v>
      </c>
      <c r="D11690" s="3">
        <v>1.0</v>
      </c>
    </row>
    <row r="11691" ht="15.75" customHeight="1">
      <c r="A11691" s="1">
        <v>12613.0</v>
      </c>
      <c r="B11691" s="3" t="s">
        <v>11117</v>
      </c>
      <c r="C11691" s="3" t="str">
        <f>IFERROR(__xludf.DUMMYFUNCTION("GOOGLETRANSLATE(B11691,""id"",""en"")"),"['Comment', 'Delete', 'Hah', 'Offended', 'What's',' Telkomsel ',' Package ',' Expensive ',' Use ',' wasteful ',' Network ',' Sometimes', ' Drop ',' City ',' Display ',' Ajah ',' Reconnect ',' Mulu ',' HHHHH ',' Kali ',' Raying ',' Use ',' Telkomsel ', ""]")</f>
        <v>['Comment', 'Delete', 'Hah', 'Offended', 'What's',' Telkomsel ',' Package ',' Expensive ',' Use ',' wasteful ',' Network ',' Sometimes', ' Drop ',' City ',' Display ',' Ajah ',' Reconnect ',' Mulu ',' HHHHH ',' Kali ',' Raying ',' Use ',' Telkomsel ', "]</v>
      </c>
      <c r="D11691" s="3">
        <v>1.0</v>
      </c>
    </row>
    <row r="11692" ht="15.75" customHeight="1">
      <c r="A11692" s="1">
        <v>12614.0</v>
      </c>
      <c r="B11692" s="3" t="s">
        <v>11118</v>
      </c>
      <c r="C11692" s="3" t="str">
        <f>IFERROR(__xludf.DUMMYFUNCTION("GOOGLETRANSLATE(B11692,""id"",""en"")"),"['Satisfied', 'Telkomsel', 'sympathy', 'network', 'doubt', 'hope', 'success']")</f>
        <v>['Satisfied', 'Telkomsel', 'sympathy', 'network', 'doubt', 'hope', 'success']</v>
      </c>
      <c r="D11692" s="3">
        <v>5.0</v>
      </c>
    </row>
    <row r="11693" ht="15.75" customHeight="1">
      <c r="A11693" s="1">
        <v>12615.0</v>
      </c>
      <c r="B11693" s="3" t="s">
        <v>11119</v>
      </c>
      <c r="C11693" s="3" t="str">
        <f>IFERROR(__xludf.DUMMYFUNCTION("GOOGLETRANSLATE(B11693,""id"",""en"")"),"['Mending', 'Change', 'Provider', 'Loss', 'Telkomsel', 'Paketan', 'Expensive', 'Network', 'Lemot']")</f>
        <v>['Mending', 'Change', 'Provider', 'Loss', 'Telkomsel', 'Paketan', 'Expensive', 'Network', 'Lemot']</v>
      </c>
      <c r="D11693" s="3">
        <v>1.0</v>
      </c>
    </row>
    <row r="11694" ht="15.75" customHeight="1">
      <c r="A11694" s="1">
        <v>12616.0</v>
      </c>
      <c r="B11694" s="3" t="s">
        <v>11120</v>
      </c>
      <c r="C11694" s="3" t="str">
        <f>IFERROR(__xludf.DUMMYFUNCTION("GOOGLETRANSLATE(B11694,""id"",""en"")"),"['Free', 'Blum', 'proven']")</f>
        <v>['Free', 'Blum', 'proven']</v>
      </c>
      <c r="D11694" s="3">
        <v>2.0</v>
      </c>
    </row>
    <row r="11695" ht="15.75" customHeight="1">
      <c r="A11695" s="1">
        <v>12617.0</v>
      </c>
      <c r="B11695" s="3" t="s">
        <v>11121</v>
      </c>
      <c r="C11695" s="3" t="str">
        <f>IFERROR(__xludf.DUMMYFUNCTION("GOOGLETRANSLATE(B11695,""id"",""en"")"),"['Good', 'lottery', 'points', 'lucky', '']")</f>
        <v>['Good', 'lottery', 'points', 'lucky', '']</v>
      </c>
      <c r="D11695" s="3">
        <v>5.0</v>
      </c>
    </row>
    <row r="11696" ht="15.75" customHeight="1">
      <c r="A11696" s="1">
        <v>12618.0</v>
      </c>
      <c r="B11696" s="3" t="s">
        <v>11122</v>
      </c>
      <c r="C11696" s="3" t="str">
        <f>IFERROR(__xludf.DUMMYFUNCTION("GOOGLETRANSLATE(B11696,""id"",""en"")"),"['bismillah', 'hope', 'gift', 'redem', 'note', 'ultra', 'gift', 'reset', 'taun', 'heheh']")</f>
        <v>['bismillah', 'hope', 'gift', 'redem', 'note', 'ultra', 'gift', 'reset', 'taun', 'heheh']</v>
      </c>
      <c r="D11696" s="3">
        <v>5.0</v>
      </c>
    </row>
    <row r="11697" ht="15.75" customHeight="1">
      <c r="A11697" s="1">
        <v>12619.0</v>
      </c>
      <c r="B11697" s="3" t="s">
        <v>11123</v>
      </c>
      <c r="C11697" s="3" t="str">
        <f>IFERROR(__xludf.DUMMYFUNCTION("GOOGLETRANSLATE(B11697,""id"",""en"")"),"['Package', 'Game', 'Max', 'Main', '']")</f>
        <v>['Package', 'Game', 'Max', 'Main', '']</v>
      </c>
      <c r="D11697" s="3">
        <v>1.0</v>
      </c>
    </row>
    <row r="11698" ht="15.75" customHeight="1">
      <c r="A11698" s="1">
        <v>12620.0</v>
      </c>
      <c r="B11698" s="3" t="s">
        <v>11124</v>
      </c>
      <c r="C11698" s="3" t="str">
        <f>IFERROR(__xludf.DUMMYFUNCTION("GOOGLETRANSLATE(B11698,""id"",""en"")"),"['no', 'what', 'Language', 'Telkomsel', 'credit', 'take', 'on', 'plsa', 'langk', 'take', 'service', 'magic', ' Call ',' ']")</f>
        <v>['no', 'what', 'Language', 'Telkomsel', 'credit', 'take', 'on', 'plsa', 'langk', 'take', 'service', 'magic', ' Call ',' ']</v>
      </c>
      <c r="D11698" s="3">
        <v>1.0</v>
      </c>
    </row>
    <row r="11699" ht="15.75" customHeight="1">
      <c r="A11699" s="1">
        <v>12621.0</v>
      </c>
      <c r="B11699" s="3" t="s">
        <v>11125</v>
      </c>
      <c r="C11699" s="3" t="str">
        <f>IFERROR(__xludf.DUMMYFUNCTION("GOOGLETRANSLATE(B11699,""id"",""en"")"),"['unlimited', 'price', 'Bangeett', 'buy', 'minimal', '']")</f>
        <v>['unlimited', 'price', 'Bangeett', 'buy', 'minimal', '']</v>
      </c>
      <c r="D11699" s="3">
        <v>5.0</v>
      </c>
    </row>
    <row r="11700" ht="15.75" customHeight="1">
      <c r="A11700" s="1">
        <v>12623.0</v>
      </c>
      <c r="B11700" s="3" t="s">
        <v>11126</v>
      </c>
      <c r="C11700" s="3" t="str">
        <f>IFERROR(__xludf.DUMMYFUNCTION("GOOGLETRANSLATE(B11700,""id"",""en"")"),"['My APK', 'Open']")</f>
        <v>['My APK', 'Open']</v>
      </c>
      <c r="D11700" s="3">
        <v>1.0</v>
      </c>
    </row>
    <row r="11701" ht="15.75" customHeight="1">
      <c r="A11701" s="1">
        <v>12624.0</v>
      </c>
      <c r="B11701" s="3" t="s">
        <v>11127</v>
      </c>
      <c r="C11701" s="3" t="str">
        <f>IFERROR(__xludf.DUMMYFUNCTION("GOOGLETRANSLATE(B11701,""id"",""en"")"),"['oath', 'regret', 'Take', 'bid', 'move', 'Hello', 'promised', 'according to', 'what', 'priority', 'signal', 'good', ' Strong ',' Speed ​​',' LBH ',' Kenceng ',' Promise ',' Fake ',' BLM ',' Sunday ',' Ngadat ',' Love ',' Promise ',' Please ',' Promising "&amp;"' , 'Customers',' Telkomsel ',' emang ',' BLM ',' Love ',' Signal ',' Good ',' Bekasi ',' USA ',' Nawarin ',' Love ',' Iming ',' disappointed ',' customer ',' name ',' tlg ',' level ',' quality ',' ']")</f>
        <v>['oath', 'regret', 'Take', 'bid', 'move', 'Hello', 'promised', 'according to', 'what', 'priority', 'signal', 'good', ' Strong ',' Speed ​​',' LBH ',' Kenceng ',' Promise ',' Fake ',' BLM ',' Sunday ',' Ngadat ',' Love ',' Promise ',' Please ',' Promising ' , 'Customers',' Telkomsel ',' emang ',' BLM ',' Love ',' Signal ',' Good ',' Bekasi ',' USA ',' Nawarin ',' Love ',' Iming ',' disappointed ',' customer ',' name ',' tlg ',' level ',' quality ',' ']</v>
      </c>
      <c r="D11701" s="3">
        <v>1.0</v>
      </c>
    </row>
    <row r="11702" ht="15.75" customHeight="1">
      <c r="A11702" s="1">
        <v>12625.0</v>
      </c>
      <c r="B11702" s="3" t="s">
        <v>11128</v>
      </c>
      <c r="C11702" s="3" t="str">
        <f>IFERROR(__xludf.DUMMYFUNCTION("GOOGLETRANSLATE(B11702,""id"",""en"")"),"['Telkomsel', 'knpa', 'skrg', 'signal', 'angel', 'pdhl', 'customer', 'loyal', 'lbih', 'th']")</f>
        <v>['Telkomsel', 'knpa', 'skrg', 'signal', 'angel', 'pdhl', 'customer', 'loyal', 'lbih', 'th']</v>
      </c>
      <c r="D11702" s="3">
        <v>3.0</v>
      </c>
    </row>
    <row r="11703" ht="15.75" customHeight="1">
      <c r="A11703" s="1">
        <v>12626.0</v>
      </c>
      <c r="B11703" s="3" t="s">
        <v>11129</v>
      </c>
      <c r="C11703" s="3" t="str">
        <f>IFERROR(__xludf.DUMMYFUNCTION("GOOGLETRANSLATE(B11703,""id"",""en"")"),"['Application', 'Okay', 'Connection', 'Internet', 'Telkomsel', 'Current']")</f>
        <v>['Application', 'Okay', 'Connection', 'Internet', 'Telkomsel', 'Current']</v>
      </c>
      <c r="D11703" s="3">
        <v>1.0</v>
      </c>
    </row>
    <row r="11704" ht="15.75" customHeight="1">
      <c r="A11704" s="1">
        <v>12627.0</v>
      </c>
      <c r="B11704" s="3" t="s">
        <v>11130</v>
      </c>
      <c r="C11704" s="3" t="str">
        <f>IFERROR(__xludf.DUMMYFUNCTION("GOOGLETRANSLATE(B11704,""id"",""en"")"),"['Network', 'empty', 'package', 'expensive', 'taste', 'robbed', 'Telkomsel', 'rating', 'Gara', 'Gara', 'person', ' fraud']")</f>
        <v>['Network', 'empty', 'package', 'expensive', 'taste', 'robbed', 'Telkomsel', 'rating', 'Gara', 'Gara', 'person', ' fraud']</v>
      </c>
      <c r="D11704" s="3">
        <v>1.0</v>
      </c>
    </row>
    <row r="11705" ht="15.75" customHeight="1">
      <c r="A11705" s="1">
        <v>12628.0</v>
      </c>
      <c r="B11705" s="3" t="s">
        <v>11131</v>
      </c>
      <c r="C11705" s="3" t="str">
        <f>IFERROR(__xludf.DUMMYFUNCTION("GOOGLETRANSLATE(B11705,""id"",""en"")"),"['Rate', 'Review', 'Under', 'already', 'represents']")</f>
        <v>['Rate', 'Review', 'Under', 'already', 'represents']</v>
      </c>
      <c r="D11705" s="3">
        <v>1.0</v>
      </c>
    </row>
    <row r="11706" ht="15.75" customHeight="1">
      <c r="A11706" s="1">
        <v>12629.0</v>
      </c>
      <c r="B11706" s="3" t="s">
        <v>8065</v>
      </c>
      <c r="C11706" s="3" t="str">
        <f>IFERROR(__xludf.DUMMYFUNCTION("GOOGLETRANSLATE(B11706,""id"",""en"")"),"['', 'Leet']")</f>
        <v>['', 'Leet']</v>
      </c>
      <c r="D11706" s="3">
        <v>4.0</v>
      </c>
    </row>
    <row r="11707" ht="15.75" customHeight="1">
      <c r="A11707" s="1">
        <v>12630.0</v>
      </c>
      <c r="B11707" s="3" t="s">
        <v>11132</v>
      </c>
      <c r="C11707" s="3" t="str">
        <f>IFERROR(__xludf.DUMMYFUNCTION("GOOGLETRANSLATE(B11707,""id"",""en"")"),"['Search', 'luck']")</f>
        <v>['Search', 'luck']</v>
      </c>
      <c r="D11707" s="3">
        <v>3.0</v>
      </c>
    </row>
    <row r="11708" ht="15.75" customHeight="1">
      <c r="A11708" s="1">
        <v>12631.0</v>
      </c>
      <c r="B11708" s="3" t="s">
        <v>11133</v>
      </c>
      <c r="C11708" s="3" t="str">
        <f>IFERROR(__xludf.DUMMYFUNCTION("GOOGLETRANSLATE(B11708,""id"",""en"")"),"['In the future', 'sympathy', 'Telkomsel', 'ugly', 'network', 'activation', 'combo', 'Sakti', 'taste', 'vain', 'vain', 'road', ' Settlement ',' Move ',' Provider ',' ']")</f>
        <v>['In the future', 'sympathy', 'Telkomsel', 'ugly', 'network', 'activation', 'combo', 'Sakti', 'taste', 'vain', 'vain', 'road', ' Settlement ',' Move ',' Provider ',' ']</v>
      </c>
      <c r="D11708" s="3">
        <v>1.0</v>
      </c>
    </row>
    <row r="11709" ht="15.75" customHeight="1">
      <c r="A11709" s="1">
        <v>12632.0</v>
      </c>
      <c r="B11709" s="3" t="s">
        <v>11134</v>
      </c>
      <c r="C11709" s="3" t="str">
        <f>IFERROR(__xludf.DUMMYFUNCTION("GOOGLETRANSLATE(B11709,""id"",""en"")"),"['Network', 'rotten', 'quota', 'expensive', 'signal', 'rich', 'taik', 'pig', 'ajg', 'closed', 'company', 'kntlelll']")</f>
        <v>['Network', 'rotten', 'quota', 'expensive', 'signal', 'rich', 'taik', 'pig', 'ajg', 'closed', 'company', 'kntlelll']</v>
      </c>
      <c r="D11709" s="3">
        <v>1.0</v>
      </c>
    </row>
    <row r="11710" ht="15.75" customHeight="1">
      <c r="A11710" s="1">
        <v>12633.0</v>
      </c>
      <c r="B11710" s="3" t="s">
        <v>11135</v>
      </c>
      <c r="C11710" s="3" t="str">
        <f>IFERROR(__xludf.DUMMYFUNCTION("GOOGLETRANSLATE(B11710,""id"",""en"")"),"['Sinyall', 'price', 'Doang', 'expensive', 'Kek', 'next door', 'signal']")</f>
        <v>['Sinyall', 'price', 'Doang', 'expensive', 'Kek', 'next door', 'signal']</v>
      </c>
      <c r="D11710" s="3">
        <v>1.0</v>
      </c>
    </row>
    <row r="11711" ht="15.75" customHeight="1">
      <c r="A11711" s="1">
        <v>12634.0</v>
      </c>
      <c r="B11711" s="3" t="s">
        <v>11136</v>
      </c>
      <c r="C11711" s="3" t="str">
        <f>IFERROR(__xludf.DUMMYFUNCTION("GOOGLETRANSLATE(B11711,""id"",""en"")"),"['Beginner', 'Telkomsel', '']")</f>
        <v>['Beginner', 'Telkomsel', '']</v>
      </c>
      <c r="D11711" s="3">
        <v>4.0</v>
      </c>
    </row>
    <row r="11712" ht="15.75" customHeight="1">
      <c r="A11712" s="1">
        <v>12635.0</v>
      </c>
      <c r="B11712" s="3" t="s">
        <v>11137</v>
      </c>
      <c r="C11712" s="3" t="str">
        <f>IFERROR(__xludf.DUMMYFUNCTION("GOOGLETRANSLATE(B11712,""id"",""en"")"),"['The application', 'good', 'promo', 'package', 'telkom', 'anniLeted', 'price', 'affordable', ""]")</f>
        <v>['The application', 'good', 'promo', 'package', 'telkom', 'anniLeted', 'price', 'affordable', "]</v>
      </c>
      <c r="D11712" s="3">
        <v>5.0</v>
      </c>
    </row>
    <row r="11713" ht="15.75" customHeight="1">
      <c r="A11713" s="1">
        <v>12636.0</v>
      </c>
      <c r="B11713" s="3" t="s">
        <v>11138</v>
      </c>
      <c r="C11713" s="3" t="str">
        <f>IFERROR(__xludf.DUMMYFUNCTION("GOOGLETRANSLATE(B11713,""id"",""en"")"),"['Really', 'really', 'Telkomsel', 'signal', 'KEK', 'KNTL', 'ANJNK', 'Baby', 'Telkomsel', 'Signal', 'Karuan', 'Price', ' package ',' expensive ',' what ',' Telkomsel ',' asw ',' emng ',' greetings', 'telkomsel', 'rating', 'cave', 'residents',' earth ' , 'I"&amp;"ndonesia', 'think', 'kkkkkkk', 'times',' buy ',' card ',' Telkomsel ',' gini ',' pulse ',' conted ',' network ',' cave ',' Good ',' zubut ',' active ',' Temfik ',' cave ',' buy ',' quota ',' call ',' subscription ',' cave ',' asw ',' woi ',' customer ' , "&amp;"'']")</f>
        <v>['Really', 'really', 'Telkomsel', 'signal', 'KEK', 'KNTL', 'ANJNK', 'Baby', 'Telkomsel', 'Signal', 'Karuan', 'Price', ' package ',' expensive ',' what ',' Telkomsel ',' asw ',' emng ',' greetings', 'telkomsel', 'rating', 'cave', 'residents',' earth ' , 'Indonesia', 'think', 'kkkkkkk', 'times',' buy ',' card ',' Telkomsel ',' gini ',' pulse ',' conted ',' network ',' cave ',' Good ',' zubut ',' active ',' Temfik ',' cave ',' buy ',' quota ',' call ',' subscription ',' cave ',' asw ',' woi ',' customer ' , '']</v>
      </c>
      <c r="D11713" s="3">
        <v>1.0</v>
      </c>
    </row>
    <row r="11714" ht="15.75" customHeight="1">
      <c r="A11714" s="1">
        <v>12637.0</v>
      </c>
      <c r="B11714" s="3" t="s">
        <v>11139</v>
      </c>
      <c r="C11714" s="3" t="str">
        <f>IFERROR(__xludf.DUMMYFUNCTION("GOOGLETRANSLATE(B11714,""id"",""en"")"),"['', 'Good', 'area']")</f>
        <v>['', 'Good', 'area']</v>
      </c>
      <c r="D11714" s="3">
        <v>4.0</v>
      </c>
    </row>
    <row r="11715" ht="15.75" customHeight="1">
      <c r="A11715" s="1">
        <v>12638.0</v>
      </c>
      <c r="B11715" s="3" t="s">
        <v>11140</v>
      </c>
      <c r="C11715" s="3" t="str">
        <f>IFERROR(__xludf.DUMMYFUNCTION("GOOGLETRANSLATE(B11715,""id"",""en"")"),"['updated', 'use', 'sound', 'right', 'open', 'Application', 'turn it off', 'voice', 'setting', 'flame', 'brisikkk']")</f>
        <v>['updated', 'use', 'sound', 'right', 'open', 'Application', 'turn it off', 'voice', 'setting', 'flame', 'brisikkk']</v>
      </c>
      <c r="D11715" s="3">
        <v>1.0</v>
      </c>
    </row>
    <row r="11716" ht="15.75" customHeight="1">
      <c r="A11716" s="1">
        <v>12639.0</v>
      </c>
      <c r="B11716" s="3" t="s">
        <v>11141</v>
      </c>
      <c r="C11716" s="3" t="str">
        <f>IFERROR(__xludf.DUMMYFUNCTION("GOOGLETRANSLATE(B11716,""id"",""en"")"),"['Try', 'good', 'Full', 'star']")</f>
        <v>['Try', 'good', 'Full', 'star']</v>
      </c>
      <c r="D11716" s="3">
        <v>1.0</v>
      </c>
    </row>
    <row r="11717" ht="15.75" customHeight="1">
      <c r="A11717" s="1">
        <v>12640.0</v>
      </c>
      <c r="B11717" s="3" t="s">
        <v>11142</v>
      </c>
      <c r="C11717" s="3" t="str">
        <f>IFERROR(__xludf.DUMMYFUNCTION("GOOGLETRANSLATE(B11717,""id"",""en"")"),"['service', 'complete', 'Unfortunately', 'in the past', 'pandemic', 'Available', 'Packet', 'Internet', 'cheap']")</f>
        <v>['service', 'complete', 'Unfortunately', 'in the past', 'pandemic', 'Available', 'Packet', 'Internet', 'cheap']</v>
      </c>
      <c r="D11717" s="3">
        <v>5.0</v>
      </c>
    </row>
    <row r="11718" ht="15.75" customHeight="1">
      <c r="A11718" s="1">
        <v>12641.0</v>
      </c>
      <c r="B11718" s="3" t="s">
        <v>11143</v>
      </c>
      <c r="C11718" s="3" t="str">
        <f>IFERROR(__xludf.DUMMYFUNCTION("GOOGLETRANSLATE(B11718,""id"",""en"")"),"['Contents', 'pulse', 'sodot', 'Mulu', 'Dadire', 'ngak', 'loan', 'package', 'emergency', '']")</f>
        <v>['Contents', 'pulse', 'sodot', 'Mulu', 'Dadire', 'ngak', 'loan', 'package', 'emergency', '']</v>
      </c>
      <c r="D11718" s="3">
        <v>5.0</v>
      </c>
    </row>
    <row r="11719" ht="15.75" customHeight="1">
      <c r="A11719" s="1">
        <v>12642.0</v>
      </c>
      <c r="B11719" s="3" t="s">
        <v>11144</v>
      </c>
      <c r="C11719" s="3" t="str">
        <f>IFERROR(__xludf.DUMMYFUNCTION("GOOGLETRANSLATE(B11719,""id"",""en"")"),"['Change', 'Card', 'Smatfren', 'Karn', 'Telkomsel', 'Dead', 'Lmpu', 'Dead', 'Signal', 'Hadeh', 'Recommendation', 'Desa', ' YABG ',' Like ',' Lamp ',' Dead ',' Change ',' Card ',' Sudha ',' BNR ',' Use ',' Subscribe ',' Telkomsel ',' Kek ',' Gini ' , 'Left"&amp;",', 'Change']")</f>
        <v>['Change', 'Card', 'Smatfren', 'Karn', 'Telkomsel', 'Dead', 'Lmpu', 'Dead', 'Signal', 'Hadeh', 'Recommendation', 'Desa', ' YABG ',' Like ',' Lamp ',' Dead ',' Change ',' Card ',' Sudha ',' BNR ',' Use ',' Subscribe ',' Telkomsel ',' Kek ',' Gini ' , 'Left,', 'Change']</v>
      </c>
      <c r="D11719" s="3">
        <v>1.0</v>
      </c>
    </row>
    <row r="11720" ht="15.75" customHeight="1">
      <c r="A11720" s="1">
        <v>12643.0</v>
      </c>
      <c r="B11720" s="3" t="s">
        <v>11145</v>
      </c>
      <c r="C11720" s="3" t="str">
        <f>IFERROR(__xludf.DUMMYFUNCTION("GOOGLETRANSLATE(B11720,""id"",""en"")"),"['buy', 'package', 'data', 'app', 'sometimes', 'package', 'data', 'entry', 'many', 'times', 'purchase', 'enter']")</f>
        <v>['buy', 'package', 'data', 'app', 'sometimes', 'package', 'data', 'entry', 'many', 'times', 'purchase', 'enter']</v>
      </c>
      <c r="D11720" s="3">
        <v>1.0</v>
      </c>
    </row>
    <row r="11721" ht="15.75" customHeight="1">
      <c r="A11721" s="1">
        <v>12644.0</v>
      </c>
      <c r="B11721" s="3" t="s">
        <v>11146</v>
      </c>
      <c r="C11721" s="3" t="str">
        <f>IFERROR(__xludf.DUMMYFUNCTION("GOOGLETRANSLATE(B11721,""id"",""en"")"),"['finished', 'update', 'open', 'update', 'hemmm', '']")</f>
        <v>['finished', 'update', 'open', 'update', 'hemmm', '']</v>
      </c>
      <c r="D11721" s="3">
        <v>1.0</v>
      </c>
    </row>
    <row r="11722" ht="15.75" customHeight="1">
      <c r="A11722" s="1">
        <v>12645.0</v>
      </c>
      <c r="B11722" s="3" t="s">
        <v>11147</v>
      </c>
      <c r="C11722" s="3" t="str">
        <f>IFERROR(__xludf.DUMMYFUNCTION("GOOGLETRANSLATE(B11722,""id"",""en"")"),"['Install', 'Playstore']")</f>
        <v>['Install', 'Playstore']</v>
      </c>
      <c r="D11722" s="3">
        <v>3.0</v>
      </c>
    </row>
    <row r="11723" ht="15.75" customHeight="1">
      <c r="A11723" s="1">
        <v>12646.0</v>
      </c>
      <c r="B11723" s="3" t="s">
        <v>11148</v>
      </c>
      <c r="C11723" s="3" t="str">
        <f>IFERROR(__xludf.DUMMYFUNCTION("GOOGLETRANSLATE(B11723,""id"",""en"")"),"['dear', 'APP', 'MyTelkomsel', 'menu', 'usage', 'use', 'pulse', 'tetep', 'check', 'menu', 'umb']")</f>
        <v>['dear', 'APP', 'MyTelkomsel', 'menu', 'usage', 'use', 'pulse', 'tetep', 'check', 'menu', 'umb']</v>
      </c>
      <c r="D11723" s="3">
        <v>4.0</v>
      </c>
    </row>
    <row r="11724" ht="15.75" customHeight="1">
      <c r="A11724" s="1">
        <v>12647.0</v>
      </c>
      <c r="B11724" s="3" t="s">
        <v>2779</v>
      </c>
      <c r="C11724" s="3" t="str">
        <f>IFERROR(__xludf.DUMMYFUNCTION("GOOGLETRANSLATE(B11724,""id"",""en"")"),"['Package', 'cheap']")</f>
        <v>['Package', 'cheap']</v>
      </c>
      <c r="D11724" s="3">
        <v>5.0</v>
      </c>
    </row>
    <row r="11725" ht="15.75" customHeight="1">
      <c r="A11725" s="1">
        <v>12648.0</v>
      </c>
      <c r="B11725" s="3" t="s">
        <v>11149</v>
      </c>
      <c r="C11725" s="3" t="str">
        <f>IFERROR(__xludf.DUMMYFUNCTION("GOOGLETRANSLATE(B11725,""id"",""en"")"),"['Damaged', 'Price', 'Premium', 'Network', 'Poor']")</f>
        <v>['Damaged', 'Price', 'Premium', 'Network', 'Poor']</v>
      </c>
      <c r="D11725" s="3">
        <v>1.0</v>
      </c>
    </row>
    <row r="11726" ht="15.75" customHeight="1">
      <c r="A11726" s="1">
        <v>12649.0</v>
      </c>
      <c r="B11726" s="3" t="s">
        <v>11150</v>
      </c>
      <c r="C11726" s="3" t="str">
        <f>IFERROR(__xludf.DUMMYFUNCTION("GOOGLETRANSLATE(B11726,""id"",""en"")"),"['Please', 'Customize', 'Quality', 'Internet', 'Price', 'Karna', 'Quota', 'Telkomsel', 'Expensive', 'Network', 'Leet', 'Severe', ' playing game']")</f>
        <v>['Please', 'Customize', 'Quality', 'Internet', 'Price', 'Karna', 'Quota', 'Telkomsel', 'Expensive', 'Network', 'Leet', 'Severe', ' playing game']</v>
      </c>
      <c r="D11726" s="3">
        <v>1.0</v>
      </c>
    </row>
    <row r="11727" ht="15.75" customHeight="1">
      <c r="A11727" s="1">
        <v>12650.0</v>
      </c>
      <c r="B11727" s="3" t="s">
        <v>11151</v>
      </c>
      <c r="C11727" s="3" t="str">
        <f>IFERROR(__xludf.DUMMYFUNCTION("GOOGLETRANSLATE(B11727,""id"",""en"")"),"['Taik', 'already', 'update', 'go']")</f>
        <v>['Taik', 'already', 'update', 'go']</v>
      </c>
      <c r="D11727" s="3">
        <v>1.0</v>
      </c>
    </row>
    <row r="11728" ht="15.75" customHeight="1">
      <c r="A11728" s="1">
        <v>12651.0</v>
      </c>
      <c r="B11728" s="3" t="s">
        <v>11152</v>
      </c>
      <c r="C11728" s="3" t="str">
        <f>IFERROR(__xludf.DUMMYFUNCTION("GOOGLETRANSLATE(B11728,""id"",""en"")"),"['Telkomsel', 'Network', 'Area', 'Village', 'Tegalsari', 'Islamic Boarding School', 'Wonoboyo', 'Temanggung', 'Please', 'Fix', 'Connect', 'Bad', ' thank you']")</f>
        <v>['Telkomsel', 'Network', 'Area', 'Village', 'Tegalsari', 'Islamic Boarding School', 'Wonoboyo', 'Temanggung', 'Please', 'Fix', 'Connect', 'Bad', ' thank you']</v>
      </c>
      <c r="D11728" s="3">
        <v>1.0</v>
      </c>
    </row>
    <row r="11729" ht="15.75" customHeight="1">
      <c r="A11729" s="1">
        <v>12653.0</v>
      </c>
      <c r="B11729" s="3" t="s">
        <v>2620</v>
      </c>
      <c r="C11729" s="3" t="str">
        <f>IFERROR(__xludf.DUMMYFUNCTION("GOOGLETRANSLATE(B11729,""id"",""en"")"),"Of course")</f>
        <v>Of course</v>
      </c>
      <c r="D11729" s="3">
        <v>4.0</v>
      </c>
    </row>
    <row r="11730" ht="15.75" customHeight="1">
      <c r="A11730" s="1">
        <v>12654.0</v>
      </c>
      <c r="B11730" s="3" t="s">
        <v>11153</v>
      </c>
      <c r="C11730" s="3" t="str">
        <f>IFERROR(__xludf.DUMMYFUNCTION("GOOGLETRANSLATE(B11730,""id"",""en"")"),"['Please', 'server', 'in the future', 'discount', 'package', 'promo', 'trimakasih']")</f>
        <v>['Please', 'server', 'in the future', 'discount', 'package', 'promo', 'trimakasih']</v>
      </c>
      <c r="D11730" s="3">
        <v>5.0</v>
      </c>
    </row>
    <row r="11731" ht="15.75" customHeight="1">
      <c r="A11731" s="1">
        <v>12655.0</v>
      </c>
      <c r="B11731" s="3" t="s">
        <v>11154</v>
      </c>
      <c r="C11731" s="3" t="str">
        <f>IFERROR(__xludf.DUMMYFUNCTION("GOOGLETRANSLATE(B11731,""id"",""en"")"),"['dear', 'Telkomsel', 'skrng', 'signal', 'missing', 'network', 'disturbing', 'Please', 'fix']")</f>
        <v>['dear', 'Telkomsel', 'skrng', 'signal', 'missing', 'network', 'disturbing', 'Please', 'fix']</v>
      </c>
      <c r="D11731" s="3">
        <v>3.0</v>
      </c>
    </row>
    <row r="11732" ht="15.75" customHeight="1">
      <c r="A11732" s="1">
        <v>12656.0</v>
      </c>
      <c r="B11732" s="3" t="s">
        <v>3963</v>
      </c>
      <c r="C11732" s="3" t="str">
        <f>IFERROR(__xludf.DUMMYFUNCTION("GOOGLETRANSLATE(B11732,""id"",""en"")"),"['APK', 'Help']")</f>
        <v>['APK', 'Help']</v>
      </c>
      <c r="D11732" s="3">
        <v>5.0</v>
      </c>
    </row>
    <row r="11733" ht="15.75" customHeight="1">
      <c r="A11733" s="1">
        <v>12657.0</v>
      </c>
      <c r="B11733" s="3" t="s">
        <v>11155</v>
      </c>
      <c r="C11733" s="3" t="str">
        <f>IFERROR(__xludf.DUMMYFUNCTION("GOOGLETRANSLATE(B11733,""id"",""en"")"),"['signal', 'Telkomsel', 'no', 'like', 'lose', 'provider', '']")</f>
        <v>['signal', 'Telkomsel', 'no', 'like', 'lose', 'provider', '']</v>
      </c>
      <c r="D11733" s="3">
        <v>1.0</v>
      </c>
    </row>
    <row r="11734" ht="15.75" customHeight="1">
      <c r="A11734" s="1">
        <v>12658.0</v>
      </c>
      <c r="B11734" s="3" t="s">
        <v>11156</v>
      </c>
      <c r="C11734" s="3" t="str">
        <f>IFERROR(__xludf.DUMMYFUNCTION("GOOGLETRANSLATE(B11734,""id"",""en"")"),"['Practical', 'bother']")</f>
        <v>['Practical', 'bother']</v>
      </c>
      <c r="D11734" s="3">
        <v>5.0</v>
      </c>
    </row>
    <row r="11735" ht="15.75" customHeight="1">
      <c r="A11735" s="1">
        <v>12659.0</v>
      </c>
      <c r="B11735" s="3" t="s">
        <v>11157</v>
      </c>
      <c r="C11735" s="3" t="str">
        <f>IFERROR(__xludf.DUMMYFUNCTION("GOOGLETRANSLATE(B11735,""id"",""en"")"),"['Steady', 'soul', 'boss', ""]")</f>
        <v>['Steady', 'soul', 'boss', "]</v>
      </c>
      <c r="D11735" s="3">
        <v>5.0</v>
      </c>
    </row>
    <row r="11736" ht="15.75" customHeight="1">
      <c r="A11736" s="1">
        <v>12660.0</v>
      </c>
      <c r="B11736" s="3" t="s">
        <v>11158</v>
      </c>
      <c r="C11736" s="3" t="str">
        <f>IFERROR(__xludf.DUMMYFUNCTION("GOOGLETRANSLATE(B11736,""id"",""en"")"),"['buy', 'quota', 'a week', 'emng', 'get "",' GB ',' Klau ',' used ',' signal ',' difficult ',' all day ',' pdhal ',' Sya ',' Tangsel ',' Lho ',' Hellow ',' Amid "", 'Forest']")</f>
        <v>['buy', 'quota', 'a week', 'emng', 'get ",' GB ',' Klau ',' used ',' signal ',' difficult ',' all day ',' pdhal ',' Sya ',' Tangsel ',' Lho ',' Hellow ',' Amid ", 'Forest']</v>
      </c>
      <c r="D11736" s="3">
        <v>1.0</v>
      </c>
    </row>
    <row r="11737" ht="15.75" customHeight="1">
      <c r="A11737" s="1">
        <v>12661.0</v>
      </c>
      <c r="B11737" s="3" t="s">
        <v>11159</v>
      </c>
      <c r="C11737" s="3" t="str">
        <f>IFERROR(__xludf.DUMMYFUNCTION("GOOGLETRANSLATE(B11737,""id"",""en"")"),"['signal', 'kek', 'pudd', 'ajg', 'intention', 'signal']")</f>
        <v>['signal', 'kek', 'pudd', 'ajg', 'intention', 'signal']</v>
      </c>
      <c r="D11737" s="3">
        <v>1.0</v>
      </c>
    </row>
    <row r="11738" ht="15.75" customHeight="1">
      <c r="A11738" s="1">
        <v>12662.0</v>
      </c>
      <c r="B11738" s="3" t="s">
        <v>11160</v>
      </c>
      <c r="C11738" s="3" t="str">
        <f>IFERROR(__xludf.DUMMYFUNCTION("GOOGLETRANSLATE(B11738,""id"",""en"")"),"['make', 'mode', 'dark', 'application', 'comfortable', '']")</f>
        <v>['make', 'mode', 'dark', 'application', 'comfortable', '']</v>
      </c>
      <c r="D11738" s="3">
        <v>1.0</v>
      </c>
    </row>
    <row r="11739" ht="15.75" customHeight="1">
      <c r="A11739" s="1">
        <v>12663.0</v>
      </c>
      <c r="B11739" s="3" t="s">
        <v>11161</v>
      </c>
      <c r="C11739" s="3" t="str">
        <f>IFERROR(__xludf.DUMMYFUNCTION("GOOGLETRANSLATE(B11739,""id"",""en"")"),"['Ngeapain', 'Application', 'People', 'Network', 'Telkomsel', 'Lemot', 'Most importantly', 'Try', 'followed up', 'complaints',' MOVER ',' complaint ',' Display ',' signal ',' full ',' speed ',' exceed ',' kbps ',' network ',' fast ',' clock ',' night ',' "&amp;"dawn ',' what 'do', 'try' , 'Application', 'MyTelkomsel', 'burden', 'application', 'Android', '']")</f>
        <v>['Ngeapain', 'Application', 'People', 'Network', 'Telkomsel', 'Lemot', 'Most importantly', 'Try', 'followed up', 'complaints',' MOVER ',' complaint ',' Display ',' signal ',' full ',' speed ',' exceed ',' kbps ',' network ',' fast ',' clock ',' night ',' dawn ',' what 'do', 'try' , 'Application', 'MyTelkomsel', 'burden', 'application', 'Android', '']</v>
      </c>
      <c r="D11739" s="3">
        <v>1.0</v>
      </c>
    </row>
    <row r="11740" ht="15.75" customHeight="1">
      <c r="A11740" s="1">
        <v>12664.0</v>
      </c>
      <c r="B11740" s="3" t="s">
        <v>11162</v>
      </c>
      <c r="C11740" s="3" t="str">
        <f>IFERROR(__xludf.DUMMYFUNCTION("GOOGLETRANSLATE(B11740,""id"",""en"")"),"['Waiting', 'bid', 'product', 'cheap']")</f>
        <v>['Waiting', 'bid', 'product', 'cheap']</v>
      </c>
      <c r="D11740" s="3">
        <v>3.0</v>
      </c>
    </row>
    <row r="11741" ht="15.75" customHeight="1">
      <c r="A11741" s="1">
        <v>12665.0</v>
      </c>
      <c r="B11741" s="3" t="s">
        <v>11163</v>
      </c>
      <c r="C11741" s="3" t="str">
        <f>IFERROR(__xludf.DUMMYFUNCTION("GOOGLETRANSLATE(B11741,""id"",""en"")"),"['Honey', 'Bangka', 'South', 'Telkomsel', 'rich', 'network', 'cheap', 'signal', 'KLH', 'operator', 'disappointed', 'Dnn', ' Telkomsel ',' tariff ',' TTP ',' expensive ',' netting ',' like ',' cheap ',' Kecnewaaaaaa ',' ']")</f>
        <v>['Honey', 'Bangka', 'South', 'Telkomsel', 'rich', 'network', 'cheap', 'signal', 'KLH', 'operator', 'disappointed', 'Dnn', ' Telkomsel ',' tariff ',' TTP ',' expensive ',' netting ',' like ',' cheap ',' Kecnewaaaaaa ',' ']</v>
      </c>
      <c r="D11741" s="3">
        <v>1.0</v>
      </c>
    </row>
    <row r="11742" ht="15.75" customHeight="1">
      <c r="A11742" s="1">
        <v>12666.0</v>
      </c>
      <c r="B11742" s="3" t="s">
        <v>11164</v>
      </c>
      <c r="C11742" s="3" t="str">
        <f>IFERROR(__xludf.DUMMYFUNCTION("GOOGLETRANSLATE(B11742,""id"",""en"")"),"['Network', 'lose', 'pdhl', 'expensive']")</f>
        <v>['Network', 'lose', 'pdhl', 'expensive']</v>
      </c>
      <c r="D11742" s="3">
        <v>1.0</v>
      </c>
    </row>
    <row r="11743" ht="15.75" customHeight="1">
      <c r="A11743" s="1">
        <v>12667.0</v>
      </c>
      <c r="B11743" s="3" t="s">
        <v>629</v>
      </c>
      <c r="C11743" s="3" t="str">
        <f>IFERROR(__xludf.DUMMYFUNCTION("GOOGLETRANSLATE(B11743,""id"",""en"")"),"['useful', '']")</f>
        <v>['useful', '']</v>
      </c>
      <c r="D11743" s="3">
        <v>5.0</v>
      </c>
    </row>
    <row r="11744" ht="15.75" customHeight="1">
      <c r="A11744" s="1">
        <v>12668.0</v>
      </c>
      <c r="B11744" s="3" t="s">
        <v>11165</v>
      </c>
      <c r="C11744" s="3" t="str">
        <f>IFERROR(__xludf.DUMMYFUNCTION("GOOGLETRANSLATE(B11744,""id"",""en"")"),"['please', 'top', 'games', 'card', 'next door']")</f>
        <v>['please', 'top', 'games', 'card', 'next door']</v>
      </c>
      <c r="D11744" s="3">
        <v>3.0</v>
      </c>
    </row>
    <row r="11745" ht="15.75" customHeight="1">
      <c r="A11745" s="1">
        <v>12669.0</v>
      </c>
      <c r="B11745" s="3" t="s">
        <v>11166</v>
      </c>
      <c r="C11745" s="3" t="str">
        <f>IFERROR(__xludf.DUMMYFUNCTION("GOOGLETRANSLATE(B11745,""id"",""en"")"),"['Alhamdulillah', 'obstacles', 'resolved', 'sorry', 'love', 'star', '']")</f>
        <v>['Alhamdulillah', 'obstacles', 'resolved', 'sorry', 'love', 'star', '']</v>
      </c>
      <c r="D11745" s="3">
        <v>5.0</v>
      </c>
    </row>
    <row r="11746" ht="15.75" customHeight="1">
      <c r="A11746" s="1">
        <v>12670.0</v>
      </c>
      <c r="B11746" s="3" t="s">
        <v>11167</v>
      </c>
      <c r="C11746" s="3" t="str">
        <f>IFERROR(__xludf.DUMMYFUNCTION("GOOGLETRANSLATE(B11746,""id"",""en"")"),"['Jarigan', 'garbage', 'Season', 'Cave', 'LTH', 'Telkomsel', 'Sometimes', 'Mengelek', 'Mulu']")</f>
        <v>['Jarigan', 'garbage', 'Season', 'Cave', 'LTH', 'Telkomsel', 'Sometimes', 'Mengelek', 'Mulu']</v>
      </c>
      <c r="D11746" s="3">
        <v>1.0</v>
      </c>
    </row>
    <row r="11747" ht="15.75" customHeight="1">
      <c r="A11747" s="1">
        <v>12671.0</v>
      </c>
      <c r="B11747" s="3" t="s">
        <v>11168</v>
      </c>
      <c r="C11747" s="3" t="str">
        <f>IFERROR(__xludf.DUMMYFUNCTION("GOOGLETRANSLATE(B11747,""id"",""en"")"),"['Dear', 'company', 'Telkomsel', 'Stay', 'Center', 'City', 'Capital', 'Province', 'users',' loyal ',' Card ',' Telkomsel ',' Th, 'experiencing', 'obstacles', 'access', 'network', 'internet', 'connection', 'network', 'stable', 'disorder', 'gerangan', ""]")</f>
        <v>['Dear', 'company', 'Telkomsel', 'Stay', 'Center', 'City', 'Capital', 'Province', 'users',' loyal ',' Card ',' Telkomsel ',' Th, 'experiencing', 'obstacles', 'access', 'network', 'internet', 'connection', 'network', 'stable', 'disorder', 'gerangan', "]</v>
      </c>
      <c r="D11747" s="3">
        <v>1.0</v>
      </c>
    </row>
    <row r="11748" ht="15.75" customHeight="1">
      <c r="A11748" s="1">
        <v>12672.0</v>
      </c>
      <c r="B11748" s="3" t="s">
        <v>11169</v>
      </c>
      <c r="C11748" s="3" t="str">
        <f>IFERROR(__xludf.DUMMYFUNCTION("GOOGLETRANSLATE(B11748,""id"",""en"")"),"['Easy', 'The application', 'Simple']")</f>
        <v>['Easy', 'The application', 'Simple']</v>
      </c>
      <c r="D11748" s="3">
        <v>5.0</v>
      </c>
    </row>
    <row r="11749" ht="15.75" customHeight="1">
      <c r="A11749" s="1">
        <v>12673.0</v>
      </c>
      <c r="B11749" s="3" t="s">
        <v>11170</v>
      </c>
      <c r="C11749" s="3" t="str">
        <f>IFERROR(__xludf.DUMMYFUNCTION("GOOGLETRANSLATE(B11749,""id"",""en"")"),"['Paketannya', 'cheap', 'yes', 'Different', 'card', 'cheap', 'rules', 'card', 'cheap', 'package']")</f>
        <v>['Paketannya', 'cheap', 'yes', 'Different', 'card', 'cheap', 'rules', 'card', 'cheap', 'package']</v>
      </c>
      <c r="D11749" s="3">
        <v>4.0</v>
      </c>
    </row>
    <row r="11750" ht="15.75" customHeight="1">
      <c r="A11750" s="1">
        <v>12674.0</v>
      </c>
      <c r="B11750" s="3" t="s">
        <v>11171</v>
      </c>
      <c r="C11750" s="3" t="str">
        <f>IFERROR(__xludf.DUMMYFUNCTION("GOOGLETRANSLATE(B11750,""id"",""en"")"),"['Steady', 'the application', 'really', ""]")</f>
        <v>['Steady', 'the application', 'really', "]</v>
      </c>
      <c r="D11750" s="3">
        <v>5.0</v>
      </c>
    </row>
    <row r="11751" ht="15.75" customHeight="1">
      <c r="A11751" s="1">
        <v>12675.0</v>
      </c>
      <c r="B11751" s="3" t="s">
        <v>11172</v>
      </c>
      <c r="C11751" s="3" t="str">
        <f>IFERROR(__xludf.DUMMYFUNCTION("GOOGLETRANSLATE(B11751,""id"",""en"")"),"['Provider', 'Toller', 'Maen', 'Game', 'Doang', 'Ngelag', 'Tingah', 'Forest', 'Benerin', 'Network', 'Fool', 'Provider', ' Paid ',' Free ',' Dego ',' ']")</f>
        <v>['Provider', 'Toller', 'Maen', 'Game', 'Doang', 'Ngelag', 'Tingah', 'Forest', 'Benerin', 'Network', 'Fool', 'Provider', ' Paid ',' Free ',' Dego ',' ']</v>
      </c>
      <c r="D11751" s="3">
        <v>1.0</v>
      </c>
    </row>
    <row r="11752" ht="15.75" customHeight="1">
      <c r="A11752" s="1">
        <v>12676.0</v>
      </c>
      <c r="B11752" s="3" t="s">
        <v>11173</v>
      </c>
      <c r="C11752" s="3" t="str">
        <f>IFERROR(__xludf.DUMMYFUNCTION("GOOGLETRANSLATE(B11752,""id"",""en"")"),"['Lasi', 'star', 'try', 'Kasi', 'star', '']")</f>
        <v>['Lasi', 'star', 'try', 'Kasi', 'star', '']</v>
      </c>
      <c r="D11752" s="3">
        <v>2.0</v>
      </c>
    </row>
    <row r="11753" ht="15.75" customHeight="1">
      <c r="A11753" s="1">
        <v>12677.0</v>
      </c>
      <c r="B11753" s="3" t="s">
        <v>11174</v>
      </c>
      <c r="C11753" s="3" t="str">
        <f>IFERROR(__xludf.DUMMYFUNCTION("GOOGLETRANSLATE(B11753,""id"",""en"")"),"['Good', 'application', '']")</f>
        <v>['Good', 'application', '']</v>
      </c>
      <c r="D11753" s="3">
        <v>4.0</v>
      </c>
    </row>
    <row r="11754" ht="15.75" customHeight="1">
      <c r="A11754" s="1">
        <v>12678.0</v>
      </c>
      <c r="B11754" s="3" t="s">
        <v>11175</v>
      </c>
      <c r="C11754" s="3" t="str">
        <f>IFERROR(__xludf.DUMMYFUNCTION("GOOGLETRANSLATE(B11754,""id"",""en"")"),"['Since', 'Fire', 'Riau', 'Signal', 'Telkomsel', 'ugly', 'Severe', 'already', 'Pay', 'expensive', 'signal', 'ugly', ' already ',' tens', 'times',' call ',' no ',' change ',' kirain ',' buy ',' expensive ',' according to ',' quality ',' eh ',' squas' , 'AJ"&amp;"G', 'Da'maen']")</f>
        <v>['Since', 'Fire', 'Riau', 'Signal', 'Telkomsel', 'ugly', 'Severe', 'already', 'Pay', 'expensive', 'signal', 'ugly', ' already ',' tens', 'times',' call ',' no ',' change ',' kirain ',' buy ',' expensive ',' according to ',' quality ',' eh ',' squas' , 'AJG', 'Da'maen']</v>
      </c>
      <c r="D11754" s="3">
        <v>1.0</v>
      </c>
    </row>
    <row r="11755" ht="15.75" customHeight="1">
      <c r="A11755" s="1">
        <v>12679.0</v>
      </c>
      <c r="B11755" s="3" t="s">
        <v>11176</v>
      </c>
      <c r="C11755" s="3" t="str">
        <f>IFERROR(__xludf.DUMMYFUNCTION("GOOGLETRANSLATE(B11755,""id"",""en"")"),"['Please', 'enhanced', 'network', 'down', 'users', 'Telkomsel', 'feel', 'discomfort', 'Telkomsel', 'down', 'comfortable', 'downhill']")</f>
        <v>['Please', 'enhanced', 'network', 'down', 'users', 'Telkomsel', 'feel', 'discomfort', 'Telkomsel', 'down', 'comfortable', 'downhill']</v>
      </c>
      <c r="D11755" s="3">
        <v>2.0</v>
      </c>
    </row>
    <row r="11756" ht="15.75" customHeight="1">
      <c r="A11756" s="1">
        <v>12680.0</v>
      </c>
      <c r="B11756" s="3" t="s">
        <v>11177</v>
      </c>
      <c r="C11756" s="3" t="str">
        <f>IFERROR(__xludf.DUMMYFUNCTION("GOOGLETRANSLATE(B11756,""id"",""en"")"),"['Sometimes', 'good', 'sometimes']")</f>
        <v>['Sometimes', 'good', 'sometimes']</v>
      </c>
      <c r="D11756" s="3">
        <v>5.0</v>
      </c>
    </row>
    <row r="11757" ht="15.75" customHeight="1">
      <c r="A11757" s="1">
        <v>12681.0</v>
      </c>
      <c r="B11757" s="3" t="s">
        <v>11178</v>
      </c>
      <c r="C11757" s="3" t="str">
        <f>IFERROR(__xludf.DUMMYFUNCTION("GOOGLETRANSLATE(B11757,""id"",""en"")"),"['oehhh', 'Telkomsel', 'network', 'slow', 'play', 'game', 'ugly', 'network', 'already', 'expensive', 'buy', 'the city', ' ugly ',' jga ',' network ',' regret ',' bought ',' ']")</f>
        <v>['oehhh', 'Telkomsel', 'network', 'slow', 'play', 'game', 'ugly', 'network', 'already', 'expensive', 'buy', 'the city', ' ugly ',' jga ',' network ',' regret ',' bought ',' ']</v>
      </c>
      <c r="D11757" s="3">
        <v>1.0</v>
      </c>
    </row>
    <row r="11758" ht="15.75" customHeight="1">
      <c r="A11758" s="1">
        <v>12683.0</v>
      </c>
      <c r="B11758" s="3" t="s">
        <v>11179</v>
      </c>
      <c r="C11758" s="3" t="str">
        <f>IFERROR(__xludf.DUMMYFUNCTION("GOOGLETRANSLATE(B11758,""id"",""en"")"),"['error', 'enter', 'difficult', '']")</f>
        <v>['error', 'enter', 'difficult', '']</v>
      </c>
      <c r="D11758" s="3">
        <v>1.0</v>
      </c>
    </row>
    <row r="11759" ht="15.75" customHeight="1">
      <c r="A11759" s="1">
        <v>12684.0</v>
      </c>
      <c r="B11759" s="3" t="s">
        <v>11180</v>
      </c>
      <c r="C11759" s="3" t="str">
        <f>IFERROR(__xludf.DUMMYFUNCTION("GOOGLETRANSLATE(B11759,""id"",""en"")"),"['sympathy', 'signal', 'ugly', 'rich', 'pig', 'play', 'game', 'leg']")</f>
        <v>['sympathy', 'signal', 'ugly', 'rich', 'pig', 'play', 'game', 'leg']</v>
      </c>
      <c r="D11759" s="3">
        <v>1.0</v>
      </c>
    </row>
    <row r="11760" ht="15.75" customHeight="1">
      <c r="A11760" s="1">
        <v>12685.0</v>
      </c>
      <c r="B11760" s="3" t="s">
        <v>11181</v>
      </c>
      <c r="C11760" s="3" t="str">
        <f>IFERROR(__xludf.DUMMYFUNCTION("GOOGLETRANSLATE(B11760,""id"",""en"")"),"['Good', 'Direct', 'On']")</f>
        <v>['Good', 'Direct', 'On']</v>
      </c>
      <c r="D11760" s="3">
        <v>5.0</v>
      </c>
    </row>
    <row r="11761" ht="15.75" customHeight="1">
      <c r="A11761" s="1">
        <v>12686.0</v>
      </c>
      <c r="B11761" s="3" t="s">
        <v>11182</v>
      </c>
      <c r="C11761" s="3" t="str">
        <f>IFERROR(__xludf.DUMMYFUNCTION("GOOGLETRANSLATE(B11761,""id"",""en"")"),"['Satisfied', 'Telkomsel', 'Bintang', 'promo', 'Telkomsel', 'buy', 'quota', 'lust', 'really', '']")</f>
        <v>['Satisfied', 'Telkomsel', 'Bintang', 'promo', 'Telkomsel', 'buy', 'quota', 'lust', 'really', '']</v>
      </c>
      <c r="D11761" s="3">
        <v>4.0</v>
      </c>
    </row>
    <row r="11762" ht="15.75" customHeight="1">
      <c r="A11762" s="1">
        <v>12687.0</v>
      </c>
      <c r="B11762" s="3" t="s">
        <v>11183</v>
      </c>
      <c r="C11762" s="3" t="str">
        <f>IFERROR(__xludf.DUMMYFUNCTION("GOOGLETRANSLATE(B11762,""id"",""en"")"),"['Mantab', '']")</f>
        <v>['Mantab', '']</v>
      </c>
      <c r="D11762" s="3">
        <v>5.0</v>
      </c>
    </row>
    <row r="11763" ht="15.75" customHeight="1">
      <c r="A11763" s="1">
        <v>12688.0</v>
      </c>
      <c r="B11763" s="3" t="s">
        <v>11184</v>
      </c>
      <c r="C11763" s="3" t="str">
        <f>IFERROR(__xludf.DUMMYFUNCTION("GOOGLETRANSLATE(B11763,""id"",""en"")"),"['thank you darling']")</f>
        <v>['thank you darling']</v>
      </c>
      <c r="D11763" s="3">
        <v>1.0</v>
      </c>
    </row>
    <row r="11764" ht="15.75" customHeight="1">
      <c r="A11764" s="1">
        <v>12689.0</v>
      </c>
      <c r="B11764" s="3" t="s">
        <v>11185</v>
      </c>
      <c r="C11764" s="3" t="str">
        <f>IFERROR(__xludf.DUMMYFUNCTION("GOOGLETRANSLATE(B11764,""id"",""en"")"),"['Application', 'Damaged', 'Disruption', 'Mulu', 'Change', 'Employee', 'Maintain', 'Customer', ""]")</f>
        <v>['Application', 'Damaged', 'Disruption', 'Mulu', 'Change', 'Employee', 'Maintain', 'Customer', "]</v>
      </c>
      <c r="D11764" s="3">
        <v>1.0</v>
      </c>
    </row>
    <row r="11765" ht="15.75" customHeight="1">
      <c r="A11765" s="1">
        <v>12690.0</v>
      </c>
      <c r="B11765" s="3" t="s">
        <v>11186</v>
      </c>
      <c r="C11765" s="3" t="str">
        <f>IFERROR(__xludf.DUMMYFUNCTION("GOOGLETRANSLATE(B11765,""id"",""en"")"),"['wooiiiiiiii', 'Telkom', 'pulse', 'napa', 'angus',' then ',' get ',' sms', 'pulse', 'acquaintance', 'non', 'package', ' His max ',' buy ',' pulse ',' money ',' dahlah ',' replace ',' card ',' ']")</f>
        <v>['wooiiiiiiii', 'Telkom', 'pulse', 'napa', 'angus',' then ',' get ',' sms', 'pulse', 'acquaintance', 'non', 'package', ' His max ',' buy ',' pulse ',' money ',' dahlah ',' replace ',' card ',' ']</v>
      </c>
      <c r="D11765" s="3">
        <v>1.0</v>
      </c>
    </row>
    <row r="11766" ht="15.75" customHeight="1">
      <c r="A11766" s="1">
        <v>12691.0</v>
      </c>
      <c r="B11766" s="3" t="s">
        <v>11187</v>
      </c>
      <c r="C11766" s="3" t="str">
        <f>IFERROR(__xludf.DUMMYFUNCTION("GOOGLETRANSLATE(B11766,""id"",""en"")"),"['easy', 'fast', 'steady']")</f>
        <v>['easy', 'fast', 'steady']</v>
      </c>
      <c r="D11766" s="3">
        <v>5.0</v>
      </c>
    </row>
    <row r="11767" ht="15.75" customHeight="1">
      <c r="A11767" s="1">
        <v>12692.0</v>
      </c>
      <c r="B11767" s="3" t="s">
        <v>11188</v>
      </c>
      <c r="C11767" s="3" t="str">
        <f>IFERROR(__xludf.DUMMYFUNCTION("GOOGLETRANSLATE(B11767,""id"",""en"")"),"['Experience', 'Blom', 'because', 'Masi', 'Ana', 'Student']")</f>
        <v>['Experience', 'Blom', 'because', 'Masi', 'Ana', 'Student']</v>
      </c>
      <c r="D11767" s="3">
        <v>3.0</v>
      </c>
    </row>
    <row r="11768" ht="15.75" customHeight="1">
      <c r="A11768" s="1">
        <v>12693.0</v>
      </c>
      <c r="B11768" s="3" t="s">
        <v>11189</v>
      </c>
      <c r="C11768" s="3" t="str">
        <f>IFERROR(__xludf.DUMMYFUNCTION("GOOGLETRANSLATE(B11768,""id"",""en"")"),"['Network', 'ugly', 'card', 'expensive', 'package', 'expensive', 'corrupt', 'pulse', 'for a moment', 'life', 'data', 'direct', ' Take ',' pulse ',' tjingg ']")</f>
        <v>['Network', 'ugly', 'card', 'expensive', 'package', 'expensive', 'corrupt', 'pulse', 'for a moment', 'life', 'data', 'direct', ' Take ',' pulse ',' tjingg ']</v>
      </c>
      <c r="D11768" s="3">
        <v>1.0</v>
      </c>
    </row>
    <row r="11769" ht="15.75" customHeight="1">
      <c r="A11769" s="1">
        <v>12694.0</v>
      </c>
      <c r="B11769" s="3" t="s">
        <v>11190</v>
      </c>
      <c r="C11769" s="3" t="str">
        <f>IFERROR(__xludf.DUMMYFUNCTION("GOOGLETRANSLATE(B11769,""id"",""en"")"),"['maxh', 'help']")</f>
        <v>['maxh', 'help']</v>
      </c>
      <c r="D11769" s="3">
        <v>4.0</v>
      </c>
    </row>
    <row r="11770" ht="15.75" customHeight="1">
      <c r="A11770" s="1">
        <v>12695.0</v>
      </c>
      <c r="B11770" s="3" t="s">
        <v>11191</v>
      </c>
      <c r="C11770" s="3" t="str">
        <f>IFERROR(__xludf.DUMMYFUNCTION("GOOGLETRANSLATE(B11770,""id"",""en"")"),"['Telkomsel', 'Yanh', 'Dear', 'Please', 'Very', 'Network', 'Region', 'Lampus',' South ',' Right ',' Since ',' Loy ',' Palembang ',' network ',' lag ',' severe ',' price ',' package ',' network ',' thank you ',' love ',' read ']")</f>
        <v>['Telkomsel', 'Yanh', 'Dear', 'Please', 'Very', 'Network', 'Region', 'Lampus',' South ',' Right ',' Since ',' Loy ',' Palembang ',' network ',' lag ',' severe ',' price ',' package ',' network ',' thank you ',' love ',' read ']</v>
      </c>
      <c r="D11770" s="3">
        <v>1.0</v>
      </c>
    </row>
    <row r="11771" ht="15.75" customHeight="1">
      <c r="A11771" s="1">
        <v>12696.0</v>
      </c>
      <c r="B11771" s="3" t="s">
        <v>11192</v>
      </c>
      <c r="C11771" s="3" t="str">
        <f>IFERROR(__xludf.DUMMYFUNCTION("GOOGLETRANSLATE(B11771,""id"",""en"")"),"['Telkomsel', 'Mems',' Great ',' right ',' Kouta ',' Sijyal ',' Nastyl ',' truss', 'Matul', 'Uka', 'continue', 'so', ' Truss', '']")</f>
        <v>['Telkomsel', 'Mems',' Great ',' right ',' Kouta ',' Sijyal ',' Nastyl ',' truss', 'Matul', 'Uka', 'continue', 'so', ' Truss', '']</v>
      </c>
      <c r="D11771" s="3">
        <v>5.0</v>
      </c>
    </row>
    <row r="11772" ht="15.75" customHeight="1">
      <c r="A11772" s="1">
        <v>12697.0</v>
      </c>
      <c r="B11772" s="3" t="s">
        <v>11193</v>
      </c>
      <c r="C11772" s="3" t="str">
        <f>IFERROR(__xludf.DUMMYFUNCTION("GOOGLETRANSLATE(B11772,""id"",""en"")"),"['Telkomsel', 'Wear', 'Internet', 'Cutting', 'Credit', 'Use', 'Internet', 'SIM', 'Telkomsel', 'Theft', 'Credit', 'Customer', ' ']")</f>
        <v>['Telkomsel', 'Wear', 'Internet', 'Cutting', 'Credit', 'Use', 'Internet', 'SIM', 'Telkomsel', 'Theft', 'Credit', 'Customer', ' ']</v>
      </c>
      <c r="D11772" s="3">
        <v>1.0</v>
      </c>
    </row>
    <row r="11773" ht="15.75" customHeight="1">
      <c r="A11773" s="1">
        <v>12698.0</v>
      </c>
      <c r="B11773" s="3" t="s">
        <v>11194</v>
      </c>
      <c r="C11773" s="3" t="str">
        <f>IFERROR(__xludf.DUMMYFUNCTION("GOOGLETRANSLATE(B11773,""id"",""en"")"),"['Good', 'program']")</f>
        <v>['Good', 'program']</v>
      </c>
      <c r="D11773" s="3">
        <v>4.0</v>
      </c>
    </row>
    <row r="11774" ht="15.75" customHeight="1">
      <c r="A11774" s="1">
        <v>12699.0</v>
      </c>
      <c r="B11774" s="3" t="s">
        <v>11195</v>
      </c>
      <c r="C11774" s="3" t="str">
        <f>IFERROR(__xludf.DUMMYFUNCTION("GOOGLETRANSLATE(B11774,""id"",""en"")"),"['Network', 'please', 'fix', 'miserable', 'play', 'game', 'ngelag', 'Mulu', '']")</f>
        <v>['Network', 'please', 'fix', 'miserable', 'play', 'game', 'ngelag', 'Mulu', '']</v>
      </c>
      <c r="D11774" s="3">
        <v>5.0</v>
      </c>
    </row>
    <row r="11775" ht="15.75" customHeight="1">
      <c r="A11775" s="1">
        <v>12700.0</v>
      </c>
      <c r="B11775" s="3" t="s">
        <v>2416</v>
      </c>
      <c r="C11775" s="3" t="str">
        <f>IFERROR(__xludf.DUMMYFUNCTION("GOOGLETRANSLATE(B11775,""id"",""en"")"),"['Easy', 'Telkomsel']")</f>
        <v>['Easy', 'Telkomsel']</v>
      </c>
      <c r="D11775" s="3">
        <v>5.0</v>
      </c>
    </row>
    <row r="11776" ht="15.75" customHeight="1">
      <c r="A11776" s="1">
        <v>12701.0</v>
      </c>
      <c r="B11776" s="3" t="s">
        <v>11196</v>
      </c>
      <c r="C11776" s="3" t="str">
        <f>IFERROR(__xludf.DUMMYFUNCTION("GOOGLETRANSLATE(B11776,""id"",""en"")"),"['ugly', 'mulu', 'signal', 'repair', 'little', 'napa', 'slow', 'play', 'free', 'fire', 'login', 'fail', ' Mulu ',' difficult ',' person ',' price ',' expensive ',' proud ',' bother ',' person ',' signal ',' ugly ',' suck ',' my computer ',' quota ' , 'fas"&amp;"t', 'run out', 'Hargar', 'expensive', 'banger', '']")</f>
        <v>['ugly', 'mulu', 'signal', 'repair', 'little', 'napa', 'slow', 'play', 'free', 'fire', 'login', 'fail', ' Mulu ',' difficult ',' person ',' price ',' expensive ',' proud ',' bother ',' person ',' signal ',' ugly ',' suck ',' my computer ',' quota ' , 'fast', 'run out', 'Hargar', 'expensive', 'banger', '']</v>
      </c>
      <c r="D11776" s="3">
        <v>1.0</v>
      </c>
    </row>
    <row r="11777" ht="15.75" customHeight="1">
      <c r="A11777" s="1">
        <v>12702.0</v>
      </c>
      <c r="B11777" s="3" t="s">
        <v>11197</v>
      </c>
      <c r="C11777" s="3" t="str">
        <f>IFERROR(__xludf.DUMMYFUNCTION("GOOGLETRANSLATE(B11777,""id"",""en"")"),"['Sorry', 'love', 'star', 'appl', 'help', 'makes it easy', 'purchase', ""]")</f>
        <v>['Sorry', 'love', 'star', 'appl', 'help', 'makes it easy', 'purchase', "]</v>
      </c>
      <c r="D11777" s="3">
        <v>4.0</v>
      </c>
    </row>
    <row r="11778" ht="15.75" customHeight="1">
      <c r="A11778" s="1">
        <v>12703.0</v>
      </c>
      <c r="B11778" s="3" t="s">
        <v>11198</v>
      </c>
      <c r="C11778" s="3" t="str">
        <f>IFERROR(__xludf.DUMMYFUNCTION("GOOGLETRANSLATE(B11778,""id"",""en"")"),"['', 'multiptenizes', 'package', 'cheap', 'fix', 'network', 'sometimes', 'dead', 'lights', 'signal', 'lost']")</f>
        <v>['', 'multiptenizes', 'package', 'cheap', 'fix', 'network', 'sometimes', 'dead', 'lights', 'signal', 'lost']</v>
      </c>
      <c r="D11778" s="3">
        <v>5.0</v>
      </c>
    </row>
    <row r="11779" ht="15.75" customHeight="1">
      <c r="A11779" s="1">
        <v>12704.0</v>
      </c>
      <c r="B11779" s="3" t="s">
        <v>11199</v>
      </c>
      <c r="C11779" s="3" t="str">
        <f>IFERROR(__xludf.DUMMYFUNCTION("GOOGLETRANSLATE(B11779,""id"",""en"")"),"['Cool', 'really', 'promo']")</f>
        <v>['Cool', 'really', 'promo']</v>
      </c>
      <c r="D11779" s="3">
        <v>5.0</v>
      </c>
    </row>
    <row r="11780" ht="15.75" customHeight="1">
      <c r="A11780" s="1">
        <v>12705.0</v>
      </c>
      <c r="B11780" s="3" t="s">
        <v>11200</v>
      </c>
      <c r="C11780" s="3" t="str">
        <f>IFERROR(__xludf.DUMMYFUNCTION("GOOGLETRANSLATE(B11780,""id"",""en"")"),"['expensive', 'card', 'SIM', 'purchase', 'package', '']")</f>
        <v>['expensive', 'card', 'SIM', 'purchase', 'package', '']</v>
      </c>
      <c r="D11780" s="3">
        <v>1.0</v>
      </c>
    </row>
    <row r="11781" ht="15.75" customHeight="1">
      <c r="A11781" s="1">
        <v>12706.0</v>
      </c>
      <c r="B11781" s="3" t="s">
        <v>4606</v>
      </c>
      <c r="C11781" s="3" t="str">
        <f>IFERROR(__xludf.DUMMYFUNCTION("GOOGLETRANSLATE(B11781,""id"",""en"")"),"['Lally', 'promo']")</f>
        <v>['Lally', 'promo']</v>
      </c>
      <c r="D11781" s="3">
        <v>5.0</v>
      </c>
    </row>
    <row r="11782" ht="15.75" customHeight="1">
      <c r="A11782" s="1">
        <v>12707.0</v>
      </c>
      <c r="B11782" s="3" t="s">
        <v>11201</v>
      </c>
      <c r="C11782" s="3" t="str">
        <f>IFERROR(__xludf.DUMMYFUNCTION("GOOGLETRANSLATE(B11782,""id"",""en"")"),"['used', 'a month', 'list', 'package', 'internet', 'dipake', 'update']")</f>
        <v>['used', 'a month', 'list', 'package', 'internet', 'dipake', 'update']</v>
      </c>
      <c r="D11782" s="3">
        <v>1.0</v>
      </c>
    </row>
    <row r="11783" ht="15.75" customHeight="1">
      <c r="A11783" s="1">
        <v>12708.0</v>
      </c>
      <c r="B11783" s="3" t="s">
        <v>11202</v>
      </c>
      <c r="C11783" s="3" t="str">
        <f>IFERROR(__xludf.DUMMYFUNCTION("GOOGLETRANSLATE(B11783,""id"",""en"")"),"['price', 'package', 'internet', 'pulse', 'expensive', 'signal', 'stable', 'because', 'rain', 'fly', 'fart', 'signal', ' Direct ',' Shake ',' Please ',' Donk ',' Repaired ',' Price ',' Expensive ',' Signalny ',' Timus', ""]")</f>
        <v>['price', 'package', 'internet', 'pulse', 'expensive', 'signal', 'stable', 'because', 'rain', 'fly', 'fart', 'signal', ' Direct ',' Shake ',' Please ',' Donk ',' Repaired ',' Price ',' Expensive ',' Signalny ',' Timus', "]</v>
      </c>
      <c r="D11783" s="3">
        <v>1.0</v>
      </c>
    </row>
    <row r="11784" ht="15.75" customHeight="1">
      <c r="A11784" s="1">
        <v>12710.0</v>
      </c>
      <c r="B11784" s="3" t="s">
        <v>11203</v>
      </c>
      <c r="C11784" s="3" t="str">
        <f>IFERROR(__xludf.DUMMYFUNCTION("GOOGLETRANSLATE(B11784,""id"",""en"")"),"['Region', 'Cikancung', 'answered', 'Telkomsel', 'slow']")</f>
        <v>['Region', 'Cikancung', 'answered', 'Telkomsel', 'slow']</v>
      </c>
      <c r="D11784" s="3">
        <v>5.0</v>
      </c>
    </row>
    <row r="11785" ht="15.75" customHeight="1">
      <c r="A11785" s="1">
        <v>12711.0</v>
      </c>
      <c r="B11785" s="3" t="s">
        <v>11204</v>
      </c>
      <c r="C11785" s="3" t="str">
        <f>IFERROR(__xludf.DUMMYFUNCTION("GOOGLETRANSLATE(B11785,""id"",""en"")"),"['hope', 'win', 'prize']")</f>
        <v>['hope', 'win', 'prize']</v>
      </c>
      <c r="D11785" s="3">
        <v>4.0</v>
      </c>
    </row>
    <row r="11786" ht="15.75" customHeight="1">
      <c r="A11786" s="1">
        <v>12712.0</v>
      </c>
      <c r="B11786" s="3" t="s">
        <v>11205</v>
      </c>
      <c r="C11786" s="3" t="str">
        <f>IFERROR(__xludf.DUMMYFUNCTION("GOOGLETRANSLATE(B11786,""id"",""en"")"),"['network', 'Telkomsel', 'skrng', 'UDH', 'rotten', 'bnget']")</f>
        <v>['network', 'Telkomsel', 'skrng', 'UDH', 'rotten', 'bnget']</v>
      </c>
      <c r="D11786" s="3">
        <v>1.0</v>
      </c>
    </row>
    <row r="11787" ht="15.75" customHeight="1">
      <c r="A11787" s="1">
        <v>12713.0</v>
      </c>
      <c r="B11787" s="3" t="s">
        <v>11206</v>
      </c>
      <c r="C11787" s="3" t="str">
        <f>IFERROR(__xludf.DUMMYFUNCTION("GOOGLETRANSLATE(B11787,""id"",""en"")"),"['Sya', 'Love', 'Star', 'Switch', 'Points', 'Credit', 'Data']")</f>
        <v>['Sya', 'Love', 'Star', 'Switch', 'Points', 'Credit', 'Data']</v>
      </c>
      <c r="D11787" s="3">
        <v>1.0</v>
      </c>
    </row>
    <row r="11788" ht="15.75" customHeight="1">
      <c r="A11788" s="1">
        <v>12714.0</v>
      </c>
      <c r="B11788" s="3" t="s">
        <v>11207</v>
      </c>
      <c r="C11788" s="3" t="str">
        <f>IFERROR(__xludf.DUMMYFUNCTION("GOOGLETRANSLATE(B11788,""id"",""en"")"),"['Good', 'stay', 'love', 'loan', 'pulse', 'payment', 'max']")</f>
        <v>['Good', 'stay', 'love', 'loan', 'pulse', 'payment', 'max']</v>
      </c>
      <c r="D11788" s="3">
        <v>5.0</v>
      </c>
    </row>
    <row r="11789" ht="15.75" customHeight="1">
      <c r="A11789" s="1">
        <v>12715.0</v>
      </c>
      <c r="B11789" s="3" t="s">
        <v>11208</v>
      </c>
      <c r="C11789" s="3" t="str">
        <f>IFERROR(__xludf.DUMMYFUNCTION("GOOGLETRANSLATE(B11789,""id"",""en"")"),"['Haplication', 'Good']")</f>
        <v>['Haplication', 'Good']</v>
      </c>
      <c r="D11789" s="3">
        <v>5.0</v>
      </c>
    </row>
    <row r="11790" ht="15.75" customHeight="1">
      <c r="A11790" s="1">
        <v>12716.0</v>
      </c>
      <c r="B11790" s="3" t="s">
        <v>11209</v>
      </c>
      <c r="C11790" s="3" t="str">
        <f>IFERROR(__xludf.DUMMYFUNCTION("GOOGLETRANSLATE(B11790,""id"",""en"")"),"['love', 'star', 'because', 'find', 'stop', 'package', 'quota', 'Telkomsel', 'meet', 'applied', 'rating', 'Change', ' Stop ',' package ',' quota ',' direct ',' notification ',' skrng ',' ']")</f>
        <v>['love', 'star', 'because', 'find', 'stop', 'package', 'quota', 'Telkomsel', 'meet', 'applied', 'rating', 'Change', ' Stop ',' package ',' quota ',' direct ',' notification ',' skrng ',' ']</v>
      </c>
      <c r="D11790" s="3">
        <v>3.0</v>
      </c>
    </row>
    <row r="11791" ht="15.75" customHeight="1">
      <c r="A11791" s="1">
        <v>12717.0</v>
      </c>
      <c r="B11791" s="3" t="s">
        <v>11210</v>
      </c>
      <c r="C11791" s="3" t="str">
        <f>IFERROR(__xludf.DUMMYFUNCTION("GOOGLETRANSLATE(B11791,""id"",""en"")"),"['Application', 'strange', 'opened', 'difficult', 'pdahal', 'use', 'data', 'Telkomsel']")</f>
        <v>['Application', 'strange', 'opened', 'difficult', 'pdahal', 'use', 'data', 'Telkomsel']</v>
      </c>
      <c r="D11791" s="3">
        <v>1.0</v>
      </c>
    </row>
    <row r="11792" ht="15.75" customHeight="1">
      <c r="A11792" s="1">
        <v>12718.0</v>
      </c>
      <c r="B11792" s="3" t="s">
        <v>11211</v>
      </c>
      <c r="C11792" s="3" t="str">
        <f>IFERROR(__xludf.DUMMYFUNCTION("GOOGLETRANSLATE(B11792,""id"",""en"")"),"['Service', 'Network', 'Telkomsel', 'Jacatan', 'Raya', 'Kecamatan', 'Rungan', 'Regency', 'Mount', 'Mas',' Kalteng ',' ugly ',' signal ',' stable ',' sometimes', 'sometimes',' signal ',' missing ']")</f>
        <v>['Service', 'Network', 'Telkomsel', 'Jacatan', 'Raya', 'Kecamatan', 'Rungan', 'Regency', 'Mount', 'Mas',' Kalteng ',' ugly ',' signal ',' stable ',' sometimes', 'sometimes',' signal ',' missing ']</v>
      </c>
      <c r="D11792" s="3">
        <v>1.0</v>
      </c>
    </row>
    <row r="11793" ht="15.75" customHeight="1">
      <c r="A11793" s="1">
        <v>12719.0</v>
      </c>
      <c r="B11793" s="3" t="s">
        <v>11212</v>
      </c>
      <c r="C11793" s="3" t="str">
        <f>IFERROR(__xludf.DUMMYFUNCTION("GOOGLETRANSLATE(B11793,""id"",""en"")"),"['expensive', 'signal']")</f>
        <v>['expensive', 'signal']</v>
      </c>
      <c r="D11793" s="3">
        <v>5.0</v>
      </c>
    </row>
    <row r="11794" ht="15.75" customHeight="1">
      <c r="A11794" s="1">
        <v>12720.0</v>
      </c>
      <c r="B11794" s="3" t="s">
        <v>11213</v>
      </c>
      <c r="C11794" s="3" t="str">
        <f>IFERROR(__xludf.DUMMYFUNCTION("GOOGLETRANSLATE(B11794,""id"",""en"")"),"['Good', 'emang', 'bgus', 'oath', 'see', 'see', 'emang', 'handsome', ""]")</f>
        <v>['Good', 'emang', 'bgus', 'oath', 'see', 'see', 'emang', 'handsome', "]</v>
      </c>
      <c r="D11794" s="3">
        <v>5.0</v>
      </c>
    </row>
    <row r="11795" ht="15.75" customHeight="1">
      <c r="A11795" s="1">
        <v>12721.0</v>
      </c>
      <c r="B11795" s="3" t="s">
        <v>11214</v>
      </c>
      <c r="C11795" s="3" t="str">
        <f>IFERROR(__xludf.DUMMYFUNCTION("GOOGLETRANSLATE(B11795,""id"",""en"")"),"['signal', 'please', 'repaired', 'watch', 'video', 'ngelag', 'cook', 'lose', 'high school', 'network', 'price', 'package', ' inexpensive']")</f>
        <v>['signal', 'please', 'repaired', 'watch', 'video', 'ngelag', 'cook', 'lose', 'high school', 'network', 'price', 'package', ' inexpensive']</v>
      </c>
      <c r="D11795" s="3">
        <v>1.0</v>
      </c>
    </row>
    <row r="11796" ht="15.75" customHeight="1">
      <c r="A11796" s="1">
        <v>12722.0</v>
      </c>
      <c r="B11796" s="3" t="s">
        <v>11215</v>
      </c>
      <c r="C11796" s="3" t="str">
        <f>IFERROR(__xludf.DUMMYFUNCTION("GOOGLETRANSLATE(B11796,""id"",""en"")"),"['Steady', 'NetworkX']")</f>
        <v>['Steady', 'NetworkX']</v>
      </c>
      <c r="D11796" s="3">
        <v>5.0</v>
      </c>
    </row>
    <row r="11797" ht="15.75" customHeight="1">
      <c r="A11797" s="1">
        <v>12723.0</v>
      </c>
      <c r="B11797" s="3" t="s">
        <v>11216</v>
      </c>
      <c r="C11797" s="3" t="str">
        <f>IFERROR(__xludf.DUMMYFUNCTION("GOOGLETRANSLATE(B11797,""id"",""en"")"),"['Telkomsel', 'skrng', 'knp', 'ugly', 'area', 'season', 'rain', 'ugly', 'signal', 'right', 'season', 'season', ' Kmarau ',' ugly ',' Knp ',' Bagusan ',' Tlkomsel ', ""]")</f>
        <v>['Telkomsel', 'skrng', 'knp', 'ugly', 'area', 'season', 'rain', 'ugly', 'signal', 'right', 'season', 'season', ' Kmarau ',' ugly ',' Knp ',' Bagusan ',' Tlkomsel ', "]</v>
      </c>
      <c r="D11797" s="3">
        <v>5.0</v>
      </c>
    </row>
    <row r="11798" ht="15.75" customHeight="1">
      <c r="A11798" s="1">
        <v>12724.0</v>
      </c>
      <c r="B11798" s="3" t="s">
        <v>11217</v>
      </c>
      <c r="C11798" s="3" t="str">
        <f>IFERROR(__xludf.DUMMYFUNCTION("GOOGLETRANSLATE(B11798,""id"",""en"")"),"['Come on', 'bunuang', 'dwonload', 'pokonya', 'oky', 'APK', 'borrow', 'pay', 'hunt', 'please', 'sebarin', 'thanks']")</f>
        <v>['Come on', 'bunuang', 'dwonload', 'pokonya', 'oky', 'APK', 'borrow', 'pay', 'hunt', 'please', 'sebarin', 'thanks']</v>
      </c>
      <c r="D11798" s="3">
        <v>5.0</v>
      </c>
    </row>
    <row r="11799" ht="15.75" customHeight="1">
      <c r="A11799" s="1">
        <v>12727.0</v>
      </c>
      <c r="B11799" s="3" t="s">
        <v>11218</v>
      </c>
      <c r="C11799" s="3" t="str">
        <f>IFERROR(__xludf.DUMMYFUNCTION("GOOGLETRANSLATE(B11799,""id"",""en"")"),"['Help', 'Purchase', 'Package', 'Cheap']")</f>
        <v>['Help', 'Purchase', 'Package', 'Cheap']</v>
      </c>
      <c r="D11799" s="3">
        <v>5.0</v>
      </c>
    </row>
    <row r="11800" ht="15.75" customHeight="1">
      <c r="A11800" s="1">
        <v>12728.0</v>
      </c>
      <c r="B11800" s="3" t="s">
        <v>11219</v>
      </c>
      <c r="C11800" s="3" t="str">
        <f>IFERROR(__xludf.DUMMYFUNCTION("GOOGLETRANSLATE(B11800,""id"",""en"")"),"['signal', 'Telkomsel', 'gajelas', 'already', 'expensive', 'ngelag']")</f>
        <v>['signal', 'Telkomsel', 'gajelas', 'already', 'expensive', 'ngelag']</v>
      </c>
      <c r="D11800" s="3">
        <v>1.0</v>
      </c>
    </row>
    <row r="11801" ht="15.75" customHeight="1">
      <c r="A11801" s="1">
        <v>12729.0</v>
      </c>
      <c r="B11801" s="3" t="s">
        <v>11220</v>
      </c>
      <c r="C11801" s="3" t="str">
        <f>IFERROR(__xludf.DUMMYFUNCTION("GOOGLETRANSLATE(B11801,""id"",""en"")"),"['Quality', 'service', 'The', 'Best']")</f>
        <v>['Quality', 'service', 'The', 'Best']</v>
      </c>
      <c r="D11801" s="3">
        <v>5.0</v>
      </c>
    </row>
    <row r="11802" ht="15.75" customHeight="1">
      <c r="A11802" s="1">
        <v>12730.0</v>
      </c>
      <c r="B11802" s="3" t="s">
        <v>11221</v>
      </c>
      <c r="C11802" s="3" t="str">
        <f>IFERROR(__xludf.DUMMYFUNCTION("GOOGLETRANSLATE(B11802,""id"",""en"")"),"['Pusa', 'Deng', 'MyTelkomsel', 'Thanks', 'Telkom']")</f>
        <v>['Pusa', 'Deng', 'MyTelkomsel', 'Thanks', 'Telkom']</v>
      </c>
      <c r="D11802" s="3">
        <v>5.0</v>
      </c>
    </row>
    <row r="11803" ht="15.75" customHeight="1">
      <c r="A11803" s="1">
        <v>12731.0</v>
      </c>
      <c r="B11803" s="3" t="s">
        <v>11222</v>
      </c>
      <c r="C11803" s="3" t="str">
        <f>IFERROR(__xludf.DUMMYFUNCTION("GOOGLETRANSLATE(B11803,""id"",""en"")"),"['Okay', 'DAPE', 'GB', ""]")</f>
        <v>['Okay', 'DAPE', 'GB', "]</v>
      </c>
      <c r="D11803" s="3">
        <v>5.0</v>
      </c>
    </row>
    <row r="11804" ht="15.75" customHeight="1">
      <c r="A11804" s="1">
        <v>12732.0</v>
      </c>
      <c r="B11804" s="3" t="s">
        <v>11223</v>
      </c>
      <c r="C11804" s="3" t="str">
        <f>IFERROR(__xludf.DUMMYFUNCTION("GOOGLETRANSLATE(B11804,""id"",""en"")"),"['Severe', 'really', 'network', 'Telkomsel', 'disappointed', 'good', 'ugly', 'regretting', '']")</f>
        <v>['Severe', 'really', 'network', 'Telkomsel', 'disappointed', 'good', 'ugly', 'regretting', '']</v>
      </c>
      <c r="D11804" s="3">
        <v>1.0</v>
      </c>
    </row>
    <row r="11805" ht="15.75" customHeight="1">
      <c r="A11805" s="1">
        <v>12733.0</v>
      </c>
      <c r="B11805" s="3" t="s">
        <v>11224</v>
      </c>
      <c r="C11805" s="3" t="str">
        <f>IFERROR(__xludf.DUMMYFUNCTION("GOOGLETRANSLATE(B11805,""id"",""en"")"),"['already', 'use', 'tsel', 'era', 'school', 'already', 'child', 'mantaaaaap']")</f>
        <v>['already', 'use', 'tsel', 'era', 'school', 'already', 'child', 'mantaaaaap']</v>
      </c>
      <c r="D11805" s="3">
        <v>5.0</v>
      </c>
    </row>
    <row r="11806" ht="15.75" customHeight="1">
      <c r="A11806" s="1">
        <v>12734.0</v>
      </c>
      <c r="B11806" s="3" t="s">
        <v>11225</v>
      </c>
      <c r="C11806" s="3" t="str">
        <f>IFERROR(__xludf.DUMMYFUNCTION("GOOGLETRANSLATE(B11806,""id"",""en"")"),"['Severe', 'signal', 'price', 'expensive', 'quality', 'paraah', 'disappointing']")</f>
        <v>['Severe', 'signal', 'price', 'expensive', 'quality', 'paraah', 'disappointing']</v>
      </c>
      <c r="D11806" s="3">
        <v>1.0</v>
      </c>
    </row>
    <row r="11807" ht="15.75" customHeight="1">
      <c r="A11807" s="1">
        <v>12735.0</v>
      </c>
      <c r="B11807" s="3" t="s">
        <v>11226</v>
      </c>
      <c r="C11807" s="3" t="str">
        <f>IFERROR(__xludf.DUMMYFUNCTION("GOOGLETRANSLATE(B11807,""id"",""en"")"),"['network', 'connection', 'internet', 'slow', 'taik', 'emang', 'price', 'package', 'internet', 'expensive', 'network', 'destroyed', ' It's better ',' use ',' Provider ',' Telkomsel ',' Tired ',' Change ',' Axisss', 'Axis',' Cheap ',' Network ',' Fast ',' "&amp;"Use ',' Leet ' , '']")</f>
        <v>['network', 'connection', 'internet', 'slow', 'taik', 'emang', 'price', 'package', 'internet', 'expensive', 'network', 'destroyed', ' It's better ',' use ',' Provider ',' Telkomsel ',' Tired ',' Change ',' Axisss', 'Axis',' Cheap ',' Network ',' Fast ',' Use ',' Leet ' , '']</v>
      </c>
      <c r="D11807" s="3">
        <v>1.0</v>
      </c>
    </row>
    <row r="11808" ht="15.75" customHeight="1">
      <c r="A11808" s="1">
        <v>12736.0</v>
      </c>
      <c r="B11808" s="3" t="s">
        <v>11227</v>
      </c>
      <c r="C11808" s="3" t="str">
        <f>IFERROR(__xludf.DUMMYFUNCTION("GOOGLETRANSLATE(B11808,""id"",""en"")"),"['Satisfied', 'Application', 'Thanks', 'Telkomsel']")</f>
        <v>['Satisfied', 'Application', 'Thanks', 'Telkomsel']</v>
      </c>
      <c r="D11808" s="3">
        <v>5.0</v>
      </c>
    </row>
    <row r="11809" ht="15.75" customHeight="1">
      <c r="A11809" s="1">
        <v>12737.0</v>
      </c>
      <c r="B11809" s="3" t="s">
        <v>2774</v>
      </c>
      <c r="C11809" s="3" t="str">
        <f>IFERROR(__xludf.DUMMYFUNCTION("GOOGLETRANSLATE(B11809,""id"",""en"")"),"['', 'Telkomsel', 'Good']")</f>
        <v>['', 'Telkomsel', 'Good']</v>
      </c>
      <c r="D11809" s="3">
        <v>5.0</v>
      </c>
    </row>
    <row r="11810" ht="15.75" customHeight="1">
      <c r="A11810" s="1">
        <v>12738.0</v>
      </c>
      <c r="B11810" s="3" t="s">
        <v>11228</v>
      </c>
      <c r="C11810" s="3" t="str">
        <f>IFERROR(__xludf.DUMMYFUNCTION("GOOGLETRANSLATE(B11810,""id"",""en"")"),"['number', 'active', 'short', 'pulse', 'a week', 'contents',' credit ',' extend ',' active ',' pulse ',' used ',' kog ',' squeeze ',' charging ',' pulse ',' card ',' active ',' pdahal ',' pulse ',' card ',' blank ']")</f>
        <v>['number', 'active', 'short', 'pulse', 'a week', 'contents',' credit ',' extend ',' active ',' pulse ',' used ',' kog ',' squeeze ',' charging ',' pulse ',' card ',' active ',' pdahal ',' pulse ',' card ',' blank ']</v>
      </c>
      <c r="D11810" s="3">
        <v>1.0</v>
      </c>
    </row>
    <row r="11811" ht="15.75" customHeight="1">
      <c r="A11811" s="1">
        <v>12739.0</v>
      </c>
      <c r="B11811" s="3" t="s">
        <v>11229</v>
      </c>
      <c r="C11811" s="3" t="str">
        <f>IFERROR(__xludf.DUMMYFUNCTION("GOOGLETRANSLATE(B11811,""id"",""en"")"),"['YTH', 'Manager', 'Application', 'Expected', 'Intract', 'Improve', 'Application', 'Buy', 'Package', 'Data', 'Application', 'Times',' Browsing ',' Internet ',' NOT ',' PACKAGE ',' Data ',' Cutting ',' Credit ',' Personal ',' Cutting ',' Paying ',' Time ',"&amp;"' Searching ',' Internet ' , 'Paying', 'expected', 'in their way', 'management', 'application', 'Telkomsel', 'Increases',' hope ',' YTH ',' manager ',' tidk ',' disappointing ',' User ']")</f>
        <v>['YTH', 'Manager', 'Application', 'Expected', 'Intract', 'Improve', 'Application', 'Buy', 'Package', 'Data', 'Application', 'Times',' Browsing ',' Internet ',' NOT ',' PACKAGE ',' Data ',' Cutting ',' Credit ',' Personal ',' Cutting ',' Paying ',' Time ',' Searching ',' Internet ' , 'Paying', 'expected', 'in their way', 'management', 'application', 'Telkomsel', 'Increases',' hope ',' YTH ',' manager ',' tidk ',' disappointing ',' User ']</v>
      </c>
      <c r="D11811" s="3">
        <v>1.0</v>
      </c>
    </row>
    <row r="11812" ht="15.75" customHeight="1">
      <c r="A11812" s="1">
        <v>12741.0</v>
      </c>
      <c r="B11812" s="3" t="s">
        <v>11230</v>
      </c>
      <c r="C11812" s="3" t="str">
        <f>IFERROR(__xludf.DUMMYFUNCTION("GOOGLETRANSLATE(B11812,""id"",""en"")"),"['package', 'expensive', 'signal', 'ugly', '']")</f>
        <v>['package', 'expensive', 'signal', 'ugly', '']</v>
      </c>
      <c r="D11812" s="3">
        <v>5.0</v>
      </c>
    </row>
    <row r="11813" ht="15.75" customHeight="1">
      <c r="A11813" s="1">
        <v>12742.0</v>
      </c>
      <c r="B11813" s="3" t="s">
        <v>11231</v>
      </c>
      <c r="C11813" s="3" t="str">
        <f>IFERROR(__xludf.DUMMYFUNCTION("GOOGLETRANSLATE(B11813,""id"",""en"")"),"['application', 'purchase', 'package', 'missing', 'for example', 'package', 'TLP', 'package', 'weekdays', 'trmksh']")</f>
        <v>['application', 'purchase', 'package', 'missing', 'for example', 'package', 'TLP', 'package', 'weekdays', 'trmksh']</v>
      </c>
      <c r="D11813" s="3">
        <v>2.0</v>
      </c>
    </row>
    <row r="11814" ht="15.75" customHeight="1">
      <c r="A11814" s="1">
        <v>12743.0</v>
      </c>
      <c r="B11814" s="3" t="s">
        <v>11232</v>
      </c>
      <c r="C11814" s="3" t="str">
        <f>IFERROR(__xludf.DUMMYFUNCTION("GOOGLETRANSLATE(B11814,""id"",""en"")"),"['Fixs', 'help']")</f>
        <v>['Fixs', 'help']</v>
      </c>
      <c r="D11814" s="3">
        <v>5.0</v>
      </c>
    </row>
    <row r="11815" ht="15.75" customHeight="1">
      <c r="A11815" s="1">
        <v>12744.0</v>
      </c>
      <c r="B11815" s="3" t="s">
        <v>11233</v>
      </c>
      <c r="C11815" s="3" t="str">
        <f>IFERROR(__xludf.DUMMYFUNCTION("GOOGLETRANSLATE(B11815,""id"",""en"")"),"['Disappointed', 'Telkomsel', 'Network', 'Bad', 'Disappointed', '']")</f>
        <v>['Disappointed', 'Telkomsel', 'Network', 'Bad', 'Disappointed', '']</v>
      </c>
      <c r="D11815" s="3">
        <v>1.0</v>
      </c>
    </row>
    <row r="11816" ht="15.75" customHeight="1">
      <c r="A11816" s="1">
        <v>12745.0</v>
      </c>
      <c r="B11816" s="3" t="s">
        <v>11234</v>
      </c>
      <c r="C11816" s="3" t="str">
        <f>IFERROR(__xludf.DUMMYFUNCTION("GOOGLETRANSLATE(B11816,""id"",""en"")"),"['Funny', 'buy', 'package', 'price', 'pulse', 'cook', 'notification', 'leftover', 'pulse', 'sufficient', 'buy', 'package', ' Combo ',' Sakti ',' Please ',' Fill ',' Reset ',' Please ',' Telkomsel ',' Customer ',' Disappointed ',' ']")</f>
        <v>['Funny', 'buy', 'package', 'price', 'pulse', 'cook', 'notification', 'leftover', 'pulse', 'sufficient', 'buy', 'package', ' Combo ',' Sakti ',' Please ',' Fill ',' Reset ',' Please ',' Telkomsel ',' Customer ',' Disappointed ',' ']</v>
      </c>
      <c r="D11816" s="3">
        <v>1.0</v>
      </c>
    </row>
    <row r="11817" ht="15.75" customHeight="1">
      <c r="A11817" s="1">
        <v>12746.0</v>
      </c>
      <c r="B11817" s="3" t="s">
        <v>11235</v>
      </c>
      <c r="C11817" s="3" t="str">
        <f>IFERROR(__xludf.DUMMYFUNCTION("GOOGLETRANSLATE(B11817,""id"",""en"")"),"['already', 'many', 'times',' pulse ',' run out ',' pdhl ',' package ',' internet ',' pulse ',' run out ',' stupid ',' features', ' Kayak ',' Axis', 'Net', 'Lock', 'Credit']")</f>
        <v>['already', 'many', 'times',' pulse ',' run out ',' pdhl ',' package ',' internet ',' pulse ',' run out ',' stupid ',' features', ' Kayak ',' Axis', 'Net', 'Lock', 'Credit']</v>
      </c>
      <c r="D11817" s="3">
        <v>1.0</v>
      </c>
    </row>
    <row r="11818" ht="15.75" customHeight="1">
      <c r="A11818" s="1">
        <v>12747.0</v>
      </c>
      <c r="B11818" s="3" t="s">
        <v>11236</v>
      </c>
      <c r="C11818" s="3" t="str">
        <f>IFERROR(__xludf.DUMMYFUNCTION("GOOGLETRANSLATE(B11818,""id"",""en"")"),"['rolls', 'mat', 'cook', 'bad', 'price', 'expensive', 'expensive', 'signal', 'good', 'no', 'bad', 'really' Play ',' Game ',' Difficult ',' Video ',' Call ',' Difficult ',' Connect ']")</f>
        <v>['rolls', 'mat', 'cook', 'bad', 'price', 'expensive', 'expensive', 'signal', 'good', 'no', 'bad', 'really' Play ',' Game ',' Difficult ',' Video ',' Call ',' Difficult ',' Connect ']</v>
      </c>
      <c r="D11818" s="3">
        <v>1.0</v>
      </c>
    </row>
    <row r="11819" ht="15.75" customHeight="1">
      <c r="A11819" s="1">
        <v>12748.0</v>
      </c>
      <c r="B11819" s="3" t="s">
        <v>11237</v>
      </c>
      <c r="C11819" s="3" t="str">
        <f>IFERROR(__xludf.DUMMYFUNCTION("GOOGLETRANSLATE(B11819,""id"",""en"")"),"['Application', 'Okee', 'it's easy', 'users', 'buy', 'package', 'data', 'other', '']")</f>
        <v>['Application', 'Okee', 'it's easy', 'users', 'buy', 'package', 'data', 'other', '']</v>
      </c>
      <c r="D11819" s="3">
        <v>5.0</v>
      </c>
    </row>
    <row r="11820" ht="15.75" customHeight="1">
      <c r="A11820" s="1">
        <v>12749.0</v>
      </c>
      <c r="B11820" s="3" t="s">
        <v>11238</v>
      </c>
      <c r="C11820" s="3" t="str">
        <f>IFERROR(__xludf.DUMMYFUNCTION("GOOGLETRANSLATE(B11820,""id"",""en"")"),"['Unlimited']")</f>
        <v>['Unlimited']</v>
      </c>
      <c r="D11820" s="3">
        <v>5.0</v>
      </c>
    </row>
    <row r="11821" ht="15.75" customHeight="1">
      <c r="A11821" s="1">
        <v>12750.0</v>
      </c>
      <c r="B11821" s="3" t="s">
        <v>11239</v>
      </c>
      <c r="C11821" s="3" t="str">
        <f>IFERROR(__xludf.DUMMYFUNCTION("GOOGLETRANSLATE(B11821,""id"",""en"")"),"['application', 'slow', 'network', 'good', 'login', 'asw']")</f>
        <v>['application', 'slow', 'network', 'good', 'login', 'asw']</v>
      </c>
      <c r="D11821" s="3">
        <v>1.0</v>
      </c>
    </row>
    <row r="11822" ht="15.75" customHeight="1">
      <c r="A11822" s="1">
        <v>12751.0</v>
      </c>
      <c r="B11822" s="3" t="s">
        <v>11240</v>
      </c>
      <c r="C11822" s="3" t="str">
        <f>IFERROR(__xludf.DUMMYFUNCTION("GOOGLETRANSLATE(B11822,""id"",""en"")"),"['Good', 'really', 'oath']")</f>
        <v>['Good', 'really', 'oath']</v>
      </c>
      <c r="D11822" s="3">
        <v>5.0</v>
      </c>
    </row>
    <row r="11823" ht="15.75" customHeight="1">
      <c r="A11823" s="1">
        <v>12752.0</v>
      </c>
      <c r="B11823" s="3" t="s">
        <v>11241</v>
      </c>
      <c r="C11823" s="3" t="str">
        <f>IFERROR(__xludf.DUMMYFUNCTION("GOOGLETRANSLATE(B11823,""id"",""en"")"),"['easy', 'fast', 'smooth']")</f>
        <v>['easy', 'fast', 'smooth']</v>
      </c>
      <c r="D11823" s="3">
        <v>5.0</v>
      </c>
    </row>
    <row r="11824" ht="15.75" customHeight="1">
      <c r="A11824" s="1">
        <v>12753.0</v>
      </c>
      <c r="B11824" s="3" t="s">
        <v>11242</v>
      </c>
      <c r="C11824" s="3" t="str">
        <f>IFERROR(__xludf.DUMMYFUNCTION("GOOGLETRANSLATE(B11824,""id"",""en"")"),"['hope', 'card', 'promo', 'cheap']")</f>
        <v>['hope', 'card', 'promo', 'cheap']</v>
      </c>
      <c r="D11824" s="3">
        <v>5.0</v>
      </c>
    </row>
    <row r="11825" ht="15.75" customHeight="1">
      <c r="A11825" s="1">
        <v>12754.0</v>
      </c>
      <c r="B11825" s="3" t="s">
        <v>11243</v>
      </c>
      <c r="C11825" s="3" t="str">
        <f>IFERROR(__xludf.DUMMYFUNCTION("GOOGLETRANSLATE(B11825,""id"",""en"")"),"['thank', 'love', 'Telkomsel', 'happy', 'because of', 'bnyak', 'promo', 'quota', 'bnyak', 'chance', 'lottery', 'prizes',' Redish ',' Points', 'Hopefully', 'Winner', 'Lottery', 'Aminn', ""]")</f>
        <v>['thank', 'love', 'Telkomsel', 'happy', 'because of', 'bnyak', 'promo', 'quota', 'bnyak', 'chance', 'lottery', 'prizes',' Redish ',' Points', 'Hopefully', 'Winner', 'Lottery', 'Aminn', "]</v>
      </c>
      <c r="D11825" s="3">
        <v>5.0</v>
      </c>
    </row>
    <row r="11826" ht="15.75" customHeight="1">
      <c r="A11826" s="1">
        <v>12755.0</v>
      </c>
      <c r="B11826" s="3" t="s">
        <v>11244</v>
      </c>
      <c r="C11826" s="3" t="str">
        <f>IFERROR(__xludf.DUMMYFUNCTION("GOOGLETRANSLATE(B11826,""id"",""en"")"),"['Sis', 'ask', 'package', 'surprise', 'Deal', 'appears', 'just', 'RB', 'varies', 'price', 'Rb', ""]")</f>
        <v>['Sis', 'ask', 'package', 'surprise', 'Deal', 'appears', 'just', 'RB', 'varies', 'price', 'Rb', "]</v>
      </c>
      <c r="D11826" s="3">
        <v>3.0</v>
      </c>
    </row>
    <row r="11827" ht="15.75" customHeight="1">
      <c r="A11827" s="1">
        <v>12756.0</v>
      </c>
      <c r="B11827" s="3" t="s">
        <v>11245</v>
      </c>
      <c r="C11827" s="3" t="str">
        <f>IFERROR(__xludf.DUMMYFUNCTION("GOOGLETRANSLATE(B11827,""id"",""en"")"),"['Satisfied', 'use', 'Telkomsel']")</f>
        <v>['Satisfied', 'use', 'Telkomsel']</v>
      </c>
      <c r="D11827" s="3">
        <v>5.0</v>
      </c>
    </row>
    <row r="11828" ht="15.75" customHeight="1">
      <c r="A11828" s="1">
        <v>12757.0</v>
      </c>
      <c r="B11828" s="3" t="s">
        <v>11246</v>
      </c>
      <c r="C11828" s="3" t="str">
        <f>IFERROR(__xludf.DUMMYFUNCTION("GOOGLETRANSLATE(B11828,""id"",""en"")"),"['Signal', 'Telkomsel', 'Damaged', 'Severe', 'Buy', 'Quota', 'Use', 'Money', 'Free', 'Company', 'Best', 'Rush', ' the arrangement ',' management ',' company ',' Fuel ',' smooth ',' signal ',' need ',' signal ',' gontain ',' replace ',' management ',' comp"&amp;"any ',' severe ' , 'Telkomsel']")</f>
        <v>['Signal', 'Telkomsel', 'Damaged', 'Severe', 'Buy', 'Quota', 'Use', 'Money', 'Free', 'Company', 'Best', 'Rush', ' the arrangement ',' management ',' company ',' Fuel ',' smooth ',' signal ',' need ',' signal ',' gontain ',' replace ',' management ',' company ',' severe ' , 'Telkomsel']</v>
      </c>
      <c r="D11828" s="3">
        <v>1.0</v>
      </c>
    </row>
    <row r="11829" ht="15.75" customHeight="1">
      <c r="A11829" s="1">
        <v>12758.0</v>
      </c>
      <c r="B11829" s="3" t="s">
        <v>11247</v>
      </c>
      <c r="C11829" s="3" t="str">
        <f>IFERROR(__xludf.DUMMYFUNCTION("GOOGLETRANSLATE(B11829,""id"",""en"")"),"['Good', 'eponity']")</f>
        <v>['Good', 'eponity']</v>
      </c>
      <c r="D11829" s="3">
        <v>5.0</v>
      </c>
    </row>
    <row r="11830" ht="15.75" customHeight="1">
      <c r="A11830" s="1">
        <v>12759.0</v>
      </c>
      <c r="B11830" s="3" t="s">
        <v>11248</v>
      </c>
      <c r="C11830" s="3" t="str">
        <f>IFERROR(__xludf.DUMMYFUNCTION("GOOGLETRANSLATE(B11830,""id"",""en"")"),"['Need', 'quota', 'internet', 'free']")</f>
        <v>['Need', 'quota', 'internet', 'free']</v>
      </c>
      <c r="D11830" s="3">
        <v>4.0</v>
      </c>
    </row>
    <row r="11831" ht="15.75" customHeight="1">
      <c r="A11831" s="1">
        <v>12760.0</v>
      </c>
      <c r="B11831" s="3" t="s">
        <v>11249</v>
      </c>
      <c r="C11831" s="3" t="str">
        <f>IFERROR(__xludf.DUMMYFUNCTION("GOOGLETRANSLATE(B11831,""id"",""en"")"),"['The network', 'weak', 'missing', 'Mulu', 'like', 'missing', 'good', 'contents',' package ',' weak ',' signal ',' Telkomsel ',' already ',' bodo ']")</f>
        <v>['The network', 'weak', 'missing', 'Mulu', 'like', 'missing', 'good', 'contents',' package ',' weak ',' signal ',' Telkomsel ',' already ',' bodo ']</v>
      </c>
      <c r="D11831" s="3">
        <v>1.0</v>
      </c>
    </row>
    <row r="11832" ht="15.75" customHeight="1">
      <c r="A11832" s="1">
        <v>12761.0</v>
      </c>
      <c r="B11832" s="3" t="s">
        <v>11250</v>
      </c>
      <c r="C11832" s="3" t="str">
        <f>IFERROR(__xludf.DUMMYFUNCTION("GOOGLETRANSLATE(B11832,""id"",""en"")"),"['Okee', 'Sometimes', 'Logout', '']")</f>
        <v>['Okee', 'Sometimes', 'Logout', '']</v>
      </c>
      <c r="D11832" s="3">
        <v>4.0</v>
      </c>
    </row>
    <row r="11833" ht="15.75" customHeight="1">
      <c r="A11833" s="1">
        <v>12762.0</v>
      </c>
      <c r="B11833" s="3" t="s">
        <v>11251</v>
      </c>
      <c r="C11833" s="3" t="str">
        <f>IFERROR(__xludf.DUMMYFUNCTION("GOOGLETRANSLATE(B11833,""id"",""en"")"),"['Network', 'Telkomsel', 'knp', 'blk']")</f>
        <v>['Network', 'Telkomsel', 'knp', 'blk']</v>
      </c>
      <c r="D11833" s="3">
        <v>1.0</v>
      </c>
    </row>
    <row r="11834" ht="15.75" customHeight="1">
      <c r="A11834" s="1">
        <v>12763.0</v>
      </c>
      <c r="B11834" s="3" t="s">
        <v>11252</v>
      </c>
      <c r="C11834" s="3" t="str">
        <f>IFERROR(__xludf.DUMMYFUNCTION("GOOGLETRANSLATE(B11834,""id"",""en"")"),"['The name', 'okay']")</f>
        <v>['The name', 'okay']</v>
      </c>
      <c r="D11834" s="3">
        <v>5.0</v>
      </c>
    </row>
    <row r="11835" ht="15.75" customHeight="1">
      <c r="A11835" s="1">
        <v>12764.0</v>
      </c>
      <c r="B11835" s="3" t="s">
        <v>11253</v>
      </c>
      <c r="C11835" s="3" t="str">
        <f>IFERROR(__xludf.DUMMYFUNCTION("GOOGLETRANSLATE(B11835,""id"",""en"")"),"['Hopefully', 'best']")</f>
        <v>['Hopefully', 'best']</v>
      </c>
      <c r="D11835" s="3">
        <v>5.0</v>
      </c>
    </row>
    <row r="11836" ht="15.75" customHeight="1">
      <c r="A11836" s="1">
        <v>12765.0</v>
      </c>
      <c r="B11836" s="3" t="s">
        <v>3359</v>
      </c>
      <c r="C11836" s="3" t="str">
        <f>IFERROR(__xludf.DUMMYFUNCTION("GOOGLETRANSLATE(B11836,""id"",""en"")"),"['', 'Telkomsel', 'steady']")</f>
        <v>['', 'Telkomsel', 'steady']</v>
      </c>
      <c r="D11836" s="3">
        <v>5.0</v>
      </c>
    </row>
    <row r="11837" ht="15.75" customHeight="1">
      <c r="A11837" s="1">
        <v>12766.0</v>
      </c>
      <c r="B11837" s="3" t="s">
        <v>2180</v>
      </c>
      <c r="C11837" s="3" t="str">
        <f>IFERROR(__xludf.DUMMYFUNCTION("GOOGLETRANSLATE(B11837,""id"",""en"")"),"['Good', 'Network']")</f>
        <v>['Good', 'Network']</v>
      </c>
      <c r="D11837" s="3">
        <v>5.0</v>
      </c>
    </row>
    <row r="11838" ht="15.75" customHeight="1">
      <c r="A11838" s="1">
        <v>12767.0</v>
      </c>
      <c r="B11838" s="3" t="s">
        <v>11254</v>
      </c>
      <c r="C11838" s="3" t="str">
        <f>IFERROR(__xludf.DUMMYFUNCTION("GOOGLETRANSLATE(B11838,""id"",""en"")"),"['bad signal', '']")</f>
        <v>['bad signal', '']</v>
      </c>
      <c r="D11838" s="3">
        <v>2.0</v>
      </c>
    </row>
    <row r="11839" ht="15.75" customHeight="1">
      <c r="A11839" s="1">
        <v>12768.0</v>
      </c>
      <c r="B11839" s="3" t="s">
        <v>3049</v>
      </c>
      <c r="C11839" s="3" t="str">
        <f>IFERROR(__xludf.DUMMYFUNCTION("GOOGLETRANSLATE(B11839,""id"",""en"")"),"['Network', 'stable']")</f>
        <v>['Network', 'stable']</v>
      </c>
      <c r="D11839" s="3">
        <v>5.0</v>
      </c>
    </row>
    <row r="11840" ht="15.75" customHeight="1">
      <c r="A11840" s="1">
        <v>12769.0</v>
      </c>
      <c r="B11840" s="3" t="s">
        <v>11255</v>
      </c>
      <c r="C11840" s="3" t="str">
        <f>IFERROR(__xludf.DUMMYFUNCTION("GOOGLETRANSLATE(B11840,""id"",""en"")"),"['trustedaaaaa']")</f>
        <v>['trustedaaaaa']</v>
      </c>
      <c r="D11840" s="3">
        <v>5.0</v>
      </c>
    </row>
    <row r="11841" ht="15.75" customHeight="1">
      <c r="A11841" s="1">
        <v>12771.0</v>
      </c>
      <c r="B11841" s="3" t="s">
        <v>11256</v>
      </c>
      <c r="C11841" s="3" t="str">
        <f>IFERROR(__xludf.DUMMYFUNCTION("GOOGLETRANSLATE(B11841,""id"",""en"")"),"['Woy', 'Minjem', 'Package', 'Emergency', 'told', 'MBay', 'Turnover', 'Credit', 'Buy', 'Direct', 'Sumpot', 'Bener', ' Telkomsel ',' repair ',' ']")</f>
        <v>['Woy', 'Minjem', 'Package', 'Emergency', 'told', 'MBay', 'Turnover', 'Credit', 'Buy', 'Direct', 'Sumpot', 'Bener', ' Telkomsel ',' repair ',' ']</v>
      </c>
      <c r="D11841" s="3">
        <v>1.0</v>
      </c>
    </row>
    <row r="11842" ht="15.75" customHeight="1">
      <c r="A11842" s="1">
        <v>12772.0</v>
      </c>
      <c r="B11842" s="3" t="s">
        <v>11257</v>
      </c>
      <c r="C11842" s="3" t="str">
        <f>IFERROR(__xludf.DUMMYFUNCTION("GOOGLETRANSLATE(B11842,""id"",""en"")"),"['Come', 'expensive', 'expensive', 'expensive', 'expensive', 'mahaaaaaaaalll', 'Telkomsel', 'expensive', 'quota', 'wasteful', 'already', 'expensive', ' a little ',' quota ',' provider ',' thousand ',' already ',' GB ',' RB ',' Under ',' GB ', ""]")</f>
        <v>['Come', 'expensive', 'expensive', 'expensive', 'expensive', 'mahaaaaaaaalll', 'Telkomsel', 'expensive', 'quota', 'wasteful', 'already', 'expensive', ' a little ',' quota ',' provider ',' thousand ',' already ',' GB ',' RB ',' Under ',' GB ', "]</v>
      </c>
      <c r="D11842" s="3">
        <v>1.0</v>
      </c>
    </row>
    <row r="11843" ht="15.75" customHeight="1">
      <c r="A11843" s="1">
        <v>12774.0</v>
      </c>
      <c r="B11843" s="3" t="s">
        <v>273</v>
      </c>
      <c r="C11843" s="3" t="str">
        <f>IFERROR(__xludf.DUMMYFUNCTION("GOOGLETRANSLATE(B11843,""id"",""en"")"),"['like']")</f>
        <v>['like']</v>
      </c>
      <c r="D11843" s="3">
        <v>5.0</v>
      </c>
    </row>
    <row r="11844" ht="15.75" customHeight="1">
      <c r="A11844" s="1">
        <v>12775.0</v>
      </c>
      <c r="B11844" s="3" t="s">
        <v>11258</v>
      </c>
      <c r="C11844" s="3" t="str">
        <f>IFERROR(__xludf.DUMMYFUNCTION("GOOGLETRANSLATE(B11844,""id"",""en"")"),"['strange', 'really', 'Telkomsel', 'network', 'threat', 'price', 'expensive', 'according to', 'quality', 'please', 'fix', 'Cuan', ' network ',' ilang ',' sometimes', 'as soon as',' box ',' severe ',' really ']")</f>
        <v>['strange', 'really', 'Telkomsel', 'network', 'threat', 'price', 'expensive', 'according to', 'quality', 'please', 'fix', 'Cuan', ' network ',' ilang ',' sometimes', 'as soon as',' box ',' severe ',' really ']</v>
      </c>
      <c r="D11844" s="3">
        <v>1.0</v>
      </c>
    </row>
    <row r="11845" ht="15.75" customHeight="1">
      <c r="A11845" s="1">
        <v>12777.0</v>
      </c>
      <c r="B11845" s="3" t="s">
        <v>11259</v>
      </c>
      <c r="C11845" s="3" t="str">
        <f>IFERROR(__xludf.DUMMYFUNCTION("GOOGLETRANSLATE(B11845,""id"",""en"")"),"['destroyed', 'network', 'price', 'expensive', 'quality', 'ugly', 'operator', 'taik', ""]")</f>
        <v>['destroyed', 'network', 'price', 'expensive', 'quality', 'ugly', 'operator', 'taik', "]</v>
      </c>
      <c r="D11845" s="3">
        <v>1.0</v>
      </c>
    </row>
    <row r="11846" ht="15.75" customHeight="1">
      <c r="A11846" s="1">
        <v>12778.0</v>
      </c>
      <c r="B11846" s="3" t="s">
        <v>11260</v>
      </c>
      <c r="C11846" s="3" t="str">
        <f>IFERROR(__xludf.DUMMYFUNCTION("GOOGLETRANSLATE(B11846,""id"",""en"")"),"[ 'Apk', 'terlaluuuuuuuuuuuuuuuuuuuuuuuuuuuuuuuuuuuuuuuuuuuuuuuuu', 'steady', '']")</f>
        <v>[ 'Apk', 'terlaluuuuuuuuuuuuuuuuuuuuuuuuuuuuuuuuuuuuuuuuuuuuuuuuu', 'steady', '']</v>
      </c>
      <c r="D11846" s="3">
        <v>5.0</v>
      </c>
    </row>
    <row r="11847" ht="15.75" customHeight="1">
      <c r="A11847" s="1">
        <v>12779.0</v>
      </c>
      <c r="B11847" s="3" t="s">
        <v>11261</v>
      </c>
      <c r="C11847" s="3" t="str">
        <f>IFERROR(__xludf.DUMMYFUNCTION("GOOGLETRANSLATE(B11847,""id"",""en"")"),"['Level', 'then', 'Daopers', 'Troubled', 'Eroor']")</f>
        <v>['Level', 'then', 'Daopers', 'Troubled', 'Eroor']</v>
      </c>
      <c r="D11847" s="3">
        <v>5.0</v>
      </c>
    </row>
    <row r="11848" ht="15.75" customHeight="1">
      <c r="A11848" s="1">
        <v>12781.0</v>
      </c>
      <c r="B11848" s="3" t="s">
        <v>11262</v>
      </c>
      <c r="C11848" s="3" t="str">
        <f>IFERROR(__xludf.DUMMYFUNCTION("GOOGLETRANSLATE(B11848,""id"",""en"")"),"['', 'Syalatlah', 'Amanah', '']")</f>
        <v>['', 'Syalatlah', 'Amanah', '']</v>
      </c>
      <c r="D11848" s="3">
        <v>5.0</v>
      </c>
    </row>
    <row r="11849" ht="15.75" customHeight="1">
      <c r="A11849" s="1">
        <v>12782.0</v>
      </c>
      <c r="B11849" s="3" t="s">
        <v>11263</v>
      </c>
      <c r="C11849" s="3" t="str">
        <f>IFERROR(__xludf.DUMMYFUNCTION("GOOGLETRANSLATE(B11849,""id"",""en"")"),"['Sometimes', 'signal', 'good']")</f>
        <v>['Sometimes', 'signal', 'good']</v>
      </c>
      <c r="D11849" s="3">
        <v>4.0</v>
      </c>
    </row>
    <row r="11850" ht="15.75" customHeight="1">
      <c r="A11850" s="1">
        <v>12783.0</v>
      </c>
      <c r="B11850" s="3" t="s">
        <v>11264</v>
      </c>
      <c r="C11850" s="3" t="str">
        <f>IFERROR(__xludf.DUMMYFUNCTION("GOOGLETRANSLATE(B11850,""id"",""en"")"),"['Current', 'signal']")</f>
        <v>['Current', 'signal']</v>
      </c>
      <c r="D11850" s="3">
        <v>5.0</v>
      </c>
    </row>
    <row r="11851" ht="15.75" customHeight="1">
      <c r="A11851" s="1">
        <v>12784.0</v>
      </c>
      <c r="B11851" s="3" t="s">
        <v>11265</v>
      </c>
      <c r="C11851" s="3" t="str">
        <f>IFERROR(__xludf.DUMMYFUNCTION("GOOGLETRANSLATE(B11851,""id"",""en"")"),"['Bagusssss', 'Raying', 'The list', 'Doang']")</f>
        <v>['Bagusssss', 'Raying', 'The list', 'Doang']</v>
      </c>
      <c r="D11851" s="3">
        <v>5.0</v>
      </c>
    </row>
    <row r="11852" ht="15.75" customHeight="1">
      <c r="A11852" s="1">
        <v>12785.0</v>
      </c>
      <c r="B11852" s="3" t="s">
        <v>11266</v>
      </c>
      <c r="C11852" s="3" t="str">
        <f>IFERROR(__xludf.DUMMYFUNCTION("GOOGLETRANSLATE(B11852,""id"",""en"")"),"['Sya', 'Satisfied', 'Service', 'Telkomsel', '']")</f>
        <v>['Sya', 'Satisfied', 'Service', 'Telkomsel', '']</v>
      </c>
      <c r="D11852" s="3">
        <v>5.0</v>
      </c>
    </row>
    <row r="11853" ht="15.75" customHeight="1">
      <c r="A11853" s="1">
        <v>12786.0</v>
      </c>
      <c r="B11853" s="3" t="s">
        <v>11267</v>
      </c>
      <c r="C11853" s="3" t="str">
        <f>IFERROR(__xludf.DUMMYFUNCTION("GOOGLETRANSLATE(B11853,""id"",""en"")"),"['Open', 'application', 'Telkomsel', 'wasteful', 'quota', 'compared', 'watch', 'youtube', 'mb', 'watch', 'youtube', 'quality', ' FPS ']")</f>
        <v>['Open', 'application', 'Telkomsel', 'wasteful', 'quota', 'compared', 'watch', 'youtube', 'mb', 'watch', 'youtube', 'quality', ' FPS ']</v>
      </c>
      <c r="D11853" s="3">
        <v>1.0</v>
      </c>
    </row>
    <row r="11854" ht="15.75" customHeight="1">
      <c r="A11854" s="1">
        <v>12787.0</v>
      </c>
      <c r="B11854" s="3" t="s">
        <v>11268</v>
      </c>
      <c r="C11854" s="3" t="str">
        <f>IFERROR(__xludf.DUMMYFUNCTION("GOOGLETRANSLATE(B11854,""id"",""en"")"),"['version', 'easy', 'simple']")</f>
        <v>['version', 'easy', 'simple']</v>
      </c>
      <c r="D11854" s="3">
        <v>5.0</v>
      </c>
    </row>
    <row r="11855" ht="15.75" customHeight="1">
      <c r="A11855" s="1">
        <v>12788.0</v>
      </c>
      <c r="B11855" s="3" t="s">
        <v>11269</v>
      </c>
      <c r="C11855" s="3" t="str">
        <f>IFERROR(__xludf.DUMMYFUNCTION("GOOGLETRANSLATE(B11855,""id"",""en"")"),"['connection', 'internet', 'slow', 'renewal', 'application', 'opened', 'voice', 'tidung', 'shocked', ""]")</f>
        <v>['connection', 'internet', 'slow', 'renewal', 'application', 'opened', 'voice', 'tidung', 'shocked', "]</v>
      </c>
      <c r="D11855" s="3">
        <v>2.0</v>
      </c>
    </row>
    <row r="11856" ht="15.75" customHeight="1">
      <c r="A11856" s="1">
        <v>12789.0</v>
      </c>
      <c r="B11856" s="3" t="s">
        <v>11270</v>
      </c>
      <c r="C11856" s="3" t="str">
        <f>IFERROR(__xludf.DUMMYFUNCTION("GOOGLETRANSLATE(B11856,""id"",""en"")"),"['Telkomsel', 'Sinyal', 'Lola', 'Kayak', 'Card', 'Hello', 'Advertising', 'Network', 'Priority', 'Expensive', 'Doang', 'Network', ' mah ',' Lola ',' Season ']")</f>
        <v>['Telkomsel', 'Sinyal', 'Lola', 'Kayak', 'Card', 'Hello', 'Advertising', 'Network', 'Priority', 'Expensive', 'Doang', 'Network', ' mah ',' Lola ',' Season ']</v>
      </c>
      <c r="D11856" s="3">
        <v>2.0</v>
      </c>
    </row>
    <row r="11857" ht="15.75" customHeight="1">
      <c r="A11857" s="1">
        <v>12790.0</v>
      </c>
      <c r="B11857" s="3" t="s">
        <v>11271</v>
      </c>
      <c r="C11857" s="3" t="str">
        <f>IFERROR(__xludf.DUMMYFUNCTION("GOOGLETRANSLATE(B11857,""id"",""en"")"),"['Login', 'use', 'a month', 'buy', 'package', 'enter']")</f>
        <v>['Login', 'use', 'a month', 'buy', 'package', 'enter']</v>
      </c>
      <c r="D11857" s="3">
        <v>1.0</v>
      </c>
    </row>
    <row r="11858" ht="15.75" customHeight="1">
      <c r="A11858" s="1">
        <v>12792.0</v>
      </c>
      <c r="B11858" s="3" t="s">
        <v>11272</v>
      </c>
      <c r="C11858" s="3" t="str">
        <f>IFERROR(__xludf.DUMMYFUNCTION("GOOGLETRANSLATE(B11858,""id"",""en"")"),"['Love', 'That's', 'Bintang', 'Try']")</f>
        <v>['Love', 'That's', 'Bintang', 'Try']</v>
      </c>
      <c r="D11858" s="3">
        <v>4.0</v>
      </c>
    </row>
    <row r="11859" ht="15.75" customHeight="1">
      <c r="A11859" s="1">
        <v>12793.0</v>
      </c>
      <c r="B11859" s="3" t="s">
        <v>11273</v>
      </c>
      <c r="C11859" s="3" t="str">
        <f>IFERROR(__xludf.DUMMYFUNCTION("GOOGLETRANSLATE(B11859,""id"",""en"")"),"['Signal', 'Package', 'Data', 'LGI', 'LGI', 'DNK']")</f>
        <v>['Signal', 'Package', 'Data', 'LGI', 'LGI', 'DNK']</v>
      </c>
      <c r="D11859" s="3">
        <v>5.0</v>
      </c>
    </row>
    <row r="11860" ht="15.75" customHeight="1">
      <c r="A11860" s="1">
        <v>12794.0</v>
      </c>
      <c r="B11860" s="3" t="s">
        <v>11274</v>
      </c>
      <c r="C11860" s="3" t="str">
        <f>IFERROR(__xludf.DUMMYFUNCTION("GOOGLETRANSLATE(B11860,""id"",""en"")"),"['The price is expensive', '']")</f>
        <v>['The price is expensive', '']</v>
      </c>
      <c r="D11860" s="3">
        <v>3.0</v>
      </c>
    </row>
    <row r="11861" ht="15.75" customHeight="1">
      <c r="A11861" s="1">
        <v>12795.0</v>
      </c>
      <c r="B11861" s="3" t="s">
        <v>11275</v>
      </c>
      <c r="C11861" s="3" t="str">
        <f>IFERROR(__xludf.DUMMYFUNCTION("GOOGLETRANSLATE(B11861,""id"",""en"")"),"['network', 'Telkomsel', 'ugly', 'mending', 'replace', 'card', 'network', 'top', 'smooth']")</f>
        <v>['network', 'Telkomsel', 'ugly', 'mending', 'replace', 'card', 'network', 'top', 'smooth']</v>
      </c>
      <c r="D11861" s="3">
        <v>1.0</v>
      </c>
    </row>
    <row r="11862" ht="15.75" customHeight="1">
      <c r="A11862" s="1">
        <v>12796.0</v>
      </c>
      <c r="B11862" s="3" t="s">
        <v>11276</v>
      </c>
      <c r="C11862" s="3" t="str">
        <f>IFERROR(__xludf.DUMMYFUNCTION("GOOGLETRANSLATE(B11862,""id"",""en"")"),"['Hopefully', 'Telkomsel', 'Best']")</f>
        <v>['Hopefully', 'Telkomsel', 'Best']</v>
      </c>
      <c r="D11862" s="3">
        <v>5.0</v>
      </c>
    </row>
    <row r="11863" ht="15.75" customHeight="1">
      <c r="A11863" s="1">
        <v>12798.0</v>
      </c>
      <c r="B11863" s="3" t="s">
        <v>11277</v>
      </c>
      <c r="C11863" s="3" t="str">
        <f>IFERROR(__xludf.DUMMYFUNCTION("GOOGLETRANSLATE(B11863,""id"",""en"")"),"['Good', 'steady', 'suroad']")</f>
        <v>['Good', 'steady', 'suroad']</v>
      </c>
      <c r="D11863" s="3">
        <v>5.0</v>
      </c>
    </row>
    <row r="11864" ht="15.75" customHeight="1">
      <c r="A11864" s="1">
        <v>12799.0</v>
      </c>
      <c r="B11864" s="3" t="s">
        <v>11278</v>
      </c>
      <c r="C11864" s="3" t="str">
        <f>IFERROR(__xludf.DUMMYFUNCTION("GOOGLETRANSLATE(B11864,""id"",""en"")"),"['network', 'slow', 'price', 'quota', 'expensive', 'please', 'fix', 'network', 'signal', 'disappointing']")</f>
        <v>['network', 'slow', 'price', 'quota', 'expensive', 'please', 'fix', 'network', 'signal', 'disappointing']</v>
      </c>
      <c r="D11864" s="3">
        <v>1.0</v>
      </c>
    </row>
    <row r="11865" ht="15.75" customHeight="1">
      <c r="A11865" s="1">
        <v>12800.0</v>
      </c>
      <c r="B11865" s="3" t="s">
        <v>11279</v>
      </c>
      <c r="C11865" s="3" t="str">
        <f>IFERROR(__xludf.DUMMYFUNCTION("GOOGLETRANSLATE(B11865,""id"",""en"")"),"['Makij', 'here', 'Network', 'rotten']")</f>
        <v>['Makij', 'here', 'Network', 'rotten']</v>
      </c>
      <c r="D11865" s="3">
        <v>1.0</v>
      </c>
    </row>
    <row r="11866" ht="15.75" customHeight="1">
      <c r="A11866" s="1">
        <v>12801.0</v>
      </c>
      <c r="B11866" s="3" t="s">
        <v>11280</v>
      </c>
      <c r="C11866" s="3" t="str">
        <f>IFERROR(__xludf.DUMMYFUNCTION("GOOGLETRANSLATE(B11866,""id"",""en"")"),"['Dlam', 'Pantowan']")</f>
        <v>['Dlam', 'Pantowan']</v>
      </c>
      <c r="D11866" s="3">
        <v>4.0</v>
      </c>
    </row>
    <row r="11867" ht="15.75" customHeight="1">
      <c r="A11867" s="1">
        <v>12802.0</v>
      </c>
      <c r="B11867" s="3" t="s">
        <v>11281</v>
      </c>
      <c r="C11867" s="3" t="str">
        <f>IFERROR(__xludf.DUMMYFUNCTION("GOOGLETRANSLATE(B11867,""id"",""en"")"),"['', 'Login', 'TOT']")</f>
        <v>['', 'Login', 'TOT']</v>
      </c>
      <c r="D11867" s="3">
        <v>1.0</v>
      </c>
    </row>
    <row r="11868" ht="15.75" customHeight="1">
      <c r="A11868" s="1">
        <v>12803.0</v>
      </c>
      <c r="B11868" s="3" t="s">
        <v>11282</v>
      </c>
      <c r="C11868" s="3" t="str">
        <f>IFERROR(__xludf.DUMMYFUNCTION("GOOGLETRANSLATE(B11868,""id"",""en"")"),"['idiot', 'card', 'signal', 'lag', 'bad', 'play', 'game', 'lag', 'open', 'sosmed', 'slow', 'idiot', ' really ',' base ',' open ',' game ',' direct ',' signal ',' change ',' idiot ',' emang ',' change ',' bad ',' user ',' comfortable ' , 'miserable', 'kout"&amp;"a', 'price', 'exorbitant', 'idiot']")</f>
        <v>['idiot', 'card', 'signal', 'lag', 'bad', 'play', 'game', 'lag', 'open', 'sosmed', 'slow', 'idiot', ' really ',' base ',' open ',' game ',' direct ',' signal ',' change ',' idiot ',' emang ',' change ',' bad ',' user ',' comfortable ' , 'miserable', 'kouta', 'price', 'exorbitant', 'idiot']</v>
      </c>
      <c r="D11868" s="3">
        <v>1.0</v>
      </c>
    </row>
    <row r="11869" ht="15.75" customHeight="1">
      <c r="A11869" s="1">
        <v>12804.0</v>
      </c>
      <c r="B11869" s="3" t="s">
        <v>11283</v>
      </c>
      <c r="C11869" s="3" t="str">
        <f>IFERROR(__xludf.DUMMYFUNCTION("GOOGLETRANSLATE(B11869,""id"",""en"")"),"['Leet', 'Package', 'Spia', 'Promo', 'Internet', 'Slalu']")</f>
        <v>['Leet', 'Package', 'Spia', 'Promo', 'Internet', 'Slalu']</v>
      </c>
      <c r="D11869" s="3">
        <v>5.0</v>
      </c>
    </row>
    <row r="11870" ht="15.75" customHeight="1">
      <c r="A11870" s="1">
        <v>12805.0</v>
      </c>
      <c r="B11870" s="3" t="s">
        <v>830</v>
      </c>
      <c r="C11870" s="3" t="str">
        <f>IFERROR(__xludf.DUMMYFUNCTION("GOOGLETRANSLATE(B11870,""id"",""en"")"),"['', 'like']")</f>
        <v>['', 'like']</v>
      </c>
      <c r="D11870" s="3">
        <v>3.0</v>
      </c>
    </row>
    <row r="11871" ht="15.75" customHeight="1">
      <c r="A11871" s="1">
        <v>12806.0</v>
      </c>
      <c r="B11871" s="3" t="s">
        <v>11284</v>
      </c>
      <c r="C11871" s="3" t="str">
        <f>IFERROR(__xludf.DUMMYFUNCTION("GOOGLETRANSLATE(B11871,""id"",""en"")"),"['Disrupted', 'offer', 'WHTSPP', 'gambling', 'online', 'pdhl', 'list', 'grousy', 'tmn', 'list', 'bgtuan', 'disturb', ' Offers', 'gambling', 'online', 'core', 'ssorg', 'sell', 'data', 'number', 'customer', 'tlong', 'response', 'fast', 'prihal' , 'SPRTI', '"&amp;"Understand', 'stop', 'org', 'org', 'offer', 'gambling', 'online', 'spti', 'it's good', 'use', 'card', ' Telkomsel ']")</f>
        <v>['Disrupted', 'offer', 'WHTSPP', 'gambling', 'online', 'pdhl', 'list', 'grousy', 'tmn', 'list', 'bgtuan', 'disturb', ' Offers', 'gambling', 'online', 'core', 'ssorg', 'sell', 'data', 'number', 'customer', 'tlong', 'response', 'fast', 'prihal' , 'SPRTI', 'Understand', 'stop', 'org', 'org', 'offer', 'gambling', 'online', 'spti', 'it's good', 'use', 'card', ' Telkomsel ']</v>
      </c>
      <c r="D11871" s="3">
        <v>1.0</v>
      </c>
    </row>
    <row r="11872" ht="15.75" customHeight="1">
      <c r="A11872" s="1">
        <v>12807.0</v>
      </c>
      <c r="B11872" s="3" t="s">
        <v>171</v>
      </c>
      <c r="C11872" s="3" t="str">
        <f>IFERROR(__xludf.DUMMYFUNCTION("GOOGLETRANSLATE(B11872,""id"",""en"")"),"['Steady', 'Anyway', ""]")</f>
        <v>['Steady', 'Anyway', "]</v>
      </c>
      <c r="D11872" s="3">
        <v>5.0</v>
      </c>
    </row>
    <row r="11873" ht="15.75" customHeight="1">
      <c r="A11873" s="1">
        <v>12808.0</v>
      </c>
      <c r="B11873" s="3" t="s">
        <v>8063</v>
      </c>
      <c r="C11873" s="3" t="str">
        <f>IFERROR(__xludf.DUMMYFUNCTION("GOOGLETRANSLATE(B11873,""id"",""en"")"),"['Cool']")</f>
        <v>['Cool']</v>
      </c>
      <c r="D11873" s="3">
        <v>5.0</v>
      </c>
    </row>
    <row r="11874" ht="15.75" customHeight="1">
      <c r="A11874" s="1">
        <v>12809.0</v>
      </c>
      <c r="B11874" s="3" t="s">
        <v>11285</v>
      </c>
      <c r="C11874" s="3" t="str">
        <f>IFERROR(__xludf.DUMMYFUNCTION("GOOGLETRANSLATE(B11874,""id"",""en"")"),"['Good', 'bnget', 'coi']")</f>
        <v>['Good', 'bnget', 'coi']</v>
      </c>
      <c r="D11874" s="3">
        <v>5.0</v>
      </c>
    </row>
    <row r="11875" ht="15.75" customHeight="1">
      <c r="A11875" s="1">
        <v>12811.0</v>
      </c>
      <c r="B11875" s="3" t="s">
        <v>5112</v>
      </c>
      <c r="C11875" s="3" t="str">
        <f>IFERROR(__xludf.DUMMYFUNCTION("GOOGLETRANSLATE(B11875,""id"",""en"")"),"['Practical', 'fast']")</f>
        <v>['Practical', 'fast']</v>
      </c>
      <c r="D11875" s="3">
        <v>5.0</v>
      </c>
    </row>
    <row r="11876" ht="15.75" customHeight="1">
      <c r="A11876" s="1">
        <v>12812.0</v>
      </c>
      <c r="B11876" s="3" t="s">
        <v>11286</v>
      </c>
      <c r="C11876" s="3" t="str">
        <f>IFERROR(__xludf.DUMMYFUNCTION("GOOGLETRANSLATE(B11876,""id"",""en"")"),"['Login', 'Difficult', 'Emotion']")</f>
        <v>['Login', 'Difficult', 'Emotion']</v>
      </c>
      <c r="D11876" s="3">
        <v>1.0</v>
      </c>
    </row>
    <row r="11877" ht="15.75" customHeight="1">
      <c r="A11877" s="1">
        <v>12813.0</v>
      </c>
      <c r="B11877" s="3" t="s">
        <v>1718</v>
      </c>
      <c r="C11877" s="3" t="str">
        <f>IFERROR(__xludf.DUMMYFUNCTION("GOOGLETRANSLATE(B11877,""id"",""en"")"),"['Good', 'service']")</f>
        <v>['Good', 'service']</v>
      </c>
      <c r="D11877" s="3">
        <v>5.0</v>
      </c>
    </row>
    <row r="11878" ht="15.75" customHeight="1">
      <c r="A11878" s="1">
        <v>12815.0</v>
      </c>
      <c r="B11878" s="3" t="s">
        <v>11287</v>
      </c>
      <c r="C11878" s="3" t="str">
        <f>IFERROR(__xludf.DUMMYFUNCTION("GOOGLETRANSLATE(B11878,""id"",""en"")"),"['Application', 'Not bad', 'Good', 'You', 'Addin', 'Features',' Top ',' Game ',' Top ',' Credit ',' Gloom ',' Price ',' Unison ',' ']")</f>
        <v>['Application', 'Not bad', 'Good', 'You', 'Addin', 'Features',' Top ',' Game ',' Top ',' Credit ',' Gloom ',' Price ',' Unison ',' ']</v>
      </c>
      <c r="D11878" s="3">
        <v>5.0</v>
      </c>
    </row>
    <row r="11879" ht="15.75" customHeight="1">
      <c r="A11879" s="1">
        <v>12816.0</v>
      </c>
      <c r="B11879" s="3" t="s">
        <v>11288</v>
      </c>
      <c r="C11879" s="3" t="str">
        <f>IFERROR(__xludf.DUMMYFUNCTION("GOOGLETRANSLATE(B11879,""id"",""en"")"),"['Telkomsel', 'hope', 'Helpful', 'Indonesia']")</f>
        <v>['Telkomsel', 'hope', 'Helpful', 'Indonesia']</v>
      </c>
      <c r="D11879" s="3">
        <v>3.0</v>
      </c>
    </row>
    <row r="11880" ht="15.75" customHeight="1">
      <c r="A11880" s="1">
        <v>12817.0</v>
      </c>
      <c r="B11880" s="3" t="s">
        <v>11289</v>
      </c>
      <c r="C11880" s="3" t="str">
        <f>IFERROR(__xludf.DUMMYFUNCTION("GOOGLETRANSLATE(B11880,""id"",""en"")"),"['Please', 'Package', 'Special', 'Kasi', 'Cheap', 'Thank you']")</f>
        <v>['Please', 'Package', 'Special', 'Kasi', 'Cheap', 'Thank you']</v>
      </c>
      <c r="D11880" s="3">
        <v>3.0</v>
      </c>
    </row>
    <row r="11881" ht="15.75" customHeight="1">
      <c r="A11881" s="1">
        <v>12818.0</v>
      </c>
      <c r="B11881" s="3" t="s">
        <v>11290</v>
      </c>
      <c r="C11881" s="3" t="str">
        <f>IFERROR(__xludf.DUMMYFUNCTION("GOOGLETRANSLATE(B11881,""id"",""en"")"),"['', 'Android', 'Install']")</f>
        <v>['', 'Android', 'Install']</v>
      </c>
      <c r="D11881" s="3">
        <v>4.0</v>
      </c>
    </row>
    <row r="11882" ht="15.75" customHeight="1">
      <c r="A11882" s="1">
        <v>12819.0</v>
      </c>
      <c r="B11882" s="3" t="s">
        <v>11291</v>
      </c>
      <c r="C11882" s="3" t="str">
        <f>IFERROR(__xludf.DUMMYFUNCTION("GOOGLETRANSLATE(B11882,""id"",""en"")"),"['package', 'kind of', 'price', 'expensive', 'extortion', 'name', 'fucking', 'gobbyk']")</f>
        <v>['package', 'kind of', 'price', 'expensive', 'extortion', 'name', 'fucking', 'gobbyk']</v>
      </c>
      <c r="D11882" s="3">
        <v>1.0</v>
      </c>
    </row>
    <row r="11883" ht="15.75" customHeight="1">
      <c r="A11883" s="1">
        <v>12820.0</v>
      </c>
      <c r="B11883" s="3" t="s">
        <v>11292</v>
      </c>
      <c r="C11883" s="3" t="str">
        <f>IFERROR(__xludf.DUMMYFUNCTION("GOOGLETRANSLATE(B11883,""id"",""en"")"),"['Practical', 'fast', 'mksih']")</f>
        <v>['Practical', 'fast', 'mksih']</v>
      </c>
      <c r="D11883" s="3">
        <v>5.0</v>
      </c>
    </row>
    <row r="11884" ht="15.75" customHeight="1">
      <c r="A11884" s="1">
        <v>12821.0</v>
      </c>
      <c r="B11884" s="3" t="s">
        <v>11293</v>
      </c>
      <c r="C11884" s="3" t="str">
        <f>IFERROR(__xludf.DUMMYFUNCTION("GOOGLETRANSLATE(B11884,""id"",""en"")"),"['package', '']")</f>
        <v>['package', '']</v>
      </c>
      <c r="D11884" s="3">
        <v>5.0</v>
      </c>
    </row>
    <row r="11885" ht="15.75" customHeight="1">
      <c r="A11885" s="1">
        <v>12822.0</v>
      </c>
      <c r="B11885" s="3" t="s">
        <v>11294</v>
      </c>
      <c r="C11885" s="3" t="str">
        <f>IFERROR(__xludf.DUMMYFUNCTION("GOOGLETRANSLATE(B11885,""id"",""en"")"),"['', 'Ngentod', 'SMS', 'Magic', 'Link', 'Enter', 'Pig']")</f>
        <v>['', 'Ngentod', 'SMS', 'Magic', 'Link', 'Enter', 'Pig']</v>
      </c>
      <c r="D11885" s="3">
        <v>1.0</v>
      </c>
    </row>
    <row r="11886" ht="15.75" customHeight="1">
      <c r="A11886" s="1">
        <v>12823.0</v>
      </c>
      <c r="B11886" s="3" t="s">
        <v>11295</v>
      </c>
      <c r="C11886" s="3" t="str">
        <f>IFERROR(__xludf.DUMMYFUNCTION("GOOGLETRANSLATE(B11886,""id"",""en"")"),"['here', 'network', 'Telkomsel', 'bad', 'strange', 'network', 'card', 'cellular', 'laen', 'good', 'just', 'Telkomsel', ' Skrng ']")</f>
        <v>['here', 'network', 'Telkomsel', 'bad', 'strange', 'network', 'card', 'cellular', 'laen', 'good', 'just', 'Telkomsel', ' Skrng ']</v>
      </c>
      <c r="D11886" s="3">
        <v>1.0</v>
      </c>
    </row>
    <row r="11887" ht="15.75" customHeight="1">
      <c r="A11887" s="1">
        <v>12824.0</v>
      </c>
      <c r="B11887" s="3" t="s">
        <v>217</v>
      </c>
      <c r="C11887" s="3" t="str">
        <f>IFERROR(__xludf.DUMMYFUNCTION("GOOGLETRANSLATE(B11887,""id"",""en"")"),"['satisfying', '']")</f>
        <v>['satisfying', '']</v>
      </c>
      <c r="D11887" s="3">
        <v>5.0</v>
      </c>
    </row>
    <row r="11888" ht="15.75" customHeight="1">
      <c r="A11888" s="1">
        <v>12825.0</v>
      </c>
      <c r="B11888" s="3" t="s">
        <v>11296</v>
      </c>
      <c r="C11888" s="3" t="str">
        <f>IFERROR(__xludf.DUMMYFUNCTION("GOOGLETRANSLATE(B11888,""id"",""en"")"),"['buy', 'data', 'thousand', 'slow', 'forgiveness']")</f>
        <v>['buy', 'data', 'thousand', 'slow', 'forgiveness']</v>
      </c>
      <c r="D11888" s="3">
        <v>1.0</v>
      </c>
    </row>
    <row r="11889" ht="15.75" customHeight="1">
      <c r="A11889" s="1">
        <v>12826.0</v>
      </c>
      <c r="B11889" s="3" t="s">
        <v>11297</v>
      </c>
      <c r="C11889" s="3" t="str">
        <f>IFERROR(__xludf.DUMMYFUNCTION("GOOGLETRANSLATE(B11889,""id"",""en"")"),"['transaction', 'purchase', 'package', 'please', 'exchanged']")</f>
        <v>['transaction', 'purchase', 'package', 'please', 'exchanged']</v>
      </c>
      <c r="D11889" s="3">
        <v>1.0</v>
      </c>
    </row>
    <row r="11890" ht="15.75" customHeight="1">
      <c r="A11890" s="1">
        <v>12827.0</v>
      </c>
      <c r="B11890" s="3" t="s">
        <v>11298</v>
      </c>
      <c r="C11890" s="3" t="str">
        <f>IFERROR(__xludf.DUMMYFUNCTION("GOOGLETRANSLATE(B11890,""id"",""en"")"),"['Makek']")</f>
        <v>['Makek']</v>
      </c>
      <c r="D11890" s="3">
        <v>5.0</v>
      </c>
    </row>
    <row r="11891" ht="15.75" customHeight="1">
      <c r="A11891" s="1">
        <v>12829.0</v>
      </c>
      <c r="B11891" s="3" t="s">
        <v>11299</v>
      </c>
      <c r="C11891" s="3" t="str">
        <f>IFERROR(__xludf.DUMMYFUNCTION("GOOGLETRANSLATE(B11891,""id"",""en"")"),"['Understand', 'understand', 'org', 'bnyk']")</f>
        <v>['Understand', 'understand', 'org', 'bnyk']</v>
      </c>
      <c r="D11891" s="3">
        <v>5.0</v>
      </c>
    </row>
    <row r="11892" ht="15.75" customHeight="1">
      <c r="A11892" s="1">
        <v>12830.0</v>
      </c>
      <c r="B11892" s="3" t="s">
        <v>1551</v>
      </c>
      <c r="C11892" s="3" t="str">
        <f>IFERROR(__xludf.DUMMYFUNCTION("GOOGLETRANSLATE(B11892,""id"",""en"")"),"['signal', 'stable']")</f>
        <v>['signal', 'stable']</v>
      </c>
      <c r="D11892" s="3">
        <v>2.0</v>
      </c>
    </row>
    <row r="11893" ht="15.75" customHeight="1">
      <c r="A11893" s="1">
        <v>12831.0</v>
      </c>
      <c r="B11893" s="3" t="s">
        <v>11300</v>
      </c>
      <c r="C11893" s="3" t="str">
        <f>IFERROR(__xludf.DUMMYFUNCTION("GOOGLETRANSLATE(B11893,""id"",""en"")"),"['Open', 'apps']")</f>
        <v>['Open', 'apps']</v>
      </c>
      <c r="D11893" s="3">
        <v>1.0</v>
      </c>
    </row>
    <row r="11894" ht="15.75" customHeight="1">
      <c r="A11894" s="1">
        <v>12833.0</v>
      </c>
      <c r="B11894" s="3" t="s">
        <v>11301</v>
      </c>
      <c r="C11894" s="3" t="str">
        <f>IFERROR(__xludf.DUMMYFUNCTION("GOOGLETRANSLATE(B11894,""id"",""en"")"),"['Good', 'obstacles', 'signal', 'like', 'direct', 'ilang']")</f>
        <v>['Good', 'obstacles', 'signal', 'like', 'direct', 'ilang']</v>
      </c>
      <c r="D11894" s="3">
        <v>5.0</v>
      </c>
    </row>
    <row r="11895" ht="15.75" customHeight="1">
      <c r="A11895" s="1">
        <v>12834.0</v>
      </c>
      <c r="B11895" s="3" t="s">
        <v>11302</v>
      </c>
      <c r="C11895" s="3" t="str">
        <f>IFERROR(__xludf.DUMMYFUNCTION("GOOGLETRANSLATE(B11895,""id"",""en"")"),"['Send', 'pulse', 'easy']")</f>
        <v>['Send', 'pulse', 'easy']</v>
      </c>
      <c r="D11895" s="3">
        <v>5.0</v>
      </c>
    </row>
    <row r="11896" ht="15.75" customHeight="1">
      <c r="A11896" s="1">
        <v>12835.0</v>
      </c>
      <c r="B11896" s="3" t="s">
        <v>11303</v>
      </c>
      <c r="C11896" s="3" t="str">
        <f>IFERROR(__xludf.DUMMYFUNCTION("GOOGLETRANSLATE(B11896,""id"",""en"")"),"['cave', 'on the floor', 'signal', 'ugly', 'floor', 'ugly', 'floor', 'stable', 'wants', 'what', '']")</f>
        <v>['cave', 'on the floor', 'signal', 'ugly', 'floor', 'ugly', 'floor', 'stable', 'wants', 'what', '']</v>
      </c>
      <c r="D11896" s="3">
        <v>1.0</v>
      </c>
    </row>
    <row r="11897" ht="15.75" customHeight="1">
      <c r="A11897" s="1">
        <v>12836.0</v>
      </c>
      <c r="B11897" s="3" t="s">
        <v>11304</v>
      </c>
      <c r="C11897" s="3" t="str">
        <f>IFERROR(__xludf.DUMMYFUNCTION("GOOGLETRANSLATE(B11897,""id"",""en"")"),"['signal', 'strong', 'slow', 'steady', 'guys']")</f>
        <v>['signal', 'strong', 'slow', 'steady', 'guys']</v>
      </c>
      <c r="D11897" s="3">
        <v>5.0</v>
      </c>
    </row>
    <row r="11898" ht="15.75" customHeight="1">
      <c r="A11898" s="1">
        <v>12837.0</v>
      </c>
      <c r="B11898" s="3" t="s">
        <v>11305</v>
      </c>
      <c r="C11898" s="3" t="str">
        <f>IFERROR(__xludf.DUMMYFUNCTION("GOOGLETRANSLATE(B11898,""id"",""en"")"),"['satisfying', 'buy', 'package', 'recomend', 'app', 'choose', 'package', 'satisfying', '']")</f>
        <v>['satisfying', 'buy', 'package', 'recomend', 'app', 'choose', 'package', 'satisfying', '']</v>
      </c>
      <c r="D11898" s="3">
        <v>1.0</v>
      </c>
    </row>
    <row r="11899" ht="15.75" customHeight="1">
      <c r="A11899" s="1">
        <v>12838.0</v>
      </c>
      <c r="B11899" s="3" t="s">
        <v>10732</v>
      </c>
      <c r="C11899" s="3" t="str">
        <f>IFERROR(__xludf.DUMMYFUNCTION("GOOGLETRANSLATE(B11899,""id"",""en"")"),"['Transfer', 'pulse']")</f>
        <v>['Transfer', 'pulse']</v>
      </c>
      <c r="D11899" s="3">
        <v>4.0</v>
      </c>
    </row>
    <row r="11900" ht="15.75" customHeight="1">
      <c r="A11900" s="1">
        <v>12839.0</v>
      </c>
      <c r="B11900" s="3" t="s">
        <v>11306</v>
      </c>
      <c r="C11900" s="3" t="str">
        <f>IFERROR(__xludf.DUMMYFUNCTION("GOOGLETRANSLATE(B11900,""id"",""en"")"),"['expensive', 'Doang', 'Speed', 'Lemot', 'Awokawokawokwawokawok']")</f>
        <v>['expensive', 'Doang', 'Speed', 'Lemot', 'Awokawokawokwawokawok']</v>
      </c>
      <c r="D11900" s="3">
        <v>1.0</v>
      </c>
    </row>
    <row r="11901" ht="15.75" customHeight="1">
      <c r="A11901" s="1">
        <v>12840.0</v>
      </c>
      <c r="B11901" s="3" t="s">
        <v>11307</v>
      </c>
      <c r="C11901" s="3" t="str">
        <f>IFERROR(__xludf.DUMMYFUNCTION("GOOGLETRANSLATE(B11901,""id"",""en"")"),"['Telkomsel', 'BUMN', 'Nipu', 'Community', 'BUMN', 'Dilapidated', 'Telkomsel', 'Like', 'Really', 'Give', 'Trap', 'Link', ' fake ',' info ',' fake ',' promo ',' fake ',' plus', 'open', 'link', 'pulse', 'direct', 'sumps',' directionin ',' application ' , 'f"&amp;"unctions',' application ',' contact ',' info ',' nominated ',' cellphone ',' doang ',' mode ',' fraud ',' customer ',' come here ',' Customers', 'expensive', 'nipu', 'fools',' community ',' ']")</f>
        <v>['Telkomsel', 'BUMN', 'Nipu', 'Community', 'BUMN', 'Dilapidated', 'Telkomsel', 'Like', 'Really', 'Give', 'Trap', 'Link', ' fake ',' info ',' fake ',' promo ',' fake ',' plus', 'open', 'link', 'pulse', 'direct', 'sumps',' directionin ',' application ' , 'functions',' application ',' contact ',' info ',' nominated ',' cellphone ',' doang ',' mode ',' fraud ',' customer ',' come here ',' Customers', 'expensive', 'nipu', 'fools',' community ',' ']</v>
      </c>
      <c r="D11901" s="3">
        <v>1.0</v>
      </c>
    </row>
    <row r="11902" ht="15.75" customHeight="1">
      <c r="A11902" s="1">
        <v>12841.0</v>
      </c>
      <c r="B11902" s="3" t="s">
        <v>11308</v>
      </c>
      <c r="C11902" s="3" t="str">
        <f>IFERROR(__xludf.DUMMYFUNCTION("GOOGLETRANSLATE(B11902,""id"",""en"")"),"['Good', 'really', 'data', 'free']")</f>
        <v>['Good', 'really', 'data', 'free']</v>
      </c>
      <c r="D11902" s="3">
        <v>5.0</v>
      </c>
    </row>
    <row r="11903" ht="15.75" customHeight="1">
      <c r="A11903" s="1">
        <v>12842.0</v>
      </c>
      <c r="B11903" s="3" t="s">
        <v>968</v>
      </c>
      <c r="C11903" s="3" t="str">
        <f>IFERROR(__xludf.DUMMYFUNCTION("GOOGLETRANSLATE(B11903,""id"",""en"")"),"['application', '']")</f>
        <v>['application', '']</v>
      </c>
      <c r="D11903" s="3">
        <v>5.0</v>
      </c>
    </row>
    <row r="11904" ht="15.75" customHeight="1">
      <c r="A11904" s="1">
        <v>12843.0</v>
      </c>
      <c r="B11904" s="3" t="s">
        <v>2423</v>
      </c>
      <c r="C11904" s="3" t="str">
        <f>IFERROR(__xludf.DUMMYFUNCTION("GOOGLETRANSLATE(B11904,""id"",""en"")"),"['Steady', 'help']")</f>
        <v>['Steady', 'help']</v>
      </c>
      <c r="D11904" s="3">
        <v>5.0</v>
      </c>
    </row>
    <row r="11905" ht="15.75" customHeight="1">
      <c r="A11905" s="1">
        <v>12844.0</v>
      </c>
      <c r="B11905" s="3" t="s">
        <v>11309</v>
      </c>
      <c r="C11905" s="3" t="str">
        <f>IFERROR(__xludf.DUMMYFUNCTION("GOOGLETRANSLATE(B11905,""id"",""en"")"),"['Gaada', 'BET', 'Telkomsel', 'Srong', 'money', 'intention', 'buy', 'package', 'wekend', 'quota', 'main', 'durable', ' quota ',' main ',' package ',' wekend ',' run out ',' think ',' card ']")</f>
        <v>['Gaada', 'BET', 'Telkomsel', 'Srong', 'money', 'intention', 'buy', 'package', 'wekend', 'quota', 'main', 'durable', ' quota ',' main ',' package ',' wekend ',' run out ',' think ',' card ']</v>
      </c>
      <c r="D11905" s="3">
        <v>1.0</v>
      </c>
    </row>
    <row r="11906" ht="15.75" customHeight="1">
      <c r="A11906" s="1">
        <v>12845.0</v>
      </c>
      <c r="B11906" s="3" t="s">
        <v>3963</v>
      </c>
      <c r="C11906" s="3" t="str">
        <f>IFERROR(__xludf.DUMMYFUNCTION("GOOGLETRANSLATE(B11906,""id"",""en"")"),"['APK', 'Help']")</f>
        <v>['APK', 'Help']</v>
      </c>
      <c r="D11906" s="3">
        <v>5.0</v>
      </c>
    </row>
    <row r="11907" ht="15.75" customHeight="1">
      <c r="A11907" s="1">
        <v>12846.0</v>
      </c>
      <c r="B11907" s="3" t="s">
        <v>11310</v>
      </c>
      <c r="C11907" s="3" t="str">
        <f>IFERROR(__xludf.DUMMYFUNCTION("GOOGLETRANSLATE(B11907,""id"",""en"")"),"['Dead', 'electricity', 'big one', 'ugly', '']")</f>
        <v>['Dead', 'electricity', 'big one', 'ugly', '']</v>
      </c>
      <c r="D11907" s="3">
        <v>1.0</v>
      </c>
    </row>
    <row r="11908" ht="15.75" customHeight="1">
      <c r="A11908" s="1">
        <v>12847.0</v>
      </c>
      <c r="B11908" s="3" t="s">
        <v>11311</v>
      </c>
      <c r="C11908" s="3" t="str">
        <f>IFERROR(__xludf.DUMMYFUNCTION("GOOGLETRANSLATE(B11908,""id"",""en"")"),"['If', 'Pay', 'Via', 'Virtual', 'Account', 'Easy']")</f>
        <v>['If', 'Pay', 'Via', 'Virtual', 'Account', 'Easy']</v>
      </c>
      <c r="D11908" s="3">
        <v>3.0</v>
      </c>
    </row>
    <row r="11909" ht="15.75" customHeight="1">
      <c r="A11909" s="1">
        <v>12848.0</v>
      </c>
      <c r="B11909" s="3" t="s">
        <v>11312</v>
      </c>
      <c r="C11909" s="3" t="str">
        <f>IFERROR(__xludf.DUMMYFUNCTION("GOOGLETRANSLATE(B11909,""id"",""en"")"),"['Satisfied', 'service', 'explanation', 'missing', 'week', 'report', 'Agrapari', 'directly', 'activated', 'short', 'thank', 'love', ' ']")</f>
        <v>['Satisfied', 'service', 'explanation', 'missing', 'week', 'report', 'Agrapari', 'directly', 'activated', 'short', 'thank', 'love', ' ']</v>
      </c>
      <c r="D11909" s="3">
        <v>5.0</v>
      </c>
    </row>
    <row r="11910" ht="15.75" customHeight="1">
      <c r="A11910" s="1">
        <v>12849.0</v>
      </c>
      <c r="B11910" s="3" t="s">
        <v>11313</v>
      </c>
      <c r="C11910" s="3" t="str">
        <f>IFERROR(__xludf.DUMMYFUNCTION("GOOGLETRANSLATE(B11910,""id"",""en"")"),"['System', 'Busy', 'Wait', 'Minutes',' The point ',' please ',' explanation ',' loss', 'I', 'run out', 'money', 'buy', ' Voucher ',' ']")</f>
        <v>['System', 'Busy', 'Wait', 'Minutes',' The point ',' please ',' explanation ',' loss', 'I', 'run out', 'money', 'buy', ' Voucher ',' ']</v>
      </c>
      <c r="D11910" s="3">
        <v>1.0</v>
      </c>
    </row>
    <row r="11911" ht="15.75" customHeight="1">
      <c r="A11911" s="1">
        <v>12850.0</v>
      </c>
      <c r="B11911" s="3" t="s">
        <v>11314</v>
      </c>
      <c r="C11911" s="3" t="str">
        <f>IFERROR(__xludf.DUMMYFUNCTION("GOOGLETRANSLATE(B11911,""id"",""en"")"),"['Likes', 'Application', 'Telkomsel', 'Thank you']")</f>
        <v>['Likes', 'Application', 'Telkomsel', 'Thank you']</v>
      </c>
      <c r="D11911" s="3">
        <v>5.0</v>
      </c>
    </row>
    <row r="11912" ht="15.75" customHeight="1">
      <c r="A11912" s="1">
        <v>12852.0</v>
      </c>
      <c r="B11912" s="3" t="s">
        <v>11315</v>
      </c>
      <c r="C11912" s="3" t="str">
        <f>IFERROR(__xludf.DUMMYFUNCTION("GOOGLETRANSLATE(B11912,""id"",""en"")"),"['promo', 'cheap']")</f>
        <v>['promo', 'cheap']</v>
      </c>
      <c r="D11912" s="3">
        <v>5.0</v>
      </c>
    </row>
    <row r="11913" ht="15.75" customHeight="1">
      <c r="A11913" s="1">
        <v>12853.0</v>
      </c>
      <c r="B11913" s="3" t="s">
        <v>11316</v>
      </c>
      <c r="C11913" s="3" t="str">
        <f>IFERROR(__xludf.DUMMYFUNCTION("GOOGLETRANSLATE(B11913,""id"",""en"")"),"['Gajelas', 'pulse', 'run out', 'transaction', 'suspicious']")</f>
        <v>['Gajelas', 'pulse', 'run out', 'transaction', 'suspicious']</v>
      </c>
      <c r="D11913" s="3">
        <v>1.0</v>
      </c>
    </row>
    <row r="11914" ht="15.75" customHeight="1">
      <c r="A11914" s="1">
        <v>12854.0</v>
      </c>
      <c r="B11914" s="3" t="s">
        <v>11317</v>
      </c>
      <c r="C11914" s="3" t="str">
        <f>IFERROR(__xludf.DUMMYFUNCTION("GOOGLETRANSLATE(B11914,""id"",""en"")"),"['Disappointed', 'Tekomsel', 'Difficult', 'Enter', 'Login', ""]")</f>
        <v>['Disappointed', 'Tekomsel', 'Difficult', 'Enter', 'Login', "]</v>
      </c>
      <c r="D11914" s="3">
        <v>1.0</v>
      </c>
    </row>
    <row r="11915" ht="15.75" customHeight="1">
      <c r="A11915" s="1">
        <v>12855.0</v>
      </c>
      <c r="B11915" s="3" t="s">
        <v>11318</v>
      </c>
      <c r="C11915" s="3" t="str">
        <f>IFERROR(__xludf.DUMMYFUNCTION("GOOGLETRANSLATE(B11915,""id"",""en"")"),"['Network', 'easy']")</f>
        <v>['Network', 'easy']</v>
      </c>
      <c r="D11915" s="3">
        <v>5.0</v>
      </c>
    </row>
    <row r="11916" ht="15.75" customHeight="1">
      <c r="A11916" s="1">
        <v>12856.0</v>
      </c>
      <c r="B11916" s="3" t="s">
        <v>11319</v>
      </c>
      <c r="C11916" s="3" t="str">
        <f>IFERROR(__xludf.DUMMYFUNCTION("GOOGLETRANSLATE(B11916,""id"",""en"")"),"['Network', 'ugly', 'really', 'really', 'already', 'daily', 'right', 'rain', 'difficult', 'really']")</f>
        <v>['Network', 'ugly', 'really', 'really', 'already', 'daily', 'right', 'rain', 'difficult', 'really']</v>
      </c>
      <c r="D11916" s="3">
        <v>1.0</v>
      </c>
    </row>
    <row r="11917" ht="15.75" customHeight="1">
      <c r="A11917" s="1">
        <v>12857.0</v>
      </c>
      <c r="B11917" s="3" t="s">
        <v>11320</v>
      </c>
      <c r="C11917" s="3" t="str">
        <f>IFERROR(__xludf.DUMMYFUNCTION("GOOGLETRANSLATE(B11917,""id"",""en"")"),"['expensive', 'network', 'ugly', 'hdh']")</f>
        <v>['expensive', 'network', 'ugly', 'hdh']</v>
      </c>
      <c r="D11917" s="3">
        <v>1.0</v>
      </c>
    </row>
    <row r="11918" ht="15.75" customHeight="1">
      <c r="A11918" s="1">
        <v>12858.0</v>
      </c>
      <c r="B11918" s="3" t="s">
        <v>11321</v>
      </c>
      <c r="C11918" s="3" t="str">
        <f>IFERROR(__xludf.DUMMYFUNCTION("GOOGLETRANSLATE(B11918,""id"",""en"")"),"['Making', 'easy']")</f>
        <v>['Making', 'easy']</v>
      </c>
      <c r="D11918" s="3">
        <v>4.0</v>
      </c>
    </row>
    <row r="11919" ht="15.75" customHeight="1">
      <c r="A11919" s="1">
        <v>12859.0</v>
      </c>
      <c r="B11919" s="3" t="s">
        <v>11322</v>
      </c>
      <c r="C11919" s="3" t="str">
        <f>IFERROR(__xludf.DUMMYFUNCTION("GOOGLETRANSLATE(B11919,""id"",""en"")"),"['Please', 'fix', 'ugly network', 'ugly', 'network', 'package', 'most expensive', 'doang', 'network', 'minimal']")</f>
        <v>['Please', 'fix', 'ugly network', 'ugly', 'network', 'package', 'most expensive', 'doang', 'network', 'minimal']</v>
      </c>
      <c r="D11919" s="3">
        <v>1.0</v>
      </c>
    </row>
    <row r="11920" ht="15.75" customHeight="1">
      <c r="A11920" s="1">
        <v>12860.0</v>
      </c>
      <c r="B11920" s="3" t="s">
        <v>11323</v>
      </c>
      <c r="C11920" s="3" t="str">
        <f>IFERROR(__xludf.DUMMYFUNCTION("GOOGLETRANSLATE(B11920,""id"",""en"")"),"['Nambah', 'strange', 'network', 'Telkomsel', 'expensive', 'package', 'data', 'network', 'good', 'udh', 'expensive', 'network', ' ugly ',' woy ',' Telkomsel ',' Musi ',' Banyu ',' salted ',' area ',' sekayu ',' please ',' network ',' increase ',' signal '"&amp;",' ugly ' , 'Easy', 'Error', ""]")</f>
        <v>['Nambah', 'strange', 'network', 'Telkomsel', 'expensive', 'package', 'data', 'network', 'good', 'udh', 'expensive', 'network', ' ugly ',' woy ',' Telkomsel ',' Musi ',' Banyu ',' salted ',' area ',' sekayu ',' please ',' network ',' increase ',' signal ',' ugly ' , 'Easy', 'Error', "]</v>
      </c>
      <c r="D11920" s="3">
        <v>1.0</v>
      </c>
    </row>
    <row r="11921" ht="15.75" customHeight="1">
      <c r="A11921" s="1">
        <v>12861.0</v>
      </c>
      <c r="B11921" s="3" t="s">
        <v>11324</v>
      </c>
      <c r="C11921" s="3" t="str">
        <f>IFERROR(__xludf.DUMMYFUNCTION("GOOGLETRANSLATE(B11921,""id"",""en"")"),"['Network', 'fast', 'TER', 'CONNECTION']")</f>
        <v>['Network', 'fast', 'TER', 'CONNECTION']</v>
      </c>
      <c r="D11921" s="3">
        <v>4.0</v>
      </c>
    </row>
    <row r="11922" ht="15.75" customHeight="1">
      <c r="A11922" s="1">
        <v>12862.0</v>
      </c>
      <c r="B11922" s="3" t="s">
        <v>11325</v>
      </c>
      <c r="C11922" s="3" t="str">
        <f>IFERROR(__xludf.DUMMYFUNCTION("GOOGLETRANSLATE(B11922,""id"",""en"")"),"['good, thank you']")</f>
        <v>['good, thank you']</v>
      </c>
      <c r="D11922" s="3">
        <v>4.0</v>
      </c>
    </row>
    <row r="11923" ht="15.75" customHeight="1">
      <c r="A11923" s="1">
        <v>12863.0</v>
      </c>
      <c r="B11923" s="3" t="s">
        <v>11326</v>
      </c>
      <c r="C11923" s="3" t="str">
        <f>IFERROR(__xludf.DUMMYFUNCTION("GOOGLETRANSLATE(B11923,""id"",""en"")"),"['Helpful', 'Good', 'Points', 'Thanks', 'Telkomsel']")</f>
        <v>['Helpful', 'Good', 'Points', 'Thanks', 'Telkomsel']</v>
      </c>
      <c r="D11923" s="3">
        <v>5.0</v>
      </c>
    </row>
    <row r="11924" ht="15.75" customHeight="1">
      <c r="A11924" s="1">
        <v>12864.0</v>
      </c>
      <c r="B11924" s="3" t="s">
        <v>11327</v>
      </c>
      <c r="C11924" s="3" t="str">
        <f>IFERROR(__xludf.DUMMYFUNCTION("GOOGLETRANSLATE(B11924,""id"",""en"")"),"['Ngani', 'promo', 'combo', 'package', 'star']")</f>
        <v>['Ngani', 'promo', 'combo', 'package', 'star']</v>
      </c>
      <c r="D11924" s="3">
        <v>4.0</v>
      </c>
    </row>
    <row r="11925" ht="15.75" customHeight="1">
      <c r="A11925" s="1">
        <v>12865.0</v>
      </c>
      <c r="B11925" s="3" t="s">
        <v>11328</v>
      </c>
      <c r="C11925" s="3" t="str">
        <f>IFERROR(__xludf.DUMMYFUNCTION("GOOGLETRANSLATE(B11925,""id"",""en"")"),"['Not bad', 'Good', 'Application', 'Telkomsel', 'Easily', 'Dlam', 'transact', '']")</f>
        <v>['Not bad', 'Good', 'Application', 'Telkomsel', 'Easily', 'Dlam', 'transact', '']</v>
      </c>
      <c r="D11925" s="3">
        <v>5.0</v>
      </c>
    </row>
    <row r="11926" ht="15.75" customHeight="1">
      <c r="A11926" s="1">
        <v>12866.0</v>
      </c>
      <c r="B11926" s="3" t="s">
        <v>11329</v>
      </c>
      <c r="C11926" s="3" t="str">
        <f>IFERROR(__xludf.DUMMYFUNCTION("GOOGLETRANSLATE(B11926,""id"",""en"")"),"['Easy', 'buy', '']")</f>
        <v>['Easy', 'buy', '']</v>
      </c>
      <c r="D11926" s="3">
        <v>5.0</v>
      </c>
    </row>
    <row r="11927" ht="15.75" customHeight="1">
      <c r="A11927" s="1">
        <v>12867.0</v>
      </c>
      <c r="B11927" s="3" t="s">
        <v>11330</v>
      </c>
      <c r="C11927" s="3" t="str">
        <f>IFERROR(__xludf.DUMMYFUNCTION("GOOGLETRANSLATE(B11927,""id"",""en"")"),"['transaction', 'easy', 'fast']")</f>
        <v>['transaction', 'easy', 'fast']</v>
      </c>
      <c r="D11927" s="3">
        <v>5.0</v>
      </c>
    </row>
    <row r="11928" ht="15.75" customHeight="1">
      <c r="A11928" s="1">
        <v>12869.0</v>
      </c>
      <c r="B11928" s="3" t="s">
        <v>11331</v>
      </c>
      <c r="C11928" s="3" t="str">
        <f>IFERROR(__xludf.DUMMYFUNCTION("GOOGLETRANSLATE(B11928,""id"",""en"")"),"['application', 'good', 'makes it easy', 'choice', 'package', 'thank', 'love', ""]")</f>
        <v>['application', 'good', 'makes it easy', 'choice', 'package', 'thank', 'love', "]</v>
      </c>
      <c r="D11928" s="3">
        <v>5.0</v>
      </c>
    </row>
    <row r="11929" ht="15.75" customHeight="1">
      <c r="A11929" s="1">
        <v>12870.0</v>
      </c>
      <c r="B11929" s="3" t="s">
        <v>11332</v>
      </c>
      <c r="C11929" s="3" t="str">
        <f>IFERROR(__xludf.DUMMYFUNCTION("GOOGLETRANSLATE(B11929,""id"",""en"")"),"['Application', 'installed', 'system', 'Android', '']")</f>
        <v>['Application', 'installed', 'system', 'Android', '']</v>
      </c>
      <c r="D11929" s="3">
        <v>1.0</v>
      </c>
    </row>
    <row r="11930" ht="15.75" customHeight="1">
      <c r="A11930" s="1">
        <v>12871.0</v>
      </c>
      <c r="B11930" s="3" t="s">
        <v>11333</v>
      </c>
      <c r="C11930" s="3" t="str">
        <f>IFERROR(__xludf.DUMMYFUNCTION("GOOGLETRANSLATE(B11930,""id"",""en"")"),"['Severe', 'My Network', 'Plis', 'Please', 'Fix']")</f>
        <v>['Severe', 'My Network', 'Plis', 'Please', 'Fix']</v>
      </c>
      <c r="D11930" s="3">
        <v>1.0</v>
      </c>
    </row>
    <row r="11931" ht="15.75" customHeight="1">
      <c r="A11931" s="1">
        <v>12872.0</v>
      </c>
      <c r="B11931" s="3" t="s">
        <v>11334</v>
      </c>
      <c r="C11931" s="3" t="str">
        <f>IFERROR(__xludf.DUMMYFUNCTION("GOOGLETRANSLATE(B11931,""id"",""en"")"),"['Sometimes', 'Sometimes', 'Loading', 'Slow']")</f>
        <v>['Sometimes', 'Sometimes', 'Loading', 'Slow']</v>
      </c>
      <c r="D11931" s="3">
        <v>4.0</v>
      </c>
    </row>
    <row r="11932" ht="15.75" customHeight="1">
      <c r="A11932" s="1">
        <v>12873.0</v>
      </c>
      <c r="B11932" s="3" t="s">
        <v>11335</v>
      </c>
      <c r="C11932" s="3" t="str">
        <f>IFERROR(__xludf.DUMMYFUNCTION("GOOGLETRANSLATE(B11932,""id"",""en"")"),"['Telkomsel', 'gapernah', 'signal', 'good', 'that's',' signal ',' hustyuuuk ',' then ',' diesa ',' Telkomsel ',' hah ',' trus', ' Trusan ',' Gini ',' a little ',' Gunain ',' Operator ',' Telkomsel ', ""]")</f>
        <v>['Telkomsel', 'gapernah', 'signal', 'good', 'that's',' signal ',' hustyuuuk ',' then ',' diesa ',' Telkomsel ',' hah ',' trus', ' Trusan ',' Gini ',' a little ',' Gunain ',' Operator ',' Telkomsel ', "]</v>
      </c>
      <c r="D11932" s="3">
        <v>1.0</v>
      </c>
    </row>
    <row r="11933" ht="15.75" customHeight="1">
      <c r="A11933" s="1">
        <v>12874.0</v>
      </c>
      <c r="B11933" s="3" t="s">
        <v>11336</v>
      </c>
      <c r="C11933" s="3" t="str">
        <f>IFERROR(__xludf.DUMMYFUNCTION("GOOGLETRANSLATE(B11933,""id"",""en"")"),"['Telkomsel', 'Kayak', 'Taik', 'Service', 'Satisfying', 'Hi', 'Telkomsel', 'You', 'Bust', 'Jngan', 'People', 'Disappointed']")</f>
        <v>['Telkomsel', 'Kayak', 'Taik', 'Service', 'Satisfying', 'Hi', 'Telkomsel', 'You', 'Bust', 'Jngan', 'People', 'Disappointed']</v>
      </c>
      <c r="D11933" s="3">
        <v>1.0</v>
      </c>
    </row>
    <row r="11934" ht="15.75" customHeight="1">
      <c r="A11934" s="1">
        <v>12875.0</v>
      </c>
      <c r="B11934" s="3" t="s">
        <v>11337</v>
      </c>
      <c r="C11934" s="3" t="str">
        <f>IFERROR(__xludf.DUMMYFUNCTION("GOOGLETRANSLATE(B11934,""id"",""en"")"),"['Quality', 'fun']")</f>
        <v>['Quality', 'fun']</v>
      </c>
      <c r="D11934" s="3">
        <v>5.0</v>
      </c>
    </row>
    <row r="11935" ht="15.75" customHeight="1">
      <c r="A11935" s="1">
        <v>12877.0</v>
      </c>
      <c r="B11935" s="3" t="s">
        <v>11338</v>
      </c>
      <c r="C11935" s="3" t="str">
        <f>IFERROR(__xludf.DUMMYFUNCTION("GOOGLETRANSLATE(B11935,""id"",""en"")"),"['easy', 'connected', 'application']")</f>
        <v>['easy', 'connected', 'application']</v>
      </c>
      <c r="D11935" s="3">
        <v>5.0</v>
      </c>
    </row>
    <row r="11936" ht="15.75" customHeight="1">
      <c r="A11936" s="1">
        <v>12878.0</v>
      </c>
      <c r="B11936" s="3" t="s">
        <v>8380</v>
      </c>
      <c r="C11936" s="3" t="str">
        <f>IFERROR(__xludf.DUMMYFUNCTION("GOOGLETRANSLATE(B11936,""id"",""en"")"),"['easy', 'practical']")</f>
        <v>['easy', 'practical']</v>
      </c>
      <c r="D11936" s="3">
        <v>2.0</v>
      </c>
    </row>
    <row r="11937" ht="15.75" customHeight="1">
      <c r="A11937" s="1">
        <v>12879.0</v>
      </c>
      <c r="B11937" s="3" t="s">
        <v>11339</v>
      </c>
      <c r="C11937" s="3" t="str">
        <f>IFERROR(__xludf.DUMMYFUNCTION("GOOGLETRANSLATE(B11937,""id"",""en"")"),"['Player', 'Raying', 'Price', 'Expensive', 'TPI', 'Connection', 'Rotten', 'Come on', 'Telkomsel']")</f>
        <v>['Player', 'Raying', 'Price', 'Expensive', 'TPI', 'Connection', 'Rotten', 'Come on', 'Telkomsel']</v>
      </c>
      <c r="D11937" s="3">
        <v>1.0</v>
      </c>
    </row>
    <row r="11938" ht="15.75" customHeight="1">
      <c r="A11938" s="1">
        <v>12881.0</v>
      </c>
      <c r="B11938" s="3" t="s">
        <v>11340</v>
      </c>
      <c r="C11938" s="3" t="str">
        <f>IFERROR(__xludf.DUMMYFUNCTION("GOOGLETRANSLATE(B11938,""id"",""en"")"),"['', 'really', 'deh', '']")</f>
        <v>['', 'really', 'deh', '']</v>
      </c>
      <c r="D11938" s="3">
        <v>4.0</v>
      </c>
    </row>
    <row r="11939" ht="15.75" customHeight="1">
      <c r="A11939" s="1">
        <v>12882.0</v>
      </c>
      <c r="B11939" s="3" t="s">
        <v>11341</v>
      </c>
      <c r="C11939" s="3" t="str">
        <f>IFERROR(__xludf.DUMMYFUNCTION("GOOGLETRANSLATE(B11939,""id"",""en"")"),"['Filled', 'voucher', 'weve', 'Benerin', 'Network', 'sell', 'MMPU', 'Benerin', 'forced', 'really', 'Benerin', 'ugly', ' network ',' Telkomsel ',' Najis']")</f>
        <v>['Filled', 'voucher', 'weve', 'Benerin', 'Network', 'sell', 'MMPU', 'Benerin', 'forced', 'really', 'Benerin', 'ugly', ' network ',' Telkomsel ',' Najis']</v>
      </c>
      <c r="D11939" s="3">
        <v>1.0</v>
      </c>
    </row>
    <row r="11940" ht="15.75" customHeight="1">
      <c r="A11940" s="1">
        <v>12883.0</v>
      </c>
      <c r="B11940" s="3" t="s">
        <v>11342</v>
      </c>
      <c r="C11940" s="3" t="str">
        <f>IFERROR(__xludf.DUMMYFUNCTION("GOOGLETRANSLATE(B11940,""id"",""en"")"),"['network', 'internet', 'cellular', 'tapanuli', 'north', 'slow', 'forgiveness',' weather ',' cloud ',' slow ',' hope ',' repair ',' Satisfaction ',' Customer ',' Thank ',' Love ']")</f>
        <v>['network', 'internet', 'cellular', 'tapanuli', 'north', 'slow', 'forgiveness',' weather ',' cloud ',' slow ',' hope ',' repair ',' Satisfaction ',' Customer ',' Thank ',' Love ']</v>
      </c>
      <c r="D11940" s="3">
        <v>1.0</v>
      </c>
    </row>
    <row r="11941" ht="15.75" customHeight="1">
      <c r="A11941" s="1">
        <v>12884.0</v>
      </c>
      <c r="B11941" s="3" t="s">
        <v>11343</v>
      </c>
      <c r="C11941" s="3" t="str">
        <f>IFERROR(__xludf.DUMMYFUNCTION("GOOGLETRANSLATE(B11941,""id"",""en"")"),"['Help', 'Thank "",' Love ',' Telkomsel ',' Dihati ']")</f>
        <v>['Help', 'Thank ",' Love ',' Telkomsel ',' Dihati ']</v>
      </c>
      <c r="D11941" s="3">
        <v>5.0</v>
      </c>
    </row>
    <row r="11942" ht="15.75" customHeight="1">
      <c r="A11942" s="1">
        <v>12885.0</v>
      </c>
      <c r="B11942" s="3" t="s">
        <v>11344</v>
      </c>
      <c r="C11942" s="3" t="str">
        <f>IFERROR(__xludf.DUMMYFUNCTION("GOOGLETRANSLATE(B11942,""id"",""en"")"),"['Happy', 'really', 'Telkomsel']")</f>
        <v>['Happy', 'really', 'Telkomsel']</v>
      </c>
      <c r="D11942" s="3">
        <v>5.0</v>
      </c>
    </row>
    <row r="11943" ht="15.75" customHeight="1">
      <c r="A11943" s="1">
        <v>12886.0</v>
      </c>
      <c r="B11943" s="3" t="s">
        <v>11345</v>
      </c>
      <c r="C11943" s="3" t="str">
        <f>IFERROR(__xludf.DUMMYFUNCTION("GOOGLETRANSLATE(B11943,""id"",""en"")"),"['Paketan', 'right', 'bought', 'Turned', 'Donk']")</f>
        <v>['Paketan', 'right', 'bought', 'Turned', 'Donk']</v>
      </c>
      <c r="D11943" s="3">
        <v>2.0</v>
      </c>
    </row>
    <row r="11944" ht="15.75" customHeight="1">
      <c r="A11944" s="1">
        <v>12887.0</v>
      </c>
      <c r="B11944" s="3" t="s">
        <v>11346</v>
      </c>
      <c r="C11944" s="3" t="str">
        <f>IFERROR(__xludf.DUMMYFUNCTION("GOOGLETRANSLATE(B11944,""id"",""en"")"),"['Success', 'Anyway', 'Joss', ""]")</f>
        <v>['Success', 'Anyway', 'Joss', "]</v>
      </c>
      <c r="D11944" s="3">
        <v>5.0</v>
      </c>
    </row>
    <row r="11945" ht="15.75" customHeight="1">
      <c r="A11945" s="1">
        <v>12889.0</v>
      </c>
      <c r="B11945" s="3" t="s">
        <v>779</v>
      </c>
      <c r="C11945" s="3" t="str">
        <f>IFERROR(__xludf.DUMMYFUNCTION("GOOGLETRANSLATE(B11945,""id"",""en"")"),"['Good', 'easy']")</f>
        <v>['Good', 'easy']</v>
      </c>
      <c r="D11945" s="3">
        <v>5.0</v>
      </c>
    </row>
    <row r="11946" ht="15.75" customHeight="1">
      <c r="A11946" s="1">
        <v>12890.0</v>
      </c>
      <c r="B11946" s="3" t="s">
        <v>11347</v>
      </c>
      <c r="C11946" s="3" t="str">
        <f>IFERROR(__xludf.DUMMYFUNCTION("GOOGLETRANSLATE(B11946,""id"",""en"")"),"['apk', 'updet', 'pdhl', 'network', 'error', 'Telkomsel', '']")</f>
        <v>['apk', 'updet', 'pdhl', 'network', 'error', 'Telkomsel', '']</v>
      </c>
      <c r="D11946" s="3">
        <v>2.0</v>
      </c>
    </row>
    <row r="11947" ht="15.75" customHeight="1">
      <c r="A11947" s="1">
        <v>12891.0</v>
      </c>
      <c r="B11947" s="3" t="s">
        <v>11348</v>
      </c>
      <c r="C11947" s="3" t="str">
        <f>IFERROR(__xludf.DUMMYFUNCTION("GOOGLETRANSLATE(B11947,""id"",""en"")"),"['chaotic', 'class',' BUMN ',' equivalent ',' thief ',' chicken ',' internet ',' dead ',' all night ',' pulse ',' out ',' provider ',' Protection ',' Customer ',' Use ',' Telkomsel ',' CONTACT ',' Number ',' Movers', 'in the city', 'Service', 'Bad', 'Plea"&amp;"se', 'repaired', ""]")</f>
        <v>['chaotic', 'class',' BUMN ',' equivalent ',' thief ',' chicken ',' internet ',' dead ',' all night ',' pulse ',' out ',' provider ',' Protection ',' Customer ',' Use ',' Telkomsel ',' CONTACT ',' Number ',' Movers', 'in the city', 'Service', 'Bad', 'Please', 'repaired', "]</v>
      </c>
      <c r="D11947" s="3">
        <v>1.0</v>
      </c>
    </row>
    <row r="11948" ht="15.75" customHeight="1">
      <c r="A11948" s="1">
        <v>12892.0</v>
      </c>
      <c r="B11948" s="3" t="s">
        <v>11349</v>
      </c>
      <c r="C11948" s="3" t="str">
        <f>IFERROR(__xludf.DUMMYFUNCTION("GOOGLETRANSLATE(B11948,""id"",""en"")"),"['Package', 'expensive', 'really']")</f>
        <v>['Package', 'expensive', 'really']</v>
      </c>
      <c r="D11948" s="3">
        <v>5.0</v>
      </c>
    </row>
    <row r="11949" ht="15.75" customHeight="1">
      <c r="A11949" s="1">
        <v>12893.0</v>
      </c>
      <c r="B11949" s="3" t="s">
        <v>11350</v>
      </c>
      <c r="C11949" s="3" t="str">
        <f>IFERROR(__xludf.DUMMYFUNCTION("GOOGLETRANSLATE(B11949,""id"",""en"")"),"['Telkomnyet', 'Network', 'rotten', 'suggestion', 'Telkomsel', 'package', 'already', 'expensive', 'signal', 'bodies',' Telkomsel ',' no ',' Disorders', 'disorder', ""]")</f>
        <v>['Telkomnyet', 'Network', 'rotten', 'suggestion', 'Telkomsel', 'package', 'already', 'expensive', 'signal', 'bodies',' Telkomsel ',' no ',' Disorders', 'disorder', "]</v>
      </c>
      <c r="D11949" s="3">
        <v>1.0</v>
      </c>
    </row>
    <row r="11950" ht="15.75" customHeight="1">
      <c r="A11950" s="1">
        <v>12894.0</v>
      </c>
      <c r="B11950" s="3" t="s">
        <v>11351</v>
      </c>
      <c r="C11950" s="3" t="str">
        <f>IFERROR(__xludf.DUMMYFUNCTION("GOOGLETRANSLATE(B11950,""id"",""en"")"),"['like', 'like', 'like', 'made easier', '']")</f>
        <v>['like', 'like', 'like', 'made easier', '']</v>
      </c>
      <c r="D11950" s="3">
        <v>5.0</v>
      </c>
    </row>
    <row r="11951" ht="15.75" customHeight="1">
      <c r="A11951" s="1">
        <v>12895.0</v>
      </c>
      <c r="B11951" s="3" t="s">
        <v>11352</v>
      </c>
      <c r="C11951" s="3" t="str">
        <f>IFERROR(__xludf.DUMMYFUNCTION("GOOGLETRANSLATE(B11951,""id"",""en"")"),"['The application', 'Not bad', 'good', 'darling', 'price', 'package', 'expensive', 'compared to', 'provider', 'signal', 'sometimes', 'according to' The motto ',' signal ',' strong ',' ']")</f>
        <v>['The application', 'Not bad', 'good', 'darling', 'price', 'package', 'expensive', 'compared to', 'provider', 'signal', 'sometimes', 'according to' The motto ',' signal ',' strong ',' ']</v>
      </c>
      <c r="D11951" s="3">
        <v>5.0</v>
      </c>
    </row>
    <row r="11952" ht="15.75" customHeight="1">
      <c r="A11952" s="1">
        <v>12896.0</v>
      </c>
      <c r="B11952" s="3" t="s">
        <v>11353</v>
      </c>
      <c r="C11952" s="3" t="str">
        <f>IFERROR(__xludf.DUMMYFUNCTION("GOOGLETRANSLATE(B11952,""id"",""en"")"),"['package', 'expensive', 'thank', 'love']")</f>
        <v>['package', 'expensive', 'thank', 'love']</v>
      </c>
      <c r="D11952" s="3">
        <v>5.0</v>
      </c>
    </row>
    <row r="11953" ht="15.75" customHeight="1">
      <c r="A11953" s="1">
        <v>12897.0</v>
      </c>
      <c r="B11953" s="3" t="s">
        <v>11354</v>
      </c>
      <c r="C11953" s="3" t="str">
        <f>IFERROR(__xludf.DUMMYFUNCTION("GOOGLETRANSLATE(B11953,""id"",""en"")"),"['Application', 'Good', 'bangpttttttttt']")</f>
        <v>['Application', 'Good', 'bangpttttttttt']</v>
      </c>
      <c r="D11953" s="3">
        <v>5.0</v>
      </c>
    </row>
    <row r="11954" ht="15.75" customHeight="1">
      <c r="A11954" s="1">
        <v>12900.0</v>
      </c>
      <c r="B11954" s="3" t="s">
        <v>11355</v>
      </c>
      <c r="C11954" s="3" t="str">
        <f>IFERROR(__xludf.DUMMYFUNCTION("GOOGLETRANSLATE(B11954,""id"",""en"")"),"['Wonder', 'Application', 'KLW', 'Open', 'Speed', 'My Internet', 'MB', 'Application', 'MB', 'Touching', 'KB', 'Rare', ' ']")</f>
        <v>['Wonder', 'Application', 'KLW', 'Open', 'Speed', 'My Internet', 'MB', 'Application', 'MB', 'Touching', 'KB', 'Rare', ' ']</v>
      </c>
      <c r="D11954" s="3">
        <v>1.0</v>
      </c>
    </row>
    <row r="11955" ht="15.75" customHeight="1">
      <c r="A11955" s="1">
        <v>12901.0</v>
      </c>
      <c r="B11955" s="3" t="s">
        <v>11356</v>
      </c>
      <c r="C11955" s="3" t="str">
        <f>IFERROR(__xludf.DUMMYFUNCTION("GOOGLETRANSLATE(B11955,""id"",""en"")"),"['Network', 'already', 'annoying', 'activity', '']")</f>
        <v>['Network', 'already', 'annoying', 'activity', '']</v>
      </c>
      <c r="D11955" s="3">
        <v>1.0</v>
      </c>
    </row>
    <row r="11956" ht="15.75" customHeight="1">
      <c r="A11956" s="1">
        <v>12903.0</v>
      </c>
      <c r="B11956" s="3" t="s">
        <v>11357</v>
      </c>
      <c r="C11956" s="3" t="str">
        <f>IFERROR(__xludf.DUMMYFUNCTION("GOOGLETRANSLATE(B11956,""id"",""en"")"),"['Signal', 'Benerin', 'Woy']")</f>
        <v>['Signal', 'Benerin', 'Woy']</v>
      </c>
      <c r="D11956" s="3">
        <v>1.0</v>
      </c>
    </row>
    <row r="11957" ht="15.75" customHeight="1">
      <c r="A11957" s="1">
        <v>12904.0</v>
      </c>
      <c r="B11957" s="3" t="s">
        <v>11358</v>
      </c>
      <c r="C11957" s="3" t="str">
        <f>IFERROR(__xludf.DUMMYFUNCTION("GOOGLETRANSLATE(B11957,""id"",""en"")"),"['expensive', 'Doang', 'signal', 'ugly']")</f>
        <v>['expensive', 'Doang', 'signal', 'ugly']</v>
      </c>
      <c r="D11957" s="3">
        <v>1.0</v>
      </c>
    </row>
    <row r="11958" ht="15.75" customHeight="1">
      <c r="A11958" s="1">
        <v>12906.0</v>
      </c>
      <c r="B11958" s="3" t="s">
        <v>11359</v>
      </c>
      <c r="C11958" s="3" t="str">
        <f>IFERROR(__xludf.DUMMYFUNCTION("GOOGLETRANSLATE(B11958,""id"",""en"")"),"['Price', 'Sultan', 'Signal', 'Satan']")</f>
        <v>['Price', 'Sultan', 'Signal', 'Satan']</v>
      </c>
      <c r="D11958" s="3">
        <v>5.0</v>
      </c>
    </row>
    <row r="11959" ht="15.75" customHeight="1">
      <c r="A11959" s="1">
        <v>12907.0</v>
      </c>
      <c r="B11959" s="3" t="s">
        <v>11360</v>
      </c>
      <c r="C11959" s="3" t="str">
        <f>IFERROR(__xludf.DUMMYFUNCTION("GOOGLETRANSLATE(B11959,""id"",""en"")"),"['signal', 'slow', 'Sometimes',' missing ',' lost ',' signal ',' Kab ',' Pasaman ',' Rao ',' please ',' check ',' signal ',' ']")</f>
        <v>['signal', 'slow', 'Sometimes',' missing ',' lost ',' signal ',' Kab ',' Pasaman ',' Rao ',' please ',' check ',' signal ',' ']</v>
      </c>
      <c r="D11959" s="3">
        <v>2.0</v>
      </c>
    </row>
    <row r="11960" ht="15.75" customHeight="1">
      <c r="A11960" s="1">
        <v>12908.0</v>
      </c>
      <c r="B11960" s="3" t="s">
        <v>11361</v>
      </c>
      <c r="C11960" s="3" t="str">
        <f>IFERROR(__xludf.DUMMYFUNCTION("GOOGLETRANSLATE(B11960,""id"",""en"")"),"['internet', 'please', 'JGAN', 'share', 'that's', 'price', 'Jga', 'expensive', 'bgett', 'Lahh', ""]")</f>
        <v>['internet', 'please', 'JGAN', 'share', 'that's', 'price', 'Jga', 'expensive', 'bgett', 'Lahh', "]</v>
      </c>
      <c r="D11960" s="3">
        <v>2.0</v>
      </c>
    </row>
    <row r="11961" ht="15.75" customHeight="1">
      <c r="A11961" s="1">
        <v>12909.0</v>
      </c>
      <c r="B11961" s="3" t="s">
        <v>11362</v>
      </c>
      <c r="C11961" s="3" t="str">
        <f>IFERROR(__xludf.DUMMYFUNCTION("GOOGLETRANSLATE(B11961,""id"",""en"")"),"['Love', 'Promo', 'GB', '']")</f>
        <v>['Love', 'Promo', 'GB', '']</v>
      </c>
      <c r="D11961" s="3">
        <v>5.0</v>
      </c>
    </row>
    <row r="11962" ht="15.75" customHeight="1">
      <c r="A11962" s="1">
        <v>12910.0</v>
      </c>
      <c r="B11962" s="3" t="s">
        <v>11363</v>
      </c>
      <c r="C11962" s="3" t="str">
        <f>IFERROR(__xludf.DUMMYFUNCTION("GOOGLETRANSLATE(B11962,""id"",""en"")"),"['Increase', 'Application', 'Transaction', 'Easy']")</f>
        <v>['Increase', 'Application', 'Transaction', 'Easy']</v>
      </c>
      <c r="D11962" s="3">
        <v>5.0</v>
      </c>
    </row>
    <row r="11963" ht="15.75" customHeight="1">
      <c r="A11963" s="1">
        <v>12911.0</v>
      </c>
      <c r="B11963" s="3" t="s">
        <v>11364</v>
      </c>
      <c r="C11963" s="3" t="str">
        <f>IFERROR(__xludf.DUMMYFUNCTION("GOOGLETRANSLATE(B11963,""id"",""en"")"),"['APH', 'proud', 'network', 'ugly', 'can', 'expensive', 'doang', 'money', 'closed', 'move', 'oprator', '']")</f>
        <v>['APH', 'proud', 'network', 'ugly', 'can', 'expensive', 'doang', 'money', 'closed', 'move', 'oprator', '']</v>
      </c>
      <c r="D11963" s="3">
        <v>1.0</v>
      </c>
    </row>
    <row r="11964" ht="15.75" customHeight="1">
      <c r="A11964" s="1">
        <v>12912.0</v>
      </c>
      <c r="B11964" s="3" t="s">
        <v>11365</v>
      </c>
      <c r="C11964" s="3" t="str">
        <f>IFERROR(__xludf.DUMMYFUNCTION("GOOGLETRANSLATE(B11964,""id"",""en"")"),"['Application', 'Helpful', 'Thank you', ""]")</f>
        <v>['Application', 'Helpful', 'Thank you', "]</v>
      </c>
      <c r="D11964" s="3">
        <v>5.0</v>
      </c>
    </row>
    <row r="11965" ht="15.75" customHeight="1">
      <c r="A11965" s="1">
        <v>12913.0</v>
      </c>
      <c r="B11965" s="3" t="s">
        <v>11366</v>
      </c>
      <c r="C11965" s="3" t="str">
        <f>IFERROR(__xludf.DUMMYFUNCTION("GOOGLETRANSLATE(B11965,""id"",""en"")"),"['times',' complement ',' network ',' compleases', 'pleaseeeee', 'corruption', 'deh', 'telkomsel', 'how', 'sya', 'angry', 'buy', ' plsa ',' borrow ',' tape ',' leftover ',' plsa ',' then ',' intention ',' buy ',' package ',' call ',' unlimited ',' for ','"&amp;" leftover ' , 'plsa', 'purchase', 'pulse', 'lost', 'disappear', 'Telkomsel', 'just', 'telponan', 'package', 'intrnet', 'sypake', 'cardxl', ' Telkomsel ',' disappointing ',' ']")</f>
        <v>['times',' complement ',' network ',' compleases', 'pleaseeeee', 'corruption', 'deh', 'telkomsel', 'how', 'sya', 'angry', 'buy', ' plsa ',' borrow ',' tape ',' leftover ',' plsa ',' then ',' intention ',' buy ',' package ',' call ',' unlimited ',' for ',' leftover ' , 'plsa', 'purchase', 'pulse', 'lost', 'disappear', 'Telkomsel', 'just', 'telponan', 'package', 'intrnet', 'sypake', 'cardxl', ' Telkomsel ',' disappointing ',' ']</v>
      </c>
      <c r="D11965" s="3">
        <v>1.0</v>
      </c>
    </row>
    <row r="11966" ht="15.75" customHeight="1">
      <c r="A11966" s="1">
        <v>12914.0</v>
      </c>
      <c r="B11966" s="3" t="s">
        <v>11367</v>
      </c>
      <c r="C11966" s="3" t="str">
        <f>IFERROR(__xludf.DUMMYFUNCTION("GOOGLETRANSLATE(B11966,""id"",""en"")"),"['systemx', 'srg', 'sucked', 'pulse', 'product', 'expensive', 'paraaahhhh']")</f>
        <v>['systemx', 'srg', 'sucked', 'pulse', 'product', 'expensive', 'paraaahhhh']</v>
      </c>
      <c r="D11966" s="3">
        <v>1.0</v>
      </c>
    </row>
    <row r="11967" ht="15.75" customHeight="1">
      <c r="A11967" s="1">
        <v>12915.0</v>
      </c>
      <c r="B11967" s="3" t="s">
        <v>11368</v>
      </c>
      <c r="C11967" s="3" t="str">
        <f>IFERROR(__xludf.DUMMYFUNCTION("GOOGLETRANSLATE(B11967,""id"",""en"")"),"['Good', 'hope', 'promo', 'morning']")</f>
        <v>['Good', 'hope', 'promo', 'morning']</v>
      </c>
      <c r="D11967" s="3">
        <v>5.0</v>
      </c>
    </row>
    <row r="11968" ht="15.75" customHeight="1">
      <c r="A11968" s="1">
        <v>12916.0</v>
      </c>
      <c r="B11968" s="3" t="s">
        <v>11369</v>
      </c>
      <c r="C11968" s="3" t="str">
        <f>IFERROR(__xludf.DUMMYFUNCTION("GOOGLETRANSLATE(B11968,""id"",""en"")"),"['okey', 'cuk']")</f>
        <v>['okey', 'cuk']</v>
      </c>
      <c r="D11968" s="3">
        <v>5.0</v>
      </c>
    </row>
    <row r="11969" ht="15.75" customHeight="1">
      <c r="A11969" s="1">
        <v>12918.0</v>
      </c>
      <c r="B11969" s="3" t="s">
        <v>11370</v>
      </c>
      <c r="C11969" s="3" t="str">
        <f>IFERROR(__xludf.DUMMYFUNCTION("GOOGLETRANSLATE(B11969,""id"",""en"")"),"['Send', 'Package', 'Free']")</f>
        <v>['Send', 'Package', 'Free']</v>
      </c>
      <c r="D11969" s="3">
        <v>5.0</v>
      </c>
    </row>
    <row r="11970" ht="15.75" customHeight="1">
      <c r="A11970" s="1">
        <v>12919.0</v>
      </c>
      <c r="B11970" s="3" t="s">
        <v>11371</v>
      </c>
      <c r="C11970" s="3" t="str">
        <f>IFERROR(__xludf.DUMMYFUNCTION("GOOGLETRANSLATE(B11970,""id"",""en"")"),"['knapa', 'hello', 'prepaid', 'contents', 'reset', 'pulse', 'payment', 'tangking']")</f>
        <v>['knapa', 'hello', 'prepaid', 'contents', 'reset', 'pulse', 'payment', 'tangking']</v>
      </c>
      <c r="D11970" s="3">
        <v>4.0</v>
      </c>
    </row>
    <row r="11971" ht="15.75" customHeight="1">
      <c r="A11971" s="1">
        <v>12920.0</v>
      </c>
      <c r="B11971" s="3" t="s">
        <v>11372</v>
      </c>
      <c r="C11971" s="3" t="str">
        <f>IFERROR(__xludf.DUMMYFUNCTION("GOOGLETRANSLATE(B11971,""id"",""en"")"),"['Telkomsel', 'famous',' network ',' good ',' tmpt ',' padahl ',' remote ',' village ',' remote ',' Telkomsel ',' use ',' bad ',' signal ',' bar ',' disgust ',' here ',' Kere ',' times', 'Disband', ""]")</f>
        <v>['Telkomsel', 'famous',' network ',' good ',' tmpt ',' padahl ',' remote ',' village ',' remote ',' Telkomsel ',' use ',' bad ',' signal ',' bar ',' disgust ',' here ',' Kere ',' times', 'Disband', "]</v>
      </c>
      <c r="D11971" s="3">
        <v>1.0</v>
      </c>
    </row>
    <row r="11972" ht="15.75" customHeight="1">
      <c r="A11972" s="1">
        <v>12921.0</v>
      </c>
      <c r="B11972" s="3" t="s">
        <v>11373</v>
      </c>
      <c r="C11972" s="3" t="str">
        <f>IFERROR(__xludf.DUMMYFUNCTION("GOOGLETRANSLATE(B11972,""id"",""en"")"),"['application', 'simple', 'work', 'slow', 'algorithm', 'contrived', 'complicated', 'algorithm', 'simple', 'pentifan', 'Telkomsel', 'according to' Sharia ',' Islam ',' Variants', 'Confused', 'Rates',' Different ',' Customers', 'Different', '']")</f>
        <v>['application', 'simple', 'work', 'slow', 'algorithm', 'contrived', 'complicated', 'algorithm', 'simple', 'pentifan', 'Telkomsel', 'according to' Sharia ',' Islam ',' Variants', 'Confused', 'Rates',' Different ',' Customers', 'Different', '']</v>
      </c>
      <c r="D11972" s="3">
        <v>1.0</v>
      </c>
    </row>
    <row r="11973" ht="15.75" customHeight="1">
      <c r="A11973" s="1">
        <v>12922.0</v>
      </c>
      <c r="B11973" s="3" t="s">
        <v>11374</v>
      </c>
      <c r="C11973" s="3" t="str">
        <f>IFERROR(__xludf.DUMMYFUNCTION("GOOGLETRANSLATE(B11973,""id"",""en"")"),"['Help', 'sekli', 'buy', 'pulse', 'package', 'internet', 'bely', 'gift', 'interesting', 'achieved', 'according to', 'fortune', ' Tuk ',' Win ',' Hadia ',' Lottery ']")</f>
        <v>['Help', 'sekli', 'buy', 'pulse', 'package', 'internet', 'bely', 'gift', 'interesting', 'achieved', 'according to', 'fortune', ' Tuk ',' Win ',' Hadia ',' Lottery ']</v>
      </c>
      <c r="D11973" s="3">
        <v>5.0</v>
      </c>
    </row>
    <row r="11974" ht="15.75" customHeight="1">
      <c r="A11974" s="1">
        <v>12923.0</v>
      </c>
      <c r="B11974" s="3" t="s">
        <v>11375</v>
      </c>
      <c r="C11974" s="3" t="str">
        <f>IFERROR(__xludf.DUMMYFUNCTION("GOOGLETRANSLATE(B11974,""id"",""en"")"),"['Telkomsel', 'Knp', 'UDH', 'Many', 'comment', 'buy', 'package', 'Instagram', 'sucked', 'quota', 'main', 'Udh', ' Many ',' patient ',' please ',' Lined ',' buy ',' pulse ',' money ',' use ',' leaves', 'money', 'need', 'pulse', 'doang' , 'Please', 'Benerin"&amp;"']")</f>
        <v>['Telkomsel', 'Knp', 'UDH', 'Many', 'comment', 'buy', 'package', 'Instagram', 'sucked', 'quota', 'main', 'Udh', ' Many ',' patient ',' please ',' Lined ',' buy ',' pulse ',' money ',' use ',' leaves', 'money', 'need', 'pulse', 'doang' , 'Please', 'Benerin']</v>
      </c>
      <c r="D11974" s="3">
        <v>1.0</v>
      </c>
    </row>
    <row r="11975" ht="15.75" customHeight="1">
      <c r="A11975" s="1">
        <v>12924.0</v>
      </c>
      <c r="B11975" s="3" t="s">
        <v>11376</v>
      </c>
      <c r="C11975" s="3" t="str">
        <f>IFERROR(__xludf.DUMMYFUNCTION("GOOGLETRANSLATE(B11975,""id"",""en"")"),"['Telkomsel', 'bad', 'the network', 'please', 'rural', 'strengthen', 'signal', '']")</f>
        <v>['Telkomsel', 'bad', 'the network', 'please', 'rural', 'strengthen', 'signal', '']</v>
      </c>
      <c r="D11975" s="3">
        <v>5.0</v>
      </c>
    </row>
    <row r="11976" ht="15.75" customHeight="1">
      <c r="A11976" s="1">
        <v>12925.0</v>
      </c>
      <c r="B11976" s="3" t="s">
        <v>11377</v>
      </c>
      <c r="C11976" s="3" t="str">
        <f>IFERROR(__xludf.DUMMYFUNCTION("GOOGLETRANSLATE(B11976,""id"",""en"")"),"['Network', 'ngwntod', 'fix', 'network', 'taii', 'nnton', 'smooth', 'play', 'game', 'lag', 'ajng', 'jingan', ' ajng ',' right ',' rain ',' play ',' lag ',' bngt ',' ngnt ', ""]")</f>
        <v>['Network', 'ngwntod', 'fix', 'network', 'taii', 'nnton', 'smooth', 'play', 'game', 'lag', 'ajng', 'jingan', ' ajng ',' right ',' rain ',' play ',' lag ',' bngt ',' ngnt ', "]</v>
      </c>
      <c r="D11976" s="3">
        <v>1.0</v>
      </c>
    </row>
    <row r="11977" ht="15.75" customHeight="1">
      <c r="A11977" s="1">
        <v>12926.0</v>
      </c>
      <c r="B11977" s="3" t="s">
        <v>11378</v>
      </c>
      <c r="C11977" s="3" t="str">
        <f>IFERROR(__xludf.DUMMYFUNCTION("GOOGLETRANSLATE(B11977,""id"",""en"")"),"['Good', 'easy', 'purchase', 'quota', 'via', 'application', 'sometimes',' entry ',' unfortunately ',' application ',' support ',' android ',' Inhibiting ',' Upgrade ',' Android ',' Hopefully ',' Telkomsel ',' Fast ',' Update ',' Application ',' MyTelkomse"&amp;"l ',' ']")</f>
        <v>['Good', 'easy', 'purchase', 'quota', 'via', 'application', 'sometimes',' entry ',' unfortunately ',' application ',' support ',' android ',' Inhibiting ',' Upgrade ',' Android ',' Hopefully ',' Telkomsel ',' Fast ',' Update ',' Application ',' MyTelkomsel ',' ']</v>
      </c>
      <c r="D11977" s="3">
        <v>4.0</v>
      </c>
    </row>
    <row r="11978" ht="15.75" customHeight="1">
      <c r="A11978" s="1">
        <v>12927.0</v>
      </c>
      <c r="B11978" s="3" t="s">
        <v>11379</v>
      </c>
      <c r="C11978" s="3" t="str">
        <f>IFERROR(__xludf.DUMMYFUNCTION("GOOGLETRANSLATE(B11978,""id"",""en"")"),"['Update', 'Open']")</f>
        <v>['Update', 'Open']</v>
      </c>
      <c r="D11978" s="3">
        <v>2.0</v>
      </c>
    </row>
    <row r="11979" ht="15.75" customHeight="1">
      <c r="A11979" s="1">
        <v>12928.0</v>
      </c>
      <c r="B11979" s="3" t="s">
        <v>11380</v>
      </c>
      <c r="C11979" s="3" t="str">
        <f>IFERROR(__xludf.DUMMYFUNCTION("GOOGLETRANSLATE(B11979,""id"",""en"")"),"['Telkomsel', 'what', 'concept', 'package', 'data', 'woooyyyyyyy', 'ride', 'price', 'signal', 'full', 'bodayamat', 'signal', ' Kyak ',' ingus', 'pdhal', 'location', 'jakarta', 'center', 'price', 'quality', 'please', 'glazed', 'Telkomsel', 'gave', 'star' ,"&amp;" 'loss', 'star', 'ksh', 'star', 'signal', 'slow', 'price', 'exorbitant', ""]")</f>
        <v>['Telkomsel', 'what', 'concept', 'package', 'data', 'woooyyyyyyy', 'ride', 'price', 'signal', 'full', 'bodayamat', 'signal', ' Kyak ',' ingus', 'pdhal', 'location', 'jakarta', 'center', 'price', 'quality', 'please', 'glazed', 'Telkomsel', 'gave', 'star' , 'loss', 'star', 'ksh', 'star', 'signal', 'slow', 'price', 'exorbitant', "]</v>
      </c>
      <c r="D11979" s="3">
        <v>1.0</v>
      </c>
    </row>
    <row r="11980" ht="15.75" customHeight="1">
      <c r="A11980" s="1">
        <v>12929.0</v>
      </c>
      <c r="B11980" s="3" t="s">
        <v>11381</v>
      </c>
      <c r="C11980" s="3" t="str">
        <f>IFERROR(__xludf.DUMMYFUNCTION("GOOGLETRANSLATE(B11980,""id"",""en"")"),"['Group', 'idiot', 'tar', 'sinya']")</f>
        <v>['Group', 'idiot', 'tar', 'sinya']</v>
      </c>
      <c r="D11980" s="3">
        <v>1.0</v>
      </c>
    </row>
    <row r="11981" ht="15.75" customHeight="1">
      <c r="A11981" s="1">
        <v>12930.0</v>
      </c>
      <c r="B11981" s="3" t="s">
        <v>11382</v>
      </c>
      <c r="C11981" s="3" t="str">
        <f>IFERROR(__xludf.DUMMYFUNCTION("GOOGLETRANSLATE(B11981,""id"",""en"")"),"['love', 'plus', 'package', 'good', 'no', 'package', 'good', 'plus', '']")</f>
        <v>['love', 'plus', 'package', 'good', 'no', 'package', 'good', 'plus', '']</v>
      </c>
      <c r="D11981" s="3">
        <v>5.0</v>
      </c>
    </row>
    <row r="11982" ht="15.75" customHeight="1">
      <c r="A11982" s="1">
        <v>12931.0</v>
      </c>
      <c r="B11982" s="3" t="s">
        <v>11383</v>
      </c>
      <c r="C11982" s="3" t="str">
        <f>IFERROR(__xludf.DUMMYFUNCTION("GOOGLETRANSLATE(B11982,""id"",""en"")"),"['signal', 'ugly', 'sometimes',' tasty ',' sometimes', 'error', 'TLP', 'customer', 'service', 'ask', 'maintenance', 'muter', ' Please, 'repaired', 'Boss', 'Customer', 'Service', 'Please', 'LBH', 'Understand', 'Want', 'Customer', 'a little', 'sound', 'alre"&amp;"ady' , 'Kayak', 'goat', 'strangled', 'his neck', 'girl', 'girl', ""]")</f>
        <v>['signal', 'ugly', 'sometimes',' tasty ',' sometimes', 'error', 'TLP', 'customer', 'service', 'ask', 'maintenance', 'muter', ' Please, 'repaired', 'Boss', 'Customer', 'Service', 'Please', 'LBH', 'Understand', 'Want', 'Customer', 'a little', 'sound', 'already' , 'Kayak', 'goat', 'strangled', 'his neck', 'girl', 'girl', "]</v>
      </c>
      <c r="D11982" s="3">
        <v>1.0</v>
      </c>
    </row>
    <row r="11983" ht="15.75" customHeight="1">
      <c r="A11983" s="1">
        <v>12932.0</v>
      </c>
      <c r="B11983" s="3" t="s">
        <v>11384</v>
      </c>
      <c r="C11983" s="3" t="str">
        <f>IFERROR(__xludf.DUMMYFUNCTION("GOOGLETRANSLATE(B11983,""id"",""en"")"),"['Please', 'yaa', 'quota', 'GB', 'thousand', 'hold', 'thank you', ""]")</f>
        <v>['Please', 'yaa', 'quota', 'GB', 'thousand', 'hold', 'thank you', "]</v>
      </c>
      <c r="D11983" s="3">
        <v>5.0</v>
      </c>
    </row>
    <row r="11984" ht="15.75" customHeight="1">
      <c r="A11984" s="1">
        <v>12933.0</v>
      </c>
      <c r="B11984" s="3" t="s">
        <v>11385</v>
      </c>
      <c r="C11984" s="3" t="str">
        <f>IFERROR(__xludf.DUMMYFUNCTION("GOOGLETRANSLATE(B11984,""id"",""en"")"),"['thank you']")</f>
        <v>['thank you']</v>
      </c>
      <c r="D11984" s="3">
        <v>3.0</v>
      </c>
    </row>
    <row r="11985" ht="15.75" customHeight="1">
      <c r="A11985" s="1">
        <v>12934.0</v>
      </c>
      <c r="B11985" s="3" t="s">
        <v>11386</v>
      </c>
      <c r="C11985" s="3" t="str">
        <f>IFERROR(__xludf.DUMMYFUNCTION("GOOGLETRANSLATE(B11985,""id"",""en"")"),"['expensive', 'expensive']")</f>
        <v>['expensive', 'expensive']</v>
      </c>
      <c r="D11985" s="3">
        <v>5.0</v>
      </c>
    </row>
    <row r="11986" ht="15.75" customHeight="1">
      <c r="A11986" s="1">
        <v>12935.0</v>
      </c>
      <c r="B11986" s="3" t="s">
        <v>11387</v>
      </c>
      <c r="C11986" s="3" t="str">
        <f>IFERROR(__xludf.DUMMYFUNCTION("GOOGLETRANSLATE(B11986,""id"",""en"")"),"['Star', 'trial', 'good', 'star']")</f>
        <v>['Star', 'trial', 'good', 'star']</v>
      </c>
      <c r="D11986" s="3">
        <v>3.0</v>
      </c>
    </row>
    <row r="11987" ht="15.75" customHeight="1">
      <c r="A11987" s="1">
        <v>12936.0</v>
      </c>
      <c r="B11987" s="3" t="s">
        <v>1466</v>
      </c>
      <c r="C11987" s="3" t="str">
        <f>IFERROR(__xludf.DUMMYFUNCTION("GOOGLETRANSLATE(B11987,""id"",""en"")"),"['easy', 'fast']")</f>
        <v>['easy', 'fast']</v>
      </c>
      <c r="D11987" s="3">
        <v>5.0</v>
      </c>
    </row>
    <row r="11988" ht="15.75" customHeight="1">
      <c r="A11988" s="1">
        <v>12937.0</v>
      </c>
      <c r="B11988" s="3" t="s">
        <v>11388</v>
      </c>
      <c r="C11988" s="3" t="str">
        <f>IFERROR(__xludf.DUMMYFUNCTION("GOOGLETRANSLATE(B11988,""id"",""en"")"),"['Application', 'Help', 'Top', '']")</f>
        <v>['Application', 'Help', 'Top', '']</v>
      </c>
      <c r="D11988" s="3">
        <v>5.0</v>
      </c>
    </row>
    <row r="11989" ht="15.75" customHeight="1">
      <c r="A11989" s="1">
        <v>12938.0</v>
      </c>
      <c r="B11989" s="3" t="s">
        <v>11389</v>
      </c>
      <c r="C11989" s="3" t="str">
        <f>IFERROR(__xludf.DUMMYFUNCTION("GOOGLETRANSLATE(B11989,""id"",""en"")"),"['Hopefully', 'Untk', 'Trima', 'Love']")</f>
        <v>['Hopefully', 'Untk', 'Trima', 'Love']</v>
      </c>
      <c r="D11989" s="3">
        <v>5.0</v>
      </c>
    </row>
    <row r="11990" ht="15.75" customHeight="1">
      <c r="A11990" s="1">
        <v>12939.0</v>
      </c>
      <c r="B11990" s="3" t="s">
        <v>11390</v>
      </c>
      <c r="C11990" s="3" t="str">
        <f>IFERROR(__xludf.DUMMYFUNCTION("GOOGLETRANSLATE(B11990,""id"",""en"")"),"['Alhamdulillah', 'card', 'package', 'Telkomsel', 'cave', 'already', 'cheap', 'thanks',' Telkomsel ',' hope ',' Jaya ',' ']")</f>
        <v>['Alhamdulillah', 'card', 'package', 'Telkomsel', 'cave', 'already', 'cheap', 'thanks',' Telkomsel ',' hope ',' Jaya ',' ']</v>
      </c>
      <c r="D11990" s="3">
        <v>5.0</v>
      </c>
    </row>
    <row r="11991" ht="15.75" customHeight="1">
      <c r="A11991" s="1">
        <v>12940.0</v>
      </c>
      <c r="B11991" s="3" t="s">
        <v>11391</v>
      </c>
      <c r="C11991" s="3" t="str">
        <f>IFERROR(__xludf.DUMMYFUNCTION("GOOGLETRANSLATE(B11991,""id"",""en"")"),"['', 'Telkomsel', 'help me', 'promo', 'package', 'cheap', '']")</f>
        <v>['', 'Telkomsel', 'help me', 'promo', 'package', 'cheap', '']</v>
      </c>
      <c r="D11991" s="3">
        <v>4.0</v>
      </c>
    </row>
    <row r="11992" ht="15.75" customHeight="1">
      <c r="A11992" s="1">
        <v>12941.0</v>
      </c>
      <c r="B11992" s="3" t="s">
        <v>11392</v>
      </c>
      <c r="C11992" s="3" t="str">
        <f>IFERROR(__xludf.DUMMYFUNCTION("GOOGLETRANSLATE(B11992,""id"",""en"")"),"['Choice', 'Package', 'Monthly']")</f>
        <v>['Choice', 'Package', 'Monthly']</v>
      </c>
      <c r="D11992" s="3">
        <v>2.0</v>
      </c>
    </row>
    <row r="11993" ht="15.75" customHeight="1">
      <c r="A11993" s="1">
        <v>12942.0</v>
      </c>
      <c r="B11993" s="3" t="s">
        <v>11393</v>
      </c>
      <c r="C11993" s="3" t="str">
        <f>IFERROR(__xludf.DUMMYFUNCTION("GOOGLETRANSLATE(B11993,""id"",""en"")"),"['WOI', 'Ngejin', 'cave', 'gmna', 'pig', 'knpa', 'cave', 'buy', 'quota', 'turn', 'buy', 'pulse', ' The quota ',' ilang ',' Jngn ',' Ngejin ',' Customer ',' Loo ',' pig ',' MLS ',' cave ',' rich ',' gini ',' nii ',' burn ' , 'Factory', 'Telkomsel', 'ajeng'"&amp;"]")</f>
        <v>['WOI', 'Ngejin', 'cave', 'gmna', 'pig', 'knpa', 'cave', 'buy', 'quota', 'turn', 'buy', 'pulse', ' The quota ',' ilang ',' Jngn ',' Ngejin ',' Customer ',' Loo ',' pig ',' MLS ',' cave ',' rich ',' gini ',' nii ',' burn ' , 'Factory', 'Telkomsel', 'ajeng']</v>
      </c>
      <c r="D11993" s="3">
        <v>1.0</v>
      </c>
    </row>
    <row r="11994" ht="15.75" customHeight="1">
      <c r="A11994" s="1">
        <v>12943.0</v>
      </c>
      <c r="B11994" s="3" t="s">
        <v>9769</v>
      </c>
      <c r="C11994" s="3" t="str">
        <f>IFERROR(__xludf.DUMMYFUNCTION("GOOGLETRANSLATE(B11994,""id"",""en"")"),"['It's easy', '']")</f>
        <v>['It's easy', '']</v>
      </c>
      <c r="D11994" s="3">
        <v>4.0</v>
      </c>
    </row>
    <row r="11995" ht="15.75" customHeight="1">
      <c r="A11995" s="1">
        <v>12944.0</v>
      </c>
      <c r="B11995" s="3" t="s">
        <v>11394</v>
      </c>
      <c r="C11995" s="3" t="str">
        <f>IFERROR(__xludf.DUMMYFUNCTION("GOOGLETRANSLATE(B11995,""id"",""en"")"),"['Steady', 'disorder', 'wkwkek']")</f>
        <v>['Steady', 'disorder', 'wkwkek']</v>
      </c>
      <c r="D11995" s="3">
        <v>5.0</v>
      </c>
    </row>
    <row r="11996" ht="15.75" customHeight="1">
      <c r="A11996" s="1">
        <v>12945.0</v>
      </c>
      <c r="B11996" s="3" t="s">
        <v>11395</v>
      </c>
      <c r="C11996" s="3" t="str">
        <f>IFERROR(__xludf.DUMMYFUNCTION("GOOGLETRANSLATE(B11996,""id"",""en"")"),"['', 'love', 'star', 'Telkomsel', '']")</f>
        <v>['', 'love', 'star', 'Telkomsel', '']</v>
      </c>
      <c r="D11996" s="3">
        <v>4.0</v>
      </c>
    </row>
    <row r="11997" ht="15.75" customHeight="1">
      <c r="A11997" s="1">
        <v>12947.0</v>
      </c>
      <c r="B11997" s="3" t="s">
        <v>11396</v>
      </c>
      <c r="C11997" s="3" t="str">
        <f>IFERROR(__xludf.DUMMYFUNCTION("GOOGLETRANSLATE(B11997,""id"",""en"")"),"['Sometimes', 'like', 'slow', 'please', 'repaired', 'open', 'the application']")</f>
        <v>['Sometimes', 'like', 'slow', 'please', 'repaired', 'open', 'the application']</v>
      </c>
      <c r="D11997" s="3">
        <v>2.0</v>
      </c>
    </row>
    <row r="11998" ht="15.75" customHeight="1">
      <c r="A11998" s="1">
        <v>12948.0</v>
      </c>
      <c r="B11998" s="3" t="s">
        <v>11397</v>
      </c>
      <c r="C11998" s="3" t="str">
        <f>IFERROR(__xludf.DUMMYFUNCTION("GOOGLETRANSLATE(B11998,""id"",""en"")"),"['use', 'love', 'star', '']")</f>
        <v>['use', 'love', 'star', '']</v>
      </c>
      <c r="D11998" s="3">
        <v>4.0</v>
      </c>
    </row>
    <row r="11999" ht="15.75" customHeight="1">
      <c r="A11999" s="1">
        <v>12951.0</v>
      </c>
      <c r="B11999" s="3" t="s">
        <v>11398</v>
      </c>
      <c r="C11999" s="3" t="str">
        <f>IFERROR(__xludf.DUMMYFUNCTION("GOOGLETRANSLATE(B11999,""id"",""en"")"),"['uncertain', 'active', 'active', 'card', 'description', 'application', 'application', 'written', 'scorched', 'please', 'fixed', 'number']")</f>
        <v>['uncertain', 'active', 'active', 'card', 'description', 'application', 'application', 'written', 'scorched', 'please', 'fixed', 'number']</v>
      </c>
      <c r="D11999" s="3">
        <v>1.0</v>
      </c>
    </row>
    <row r="12000" ht="15.75" customHeight="1">
      <c r="A12000" s="1">
        <v>12952.0</v>
      </c>
      <c r="B12000" s="3" t="s">
        <v>11399</v>
      </c>
      <c r="C12000" s="3" t="str">
        <f>IFERROR(__xludf.DUMMYFUNCTION("GOOGLETRANSLATE(B12000,""id"",""en"")"),"['Good', 'steady', 'deh', 'pokonyah']")</f>
        <v>['Good', 'steady', 'deh', 'pokonyah']</v>
      </c>
      <c r="D12000" s="3">
        <v>5.0</v>
      </c>
    </row>
    <row r="12001" ht="15.75" customHeight="1">
      <c r="A12001" s="1">
        <v>12953.0</v>
      </c>
      <c r="B12001" s="3" t="s">
        <v>11400</v>
      </c>
      <c r="C12001" s="3" t="str">
        <f>IFERROR(__xludf.DUMMYFUNCTION("GOOGLETRANSLATE(B12001,""id"",""en"")"),"['application', 'recommend', 'difficult', 'opened', 'loading', 'verytttt', '']")</f>
        <v>['application', 'recommend', 'difficult', 'opened', 'loading', 'verytttt', '']</v>
      </c>
      <c r="D12001" s="3">
        <v>1.0</v>
      </c>
    </row>
    <row r="12002" ht="15.75" customHeight="1">
      <c r="A12002" s="1">
        <v>12954.0</v>
      </c>
      <c r="B12002" s="3" t="s">
        <v>800</v>
      </c>
      <c r="C12002" s="3" t="str">
        <f>IFERROR(__xludf.DUMMYFUNCTION("GOOGLETRANSLATE(B12002,""id"",""en"")"),"['Promo']")</f>
        <v>['Promo']</v>
      </c>
      <c r="D12002" s="3">
        <v>5.0</v>
      </c>
    </row>
    <row r="12003" ht="15.75" customHeight="1">
      <c r="A12003" s="1">
        <v>12955.0</v>
      </c>
      <c r="B12003" s="3" t="s">
        <v>11401</v>
      </c>
      <c r="C12003" s="3" t="str">
        <f>IFERROR(__xludf.DUMMYFUNCTION("GOOGLETRANSLATE(B12003,""id"",""en"")"),"['subscribe', 'Telkomsel', 'Live', 'Jakarta', 'activities',' outside ',' sit ',' home ',' rare ',' home ',' home ',' wifi ',' Buy ',' Package ',' Internet ']")</f>
        <v>['subscribe', 'Telkomsel', 'Live', 'Jakarta', 'activities',' outside ',' sit ',' home ',' rare ',' home ',' home ',' wifi ',' Buy ',' Package ',' Internet ']</v>
      </c>
      <c r="D12003" s="3">
        <v>5.0</v>
      </c>
    </row>
    <row r="12004" ht="15.75" customHeight="1">
      <c r="A12004" s="1">
        <v>12956.0</v>
      </c>
      <c r="B12004" s="3" t="s">
        <v>11402</v>
      </c>
      <c r="C12004" s="3" t="str">
        <f>IFERROR(__xludf.DUMMYFUNCTION("GOOGLETRANSLATE(B12004,""id"",""en"")"),"['Network', 'weak', 'me', 'meet', 'disappointed', 'I', 'Ama', 'operator', 'quota', 'sultan', 'network', 'garbage']")</f>
        <v>['Network', 'weak', 'me', 'meet', 'disappointed', 'I', 'Ama', 'operator', 'quota', 'sultan', 'network', 'garbage']</v>
      </c>
      <c r="D12004" s="3">
        <v>1.0</v>
      </c>
    </row>
    <row r="12005" ht="15.75" customHeight="1">
      <c r="A12005" s="1">
        <v>12957.0</v>
      </c>
      <c r="B12005" s="3" t="s">
        <v>11403</v>
      </c>
      <c r="C12005" s="3" t="str">
        <f>IFERROR(__xludf.DUMMYFUNCTION("GOOGLETRANSLATE(B12005,""id"",""en"")"),"['', 'Price', 'Paketan', 'Combo', 'Sakti', 'Expensive', 'really', 'Timper', 'Sampe', 'GB', 'Unlimited', 'Unlimited', 'GB ',' buy ',' that way ',' loss ',' because 'scorched', 'tender', 'bln', 'GB', 'until', '']")</f>
        <v>['', 'Price', 'Paketan', 'Combo', 'Sakti', 'Expensive', 'really', 'Timper', 'Sampe', 'GB', 'Unlimited', 'Unlimited', 'GB ',' buy ',' that way ',' loss ',' because 'scorched', 'tender', 'bln', 'GB', 'until', '']</v>
      </c>
      <c r="D12005" s="3">
        <v>2.0</v>
      </c>
    </row>
    <row r="12006" ht="15.75" customHeight="1">
      <c r="A12006" s="1">
        <v>12958.0</v>
      </c>
      <c r="B12006" s="3" t="s">
        <v>4318</v>
      </c>
      <c r="C12006" s="3" t="str">
        <f>IFERROR(__xludf.DUMMYFUNCTION("GOOGLETRANSLATE(B12006,""id"",""en"")"),"['Help', 'easy']")</f>
        <v>['Help', 'easy']</v>
      </c>
      <c r="D12006" s="3">
        <v>4.0</v>
      </c>
    </row>
    <row r="12007" ht="15.75" customHeight="1">
      <c r="A12007" s="1">
        <v>12959.0</v>
      </c>
      <c r="B12007" s="3" t="s">
        <v>11404</v>
      </c>
      <c r="C12007" s="3" t="str">
        <f>IFERROR(__xludf.DUMMYFUNCTION("GOOGLETRANSLATE(B12007,""id"",""en"")"),"['Good', 'signal', 'smooth', 'just', 'expensive', 'package', 'internet', 'most expensive', 'operator', ""]")</f>
        <v>['Good', 'signal', 'smooth', 'just', 'expensive', 'package', 'internet', 'most expensive', 'operator', "]</v>
      </c>
      <c r="D12007" s="3">
        <v>5.0</v>
      </c>
    </row>
    <row r="12008" ht="15.75" customHeight="1">
      <c r="A12008" s="1">
        <v>12960.0</v>
      </c>
      <c r="B12008" s="3" t="s">
        <v>11405</v>
      </c>
      <c r="C12008" s="3" t="str">
        <f>IFERROR(__xludf.DUMMYFUNCTION("GOOGLETRANSLATE(B12008,""id"",""en"")"),"['help', 'process']")</f>
        <v>['help', 'process']</v>
      </c>
      <c r="D12008" s="3">
        <v>5.0</v>
      </c>
    </row>
    <row r="12009" ht="15.75" customHeight="1">
      <c r="A12009" s="1">
        <v>12961.0</v>
      </c>
      <c r="B12009" s="3" t="s">
        <v>11406</v>
      </c>
      <c r="C12009" s="3" t="str">
        <f>IFERROR(__xludf.DUMMYFUNCTION("GOOGLETRANSLATE(B12009,""id"",""en"")"),"['Network', 'bad', 'amid "",' City ',' ']")</f>
        <v>['Network', 'bad', 'amid ",' City ',' ']</v>
      </c>
      <c r="D12009" s="3">
        <v>1.0</v>
      </c>
    </row>
    <row r="12010" ht="15.75" customHeight="1">
      <c r="A12010" s="1">
        <v>12962.0</v>
      </c>
      <c r="B12010" s="3" t="s">
        <v>11407</v>
      </c>
      <c r="C12010" s="3" t="str">
        <f>IFERROR(__xludf.DUMMYFUNCTION("GOOGLETRANSLATE(B12010,""id"",""en"")"),"['Understand', 'Application', 'Telkomsel', 'Please', 'Banti', 'Trimakasih', ""]")</f>
        <v>['Understand', 'Application', 'Telkomsel', 'Please', 'Banti', 'Trimakasih', "]</v>
      </c>
      <c r="D12010" s="3">
        <v>5.0</v>
      </c>
    </row>
    <row r="12011" ht="15.75" customHeight="1">
      <c r="A12011" s="1">
        <v>12963.0</v>
      </c>
      <c r="B12011" s="3" t="s">
        <v>11408</v>
      </c>
      <c r="C12011" s="3" t="str">
        <f>IFERROR(__xludf.DUMMYFUNCTION("GOOGLETRANSLATE(B12011,""id"",""en"")"),"['BLI', 'Package']")</f>
        <v>['BLI', 'Package']</v>
      </c>
      <c r="D12011" s="3">
        <v>5.0</v>
      </c>
    </row>
    <row r="12012" ht="15.75" customHeight="1">
      <c r="A12012" s="1">
        <v>12964.0</v>
      </c>
      <c r="B12012" s="3" t="s">
        <v>11409</v>
      </c>
      <c r="C12012" s="3" t="str">
        <f>IFERROR(__xludf.DUMMYFUNCTION("GOOGLETRANSLATE(B12012,""id"",""en"")"),"['Telokomsel', 'expensive', 'quality', 'network', 'good', 'the opposite']")</f>
        <v>['Telokomsel', 'expensive', 'quality', 'network', 'good', 'the opposite']</v>
      </c>
      <c r="D12012" s="3">
        <v>1.0</v>
      </c>
    </row>
    <row r="12013" ht="15.75" customHeight="1">
      <c r="A12013" s="1">
        <v>12965.0</v>
      </c>
      <c r="B12013" s="3" t="s">
        <v>11410</v>
      </c>
      <c r="C12013" s="3" t="str">
        <f>IFERROR(__xludf.DUMMYFUNCTION("GOOGLETRANSLATE(B12013,""id"",""en"")"),"['buy', 'package', 'PKE', 'pls', 'disorder', 'until', 'pls', 'run out', 'sumps']")</f>
        <v>['buy', 'package', 'PKE', 'pls', 'disorder', 'until', 'pls', 'run out', 'sumps']</v>
      </c>
      <c r="D12013" s="3">
        <v>1.0</v>
      </c>
    </row>
    <row r="12014" ht="15.75" customHeight="1">
      <c r="A12014" s="1">
        <v>12966.0</v>
      </c>
      <c r="B12014" s="3" t="s">
        <v>11411</v>
      </c>
      <c r="C12014" s="3" t="str">
        <f>IFERROR(__xludf.DUMMYFUNCTION("GOOGLETRANSLATE(B12014,""id"",""en"")"),"['Star', 'represents']")</f>
        <v>['Star', 'represents']</v>
      </c>
      <c r="D12014" s="3">
        <v>5.0</v>
      </c>
    </row>
    <row r="12015" ht="15.75" customHeight="1">
      <c r="A12015" s="1">
        <v>12968.0</v>
      </c>
      <c r="B12015" s="3" t="s">
        <v>11412</v>
      </c>
      <c r="C12015" s="3" t="str">
        <f>IFERROR(__xludf.DUMMYFUNCTION("GOOGLETRANSLATE(B12015,""id"",""en"")"),"['detrimental', 'Customer', 'TLP', 'SDAH', 'Packed', 'Restore', 'Exhaustible', 'Quota', 'Harm']")</f>
        <v>['detrimental', 'Customer', 'TLP', 'SDAH', 'Packed', 'Restore', 'Exhaustible', 'Quota', 'Harm']</v>
      </c>
      <c r="D12015" s="3">
        <v>5.0</v>
      </c>
    </row>
    <row r="12016" ht="15.75" customHeight="1">
      <c r="A12016" s="1">
        <v>12969.0</v>
      </c>
      <c r="B12016" s="3" t="s">
        <v>11413</v>
      </c>
      <c r="C12016" s="3" t="str">
        <f>IFERROR(__xludf.DUMMYFUNCTION("GOOGLETRANSLATE(B12016,""id"",""en"")"),"['Login', 'told', 'Rate', 'Oklah', 'Rate']")</f>
        <v>['Login', 'told', 'Rate', 'Oklah', 'Rate']</v>
      </c>
      <c r="D12016" s="3">
        <v>1.0</v>
      </c>
    </row>
    <row r="12017" ht="15.75" customHeight="1">
      <c r="A12017" s="1">
        <v>12970.0</v>
      </c>
      <c r="B12017" s="3" t="s">
        <v>11414</v>
      </c>
      <c r="C12017" s="3" t="str">
        <f>IFERROR(__xludf.DUMMYFUNCTION("GOOGLETRANSLATE(B12017,""id"",""en"")"),"['Steady', 'enthusiasm']")</f>
        <v>['Steady', 'enthusiasm']</v>
      </c>
      <c r="D12017" s="3">
        <v>5.0</v>
      </c>
    </row>
    <row r="12018" ht="15.75" customHeight="1">
      <c r="A12018" s="1">
        <v>12971.0</v>
      </c>
      <c r="B12018" s="3" t="s">
        <v>688</v>
      </c>
      <c r="C12018" s="3" t="str">
        <f>IFERROR(__xludf.DUMMYFUNCTION("GOOGLETRANSLATE(B12018,""id"",""en"")"),"['efficient', 'help']")</f>
        <v>['efficient', 'help']</v>
      </c>
      <c r="D12018" s="3">
        <v>5.0</v>
      </c>
    </row>
    <row r="12019" ht="15.75" customHeight="1">
      <c r="A12019" s="1">
        <v>12972.0</v>
      </c>
      <c r="B12019" s="3" t="s">
        <v>11415</v>
      </c>
      <c r="C12019" s="3" t="str">
        <f>IFERROR(__xludf.DUMMYFUNCTION("GOOGLETRANSLATE(B12019,""id"",""en"")"),"['Level', 'Telkomsel']")</f>
        <v>['Level', 'Telkomsel']</v>
      </c>
      <c r="D12019" s="3">
        <v>4.0</v>
      </c>
    </row>
    <row r="12020" ht="15.75" customHeight="1">
      <c r="A12020" s="1">
        <v>12973.0</v>
      </c>
      <c r="B12020" s="3" t="s">
        <v>11416</v>
      </c>
      <c r="C12020" s="3" t="str">
        <f>IFERROR(__xludf.DUMMYFUNCTION("GOOGLETRANSLATE(B12020,""id"",""en"")"),"['Good', 'really', 'star']")</f>
        <v>['Good', 'really', 'star']</v>
      </c>
      <c r="D12020" s="3">
        <v>4.0</v>
      </c>
    </row>
    <row r="12021" ht="15.75" customHeight="1">
      <c r="A12021" s="1">
        <v>12974.0</v>
      </c>
      <c r="B12021" s="3" t="s">
        <v>11417</v>
      </c>
      <c r="C12021" s="3" t="str">
        <f>IFERROR(__xludf.DUMMYFUNCTION("GOOGLETRANSLATE(B12021,""id"",""en"")"),"['Steady', 'Simple', 'buy', 'Package']")</f>
        <v>['Steady', 'Simple', 'buy', 'Package']</v>
      </c>
      <c r="D12021" s="3">
        <v>4.0</v>
      </c>
    </row>
    <row r="12022" ht="15.75" customHeight="1">
      <c r="A12022" s="1">
        <v>12975.0</v>
      </c>
      <c r="B12022" s="3" t="s">
        <v>11418</v>
      </c>
      <c r="C12022" s="3" t="str">
        <f>IFERROR(__xludf.DUMMYFUNCTION("GOOGLETRANSLATE(B12022,""id"",""en"")"),"['Congratulations', 'Morning', 'Sage', 'Package', 'Purchase']")</f>
        <v>['Congratulations', 'Morning', 'Sage', 'Package', 'Purchase']</v>
      </c>
      <c r="D12022" s="3">
        <v>3.0</v>
      </c>
    </row>
    <row r="12023" ht="15.75" customHeight="1">
      <c r="A12023" s="1">
        <v>12976.0</v>
      </c>
      <c r="B12023" s="3" t="s">
        <v>11419</v>
      </c>
      <c r="C12023" s="3" t="str">
        <f>IFERROR(__xludf.DUMMYFUNCTION("GOOGLETRANSLATE(B12023,""id"",""en"")"),"['Please', 'Increase', 'Quality', 'Network']")</f>
        <v>['Please', 'Increase', 'Quality', 'Network']</v>
      </c>
      <c r="D12023" s="3">
        <v>4.0</v>
      </c>
    </row>
    <row r="12024" ht="15.75" customHeight="1">
      <c r="A12024" s="1">
        <v>12977.0</v>
      </c>
      <c r="B12024" s="3" t="s">
        <v>11420</v>
      </c>
      <c r="C12024" s="3" t="str">
        <f>IFERROR(__xludf.DUMMYFUNCTION("GOOGLETRANSLATE(B12024,""id"",""en"")"),"['like', 'promo', 'seriya', '']")</f>
        <v>['like', 'promo', 'seriya', '']</v>
      </c>
      <c r="D12024" s="3">
        <v>5.0</v>
      </c>
    </row>
    <row r="12025" ht="15.75" customHeight="1">
      <c r="A12025" s="1">
        <v>12978.0</v>
      </c>
      <c r="B12025" s="3" t="s">
        <v>11421</v>
      </c>
      <c r="C12025" s="3" t="str">
        <f>IFERROR(__xludf.DUMMYFUNCTION("GOOGLETRANSLATE(B12025,""id"",""en"")"),"['easy', 'language']")</f>
        <v>['easy', 'language']</v>
      </c>
      <c r="D12025" s="3">
        <v>5.0</v>
      </c>
    </row>
    <row r="12026" ht="15.75" customHeight="1">
      <c r="A12026" s="1">
        <v>12979.0</v>
      </c>
      <c r="B12026" s="3" t="s">
        <v>11422</v>
      </c>
      <c r="C12026" s="3" t="str">
        <f>IFERROR(__xludf.DUMMYFUNCTION("GOOGLETRANSLATE(B12026,""id"",""en"")"),"['Greetings', 'Binjai']")</f>
        <v>['Greetings', 'Binjai']</v>
      </c>
      <c r="D12026" s="3">
        <v>5.0</v>
      </c>
    </row>
    <row r="12027" ht="15.75" customHeight="1">
      <c r="A12027" s="1">
        <v>12980.0</v>
      </c>
      <c r="B12027" s="3" t="s">
        <v>11423</v>
      </c>
      <c r="C12027" s="3" t="str">
        <f>IFERROR(__xludf.DUMMYFUNCTION("GOOGLETRANSLATE(B12027,""id"",""en"")"),"['Network', 'broad', 'reach']")</f>
        <v>['Network', 'broad', 'reach']</v>
      </c>
      <c r="D12027" s="3">
        <v>5.0</v>
      </c>
    </row>
    <row r="12028" ht="15.75" customHeight="1">
      <c r="A12028" s="1">
        <v>12982.0</v>
      </c>
      <c r="B12028" s="3" t="s">
        <v>11424</v>
      </c>
      <c r="C12028" s="3" t="str">
        <f>IFERROR(__xludf.DUMMYFUNCTION("GOOGLETRANSLATE(B12028,""id"",""en"")"),"['Glooms', 'Package', 'Buy', 'Card', 'Min']")</f>
        <v>['Glooms', 'Package', 'Buy', 'Card', 'Min']</v>
      </c>
      <c r="D12028" s="3">
        <v>4.0</v>
      </c>
    </row>
    <row r="12029" ht="15.75" customHeight="1">
      <c r="A12029" s="1">
        <v>12983.0</v>
      </c>
      <c r="B12029" s="3" t="s">
        <v>11425</v>
      </c>
      <c r="C12029" s="3" t="str">
        <f>IFERROR(__xludf.DUMMYFUNCTION("GOOGLETRANSLATE(B12029,""id"",""en"")"),"['inexpensive', '']")</f>
        <v>['inexpensive', '']</v>
      </c>
      <c r="D12029" s="3">
        <v>3.0</v>
      </c>
    </row>
    <row r="12030" ht="15.75" customHeight="1">
      <c r="A12030" s="1">
        <v>12984.0</v>
      </c>
      <c r="B12030" s="3" t="s">
        <v>11426</v>
      </c>
      <c r="C12030" s="3" t="str">
        <f>IFERROR(__xludf.DUMMYFUNCTION("GOOGLETRANSLATE(B12030,""id"",""en"")"),"['menu', 'choice', 'package', 'byk', 'want', 'sympathy', 'number', 'hrs',' change ',' hello ',' all ',' choice ',' Package ',' expensive ',' ']")</f>
        <v>['menu', 'choice', 'package', 'byk', 'want', 'sympathy', 'number', 'hrs',' change ',' hello ',' all ',' choice ',' Package ',' expensive ',' ']</v>
      </c>
      <c r="D12030" s="3">
        <v>1.0</v>
      </c>
    </row>
    <row r="12031" ht="15.75" customHeight="1">
      <c r="A12031" s="1">
        <v>12985.0</v>
      </c>
      <c r="B12031" s="3" t="s">
        <v>11427</v>
      </c>
      <c r="C12031" s="3" t="str">
        <f>IFERROR(__xludf.DUMMYFUNCTION("GOOGLETRANSLATE(B12031,""id"",""en"")"),"['Honey', 'slow', 'signal', 'then', 'price', 'package', 'internet', 'expensive', '']")</f>
        <v>['Honey', 'slow', 'signal', 'then', 'price', 'package', 'internet', 'expensive', '']</v>
      </c>
      <c r="D12031" s="3">
        <v>3.0</v>
      </c>
    </row>
    <row r="12032" ht="15.75" customHeight="1">
      <c r="A12032" s="1">
        <v>12986.0</v>
      </c>
      <c r="B12032" s="3" t="s">
        <v>11428</v>
      </c>
      <c r="C12032" s="3" t="str">
        <f>IFERROR(__xludf.DUMMYFUNCTION("GOOGLETRANSLATE(B12032,""id"",""en"")"),"['interesting', 'APK']")</f>
        <v>['interesting', 'APK']</v>
      </c>
      <c r="D12032" s="3">
        <v>5.0</v>
      </c>
    </row>
    <row r="12033" ht="15.75" customHeight="1">
      <c r="A12033" s="1">
        <v>12988.0</v>
      </c>
      <c r="B12033" s="3" t="s">
        <v>11429</v>
      </c>
      <c r="C12033" s="3" t="str">
        <f>IFERROR(__xludf.DUMMYFUNCTION("GOOGLETRANSLATE(B12033,""id"",""en"")"),"['promo', 'combo', 'saktinya', 'cool', 'run out', '']")</f>
        <v>['promo', 'combo', 'saktinya', 'cool', 'run out', '']</v>
      </c>
      <c r="D12033" s="3">
        <v>5.0</v>
      </c>
    </row>
    <row r="12034" ht="15.75" customHeight="1">
      <c r="A12034" s="1">
        <v>12989.0</v>
      </c>
      <c r="B12034" s="3" t="s">
        <v>11430</v>
      </c>
      <c r="C12034" s="3" t="str">
        <f>IFERROR(__xludf.DUMMYFUNCTION("GOOGLETRANSLATE(B12034,""id"",""en"")"),"['package', 'internet', 'please', 'pay attention']")</f>
        <v>['package', 'internet', 'please', 'pay attention']</v>
      </c>
      <c r="D12034" s="3">
        <v>5.0</v>
      </c>
    </row>
    <row r="12035" ht="15.75" customHeight="1">
      <c r="A12035" s="1">
        <v>12990.0</v>
      </c>
      <c r="B12035" s="3" t="s">
        <v>11431</v>
      </c>
      <c r="C12035" s="3" t="str">
        <f>IFERROR(__xludf.DUMMYFUNCTION("GOOGLETRANSLATE(B12035,""id"",""en"")"),"['Use', 'Telkomsel', 'Internet', 'Disappointed', 'Network']")</f>
        <v>['Use', 'Telkomsel', 'Internet', 'Disappointed', 'Network']</v>
      </c>
      <c r="D12035" s="3">
        <v>1.0</v>
      </c>
    </row>
    <row r="12036" ht="15.75" customHeight="1">
      <c r="A12036" s="1">
        <v>12991.0</v>
      </c>
      <c r="B12036" s="3" t="s">
        <v>11432</v>
      </c>
      <c r="C12036" s="3" t="str">
        <f>IFERROR(__xludf.DUMMYFUNCTION("GOOGLETRANSLATE(B12036,""id"",""en"")"),"['Heaven', 'difficult', 'entry', 'jump', 'disorder', 'serious', 'easy', 'safe']")</f>
        <v>['Heaven', 'difficult', 'entry', 'jump', 'disorder', 'serious', 'easy', 'safe']</v>
      </c>
      <c r="D12036" s="3">
        <v>1.0</v>
      </c>
    </row>
    <row r="12037" ht="15.75" customHeight="1">
      <c r="A12037" s="1">
        <v>12992.0</v>
      </c>
      <c r="B12037" s="3" t="s">
        <v>11433</v>
      </c>
      <c r="C12037" s="3" t="str">
        <f>IFERROR(__xludf.DUMMYFUNCTION("GOOGLETRANSLATE(B12037,""id"",""en"")"),"['convenience', 'check', 'pulse', 'transaction', '']")</f>
        <v>['convenience', 'check', 'pulse', 'transaction', '']</v>
      </c>
      <c r="D12037" s="3">
        <v>5.0</v>
      </c>
    </row>
    <row r="12038" ht="15.75" customHeight="1">
      <c r="A12038" s="1">
        <v>12993.0</v>
      </c>
      <c r="B12038" s="3" t="s">
        <v>11434</v>
      </c>
      <c r="C12038" s="3" t="str">
        <f>IFERROR(__xludf.DUMMYFUNCTION("GOOGLETRANSLATE(B12038,""id"",""en"")"),"['Package', 'GMANA']")</f>
        <v>['Package', 'GMANA']</v>
      </c>
      <c r="D12038" s="3">
        <v>1.0</v>
      </c>
    </row>
    <row r="12039" ht="15.75" customHeight="1">
      <c r="A12039" s="1">
        <v>12995.0</v>
      </c>
      <c r="B12039" s="3" t="s">
        <v>11435</v>
      </c>
      <c r="C12039" s="3" t="str">
        <f>IFERROR(__xludf.DUMMYFUNCTION("GOOGLETRANSLATE(B12039,""id"",""en"")"),"['happy', 'Telkomsel', 'speed', 'network', 'disappointing', 'quota', 'internet', 'wasteful', 'provider', 'yellow', 'internet', 'waste']")</f>
        <v>['happy', 'Telkomsel', 'speed', 'network', 'disappointing', 'quota', 'internet', 'wasteful', 'provider', 'yellow', 'internet', 'waste']</v>
      </c>
      <c r="D12039" s="3">
        <v>4.0</v>
      </c>
    </row>
    <row r="12040" ht="15.75" customHeight="1">
      <c r="A12040" s="1">
        <v>12996.0</v>
      </c>
      <c r="B12040" s="3" t="s">
        <v>11436</v>
      </c>
      <c r="C12040" s="3" t="str">
        <f>IFERROR(__xludf.DUMMYFUNCTION("GOOGLETRANSLATE(B12040,""id"",""en"")"),"['application', 'easy', 'check', 'quota', 'bonus', 'application', 'useful', 'thank', 'love', 'telkomsel']")</f>
        <v>['application', 'easy', 'check', 'quota', 'bonus', 'application', 'useful', 'thank', 'love', 'telkomsel']</v>
      </c>
      <c r="D12040" s="3">
        <v>5.0</v>
      </c>
    </row>
    <row r="12041" ht="15.75" customHeight="1">
      <c r="A12041" s="1">
        <v>12997.0</v>
      </c>
      <c r="B12041" s="3" t="s">
        <v>11437</v>
      </c>
      <c r="C12041" s="3" t="str">
        <f>IFERROR(__xludf.DUMMYFUNCTION("GOOGLETRANSLATE(B12041,""id"",""en"")"),"['Alhamdulillah', 'application', 'Telkomsel', 'transaction', 'quota', 'practical', 'choice', 'stay', 'click', 'direct', 'internet', 'point', ' The opportunity ',' Gift ',' Lucky ',' Thank "", 'Love', 'Telkomsel', 'Hopefully', 'In the future',""]")</f>
        <v>['Alhamdulillah', 'application', 'Telkomsel', 'transaction', 'quota', 'practical', 'choice', 'stay', 'click', 'direct', 'internet', 'point', ' The opportunity ',' Gift ',' Lucky ',' Thank ", 'Love', 'Telkomsel', 'Hopefully', 'In the future',"]</v>
      </c>
      <c r="D12041" s="3">
        <v>5.0</v>
      </c>
    </row>
    <row r="12042" ht="15.75" customHeight="1">
      <c r="A12042" s="1">
        <v>12998.0</v>
      </c>
      <c r="B12042" s="3" t="s">
        <v>11438</v>
      </c>
      <c r="C12042" s="3" t="str">
        <f>IFERROR(__xludf.DUMMYFUNCTION("GOOGLETRANSLATE(B12042,""id"",""en"")"),"['price', 'expensive', 'choice', 'friendly', 'network', 'slow', 'lie', 'fraudster', 'bonus',' quota ',' call ',' internet ',' ']")</f>
        <v>['price', 'expensive', 'choice', 'friendly', 'network', 'slow', 'lie', 'fraudster', 'bonus',' quota ',' call ',' internet ',' ']</v>
      </c>
      <c r="D12042" s="3">
        <v>1.0</v>
      </c>
    </row>
    <row r="12043" ht="15.75" customHeight="1">
      <c r="A12043" s="1">
        <v>12999.0</v>
      </c>
      <c r="B12043" s="3" t="s">
        <v>11439</v>
      </c>
      <c r="C12043" s="3" t="str">
        <f>IFERROR(__xludf.DUMMYFUNCTION("GOOGLETRANSLATE(B12043,""id"",""en"")"),"['petrified', 'good']")</f>
        <v>['petrified', 'good']</v>
      </c>
      <c r="D12043" s="3">
        <v>5.0</v>
      </c>
    </row>
    <row r="12044" ht="15.75" customHeight="1">
      <c r="A12044" s="1">
        <v>13000.0</v>
      </c>
      <c r="B12044" s="3" t="s">
        <v>11440</v>
      </c>
      <c r="C12044" s="3" t="str">
        <f>IFERROR(__xludf.DUMMYFUNCTION("GOOGLETRANSLATE(B12044,""id"",""en"")"),"['', 'buy', 'Paketan', 'Gopay', 'Transaction', 'Success', 'Gopay', 'Cut', 'Paketan', 'Enter', ""]")</f>
        <v>['', 'buy', 'Paketan', 'Gopay', 'Transaction', 'Success', 'Gopay', 'Cut', 'Paketan', 'Enter', "]</v>
      </c>
      <c r="D12044" s="3">
        <v>1.0</v>
      </c>
    </row>
    <row r="12045" ht="15.75" customHeight="1">
      <c r="A12045" s="1">
        <v>13001.0</v>
      </c>
      <c r="B12045" s="3" t="s">
        <v>11441</v>
      </c>
      <c r="C12045" s="3" t="str">
        <f>IFERROR(__xludf.DUMMYFUNCTION("GOOGLETRANSLATE(B12045,""id"",""en"")"),"['Steady', 'Direct', 'Download', 'Gasskeun']")</f>
        <v>['Steady', 'Direct', 'Download', 'Gasskeun']</v>
      </c>
      <c r="D12045" s="3">
        <v>5.0</v>
      </c>
    </row>
    <row r="12046" ht="15.75" customHeight="1">
      <c r="A12046" s="1">
        <v>13002.0</v>
      </c>
      <c r="B12046" s="3" t="s">
        <v>11442</v>
      </c>
      <c r="C12046" s="3" t="str">
        <f>IFERROR(__xludf.DUMMYFUNCTION("GOOGLETRANSLATE(B12046,""id"",""en"")"),"['Come on', 'Telkomsel', 'cheap', 'price', 'pulses', 'thanks', ""]")</f>
        <v>['Come on', 'Telkomsel', 'cheap', 'price', 'pulses', 'thanks', "]</v>
      </c>
      <c r="D12046" s="3">
        <v>5.0</v>
      </c>
    </row>
    <row r="12047" ht="15.75" customHeight="1">
      <c r="A12047" s="1">
        <v>13003.0</v>
      </c>
      <c r="B12047" s="3" t="s">
        <v>9769</v>
      </c>
      <c r="C12047" s="3" t="str">
        <f>IFERROR(__xludf.DUMMYFUNCTION("GOOGLETRANSLATE(B12047,""id"",""en"")"),"['It's easy', '']")</f>
        <v>['It's easy', '']</v>
      </c>
      <c r="D12047" s="3">
        <v>5.0</v>
      </c>
    </row>
    <row r="12048" ht="15.75" customHeight="1">
      <c r="A12048" s="1">
        <v>13004.0</v>
      </c>
      <c r="B12048" s="3" t="s">
        <v>11443</v>
      </c>
      <c r="C12048" s="3" t="str">
        <f>IFERROR(__xludf.DUMMYFUNCTION("GOOGLETRANSLATE(B12048,""id"",""en"")"),"['Disappointed', 'heavy', 'Telkomsel', 'number', 'kog', 'skrang', 'buy', 'package', 'reason', 'disorder', 'system', 'skrang', ' disruption ',' pulse ',' package ',' buy ',' disorder ',' system ', ""]")</f>
        <v>['Disappointed', 'heavy', 'Telkomsel', 'number', 'kog', 'skrang', 'buy', 'package', 'reason', 'disorder', 'system', 'skrang', ' disruption ',' pulse ',' package ',' buy ',' disorder ',' system ', "]</v>
      </c>
      <c r="D12048" s="3">
        <v>1.0</v>
      </c>
    </row>
    <row r="12049" ht="15.75" customHeight="1">
      <c r="A12049" s="1">
        <v>13005.0</v>
      </c>
      <c r="B12049" s="3" t="s">
        <v>11444</v>
      </c>
      <c r="C12049" s="3" t="str">
        <f>IFERROR(__xludf.DUMMYFUNCTION("GOOGLETRANSLATE(B12049,""id"",""en"")"),"['Thank you', 'Telkomsel', 'Really', 'Help']")</f>
        <v>['Thank you', 'Telkomsel', 'Really', 'Help']</v>
      </c>
      <c r="D12049" s="3">
        <v>5.0</v>
      </c>
    </row>
    <row r="12050" ht="15.75" customHeight="1">
      <c r="A12050" s="1">
        <v>13006.0</v>
      </c>
      <c r="B12050" s="3" t="s">
        <v>11445</v>
      </c>
      <c r="C12050" s="3" t="str">
        <f>IFERROR(__xludf.DUMMYFUNCTION("GOOGLETRANSLATE(B12050,""id"",""en"")"),"['Good', 'good', 'shortcomings', 'reasonable', 'name', 'application', 'human', 'error', ""]")</f>
        <v>['Good', 'good', 'shortcomings', 'reasonable', 'name', 'application', 'human', 'error', "]</v>
      </c>
      <c r="D12050" s="3">
        <v>5.0</v>
      </c>
    </row>
    <row r="12051" ht="15.75" customHeight="1">
      <c r="A12051" s="1">
        <v>13007.0</v>
      </c>
      <c r="B12051" s="3" t="s">
        <v>11446</v>
      </c>
      <c r="C12051" s="3" t="str">
        <f>IFERROR(__xludf.DUMMYFUNCTION("GOOGLETRANSLATE(B12051,""id"",""en"")"),"['Application', 'Help', 'Hopefully', 'Telkomsel', 'Package', 'Internet', 'Cheap', 'Customer', 'Moving', 'Card']")</f>
        <v>['Application', 'Help', 'Hopefully', 'Telkomsel', 'Package', 'Internet', 'Cheap', 'Customer', 'Moving', 'Card']</v>
      </c>
      <c r="D12051" s="3">
        <v>5.0</v>
      </c>
    </row>
    <row r="12052" ht="15.75" customHeight="1">
      <c r="A12052" s="1">
        <v>13008.0</v>
      </c>
      <c r="B12052" s="3" t="s">
        <v>11447</v>
      </c>
      <c r="C12052" s="3" t="str">
        <f>IFERROR(__xludf.DUMMYFUNCTION("GOOGLETRANSLATE(B12052,""id"",""en"")"),"['It's easy', 'service']")</f>
        <v>['It's easy', 'service']</v>
      </c>
      <c r="D12052" s="3">
        <v>5.0</v>
      </c>
    </row>
    <row r="12053" ht="15.75" customHeight="1">
      <c r="A12053" s="1">
        <v>13009.0</v>
      </c>
      <c r="B12053" s="3" t="s">
        <v>10375</v>
      </c>
      <c r="C12053" s="3" t="str">
        <f>IFERROR(__xludf.DUMMYFUNCTION("GOOGLETRANSLATE(B12053,""id"",""en"")"),"['apk', 'help', ""]")</f>
        <v>['apk', 'help', "]</v>
      </c>
      <c r="D12053" s="3">
        <v>5.0</v>
      </c>
    </row>
    <row r="12054" ht="15.75" customHeight="1">
      <c r="A12054" s="1">
        <v>13010.0</v>
      </c>
      <c r="B12054" s="3" t="s">
        <v>11448</v>
      </c>
      <c r="C12054" s="3" t="str">
        <f>IFERROR(__xludf.DUMMYFUNCTION("GOOGLETRANSLATE(B12054,""id"",""en"")"),"['love', 'star', 'that way', 'ajah', 'play', 'game', 'provider', 'knp', 'please', 'fix']")</f>
        <v>['love', 'star', 'that way', 'ajah', 'play', 'game', 'provider', 'knp', 'please', 'fix']</v>
      </c>
      <c r="D12054" s="3">
        <v>2.0</v>
      </c>
    </row>
    <row r="12055" ht="15.75" customHeight="1">
      <c r="A12055" s="1">
        <v>13012.0</v>
      </c>
      <c r="B12055" s="3" t="s">
        <v>11449</v>
      </c>
      <c r="C12055" s="3" t="str">
        <f>IFERROR(__xludf.DUMMYFUNCTION("GOOGLETRANSLATE(B12055,""id"",""en"")"),"['', 'Support', 'Android', 'Install', 'Android', 'yes', 'company', 'Telkomsel', 'Ngikutin', 'Update', 'Technology', 'Latest']")</f>
        <v>['', 'Support', 'Android', 'Install', 'Android', 'yes', 'company', 'Telkomsel', 'Ngikutin', 'Update', 'Technology', 'Latest']</v>
      </c>
      <c r="D12055" s="3">
        <v>5.0</v>
      </c>
    </row>
    <row r="12056" ht="15.75" customHeight="1">
      <c r="A12056" s="1">
        <v>13013.0</v>
      </c>
      <c r="B12056" s="3" t="s">
        <v>11450</v>
      </c>
      <c r="C12056" s="3" t="str">
        <f>IFERROR(__xludf.DUMMYFUNCTION("GOOGLETRANSLATE(B12056,""id"",""en"")"),"['Application', 'sucked', 'quota', '']")</f>
        <v>['Application', 'sucked', 'quota', '']</v>
      </c>
      <c r="D12056" s="3">
        <v>1.0</v>
      </c>
    </row>
    <row r="12057" ht="15.75" customHeight="1">
      <c r="A12057" s="1">
        <v>13014.0</v>
      </c>
      <c r="B12057" s="3" t="s">
        <v>11451</v>
      </c>
      <c r="C12057" s="3" t="str">
        <f>IFERROR(__xludf.DUMMYFUNCTION("GOOGLETRANSLATE(B12057,""id"",""en"")"),"['application', 'good', 'smooth', 'bnyk', 'offer', 'interesting', 'success', 'Telkomsel', '']")</f>
        <v>['application', 'good', 'smooth', 'bnyk', 'offer', 'interesting', 'success', 'Telkomsel', '']</v>
      </c>
      <c r="D12057" s="3">
        <v>5.0</v>
      </c>
    </row>
    <row r="12058" ht="15.75" customHeight="1">
      <c r="A12058" s="1">
        <v>13015.0</v>
      </c>
      <c r="B12058" s="3" t="s">
        <v>11452</v>
      </c>
      <c r="C12058" s="3" t="str">
        <f>IFERROR(__xludf.DUMMYFUNCTION("GOOGLETRANSLATE(B12058,""id"",""en"")"),"['Points', 'Please', 'Plus']")</f>
        <v>['Points', 'Please', 'Plus']</v>
      </c>
      <c r="D12058" s="3">
        <v>5.0</v>
      </c>
    </row>
    <row r="12059" ht="15.75" customHeight="1">
      <c r="A12059" s="1">
        <v>13016.0</v>
      </c>
      <c r="B12059" s="3" t="s">
        <v>11453</v>
      </c>
      <c r="C12059" s="3" t="str">
        <f>IFERROR(__xludf.DUMMYFUNCTION("GOOGLETRANSLATE(B12059,""id"",""en"")"),"['Good', 'complicated', 'use']")</f>
        <v>['Good', 'complicated', 'use']</v>
      </c>
      <c r="D12059" s="3">
        <v>4.0</v>
      </c>
    </row>
    <row r="12060" ht="15.75" customHeight="1">
      <c r="A12060" s="1">
        <v>13017.0</v>
      </c>
      <c r="B12060" s="3" t="s">
        <v>11454</v>
      </c>
      <c r="C12060" s="3" t="str">
        <f>IFERROR(__xludf.DUMMYFUNCTION("GOOGLETRANSLATE(B12060,""id"",""en"")"),"['Cool', 'App']")</f>
        <v>['Cool', 'App']</v>
      </c>
      <c r="D12060" s="3">
        <v>5.0</v>
      </c>
    </row>
    <row r="12061" ht="15.75" customHeight="1">
      <c r="A12061" s="1">
        <v>13018.0</v>
      </c>
      <c r="B12061" s="3" t="s">
        <v>11455</v>
      </c>
      <c r="C12061" s="3" t="str">
        <f>IFERROR(__xludf.DUMMYFUNCTION("GOOGLETRANSLATE(B12061,""id"",""en"")"),"['Please', 'package', 'internet', 'cheap', 'lose', 'operator', 'laen']")</f>
        <v>['Please', 'package', 'internet', 'cheap', 'lose', 'operator', 'laen']</v>
      </c>
      <c r="D12061" s="3">
        <v>4.0</v>
      </c>
    </row>
    <row r="12062" ht="15.75" customHeight="1">
      <c r="A12062" s="1">
        <v>13019.0</v>
      </c>
      <c r="B12062" s="3" t="s">
        <v>11456</v>
      </c>
      <c r="C12062" s="3" t="str">
        <f>IFERROR(__xludf.DUMMYFUNCTION("GOOGLETRANSLATE(B12062,""id"",""en"")"),"['easy', 'transaction']")</f>
        <v>['easy', 'transaction']</v>
      </c>
      <c r="D12062" s="3">
        <v>5.0</v>
      </c>
    </row>
    <row r="12063" ht="15.75" customHeight="1">
      <c r="A12063" s="1">
        <v>13020.0</v>
      </c>
      <c r="B12063" s="3" t="s">
        <v>11457</v>
      </c>
      <c r="C12063" s="3" t="str">
        <f>IFERROR(__xludf.DUMMYFUNCTION("GOOGLETRANSLATE(B12063,""id"",""en"")"),"['The application', 'Good', 'Sis', '']")</f>
        <v>['The application', 'Good', 'Sis', '']</v>
      </c>
      <c r="D12063" s="3">
        <v>5.0</v>
      </c>
    </row>
    <row r="12064" ht="15.75" customHeight="1">
      <c r="A12064" s="1">
        <v>13021.0</v>
      </c>
      <c r="B12064" s="3" t="s">
        <v>11458</v>
      </c>
      <c r="C12064" s="3" t="str">
        <f>IFERROR(__xludf.DUMMYFUNCTION("GOOGLETRANSLATE(B12064,""id"",""en"")"),"['Please', 'Telkomsel', 'The network', 'fix', 'jammed', 'ngegame', 'ngeleg', 'mulu']")</f>
        <v>['Please', 'Telkomsel', 'The network', 'fix', 'jammed', 'ngegame', 'ngeleg', 'mulu']</v>
      </c>
      <c r="D12064" s="3">
        <v>1.0</v>
      </c>
    </row>
    <row r="12065" ht="15.75" customHeight="1">
      <c r="A12065" s="1">
        <v>13022.0</v>
      </c>
      <c r="B12065" s="3" t="s">
        <v>11459</v>
      </c>
      <c r="C12065" s="3" t="str">
        <f>IFERROR(__xludf.DUMMYFUNCTION("GOOGLETRANSLATE(B12065,""id"",""en"")"),"['Steal', 'Credit', 'Teros',' Silver ',' Stolen ',' Jga ',' People ',' Telkomsel ',' Contains', 'Thieves',' Eat ',' Money ',' Haram ',' Loe ',' sumpah ',' enter ',' hell ',' Loe ', ""]")</f>
        <v>['Steal', 'Credit', 'Teros',' Silver ',' Stolen ',' Jga ',' People ',' Telkomsel ',' Contains', 'Thieves',' Eat ',' Money ',' Haram ',' Loe ',' sumpah ',' enter ',' hell ',' Loe ', "]</v>
      </c>
      <c r="D12065" s="3">
        <v>1.0</v>
      </c>
    </row>
    <row r="12066" ht="15.75" customHeight="1">
      <c r="A12066" s="1">
        <v>13023.0</v>
      </c>
      <c r="B12066" s="3" t="s">
        <v>11460</v>
      </c>
      <c r="C12066" s="3" t="str">
        <f>IFERROR(__xludf.DUMMYFUNCTION("GOOGLETRANSLATE(B12066,""id"",""en"")"),"['Network', 'stable', 'satisfying', 'serving', 'customer', 'loyal', 'disappointed', 'price', 'package', 'offer', 'reduce', 'hope', ' Telkomsel ',' Maintain ',' Price ',' Package ',' Thank you ']")</f>
        <v>['Network', 'stable', 'satisfying', 'serving', 'customer', 'loyal', 'disappointed', 'price', 'package', 'offer', 'reduce', 'hope', ' Telkomsel ',' Maintain ',' Price ',' Package ',' Thank you ']</v>
      </c>
      <c r="D12066" s="3">
        <v>2.0</v>
      </c>
    </row>
    <row r="12067" ht="15.75" customHeight="1">
      <c r="A12067" s="1">
        <v>13024.0</v>
      </c>
      <c r="B12067" s="3" t="s">
        <v>11461</v>
      </c>
      <c r="C12067" s="3" t="str">
        <f>IFERROR(__xludf.DUMMYFUNCTION("GOOGLETRANSLATE(B12067,""id"",""en"")"),"['Ksi', 'Bintg', 'Klu', 'Good', 'Kasi', 'Bintg', 'Full']")</f>
        <v>['Ksi', 'Bintg', 'Klu', 'Good', 'Kasi', 'Bintg', 'Full']</v>
      </c>
      <c r="D12067" s="3">
        <v>1.0</v>
      </c>
    </row>
    <row r="12068" ht="15.75" customHeight="1">
      <c r="A12068" s="1">
        <v>13025.0</v>
      </c>
      <c r="B12068" s="3" t="s">
        <v>11462</v>
      </c>
      <c r="C12068" s="3" t="str">
        <f>IFERROR(__xludf.DUMMYFUNCTION("GOOGLETRANSLATE(B12068,""id"",""en"")"),"['Informative', 'help', 'satisfying', '']")</f>
        <v>['Informative', 'help', 'satisfying', '']</v>
      </c>
      <c r="D12068" s="3">
        <v>5.0</v>
      </c>
    </row>
    <row r="12069" ht="15.75" customHeight="1">
      <c r="A12069" s="1">
        <v>13026.0</v>
      </c>
      <c r="B12069" s="3" t="s">
        <v>11463</v>
      </c>
      <c r="C12069" s="3" t="str">
        <f>IFERROR(__xludf.DUMMYFUNCTION("GOOGLETRANSLATE(B12069,""id"",""en"")"),"['Good', 'really', 'Free', 'TRF', 'Addin']")</f>
        <v>['Good', 'really', 'Free', 'TRF', 'Addin']</v>
      </c>
      <c r="D12069" s="3">
        <v>5.0</v>
      </c>
    </row>
    <row r="12070" ht="15.75" customHeight="1">
      <c r="A12070" s="1">
        <v>13027.0</v>
      </c>
      <c r="B12070" s="3" t="s">
        <v>11464</v>
      </c>
      <c r="C12070" s="3" t="str">
        <f>IFERROR(__xludf.DUMMYFUNCTION("GOOGLETRANSLATE(B12070,""id"",""en"")"),"['buy', 'pay', 'accepted', 'tax']")</f>
        <v>['buy', 'pay', 'accepted', 'tax']</v>
      </c>
      <c r="D12070" s="3">
        <v>1.0</v>
      </c>
    </row>
    <row r="12071" ht="15.75" customHeight="1">
      <c r="A12071" s="1">
        <v>13028.0</v>
      </c>
      <c r="B12071" s="3" t="s">
        <v>11465</v>
      </c>
      <c r="C12071" s="3" t="str">
        <f>IFERROR(__xludf.DUMMYFUNCTION("GOOGLETRANSLATE(B12071,""id"",""en"")"),"['HDEHHH', 'Kali', 'buy', 'Kouta', 'pulse', 'GB', 'RB', 'enter', 'pulse', 'already', 'entry', 'sense', ' Operator ',' Tsel ']")</f>
        <v>['HDEHHH', 'Kali', 'buy', 'Kouta', 'pulse', 'GB', 'RB', 'enter', 'pulse', 'already', 'entry', 'sense', ' Operator ',' Tsel ']</v>
      </c>
      <c r="D12071" s="3">
        <v>1.0</v>
      </c>
    </row>
    <row r="12072" ht="15.75" customHeight="1">
      <c r="A12072" s="1">
        <v>13029.0</v>
      </c>
      <c r="B12072" s="3" t="s">
        <v>11466</v>
      </c>
      <c r="C12072" s="3" t="str">
        <f>IFERROR(__xludf.DUMMYFUNCTION("GOOGLETRANSLATE(B12072,""id"",""en"")"),"['already', 'buy', 'package', 'unlimited', 'quota', 'main', 'truncated', 'buy', 'package', 'unlimited', 'proof', 'right', ' Open ',' Instagram ',' Nge ',' lag ',' then ',' appears', 'notif', 'quota', 'run out', 'package', 'Instagram', 'yesterday', 'buy' ,"&amp;" 'and then', 'package', 'a week', 'ehh', 'quota', 'main', 'taken', ""]")</f>
        <v>['already', 'buy', 'package', 'unlimited', 'quota', 'main', 'truncated', 'buy', 'package', 'unlimited', 'proof', 'right', ' Open ',' Instagram ',' Nge ',' lag ',' then ',' appears', 'notif', 'quota', 'run out', 'package', 'Instagram', 'yesterday', 'buy' , 'and then', 'package', 'a week', 'ehh', 'quota', 'main', 'taken', "]</v>
      </c>
      <c r="D12072" s="3">
        <v>1.0</v>
      </c>
    </row>
    <row r="12073" ht="15.75" customHeight="1">
      <c r="A12073" s="1">
        <v>13030.0</v>
      </c>
      <c r="B12073" s="3" t="s">
        <v>2953</v>
      </c>
      <c r="C12073" s="3" t="str">
        <f>IFERROR(__xludf.DUMMYFUNCTION("GOOGLETRANSLATE(B12073,""id"",""en"")"),"['Application', 'Helpful']")</f>
        <v>['Application', 'Helpful']</v>
      </c>
      <c r="D12073" s="3">
        <v>5.0</v>
      </c>
    </row>
    <row r="12074" ht="15.75" customHeight="1">
      <c r="A12074" s="1">
        <v>13031.0</v>
      </c>
      <c r="B12074" s="3" t="s">
        <v>11467</v>
      </c>
      <c r="C12074" s="3" t="str">
        <f>IFERROR(__xludf.DUMMYFUNCTION("GOOGLETRANSLATE(B12074,""id"",""en"")"),"['Network', 'Telkomsel', 'Strong', 'Forest', 'City']")</f>
        <v>['Network', 'Telkomsel', 'Strong', 'Forest', 'City']</v>
      </c>
      <c r="D12074" s="3">
        <v>5.0</v>
      </c>
    </row>
    <row r="12075" ht="15.75" customHeight="1">
      <c r="A12075" s="1">
        <v>13032.0</v>
      </c>
      <c r="B12075" s="3" t="s">
        <v>11468</v>
      </c>
      <c r="C12075" s="3" t="str">
        <f>IFERROR(__xludf.DUMMYFUNCTION("GOOGLETRANSLATE(B12075,""id"",""en"")"),"['MyTelkomsel', 'Package', 'Thinking', 'YouTube', 'Range', 'Package', 'Bought', 'Credit', 'Dana', 'Wallet', 'Swallow', 'Telkomsel', ' Linkaja ',' Sopipay ',' Gopay ',' buy ',' virtual ',' please ',' repaired ',' bug ',' buy ',' package ',' chat ',' Veroni"&amp;"ka ',' reduce ' , 'pulse', 'gini', 'detrimental', 'customer', 'please', 'forwarded', 'developer', 'the application', 'customer', ""]")</f>
        <v>['MyTelkomsel', 'Package', 'Thinking', 'YouTube', 'Range', 'Package', 'Bought', 'Credit', 'Dana', 'Wallet', 'Swallow', 'Telkomsel', ' Linkaja ',' Sopipay ',' Gopay ',' buy ',' virtual ',' please ',' repaired ',' bug ',' buy ',' package ',' chat ',' Veronika ',' reduce ' , 'pulse', 'gini', 'detrimental', 'customer', 'please', 'forwarded', 'developer', 'the application', 'customer', "]</v>
      </c>
      <c r="D12075" s="3">
        <v>2.0</v>
      </c>
    </row>
    <row r="12076" ht="15.75" customHeight="1">
      <c r="A12076" s="1">
        <v>13033.0</v>
      </c>
      <c r="B12076" s="3" t="s">
        <v>11469</v>
      </c>
      <c r="C12076" s="3" t="str">
        <f>IFERROR(__xludf.DUMMYFUNCTION("GOOGLETRANSLATE(B12076,""id"",""en"")"),"['strange', 'since', 'Update', 'Android', 'Install']")</f>
        <v>['strange', 'since', 'Update', 'Android', 'Install']</v>
      </c>
      <c r="D12076" s="3">
        <v>1.0</v>
      </c>
    </row>
    <row r="12077" ht="15.75" customHeight="1">
      <c r="A12077" s="1">
        <v>13034.0</v>
      </c>
      <c r="B12077" s="3" t="s">
        <v>11470</v>
      </c>
      <c r="C12077" s="3" t="str">
        <f>IFERROR(__xludf.DUMMYFUNCTION("GOOGLETRANSLATE(B12077,""id"",""en"")"),"['Hopefully', 'Good']")</f>
        <v>['Hopefully', 'Good']</v>
      </c>
      <c r="D12077" s="3">
        <v>5.0</v>
      </c>
    </row>
    <row r="12078" ht="15.75" customHeight="1">
      <c r="A12078" s="1">
        <v>13035.0</v>
      </c>
      <c r="B12078" s="3" t="s">
        <v>11471</v>
      </c>
      <c r="C12078" s="3" t="str">
        <f>IFERROR(__xludf.DUMMYFUNCTION("GOOGLETRANSLATE(B12078,""id"",""en"")"),"['Nidak', 'Points', 'points', 'Nidak', 'Regret', 'Telkomsel', 'Progam', 'Loss', 'Promo', 'Abal', ""]")</f>
        <v>['Nidak', 'Points', 'points', 'Nidak', 'Regret', 'Telkomsel', 'Progam', 'Loss', 'Promo', 'Abal', "]</v>
      </c>
      <c r="D12078" s="3">
        <v>1.0</v>
      </c>
    </row>
    <row r="12079" ht="15.75" customHeight="1">
      <c r="A12079" s="1">
        <v>13036.0</v>
      </c>
      <c r="B12079" s="3" t="s">
        <v>11472</v>
      </c>
      <c r="C12079" s="3" t="str">
        <f>IFERROR(__xludf.DUMMYFUNCTION("GOOGLETRANSLATE(B12079,""id"",""en"")"),"['proud', 'use', 'Telkomsel', 'Lakok', 'signal', 'suggestion', 'maximized', 'Signal', 'sea', 'village', 'palasa', 'kab', ' Parigi ',' Moutong ',' Sulawesi ', ""]")</f>
        <v>['proud', 'use', 'Telkomsel', 'Lakok', 'signal', 'suggestion', 'maximized', 'Signal', 'sea', 'village', 'palasa', 'kab', ' Parigi ',' Moutong ',' Sulawesi ', "]</v>
      </c>
      <c r="D12079" s="3">
        <v>5.0</v>
      </c>
    </row>
    <row r="12080" ht="15.75" customHeight="1">
      <c r="A12080" s="1">
        <v>13037.0</v>
      </c>
      <c r="B12080" s="3" t="s">
        <v>11473</v>
      </c>
      <c r="C12080" s="3" t="str">
        <f>IFERROR(__xludf.DUMMYFUNCTION("GOOGLETRANSLATE(B12080,""id"",""en"")"),"['Help', 'apps']")</f>
        <v>['Help', 'apps']</v>
      </c>
      <c r="D12080" s="3">
        <v>5.0</v>
      </c>
    </row>
    <row r="12081" ht="15.75" customHeight="1">
      <c r="A12081" s="1">
        <v>13038.0</v>
      </c>
      <c r="B12081" s="3" t="s">
        <v>11474</v>
      </c>
      <c r="C12081" s="3" t="str">
        <f>IFERROR(__xludf.DUMMYFUNCTION("GOOGLETRANSLATE(B12081,""id"",""en"")"),"['Install', 'Application', 'Wonder', 'Application', 'Telkomsel']")</f>
        <v>['Install', 'Application', 'Wonder', 'Application', 'Telkomsel']</v>
      </c>
      <c r="D12081" s="3">
        <v>1.0</v>
      </c>
    </row>
    <row r="12082" ht="15.75" customHeight="1">
      <c r="A12082" s="1">
        <v>13039.0</v>
      </c>
      <c r="B12082" s="3" t="s">
        <v>11475</v>
      </c>
      <c r="C12082" s="3" t="str">
        <f>IFERROR(__xludf.DUMMYFUNCTION("GOOGLETRANSLATE(B12082,""id"",""en"")"),"['Contents',' Package ',' Data ',' Fund ',' Cut ',' Peket ',' Data ',' Enter ',' Contact ',' Via ',' Online ',' Kink ',' Ujung ',' GraPARI ',' then 'online', 'willing', 'Fund']")</f>
        <v>['Contents',' Package ',' Data ',' Fund ',' Cut ',' Peket ',' Data ',' Enter ',' Contact ',' Via ',' Online ',' Kink ',' Ujung ',' GraPARI ',' then 'online', 'willing', 'Fund']</v>
      </c>
      <c r="D12082" s="3">
        <v>1.0</v>
      </c>
    </row>
    <row r="12083" ht="15.75" customHeight="1">
      <c r="A12083" s="1">
        <v>13040.0</v>
      </c>
      <c r="B12083" s="3" t="s">
        <v>11476</v>
      </c>
      <c r="C12083" s="3" t="str">
        <f>IFERROR(__xludf.DUMMYFUNCTION("GOOGLETRANSLATE(B12083,""id"",""en"")"),"['Satisfied', 'tdak', 'dial', '']")</f>
        <v>['Satisfied', 'tdak', 'dial', '']</v>
      </c>
      <c r="D12083" s="3">
        <v>4.0</v>
      </c>
    </row>
    <row r="12084" ht="15.75" customHeight="1">
      <c r="A12084" s="1">
        <v>13041.0</v>
      </c>
      <c r="B12084" s="3" t="s">
        <v>11477</v>
      </c>
      <c r="C12084" s="3" t="str">
        <f>IFERROR(__xludf.DUMMYFUNCTION("GOOGLETRANSLATE(B12084,""id"",""en"")"),"['Good', 'apk', 'love', 'star', 'anti', 'dizzy']")</f>
        <v>['Good', 'apk', 'love', 'star', 'anti', 'dizzy']</v>
      </c>
      <c r="D12084" s="3">
        <v>5.0</v>
      </c>
    </row>
    <row r="12085" ht="15.75" customHeight="1">
      <c r="A12085" s="1">
        <v>13042.0</v>
      </c>
      <c r="B12085" s="3" t="s">
        <v>1213</v>
      </c>
      <c r="C12085" s="3" t="str">
        <f>IFERROR(__xludf.DUMMYFUNCTION("GOOGLETRANSLATE(B12085,""id"",""en"")"),"['thank', 'love', 'Telkomsel', 'help']")</f>
        <v>['thank', 'love', 'Telkomsel', 'help']</v>
      </c>
      <c r="D12085" s="3">
        <v>5.0</v>
      </c>
    </row>
    <row r="12086" ht="15.75" customHeight="1">
      <c r="A12086" s="1">
        <v>13044.0</v>
      </c>
      <c r="B12086" s="3" t="s">
        <v>11478</v>
      </c>
      <c r="C12086" s="3" t="str">
        <f>IFERROR(__xludf.DUMMYFUNCTION("GOOGLETRANSLATE(B12086,""id"",""en"")"),"['Increases', 'Quality', 'Signal', 'Service', '']")</f>
        <v>['Increases', 'Quality', 'Signal', 'Service', '']</v>
      </c>
      <c r="D12086" s="3">
        <v>4.0</v>
      </c>
    </row>
    <row r="12087" ht="15.75" customHeight="1">
      <c r="A12087" s="1">
        <v>13045.0</v>
      </c>
      <c r="B12087" s="3" t="s">
        <v>11479</v>
      </c>
      <c r="C12087" s="3" t="str">
        <f>IFERROR(__xludf.DUMMYFUNCTION("GOOGLETRANSLATE(B12087,""id"",""en"")"),"['Disappointed', 'card', 'network', 'slow', 'package', 'doang', 'expensive', 'slow', 'network', 'hard', 'waste', 'waste', ' money']")</f>
        <v>['Disappointed', 'card', 'network', 'slow', 'package', 'doang', 'expensive', 'slow', 'network', 'hard', 'waste', 'waste', ' money']</v>
      </c>
      <c r="D12087" s="3">
        <v>1.0</v>
      </c>
    </row>
    <row r="12088" ht="15.75" customHeight="1">
      <c r="A12088" s="1">
        <v>13046.0</v>
      </c>
      <c r="B12088" s="3" t="s">
        <v>11480</v>
      </c>
      <c r="C12088" s="3" t="str">
        <f>IFERROR(__xludf.DUMMYFUNCTION("GOOGLETRANSLATE(B12088,""id"",""en"")"),"['Please', 'Package', 'Gamemax', 'Package', 'Special', 'Game', 'Special', 'Game', 'Package', 'Regular', 'Please', 'Sell', ' Write ',' use ',' special ',' ']")</f>
        <v>['Please', 'Package', 'Gamemax', 'Package', 'Special', 'Game', 'Special', 'Game', 'Package', 'Regular', 'Please', 'Sell', ' Write ',' use ',' special ',' ']</v>
      </c>
      <c r="D12088" s="3">
        <v>1.0</v>
      </c>
    </row>
    <row r="12089" ht="15.75" customHeight="1">
      <c r="A12089" s="1">
        <v>13047.0</v>
      </c>
      <c r="B12089" s="3" t="s">
        <v>11481</v>
      </c>
      <c r="C12089" s="3" t="str">
        <f>IFERROR(__xludf.DUMMYFUNCTION("GOOGLETRANSLATE(B12089,""id"",""en"")"),"['Mantul', 'steady']")</f>
        <v>['Mantul', 'steady']</v>
      </c>
      <c r="D12089" s="3">
        <v>5.0</v>
      </c>
    </row>
    <row r="12090" ht="15.75" customHeight="1">
      <c r="A12090" s="1">
        <v>13048.0</v>
      </c>
      <c r="B12090" s="3" t="s">
        <v>11482</v>
      </c>
      <c r="C12090" s="3" t="str">
        <f>IFERROR(__xludf.DUMMYFUNCTION("GOOGLETRANSLATE(B12090,""id"",""en"")"),"['application', 'good', 'recommended', 'buy', 'package', 'quota', 'easy', 'really', 'stay', 'slide', 'screen', 'choose', ' ']")</f>
        <v>['application', 'good', 'recommended', 'buy', 'package', 'quota', 'easy', 'really', 'stay', 'slide', 'screen', 'choose', ' ']</v>
      </c>
      <c r="D12090" s="3">
        <v>5.0</v>
      </c>
    </row>
    <row r="12091" ht="15.75" customHeight="1">
      <c r="A12091" s="1">
        <v>13050.0</v>
      </c>
      <c r="B12091" s="3" t="s">
        <v>11483</v>
      </c>
      <c r="C12091" s="3" t="str">
        <f>IFERROR(__xludf.DUMMYFUNCTION("GOOGLETRANSLATE(B12091,""id"",""en"")"),"['Telkomsel', 'Champion', '']")</f>
        <v>['Telkomsel', 'Champion', '']</v>
      </c>
      <c r="D12091" s="3">
        <v>5.0</v>
      </c>
    </row>
    <row r="12092" ht="15.75" customHeight="1">
      <c r="A12092" s="1">
        <v>13051.0</v>
      </c>
      <c r="B12092" s="3" t="s">
        <v>11484</v>
      </c>
      <c r="C12092" s="3" t="str">
        <f>IFERROR(__xludf.DUMMYFUNCTION("GOOGLETRANSLATE(B12092,""id"",""en"")"),"['Okay', 'info', 'product', 'Telkomsel']")</f>
        <v>['Okay', 'info', 'product', 'Telkomsel']</v>
      </c>
      <c r="D12092" s="3">
        <v>5.0</v>
      </c>
    </row>
    <row r="12093" ht="15.75" customHeight="1">
      <c r="A12093" s="1">
        <v>13052.0</v>
      </c>
      <c r="B12093" s="3" t="s">
        <v>11485</v>
      </c>
      <c r="C12093" s="3" t="str">
        <f>IFERROR(__xludf.DUMMYFUNCTION("GOOGLETRANSLATE(B12093,""id"",""en"")"),"['Severe', 'emang', 'Telkomsel', 'package', 'internet', 'quality', 'Telkomsel', 'already']")</f>
        <v>['Severe', 'emang', 'Telkomsel', 'package', 'internet', 'quality', 'Telkomsel', 'already']</v>
      </c>
      <c r="D12093" s="3">
        <v>1.0</v>
      </c>
    </row>
    <row r="12094" ht="15.75" customHeight="1">
      <c r="A12094" s="1">
        <v>13053.0</v>
      </c>
      <c r="B12094" s="3" t="s">
        <v>1572</v>
      </c>
      <c r="C12094" s="3" t="str">
        <f>IFERROR(__xludf.DUMMYFUNCTION("GOOGLETRANSLATE(B12094,""id"",""en"")"),"['Love', 'Star']")</f>
        <v>['Love', 'Star']</v>
      </c>
      <c r="D12094" s="3">
        <v>4.0</v>
      </c>
    </row>
    <row r="12095" ht="15.75" customHeight="1">
      <c r="A12095" s="1">
        <v>13054.0</v>
      </c>
      <c r="B12095" s="3" t="s">
        <v>11486</v>
      </c>
      <c r="C12095" s="3" t="str">
        <f>IFERROR(__xludf.DUMMYFUNCTION("GOOGLETRANSLATE(B12095,""id"",""en"")"),"['application', 'fraudster', 'sentence', 'description', 'according to', 'quota', 'writing', 'right', 'fill', 'sms',' run out ',' right ',' Bener ',' Nipu ',' poor ',' really ',' Telkomsel ',' explained ',' Details', 'all day', 'clock', 'swear', 'bankrupt'"&amp;"]")</f>
        <v>['application', 'fraudster', 'sentence', 'description', 'according to', 'quota', 'writing', 'right', 'fill', 'sms',' run out ',' right ',' Bener ',' Nipu ',' poor ',' really ',' Telkomsel ',' explained ',' Details', 'all day', 'clock', 'swear', 'bankrupt']</v>
      </c>
      <c r="D12095" s="3">
        <v>1.0</v>
      </c>
    </row>
    <row r="12096" ht="15.75" customHeight="1">
      <c r="A12096" s="1">
        <v>13055.0</v>
      </c>
      <c r="B12096" s="3" t="s">
        <v>11487</v>
      </c>
      <c r="C12096" s="3" t="str">
        <f>IFERROR(__xludf.DUMMYFUNCTION("GOOGLETRANSLATE(B12096,""id"",""en"")"),"['Area', 'Karanganyar', 'please', 'signal', 'repaired', 'Karna', 'harmed', 'buy', 'quota', 'expensive', 'gakbisa', 'use']")</f>
        <v>['Area', 'Karanganyar', 'please', 'signal', 'repaired', 'Karna', 'harmed', 'buy', 'quota', 'expensive', 'gakbisa', 'use']</v>
      </c>
      <c r="D12096" s="3">
        <v>1.0</v>
      </c>
    </row>
    <row r="12097" ht="15.75" customHeight="1">
      <c r="A12097" s="1">
        <v>13056.0</v>
      </c>
      <c r="B12097" s="3" t="s">
        <v>11488</v>
      </c>
      <c r="C12097" s="3" t="str">
        <f>IFERROR(__xludf.DUMMYFUNCTION("GOOGLETRANSLATE(B12097,""id"",""en"")"),"['Sedsng', 'try', 'easy', 'hopefully', 'useful']")</f>
        <v>['Sedsng', 'try', 'easy', 'hopefully', 'useful']</v>
      </c>
      <c r="D12097" s="3">
        <v>5.0</v>
      </c>
    </row>
    <row r="12098" ht="15.75" customHeight="1">
      <c r="A12098" s="1">
        <v>13058.0</v>
      </c>
      <c r="B12098" s="3" t="s">
        <v>11489</v>
      </c>
      <c r="C12098" s="3" t="str">
        <f>IFERROR(__xludf.DUMMYFUNCTION("GOOGLETRANSLATE(B12098,""id"",""en"")"),"['Fix', 'Quality', 'Network']")</f>
        <v>['Fix', 'Quality', 'Network']</v>
      </c>
      <c r="D12098" s="3">
        <v>5.0</v>
      </c>
    </row>
    <row r="12099" ht="15.75" customHeight="1">
      <c r="A12099" s="1">
        <v>13059.0</v>
      </c>
      <c r="B12099" s="3" t="s">
        <v>11490</v>
      </c>
      <c r="C12099" s="3" t="str">
        <f>IFERROR(__xludf.DUMMYFUNCTION("GOOGLETRANSLATE(B12099,""id"",""en"")"),"['Beat', 'Severe', 'Network', 'Telkomsel', 'Looking', 'Benefit', 'Great', 'Customize', 'Quality', 'Network', 'Main', 'Game', ' network ',' missing ',' embossed ',' dead ',' lights', 'network', 'lost', 'rain', 'network', 'break up', 'position', 'city', 'Me"&amp;"dan' , 'city']")</f>
        <v>['Beat', 'Severe', 'Network', 'Telkomsel', 'Looking', 'Benefit', 'Great', 'Customize', 'Quality', 'Network', 'Main', 'Game', ' network ',' missing ',' embossed ',' dead ',' lights', 'network', 'lost', 'rain', 'network', 'break up', 'position', 'city', 'Medan' , 'city']</v>
      </c>
      <c r="D12099" s="3">
        <v>1.0</v>
      </c>
    </row>
    <row r="12100" ht="15.75" customHeight="1">
      <c r="A12100" s="1">
        <v>13060.0</v>
      </c>
      <c r="B12100" s="3" t="s">
        <v>11491</v>
      </c>
      <c r="C12100" s="3" t="str">
        <f>IFERROR(__xludf.DUMMYFUNCTION("GOOGLETRANSLATE(B12100,""id"",""en"")"),"['according to', 'disappointing', 'in month', 'Telkomsel', 'billing', 'service', 'okay']")</f>
        <v>['according to', 'disappointing', 'in month', 'Telkomsel', 'billing', 'service', 'okay']</v>
      </c>
      <c r="D12100" s="3">
        <v>1.0</v>
      </c>
    </row>
    <row r="12101" ht="15.75" customHeight="1">
      <c r="A12101" s="1">
        <v>13061.0</v>
      </c>
      <c r="B12101" s="3" t="s">
        <v>11492</v>
      </c>
      <c r="C12101" s="3" t="str">
        <f>IFERROR(__xludf.DUMMYFUNCTION("GOOGLETRANSLATE(B12101,""id"",""en"")"),"['Feel', 'slowness', 'Loading', '']")</f>
        <v>['Feel', 'slowness', 'Loading', '']</v>
      </c>
      <c r="D12101" s="3">
        <v>5.0</v>
      </c>
    </row>
    <row r="12102" ht="15.75" customHeight="1">
      <c r="A12102" s="1">
        <v>13062.0</v>
      </c>
      <c r="B12102" s="3" t="s">
        <v>11493</v>
      </c>
      <c r="C12102" s="3" t="str">
        <f>IFERROR(__xludf.DUMMYFUNCTION("GOOGLETRANSLATE(B12102,""id"",""en"")"),"['price', 'Doang', 'expensive', 'network', 'kayak', 'snail']")</f>
        <v>['price', 'Doang', 'expensive', 'network', 'kayak', 'snail']</v>
      </c>
      <c r="D12102" s="3">
        <v>1.0</v>
      </c>
    </row>
    <row r="12103" ht="15.75" customHeight="1">
      <c r="A12103" s="1">
        <v>13063.0</v>
      </c>
      <c r="B12103" s="3" t="s">
        <v>11494</v>
      </c>
      <c r="C12103" s="3" t="str">
        <f>IFERROR(__xludf.DUMMYFUNCTION("GOOGLETRANSLATE(B12103,""id"",""en"")"),"['Hopefully', 'Win', 'Layday', 'Undi', 'Hepi']")</f>
        <v>['Hopefully', 'Win', 'Layday', 'Undi', 'Hepi']</v>
      </c>
      <c r="D12103" s="3">
        <v>5.0</v>
      </c>
    </row>
    <row r="12104" ht="15.75" customHeight="1">
      <c r="A12104" s="1">
        <v>13064.0</v>
      </c>
      <c r="B12104" s="3" t="s">
        <v>11495</v>
      </c>
      <c r="C12104" s="3" t="str">
        <f>IFERROR(__xludf.DUMMYFUNCTION("GOOGLETRANSLATE(B12104,""id"",""en"")"),"['use', 'internet', 'package', 'quota', 'wear', 'wifi', 'pulse', 'run out', 'what', 'please', 'help', 'cooperation']")</f>
        <v>['use', 'internet', 'package', 'quota', 'wear', 'wifi', 'pulse', 'run out', 'what', 'please', 'help', 'cooperation']</v>
      </c>
      <c r="D12104" s="3">
        <v>1.0</v>
      </c>
    </row>
    <row r="12105" ht="15.75" customHeight="1">
      <c r="A12105" s="1">
        <v>13065.0</v>
      </c>
      <c r="B12105" s="3" t="s">
        <v>11496</v>
      </c>
      <c r="C12105" s="3" t="str">
        <f>IFERROR(__xludf.DUMMYFUNCTION("GOOGLETRANSLATE(B12105,""id"",""en"")"),"['Koutaa', 'UDH', 'expensive', 'signal', 'disorder', 'mulu', 'babw']")</f>
        <v>['Koutaa', 'UDH', 'expensive', 'signal', 'disorder', 'mulu', 'babw']</v>
      </c>
      <c r="D12105" s="3">
        <v>1.0</v>
      </c>
    </row>
    <row r="12106" ht="15.75" customHeight="1">
      <c r="A12106" s="1">
        <v>13066.0</v>
      </c>
      <c r="B12106" s="3" t="s">
        <v>11497</v>
      </c>
      <c r="C12106" s="3" t="str">
        <f>IFERROR(__xludf.DUMMYFUNCTION("GOOGLETRANSLATE(B12106,""id"",""en"")"),"['Steady', 'apk', 'okay']")</f>
        <v>['Steady', 'apk', 'okay']</v>
      </c>
      <c r="D12106" s="3">
        <v>5.0</v>
      </c>
    </row>
    <row r="12107" ht="15.75" customHeight="1">
      <c r="A12107" s="1">
        <v>13067.0</v>
      </c>
      <c r="B12107" s="3" t="s">
        <v>1624</v>
      </c>
      <c r="C12107" s="3" t="str">
        <f>IFERROR(__xludf.DUMMYFUNCTION("GOOGLETRANSLATE(B12107,""id"",""en"")"),"['Easy', 'use']")</f>
        <v>['Easy', 'use']</v>
      </c>
      <c r="D12107" s="3">
        <v>5.0</v>
      </c>
    </row>
    <row r="12108" ht="15.75" customHeight="1">
      <c r="A12108" s="1">
        <v>13068.0</v>
      </c>
      <c r="B12108" s="3" t="s">
        <v>11498</v>
      </c>
      <c r="C12108" s="3" t="str">
        <f>IFERROR(__xludf.DUMMYFUNCTION("GOOGLETRANSLATE(B12108,""id"",""en"")"),"['signal', 'Telkomsel', 'disappointing', 'home', 'good', 'hadewhhhh', 'tired', 'just' waiting ',' loading ',' trapping ',' consumer ',' Messages', 'packages',' emergencies', 'honest', 'disappointed']")</f>
        <v>['signal', 'Telkomsel', 'disappointing', 'home', 'good', 'hadewhhhh', 'tired', 'just' waiting ',' loading ',' trapping ',' consumer ',' Messages', 'packages',' emergencies', 'honest', 'disappointed']</v>
      </c>
      <c r="D12108" s="3">
        <v>1.0</v>
      </c>
    </row>
    <row r="12109" ht="15.75" customHeight="1">
      <c r="A12109" s="1">
        <v>13069.0</v>
      </c>
      <c r="B12109" s="3" t="s">
        <v>11499</v>
      </c>
      <c r="C12109" s="3" t="str">
        <f>IFERROR(__xludf.DUMMYFUNCTION("GOOGLETRANSLATE(B12109,""id"",""en"")"),"['Jarigan', 'You', 'Fix', 'Aanjengg']")</f>
        <v>['Jarigan', 'You', 'Fix', 'Aanjengg']</v>
      </c>
      <c r="D12109" s="3">
        <v>1.0</v>
      </c>
    </row>
    <row r="12110" ht="15.75" customHeight="1">
      <c r="A12110" s="1">
        <v>13070.0</v>
      </c>
      <c r="B12110" s="3" t="s">
        <v>11500</v>
      </c>
      <c r="C12110" s="3" t="str">
        <f>IFERROR(__xludf.DUMMYFUNCTION("GOOGLETRANSLATE(B12110,""id"",""en"")"),"['mantapp', 'hope', 'gift']")</f>
        <v>['mantapp', 'hope', 'gift']</v>
      </c>
      <c r="D12110" s="3">
        <v>5.0</v>
      </c>
    </row>
    <row r="12111" ht="15.75" customHeight="1">
      <c r="A12111" s="1">
        <v>13071.0</v>
      </c>
      <c r="B12111" s="3" t="s">
        <v>11501</v>
      </c>
      <c r="C12111" s="3" t="str">
        <f>IFERROR(__xludf.DUMMYFUNCTION("GOOGLETRANSLATE(B12111,""id"",""en"")"),"['TKB', 'APK', 'EASY', 'ACCESS', 'RIBET']")</f>
        <v>['TKB', 'APK', 'EASY', 'ACCESS', 'RIBET']</v>
      </c>
      <c r="D12111" s="3">
        <v>5.0</v>
      </c>
    </row>
    <row r="12112" ht="15.75" customHeight="1">
      <c r="A12112" s="1">
        <v>13072.0</v>
      </c>
      <c r="B12112" s="3" t="s">
        <v>11502</v>
      </c>
      <c r="C12112" s="3" t="str">
        <f>IFERROR(__xludf.DUMMYFUNCTION("GOOGLETRANSLATE(B12112,""id"",""en"")"),"['Move', 'use', ""]")</f>
        <v>['Move', 'use', "]</v>
      </c>
      <c r="D12112" s="3">
        <v>1.0</v>
      </c>
    </row>
    <row r="12113" ht="15.75" customHeight="1">
      <c r="A12113" s="1">
        <v>13073.0</v>
      </c>
      <c r="B12113" s="3" t="s">
        <v>9573</v>
      </c>
      <c r="C12113" s="3" t="str">
        <f>IFERROR(__xludf.DUMMYFUNCTION("GOOGLETRANSLATE(B12113,""id"",""en"")"),"['Telkomsel', 'Leet']")</f>
        <v>['Telkomsel', 'Leet']</v>
      </c>
      <c r="D12113" s="3">
        <v>1.0</v>
      </c>
    </row>
    <row r="12114" ht="15.75" customHeight="1">
      <c r="A12114" s="1">
        <v>13074.0</v>
      </c>
      <c r="B12114" s="3" t="s">
        <v>11503</v>
      </c>
      <c r="C12114" s="3" t="str">
        <f>IFERROR(__xludf.DUMMYFUNCTION("GOOGLETRANSLATE(B12114,""id"",""en"")"),"['Paketan', 'UDH', 'expensive', 'network', 'stable', 'zzzzz']")</f>
        <v>['Paketan', 'UDH', 'expensive', 'network', 'stable', 'zzzzz']</v>
      </c>
      <c r="D12114" s="3">
        <v>2.0</v>
      </c>
    </row>
    <row r="12115" ht="15.75" customHeight="1">
      <c r="A12115" s="1">
        <v>13075.0</v>
      </c>
      <c r="B12115" s="3" t="s">
        <v>11504</v>
      </c>
      <c r="C12115" s="3" t="str">
        <f>IFERROR(__xludf.DUMMYFUNCTION("GOOGLETRANSLATE(B12115,""id"",""en"")"),"['Credit', 'Reduced', 'Check', 'Use', 'Written', 'Costs',' Internet ',' Funny ',' Bangetttt ',' Use ',' WiFi ',' All Day ',' Package ',' data ',' quota ',' operator ',' Telkomsel ',' chat ',' Veronika ',' Telkomsel ', ""]")</f>
        <v>['Credit', 'Reduced', 'Check', 'Use', 'Written', 'Costs',' Internet ',' Funny ',' Bangetttt ',' Use ',' WiFi ',' All Day ',' Package ',' data ',' quota ',' operator ',' Telkomsel ',' chat ',' Veronika ',' Telkomsel ', "]</v>
      </c>
      <c r="D12115" s="3">
        <v>1.0</v>
      </c>
    </row>
    <row r="12116" ht="15.75" customHeight="1">
      <c r="A12116" s="1">
        <v>13076.0</v>
      </c>
      <c r="B12116" s="3" t="s">
        <v>11505</v>
      </c>
      <c r="C12116" s="3" t="str">
        <f>IFERROR(__xludf.DUMMYFUNCTION("GOOGLETRANSLATE(B12116,""id"",""en"")"),"['Ksini', 'NOT', 'Good', 'Ancur', 'Connection', 'Network', 'Lemot', 'Price', 'Package', 'Doang', 'Expensive', 'Connection', ' Pulp ']")</f>
        <v>['Ksini', 'NOT', 'Good', 'Ancur', 'Connection', 'Network', 'Lemot', 'Price', 'Package', 'Doang', 'Expensive', 'Connection', ' Pulp ']</v>
      </c>
      <c r="D12116" s="3">
        <v>4.0</v>
      </c>
    </row>
    <row r="12117" ht="15.75" customHeight="1">
      <c r="A12117" s="1">
        <v>13077.0</v>
      </c>
      <c r="B12117" s="3" t="s">
        <v>11506</v>
      </c>
      <c r="C12117" s="3" t="str">
        <f>IFERROR(__xludf.DUMMYFUNCTION("GOOGLETRANSLATE(B12117,""id"",""en"")"),"['Network', 'service', 'consumers', 'poor', 'said', 'garbage', 'star', 'below', '']")</f>
        <v>['Network', 'service', 'consumers', 'poor', 'said', 'garbage', 'star', 'below', '']</v>
      </c>
      <c r="D12117" s="3">
        <v>1.0</v>
      </c>
    </row>
    <row r="12118" ht="15.75" customHeight="1">
      <c r="A12118" s="1">
        <v>13078.0</v>
      </c>
      <c r="B12118" s="3" t="s">
        <v>11507</v>
      </c>
      <c r="C12118" s="3" t="str">
        <f>IFERROR(__xludf.DUMMYFUNCTION("GOOGLETRANSLATE(B12118,""id"",""en"")"),"['Network', 'internet', 'missing', 'slow', 'call', 'sound', 'echo', 'sound', 'voice', 'opponent', 'sound', 'thank you']")</f>
        <v>['Network', 'internet', 'missing', 'slow', 'call', 'sound', 'echo', 'sound', 'voice', 'opponent', 'sound', 'thank you']</v>
      </c>
      <c r="D12118" s="3">
        <v>2.0</v>
      </c>
    </row>
    <row r="12119" ht="15.75" customHeight="1">
      <c r="A12119" s="1">
        <v>13079.0</v>
      </c>
      <c r="B12119" s="3" t="s">
        <v>11508</v>
      </c>
      <c r="C12119" s="3" t="str">
        <f>IFERROR(__xludf.DUMMYFUNCTION("GOOGLETRANSLATE(B12119,""id"",""en"")"),"['Paketannya', 'expensive', 'beud', 'country', 'quota', 'gheuh', 'meek', 'interesting', 'exchange', 'point', 'dapt', 'gift', ' then ',' DAPT ',' CXCX ',' Severe ',' DIGHT ',' CUSTOMER ',' NYAHOK ',' Cell ',' Internet ',' Lemot ',' Pulak ',' Gada ',' Mendi"&amp;"ng "" , '']")</f>
        <v>['Paketannya', 'expensive', 'beud', 'country', 'quota', 'gheuh', 'meek', 'interesting', 'exchange', 'point', 'dapt', 'gift', ' then ',' DAPT ',' CXCX ',' Severe ',' DIGHT ',' CUSTOMER ',' NYAHOK ',' Cell ',' Internet ',' Lemot ',' Pulak ',' Gada ',' Mending " , '']</v>
      </c>
      <c r="D12119" s="3">
        <v>1.0</v>
      </c>
    </row>
    <row r="12120" ht="15.75" customHeight="1">
      <c r="A12120" s="1">
        <v>13080.0</v>
      </c>
      <c r="B12120" s="3" t="s">
        <v>11509</v>
      </c>
      <c r="C12120" s="3" t="str">
        <f>IFERROR(__xludf.DUMMYFUNCTION("GOOGLETRANSLATE(B12120,""id"",""en"")"),"['Contents',' pulse ',' ilang ',' directly ',' get ',' notif ',' package ',' active ',' subscription ',' contents', 'pulse', 'cut', ' Check ',' subscription ',' please ',' assisted ',' subscription ',' Telkomsel ']")</f>
        <v>['Contents',' pulse ',' ilang ',' directly ',' get ',' notif ',' package ',' active ',' subscription ',' contents', 'pulse', 'cut', ' Check ',' subscription ',' please ',' assisted ',' subscription ',' Telkomsel ']</v>
      </c>
      <c r="D12120" s="3">
        <v>1.0</v>
      </c>
    </row>
    <row r="12121" ht="15.75" customHeight="1">
      <c r="A12121" s="1">
        <v>13081.0</v>
      </c>
      <c r="B12121" s="3" t="s">
        <v>11510</v>
      </c>
      <c r="C12121" s="3" t="str">
        <f>IFERROR(__xludf.DUMMYFUNCTION("GOOGLETRANSLATE(B12121,""id"",""en"")"),"['times', 'buy', 'quota', 'youtube', 'social', 'media', '']")</f>
        <v>['times', 'buy', 'quota', 'youtube', 'social', 'media', '']</v>
      </c>
      <c r="D12121" s="3">
        <v>1.0</v>
      </c>
    </row>
    <row r="12122" ht="15.75" customHeight="1">
      <c r="A12122" s="1">
        <v>13082.0</v>
      </c>
      <c r="B12122" s="3" t="s">
        <v>11511</v>
      </c>
      <c r="C12122" s="3" t="str">
        <f>IFERROR(__xludf.DUMMYFUNCTION("GOOGLETRANSLATE(B12122,""id"",""en"")"),"['Belom', 'Bener', 'The network', 'Dour', 'Star']")</f>
        <v>['Belom', 'Bener', 'The network', 'Dour', 'Star']</v>
      </c>
      <c r="D12122" s="3">
        <v>2.0</v>
      </c>
    </row>
    <row r="12123" ht="15.75" customHeight="1">
      <c r="A12123" s="1">
        <v>13083.0</v>
      </c>
      <c r="B12123" s="3" t="s">
        <v>11512</v>
      </c>
      <c r="C12123" s="3" t="str">
        <f>IFERROR(__xludf.DUMMYFUNCTION("GOOGLETRANSLATE(B12123,""id"",""en"")"),"['function', 'selection', 'package', 'easy']")</f>
        <v>['function', 'selection', 'package', 'easy']</v>
      </c>
      <c r="D12123" s="3">
        <v>5.0</v>
      </c>
    </row>
    <row r="12124" ht="15.75" customHeight="1">
      <c r="A12124" s="1">
        <v>13084.0</v>
      </c>
      <c r="B12124" s="3" t="s">
        <v>11513</v>
      </c>
      <c r="C12124" s="3" t="str">
        <f>IFERROR(__xludf.DUMMYFUNCTION("GOOGLETRANSLATE(B12124,""id"",""en"")"),"['Great', 'hope', 'Jaya']")</f>
        <v>['Great', 'hope', 'Jaya']</v>
      </c>
      <c r="D12124" s="3">
        <v>5.0</v>
      </c>
    </row>
    <row r="12125" ht="15.75" customHeight="1">
      <c r="A12125" s="1">
        <v>13085.0</v>
      </c>
      <c r="B12125" s="3" t="s">
        <v>11514</v>
      </c>
      <c r="C12125" s="3" t="str">
        <f>IFERROR(__xludf.DUMMYFUNCTION("GOOGLETRANSLATE(B12125,""id"",""en"")"),"['card', 'NGK', 'NGD', 'Where', 'lag', 'ajg']")</f>
        <v>['card', 'NGK', 'NGD', 'Where', 'lag', 'ajg']</v>
      </c>
      <c r="D12125" s="3">
        <v>1.0</v>
      </c>
    </row>
    <row r="12126" ht="15.75" customHeight="1">
      <c r="A12126" s="1">
        <v>13086.0</v>
      </c>
      <c r="B12126" s="3" t="s">
        <v>11515</v>
      </c>
      <c r="C12126" s="3" t="str">
        <f>IFERROR(__xludf.DUMMYFUNCTION("GOOGLETRANSLATE(B12126,""id"",""en"")"),"['Exchange', 'in', 'TPI', 'knapa', 'prize', ""]")</f>
        <v>['Exchange', 'in', 'TPI', 'knapa', 'prize', "]</v>
      </c>
      <c r="D12126" s="3">
        <v>3.0</v>
      </c>
    </row>
    <row r="12127" ht="15.75" customHeight="1">
      <c r="A12127" s="1">
        <v>13087.0</v>
      </c>
      <c r="B12127" s="3" t="s">
        <v>3542</v>
      </c>
      <c r="C12127" s="3" t="str">
        <f>IFERROR(__xludf.DUMMYFUNCTION("GOOGLETRANSLATE(B12127,""id"",""en"")"),"['easy', 'satisfied']")</f>
        <v>['easy', 'satisfied']</v>
      </c>
      <c r="D12127" s="3">
        <v>5.0</v>
      </c>
    </row>
    <row r="12128" ht="15.75" customHeight="1">
      <c r="A12128" s="1">
        <v>13088.0</v>
      </c>
      <c r="B12128" s="3" t="s">
        <v>11516</v>
      </c>
      <c r="C12128" s="3" t="str">
        <f>IFERROR(__xludf.DUMMYFUNCTION("GOOGLETRANSLATE(B12128,""id"",""en"")"),"['ksh', 'star', 'boss']")</f>
        <v>['ksh', 'star', 'boss']</v>
      </c>
      <c r="D12128" s="3">
        <v>4.0</v>
      </c>
    </row>
    <row r="12129" ht="15.75" customHeight="1">
      <c r="A12129" s="1">
        <v>13089.0</v>
      </c>
      <c r="B12129" s="3" t="s">
        <v>11517</v>
      </c>
      <c r="C12129" s="3" t="str">
        <f>IFERROR(__xludf.DUMMYFUNCTION("GOOGLETRANSLATE(B12129,""id"",""en"")"),"['Telkom', 'bad', 'network', 'expensive', 'card', 'Lola', 'bnget', 'woy', 'operator', 'work', 'Loo', 'Benerin', ' Stayed ',' City ',' Jringan ', ""]")</f>
        <v>['Telkom', 'bad', 'network', 'expensive', 'card', 'Lola', 'bnget', 'woy', 'operator', 'work', 'Loo', 'Benerin', ' Stayed ',' City ',' Jringan ', "]</v>
      </c>
      <c r="D12129" s="3">
        <v>1.0</v>
      </c>
    </row>
    <row r="12130" ht="15.75" customHeight="1">
      <c r="A12130" s="1">
        <v>13090.0</v>
      </c>
      <c r="B12130" s="3" t="s">
        <v>11518</v>
      </c>
      <c r="C12130" s="3" t="str">
        <f>IFERROR(__xludf.DUMMYFUNCTION("GOOGLETRANSLATE(B12130,""id"",""en"")"),"['like', 'combo']")</f>
        <v>['like', 'combo']</v>
      </c>
      <c r="D12130" s="3">
        <v>4.0</v>
      </c>
    </row>
    <row r="12131" ht="15.75" customHeight="1">
      <c r="A12131" s="1">
        <v>13091.0</v>
      </c>
      <c r="B12131" s="3" t="s">
        <v>11519</v>
      </c>
      <c r="C12131" s="3" t="str">
        <f>IFERROR(__xludf.DUMMYFUNCTION("GOOGLETRANSLATE(B12131,""id"",""en"")"),"['Please', 'considered', 'speed', 'Mbps',' as if ',' according to ',' wasteful ',' speed ',' Sometimes', 'slow', 'Please', 'consideration', ' Telkomsel ',' Thank you ', ""]")</f>
        <v>['Please', 'considered', 'speed', 'Mbps',' as if ',' according to ',' wasteful ',' speed ',' Sometimes', 'slow', 'Please', 'consideration', ' Telkomsel ',' Thank you ', "]</v>
      </c>
      <c r="D12131" s="3">
        <v>3.0</v>
      </c>
    </row>
    <row r="12132" ht="15.75" customHeight="1">
      <c r="A12132" s="1">
        <v>13092.0</v>
      </c>
      <c r="B12132" s="3" t="s">
        <v>11520</v>
      </c>
      <c r="C12132" s="3" t="str">
        <f>IFERROR(__xludf.DUMMYFUNCTION("GOOGLETRANSLATE(B12132,""id"",""en"")"),"['Good', 'times', 'price', 'package', 'cheap', 'access', 'easy', 'trima', 'love', 'Telkomsel', ""]")</f>
        <v>['Good', 'times', 'price', 'package', 'cheap', 'access', 'easy', 'trima', 'love', 'Telkomsel', "]</v>
      </c>
      <c r="D12132" s="3">
        <v>5.0</v>
      </c>
    </row>
    <row r="12133" ht="15.75" customHeight="1">
      <c r="A12133" s="1">
        <v>13093.0</v>
      </c>
      <c r="B12133" s="3" t="s">
        <v>11521</v>
      </c>
      <c r="C12133" s="3" t="str">
        <f>IFERROR(__xludf.DUMMYFUNCTION("GOOGLETRANSLATE(B12133,""id"",""en"")"),"['signal', 'Ngelaq', 'right', 'play', 'game', '']")</f>
        <v>['signal', 'Ngelaq', 'right', 'play', 'game', '']</v>
      </c>
      <c r="D12133" s="3">
        <v>1.0</v>
      </c>
    </row>
    <row r="12134" ht="15.75" customHeight="1">
      <c r="A12134" s="1">
        <v>13094.0</v>
      </c>
      <c r="B12134" s="3" t="s">
        <v>11522</v>
      </c>
      <c r="C12134" s="3" t="str">
        <f>IFERROR(__xludf.DUMMYFUNCTION("GOOGLETRANSLATE(B12134,""id"",""en"")"),"['Signal', 'Telkomsel', 'Ancurrrrrrrr', 'Parahhhhj']")</f>
        <v>['Signal', 'Telkomsel', 'Ancurrrrrrrr', 'Parahhhhj']</v>
      </c>
      <c r="D12134" s="3">
        <v>1.0</v>
      </c>
    </row>
    <row r="12135" ht="15.75" customHeight="1">
      <c r="A12135" s="1">
        <v>13095.0</v>
      </c>
      <c r="B12135" s="3" t="s">
        <v>11523</v>
      </c>
      <c r="C12135" s="3" t="str">
        <f>IFERROR(__xludf.DUMMYFUNCTION("GOOGLETRANSLATE(B12135,""id"",""en"")"),"['bad', 'pulse', 'chick']")</f>
        <v>['bad', 'pulse', 'chick']</v>
      </c>
      <c r="D12135" s="3">
        <v>1.0</v>
      </c>
    </row>
    <row r="12136" ht="15.75" customHeight="1">
      <c r="A12136" s="1">
        <v>13096.0</v>
      </c>
      <c r="B12136" s="3" t="s">
        <v>11524</v>
      </c>
      <c r="C12136" s="3" t="str">
        <f>IFERROR(__xludf.DUMMYFUNCTION("GOOGLETRANSLATE(B12136,""id"",""en"")"),"['', 'application', 'good']")</f>
        <v>['', 'application', 'good']</v>
      </c>
      <c r="D12136" s="3">
        <v>5.0</v>
      </c>
    </row>
    <row r="12137" ht="15.75" customHeight="1">
      <c r="A12137" s="1">
        <v>13097.0</v>
      </c>
      <c r="B12137" s="3" t="s">
        <v>7974</v>
      </c>
      <c r="C12137" s="3" t="str">
        <f>IFERROR(__xludf.DUMMYFUNCTION("GOOGLETRANSLATE(B12137,""id"",""en"")"),"['Good', 'practical']")</f>
        <v>['Good', 'practical']</v>
      </c>
      <c r="D12137" s="3">
        <v>5.0</v>
      </c>
    </row>
    <row r="12138" ht="15.75" customHeight="1">
      <c r="A12138" s="1">
        <v>13098.0</v>
      </c>
      <c r="B12138" s="3" t="s">
        <v>11525</v>
      </c>
      <c r="C12138" s="3" t="str">
        <f>IFERROR(__xludf.DUMMYFUNCTION("GOOGLETRANSLATE(B12138,""id"",""en"")"),"['Increase', 'Quality', 'Quantity']")</f>
        <v>['Increase', 'Quality', 'Quantity']</v>
      </c>
      <c r="D12138" s="3">
        <v>5.0</v>
      </c>
    </row>
    <row r="12139" ht="15.75" customHeight="1">
      <c r="A12139" s="1">
        <v>13099.0</v>
      </c>
      <c r="B12139" s="3" t="s">
        <v>11526</v>
      </c>
      <c r="C12139" s="3" t="str">
        <f>IFERROR(__xludf.DUMMYFUNCTION("GOOGLETRANSLATE(B12139,""id"",""en"")"),"['', 'pulse', 'Abis', 'all', 'idih', 'unclean', 'msa', 'abis']")</f>
        <v>['', 'pulse', 'Abis', 'all', 'idih', 'unclean', 'msa', 'abis']</v>
      </c>
      <c r="D12139" s="3">
        <v>1.0</v>
      </c>
    </row>
    <row r="12140" ht="15.75" customHeight="1">
      <c r="A12140" s="1">
        <v>13101.0</v>
      </c>
      <c r="B12140" s="3" t="s">
        <v>11527</v>
      </c>
      <c r="C12140" s="3" t="str">
        <f>IFERROR(__xludf.DUMMYFUNCTION("GOOGLETRANSLATE(B12140,""id"",""en"")"),"['Hmm', 'Aged', 'Age', 'already', 'Change', 'Gunta', 'Gift', 'Lottery', 'Telkomsel', 'Look', 'People', 'Dalem', ' Win ',' Damn ',' Collecting ',' Points', 'Belongs',' BUMN ',' Unemployment ',' TPI ',' Appreciate ',' People ',' Expensive ',' Slow ',' TTEP "&amp;"' , 'Tsel']")</f>
        <v>['Hmm', 'Aged', 'Age', 'already', 'Change', 'Gunta', 'Gift', 'Lottery', 'Telkomsel', 'Look', 'People', 'Dalem', ' Win ',' Damn ',' Collecting ',' Points', 'Belongs',' BUMN ',' Unemployment ',' TPI ',' Appreciate ',' People ',' Expensive ',' Slow ',' TTEP ' , 'Tsel']</v>
      </c>
      <c r="D12140" s="3">
        <v>3.0</v>
      </c>
    </row>
    <row r="12141" ht="15.75" customHeight="1">
      <c r="A12141" s="1">
        <v>13102.0</v>
      </c>
      <c r="B12141" s="3" t="s">
        <v>11528</v>
      </c>
      <c r="C12141" s="3" t="str">
        <f>IFERROR(__xludf.DUMMYFUNCTION("GOOGLETRANSLATE(B12141,""id"",""en"")"),"['wahyu', 'wibowo']")</f>
        <v>['wahyu', 'wibowo']</v>
      </c>
      <c r="D12141" s="3">
        <v>1.0</v>
      </c>
    </row>
    <row r="12142" ht="15.75" customHeight="1">
      <c r="A12142" s="1">
        <v>13103.0</v>
      </c>
      <c r="B12142" s="3" t="s">
        <v>11529</v>
      </c>
      <c r="C12142" s="3" t="str">
        <f>IFERROR(__xludf.DUMMYFUNCTION("GOOGLETRANSLATE(B12142,""id"",""en"")"),"['signal', 'ugly', 'good', 'card', 'ugly']")</f>
        <v>['signal', 'ugly', 'good', 'card', 'ugly']</v>
      </c>
      <c r="D12142" s="3">
        <v>1.0</v>
      </c>
    </row>
    <row r="12143" ht="15.75" customHeight="1">
      <c r="A12143" s="1">
        <v>13104.0</v>
      </c>
      <c r="B12143" s="3" t="s">
        <v>11530</v>
      </c>
      <c r="C12143" s="3" t="str">
        <f>IFERROR(__xludf.DUMMYFUNCTION("GOOGLETRANSLATE(B12143,""id"",""en"")"),"['Help', 'in', 'charging', 'reset', 'pulse', 'etc.', '']")</f>
        <v>['Help', 'in', 'charging', 'reset', 'pulse', 'etc.', '']</v>
      </c>
      <c r="D12143" s="3">
        <v>5.0</v>
      </c>
    </row>
    <row r="12144" ht="15.75" customHeight="1">
      <c r="A12144" s="1">
        <v>13105.0</v>
      </c>
      <c r="B12144" s="3" t="s">
        <v>11531</v>
      </c>
      <c r="C12144" s="3" t="str">
        <f>IFERROR(__xludf.DUMMYFUNCTION("GOOGLETRANSLATE(B12144,""id"",""en"")"),"['kereen', 'engine', 'good', 'bangeet', 'hope', 'success', 'enhanced', '']")</f>
        <v>['kereen', 'engine', 'good', 'bangeet', 'hope', 'success', 'enhanced', '']</v>
      </c>
      <c r="D12144" s="3">
        <v>5.0</v>
      </c>
    </row>
    <row r="12145" ht="15.75" customHeight="1">
      <c r="A12145" s="1">
        <v>13106.0</v>
      </c>
      <c r="B12145" s="3" t="s">
        <v>11532</v>
      </c>
      <c r="C12145" s="3" t="str">
        <f>IFERROR(__xludf.DUMMYFUNCTION("GOOGLETRANSLATE(B12145,""id"",""en"")"),"['Opened', 'Samsung', 'Note', '']")</f>
        <v>['Opened', 'Samsung', 'Note', '']</v>
      </c>
      <c r="D12145" s="3">
        <v>1.0</v>
      </c>
    </row>
    <row r="12146" ht="15.75" customHeight="1">
      <c r="A12146" s="1">
        <v>13107.0</v>
      </c>
      <c r="B12146" s="3" t="s">
        <v>11533</v>
      </c>
      <c r="C12146" s="3" t="str">
        <f>IFERROR(__xludf.DUMMYFUNCTION("GOOGLETRANSLATE(B12146,""id"",""en"")"),"['Application', 'MyTelkomsel']")</f>
        <v>['Application', 'MyTelkomsel']</v>
      </c>
      <c r="D12146" s="3">
        <v>5.0</v>
      </c>
    </row>
    <row r="12147" ht="15.75" customHeight="1">
      <c r="A12147" s="1">
        <v>13108.0</v>
      </c>
      <c r="B12147" s="3" t="s">
        <v>11534</v>
      </c>
      <c r="C12147" s="3" t="str">
        <f>IFERROR(__xludf.DUMMYFUNCTION("GOOGLETRANSLATE(B12147,""id"",""en"")"),"['Telkomsel', 'Please', 'buy', 'Package', 'Combo', 'Sakti', 'Get', 'Message', 'Package', 'Internet', 'Main', 'Abis',' Download ',' Game ',' GB ',' Out ',' Please ',' Explanation ',' ']")</f>
        <v>['Telkomsel', 'Please', 'buy', 'Package', 'Combo', 'Sakti', 'Get', 'Message', 'Package', 'Internet', 'Main', 'Abis',' Download ',' Game ',' GB ',' Out ',' Please ',' Explanation ',' ']</v>
      </c>
      <c r="D12147" s="3">
        <v>5.0</v>
      </c>
    </row>
    <row r="12148" ht="15.75" customHeight="1">
      <c r="A12148" s="1">
        <v>13109.0</v>
      </c>
      <c r="B12148" s="3" t="s">
        <v>11535</v>
      </c>
      <c r="C12148" s="3" t="str">
        <f>IFERROR(__xludf.DUMMYFUNCTION("GOOGLETRANSLATE(B12148,""id"",""en"")"),"['Damaged', 'The application', '']")</f>
        <v>['Damaged', 'The application', '']</v>
      </c>
      <c r="D12148" s="3">
        <v>1.0</v>
      </c>
    </row>
    <row r="12149" ht="15.75" customHeight="1">
      <c r="A12149" s="1">
        <v>13110.0</v>
      </c>
      <c r="B12149" s="3" t="s">
        <v>11536</v>
      </c>
      <c r="C12149" s="3" t="str">
        <f>IFERROR(__xludf.DUMMYFUNCTION("GOOGLETRANSLATE(B12149,""id"",""en"")"),"['Benerin', 'signal', 'ppp']")</f>
        <v>['Benerin', 'signal', 'ppp']</v>
      </c>
      <c r="D12149" s="3">
        <v>1.0</v>
      </c>
    </row>
    <row r="12150" ht="15.75" customHeight="1">
      <c r="A12150" s="1">
        <v>13111.0</v>
      </c>
      <c r="B12150" s="3" t="s">
        <v>11537</v>
      </c>
      <c r="C12150" s="3" t="str">
        <f>IFERROR(__xludf.DUMMYFUNCTION("GOOGLETRANSLATE(B12150,""id"",""en"")"),"['Please', 'Network', 'Game', 'Dragus', 'My Head', 'Cave', 'Dizziness']")</f>
        <v>['Please', 'Network', 'Game', 'Dragus', 'My Head', 'Cave', 'Dizziness']</v>
      </c>
      <c r="D12150" s="3">
        <v>1.0</v>
      </c>
    </row>
    <row r="12151" ht="15.75" customHeight="1">
      <c r="A12151" s="1">
        <v>13112.0</v>
      </c>
      <c r="B12151" s="3" t="s">
        <v>11538</v>
      </c>
      <c r="C12151" s="3" t="str">
        <f>IFERROR(__xludf.DUMMYFUNCTION("GOOGLETRANSLATE(B12151,""id"",""en"")"),"['Forced', 'SLLU', 'Meng', 'update', 'application']")</f>
        <v>['Forced', 'SLLU', 'Meng', 'update', 'application']</v>
      </c>
      <c r="D12151" s="3">
        <v>3.0</v>
      </c>
    </row>
    <row r="12152" ht="15.75" customHeight="1">
      <c r="A12152" s="1">
        <v>13113.0</v>
      </c>
      <c r="B12152" s="3" t="s">
        <v>11539</v>
      </c>
      <c r="C12152" s="3" t="str">
        <f>IFERROR(__xludf.DUMMYFUNCTION("GOOGLETRANSLATE(B12152,""id"",""en"")"),"['Ngg', 'really', 'play', 'game', 'pulp']")</f>
        <v>['Ngg', 'really', 'play', 'game', 'pulp']</v>
      </c>
      <c r="D12152" s="3">
        <v>1.0</v>
      </c>
    </row>
    <row r="12153" ht="15.75" customHeight="1">
      <c r="A12153" s="1">
        <v>13114.0</v>
      </c>
      <c r="B12153" s="3" t="s">
        <v>11540</v>
      </c>
      <c r="C12153" s="3" t="str">
        <f>IFERROR(__xludf.DUMMYFUNCTION("GOOGLETRANSLATE(B12153,""id"",""en"")"),"['Cheap', 'expensive', 'confused', '']")</f>
        <v>['Cheap', 'expensive', 'confused', '']</v>
      </c>
      <c r="D12153" s="3">
        <v>3.0</v>
      </c>
    </row>
    <row r="12154" ht="15.75" customHeight="1">
      <c r="A12154" s="1">
        <v>13115.0</v>
      </c>
      <c r="B12154" s="3" t="s">
        <v>11541</v>
      </c>
      <c r="C12154" s="3" t="str">
        <f>IFERROR(__xludf.DUMMYFUNCTION("GOOGLETRANSLATE(B12154,""id"",""en"")"),"['Depelover', 'Tambain', 'Lock', 'Lock', 'Credit', 'Pas',' Quota ',' Out ',' Kaga ',' Direct ',' Eat ',' Credit ',' That's', 'Suggestion', '']")</f>
        <v>['Depelover', 'Tambain', 'Lock', 'Lock', 'Credit', 'Pas',' Quota ',' Out ',' Kaga ',' Direct ',' Eat ',' Credit ',' That's', 'Suggestion', '']</v>
      </c>
      <c r="D12154" s="3">
        <v>4.0</v>
      </c>
    </row>
    <row r="12155" ht="15.75" customHeight="1">
      <c r="A12155" s="1">
        <v>13116.0</v>
      </c>
      <c r="B12155" s="3" t="s">
        <v>11542</v>
      </c>
      <c r="C12155" s="3" t="str">
        <f>IFERROR(__xludf.DUMMYFUNCTION("GOOGLETRANSLATE(B12155,""id"",""en"")"),"['Telkomsel', 'signal', 'strong', '']")</f>
        <v>['Telkomsel', 'signal', 'strong', '']</v>
      </c>
      <c r="D12155" s="3">
        <v>3.0</v>
      </c>
    </row>
    <row r="12156" ht="15.75" customHeight="1">
      <c r="A12156" s="1">
        <v>13117.0</v>
      </c>
      <c r="B12156" s="3" t="s">
        <v>11543</v>
      </c>
      <c r="C12156" s="3" t="str">
        <f>IFERROR(__xludf.DUMMYFUNCTION("GOOGLETRANSLATE(B12156,""id"",""en"")"),"['Telkomsel', 'Leet', 'IM', 'Lined', 'Network', 'Win', 'expensive', 'Doang']")</f>
        <v>['Telkomsel', 'Leet', 'IM', 'Lined', 'Network', 'Win', 'expensive', 'Doang']</v>
      </c>
      <c r="D12156" s="3">
        <v>1.0</v>
      </c>
    </row>
    <row r="12157" ht="15.75" customHeight="1">
      <c r="A12157" s="1">
        <v>13118.0</v>
      </c>
      <c r="B12157" s="3" t="s">
        <v>1435</v>
      </c>
      <c r="C12157" s="3" t="str">
        <f>IFERROR(__xludf.DUMMYFUNCTION("GOOGLETRANSLATE(B12157,""id"",""en"")"),"['help', '']")</f>
        <v>['help', '']</v>
      </c>
      <c r="D12157" s="3">
        <v>5.0</v>
      </c>
    </row>
    <row r="12158" ht="15.75" customHeight="1">
      <c r="A12158" s="1">
        <v>13119.0</v>
      </c>
      <c r="B12158" s="3" t="s">
        <v>11544</v>
      </c>
      <c r="C12158" s="3" t="str">
        <f>IFERROR(__xludf.DUMMYFUNCTION("GOOGLETRANSLATE(B12158,""id"",""en"")"),"['Please', 'Read', 'yaaaa', 'The network', 'please', 'inconsequently']")</f>
        <v>['Please', 'Read', 'yaaaa', 'The network', 'please', 'inconsequently']</v>
      </c>
      <c r="D12158" s="3">
        <v>1.0</v>
      </c>
    </row>
    <row r="12159" ht="15.75" customHeight="1">
      <c r="A12159" s="1">
        <v>13120.0</v>
      </c>
      <c r="B12159" s="3" t="s">
        <v>11545</v>
      </c>
      <c r="C12159" s="3" t="str">
        <f>IFERROR(__xludf.DUMMYFUNCTION("GOOGLETRANSLATE(B12159,""id"",""en"")"),"['Telkomsel', 'okay']")</f>
        <v>['Telkomsel', 'okay']</v>
      </c>
      <c r="D12159" s="3">
        <v>5.0</v>
      </c>
    </row>
    <row r="12160" ht="15.75" customHeight="1">
      <c r="A12160" s="1">
        <v>13121.0</v>
      </c>
      <c r="B12160" s="3" t="s">
        <v>11546</v>
      </c>
      <c r="C12160" s="3" t="str">
        <f>IFERROR(__xludf.DUMMYFUNCTION("GOOGLETRANSLATE(B12160,""id"",""en"")"),"['promo']")</f>
        <v>['promo']</v>
      </c>
      <c r="D12160" s="3">
        <v>5.0</v>
      </c>
    </row>
    <row r="12161" ht="15.75" customHeight="1">
      <c r="A12161" s="1">
        <v>13122.0</v>
      </c>
      <c r="B12161" s="3" t="s">
        <v>11547</v>
      </c>
      <c r="C12161" s="3" t="str">
        <f>IFERROR(__xludf.DUMMYFUNCTION("GOOGLETRANSLATE(B12161,""id"",""en"")"),"['network', 'slow', 'snail', 'hurry', 'snail', 'road', 'open', 'application', 'browsing', 'google', 'muter', 'network', ' GMU ',' Benerin ',' complain ',' repairs', 'price', 'package', 'according to', 'connection', 'network', 'duh', 'customer', 'disappoin"&amp;"ted', ""]")</f>
        <v>['network', 'slow', 'snail', 'hurry', 'snail', 'road', 'open', 'application', 'browsing', 'google', 'muter', 'network', ' GMU ',' Benerin ',' complain ',' repairs', 'price', 'package', 'according to', 'connection', 'network', 'duh', 'customer', 'disappointed', "]</v>
      </c>
      <c r="D12161" s="3">
        <v>1.0</v>
      </c>
    </row>
    <row r="12162" ht="15.75" customHeight="1">
      <c r="A12162" s="1">
        <v>13123.0</v>
      </c>
      <c r="B12162" s="3" t="s">
        <v>11548</v>
      </c>
      <c r="C12162" s="3" t="str">
        <f>IFERROR(__xludf.DUMMYFUNCTION("GOOGLETRANSLATE(B12162,""id"",""en"")"),"['Thank you', 'Telkomsil', 'Application', 'SGT', 'Easy to', 'For']")</f>
        <v>['Thank you', 'Telkomsil', 'Application', 'SGT', 'Easy to', 'For']</v>
      </c>
      <c r="D12162" s="3">
        <v>3.0</v>
      </c>
    </row>
    <row r="12163" ht="15.75" customHeight="1">
      <c r="A12163" s="1">
        <v>13124.0</v>
      </c>
      <c r="B12163" s="3" t="s">
        <v>11549</v>
      </c>
      <c r="C12163" s="3" t="str">
        <f>IFERROR(__xludf.DUMMYFUNCTION("GOOGLETRANSLATE(B12163,""id"",""en"")"),"['Please', 'Telkom', 'Ngak', 'Kali', 'Play', 'Game', 'Online', 'Signal', 'Direct', 'Open', 'YouTube', 'Facebook', ' Media ',' Social ',' Looking ',' Location ',' Play ',' Current ',' Results', 'Server', 'Down', '']")</f>
        <v>['Please', 'Telkom', 'Ngak', 'Kali', 'Play', 'Game', 'Online', 'Signal', 'Direct', 'Open', 'YouTube', 'Facebook', ' Media ',' Social ',' Looking ',' Location ',' Play ',' Current ',' Results', 'Server', 'Down', '']</v>
      </c>
      <c r="D12163" s="3">
        <v>2.0</v>
      </c>
    </row>
    <row r="12164" ht="15.75" customHeight="1">
      <c r="A12164" s="1">
        <v>13126.0</v>
      </c>
      <c r="B12164" s="3" t="s">
        <v>11550</v>
      </c>
      <c r="C12164" s="3" t="str">
        <f>IFERROR(__xludf.DUMMYFUNCTION("GOOGLETRANSLATE(B12164,""id"",""en"")"),"['', 'Langanan', 'loyal', 'Telkomsel', 'quality', 'best']")</f>
        <v>['', 'Langanan', 'loyal', 'Telkomsel', 'quality', 'best']</v>
      </c>
      <c r="D12164" s="3">
        <v>5.0</v>
      </c>
    </row>
    <row r="12165" ht="15.75" customHeight="1">
      <c r="A12165" s="1">
        <v>13128.0</v>
      </c>
      <c r="B12165" s="3" t="s">
        <v>11551</v>
      </c>
      <c r="C12165" s="3" t="str">
        <f>IFERROR(__xludf.DUMMYFUNCTION("GOOGLETRANSLATE(B12165,""id"",""en"")"),"['ajg', 'signal', 'kek', 'pig']")</f>
        <v>['ajg', 'signal', 'kek', 'pig']</v>
      </c>
      <c r="D12165" s="3">
        <v>1.0</v>
      </c>
    </row>
    <row r="12166" ht="15.75" customHeight="1">
      <c r="A12166" s="1">
        <v>13129.0</v>
      </c>
      <c r="B12166" s="3" t="s">
        <v>11552</v>
      </c>
      <c r="C12166" s="3" t="str">
        <f>IFERROR(__xludf.DUMMYFUNCTION("GOOGLETRANSLATE(B12166,""id"",""en"")"),"['Current', 'steady']")</f>
        <v>['Current', 'steady']</v>
      </c>
      <c r="D12166" s="3">
        <v>1.0</v>
      </c>
    </row>
    <row r="12167" ht="15.75" customHeight="1">
      <c r="A12167" s="1">
        <v>13130.0</v>
      </c>
      <c r="B12167" s="3" t="s">
        <v>11553</v>
      </c>
      <c r="C12167" s="3" t="str">
        <f>IFERROR(__xludf.DUMMYFUNCTION("GOOGLETRANSLATE(B12167,""id"",""en"")"),"['transaction', 'easy', 'effsyient']")</f>
        <v>['transaction', 'easy', 'effsyient']</v>
      </c>
      <c r="D12167" s="3">
        <v>5.0</v>
      </c>
    </row>
    <row r="12168" ht="15.75" customHeight="1">
      <c r="A12168" s="1">
        <v>13131.0</v>
      </c>
      <c r="B12168" s="3" t="s">
        <v>11554</v>
      </c>
      <c r="C12168" s="3" t="str">
        <f>IFERROR(__xludf.DUMMYFUNCTION("GOOGLETRANSLATE(B12168,""id"",""en"")"),"['Good', 'worker', 'free', '']")</f>
        <v>['Good', 'worker', 'free', '']</v>
      </c>
      <c r="D12168" s="3">
        <v>5.0</v>
      </c>
    </row>
    <row r="12169" ht="15.75" customHeight="1">
      <c r="A12169" s="1">
        <v>13132.0</v>
      </c>
      <c r="B12169" s="3" t="s">
        <v>1801</v>
      </c>
      <c r="C12169" s="3" t="str">
        <f>IFERROR(__xludf.DUMMYFUNCTION("GOOGLETRANSLATE(B12169,""id"",""en"")"),"['steady', 'application']")</f>
        <v>['steady', 'application']</v>
      </c>
      <c r="D12169" s="3">
        <v>5.0</v>
      </c>
    </row>
    <row r="12170" ht="15.75" customHeight="1">
      <c r="A12170" s="1">
        <v>13133.0</v>
      </c>
      <c r="B12170" s="3" t="s">
        <v>11555</v>
      </c>
      <c r="C12170" s="3" t="str">
        <f>IFERROR(__xludf.DUMMYFUNCTION("GOOGLETRANSLATE(B12170,""id"",""en"")"),"['Gift', 'Telkomsel']")</f>
        <v>['Gift', 'Telkomsel']</v>
      </c>
      <c r="D12170" s="3">
        <v>5.0</v>
      </c>
    </row>
    <row r="12171" ht="15.75" customHeight="1">
      <c r="A12171" s="1">
        <v>13134.0</v>
      </c>
      <c r="B12171" s="3" t="s">
        <v>2815</v>
      </c>
      <c r="C12171" s="3" t="str">
        <f>IFERROR(__xludf.DUMMYFUNCTION("GOOGLETRANSLATE(B12171,""id"",""en"")"),"['Network', 'Telkomsel', 'bad']")</f>
        <v>['Network', 'Telkomsel', 'bad']</v>
      </c>
      <c r="D12171" s="3">
        <v>2.0</v>
      </c>
    </row>
    <row r="12172" ht="15.75" customHeight="1">
      <c r="A12172" s="1">
        <v>13135.0</v>
      </c>
      <c r="B12172" s="3" t="s">
        <v>11556</v>
      </c>
      <c r="C12172" s="3" t="str">
        <f>IFERROR(__xludf.DUMMYFUNCTION("GOOGLETRANSLATE(B12172,""id"",""en"")"),"['use', 'easy', 'fast']")</f>
        <v>['use', 'easy', 'fast']</v>
      </c>
      <c r="D12172" s="3">
        <v>5.0</v>
      </c>
    </row>
    <row r="12173" ht="15.75" customHeight="1">
      <c r="A12173" s="1">
        <v>13136.0</v>
      </c>
      <c r="B12173" s="3" t="s">
        <v>11557</v>
      </c>
      <c r="C12173" s="3" t="str">
        <f>IFERROR(__xludf.DUMMYFUNCTION("GOOGLETRANSLATE(B12173,""id"",""en"")"),"['apk', 'Telkomsel', 'slalu', 'heart']")</f>
        <v>['apk', 'Telkomsel', 'slalu', 'heart']</v>
      </c>
      <c r="D12173" s="3">
        <v>5.0</v>
      </c>
    </row>
    <row r="12174" ht="15.75" customHeight="1">
      <c r="A12174" s="1">
        <v>13137.0</v>
      </c>
      <c r="B12174" s="3" t="s">
        <v>11558</v>
      </c>
      <c r="C12174" s="3" t="str">
        <f>IFERROR(__xludf.DUMMYFUNCTION("GOOGLETRANSLATE(B12174,""id"",""en"")"),"['package', 'buy', 'network', 'super', 'slow', 'compared to', 'provider', 'Telkomsel', 'expensive', 'please', 'fixed', 'needs',' profession', '']")</f>
        <v>['package', 'buy', 'network', 'super', 'slow', 'compared to', 'provider', 'Telkomsel', 'expensive', 'please', 'fixed', 'needs',' profession', '']</v>
      </c>
      <c r="D12174" s="3">
        <v>1.0</v>
      </c>
    </row>
    <row r="12175" ht="15.75" customHeight="1">
      <c r="A12175" s="1">
        <v>13138.0</v>
      </c>
      <c r="B12175" s="3" t="s">
        <v>11559</v>
      </c>
      <c r="C12175" s="3" t="str">
        <f>IFERROR(__xludf.DUMMYFUNCTION("GOOGLETRANSLATE(B12175,""id"",""en"")"),"['Honey', 'Telkomsel', 'Love', 'You']")</f>
        <v>['Honey', 'Telkomsel', 'Love', 'You']</v>
      </c>
      <c r="D12175" s="3">
        <v>5.0</v>
      </c>
    </row>
    <row r="12176" ht="15.75" customHeight="1">
      <c r="A12176" s="1">
        <v>13139.0</v>
      </c>
      <c r="B12176" s="3" t="s">
        <v>11560</v>
      </c>
      <c r="C12176" s="3" t="str">
        <f>IFERROR(__xludf.DUMMYFUNCTION("GOOGLETRANSLATE(B12176,""id"",""en"")"),"['Telkomsel', 'Best', 'Hopefully', 'Lottery', 'Samsung', 'Latest', '']")</f>
        <v>['Telkomsel', 'Best', 'Hopefully', 'Lottery', 'Samsung', 'Latest', '']</v>
      </c>
      <c r="D12176" s="3">
        <v>5.0</v>
      </c>
    </row>
    <row r="12177" ht="15.75" customHeight="1">
      <c r="A12177" s="1">
        <v>13140.0</v>
      </c>
      <c r="B12177" s="3" t="s">
        <v>1245</v>
      </c>
      <c r="C12177" s="3" t="str">
        <f>IFERROR(__xludf.DUMMYFUNCTION("GOOGLETRANSLATE(B12177,""id"",""en"")"),"['', 'Telkomsel', 'help']")</f>
        <v>['', 'Telkomsel', 'help']</v>
      </c>
      <c r="D12177" s="3">
        <v>5.0</v>
      </c>
    </row>
    <row r="12178" ht="15.75" customHeight="1">
      <c r="A12178" s="1">
        <v>13141.0</v>
      </c>
      <c r="B12178" s="3" t="s">
        <v>11561</v>
      </c>
      <c r="C12178" s="3" t="str">
        <f>IFERROR(__xludf.DUMMYFUNCTION("GOOGLETRANSLATE(B12178,""id"",""en"")"),"['Taik', 'package', 'Leg', 'expensive', 'turn', 'TLPN', 'ugly', 'Sue']")</f>
        <v>['Taik', 'package', 'Leg', 'expensive', 'turn', 'TLPN', 'ugly', 'Sue']</v>
      </c>
      <c r="D12178" s="3">
        <v>1.0</v>
      </c>
    </row>
    <row r="12179" ht="15.75" customHeight="1">
      <c r="A12179" s="1">
        <v>13142.0</v>
      </c>
      <c r="B12179" s="3" t="s">
        <v>11562</v>
      </c>
      <c r="C12179" s="3" t="str">
        <f>IFERROR(__xludf.DUMMYFUNCTION("GOOGLETRANSLATE(B12179,""id"",""en"")"),"['Telkomsel', 'open', 'network', 'good', 'please', 'fix', 'plisss']")</f>
        <v>['Telkomsel', 'open', 'network', 'good', 'please', 'fix', 'plisss']</v>
      </c>
      <c r="D12179" s="3">
        <v>1.0</v>
      </c>
    </row>
    <row r="12180" ht="15.75" customHeight="1">
      <c r="A12180" s="1">
        <v>13143.0</v>
      </c>
      <c r="B12180" s="3" t="s">
        <v>11563</v>
      </c>
      <c r="C12180" s="3" t="str">
        <f>IFERROR(__xludf.DUMMYFUNCTION("GOOGLETRANSLATE(B12180,""id"",""en"")"),"['Good', 'Sometimes', 'Signal', 'Difficult', 'SPT', 'Use', 'Sympathy', 'Top', 'Standard', ""]")</f>
        <v>['Good', 'Sometimes', 'Signal', 'Difficult', 'SPT', 'Use', 'Sympathy', 'Top', 'Standard', "]</v>
      </c>
      <c r="D12180" s="3">
        <v>4.0</v>
      </c>
    </row>
    <row r="12181" ht="15.75" customHeight="1">
      <c r="A12181" s="1">
        <v>13145.0</v>
      </c>
      <c r="B12181" s="3" t="s">
        <v>11564</v>
      </c>
      <c r="C12181" s="3" t="str">
        <f>IFERROR(__xludf.DUMMYFUNCTION("GOOGLETRANSLATE(B12181,""id"",""en"")"),"['signal', 'good', 'steady', 'dahhh']")</f>
        <v>['signal', 'good', 'steady', 'dahhh']</v>
      </c>
      <c r="D12181" s="3">
        <v>5.0</v>
      </c>
    </row>
    <row r="12182" ht="15.75" customHeight="1">
      <c r="A12182" s="1">
        <v>13146.0</v>
      </c>
      <c r="B12182" s="3" t="s">
        <v>11565</v>
      </c>
      <c r="C12182" s="3" t="str">
        <f>IFERROR(__xludf.DUMMYFUNCTION("GOOGLETRANSLATE(B12182,""id"",""en"")"),"['cool', 'apk', 'easy', 'data', 'internet', '']")</f>
        <v>['cool', 'apk', 'easy', 'data', 'internet', '']</v>
      </c>
      <c r="D12182" s="3">
        <v>5.0</v>
      </c>
    </row>
    <row r="12183" ht="15.75" customHeight="1">
      <c r="A12183" s="1">
        <v>13148.0</v>
      </c>
      <c r="B12183" s="3" t="s">
        <v>2914</v>
      </c>
      <c r="C12183" s="3" t="str">
        <f>IFERROR(__xludf.DUMMYFUNCTION("GOOGLETRANSLATE(B12183,""id"",""en"")"),"['Good', 'help']")</f>
        <v>['Good', 'help']</v>
      </c>
      <c r="D12183" s="3">
        <v>1.0</v>
      </c>
    </row>
    <row r="12184" ht="15.75" customHeight="1">
      <c r="A12184" s="1">
        <v>13149.0</v>
      </c>
      <c r="B12184" s="3" t="s">
        <v>11566</v>
      </c>
      <c r="C12184" s="3" t="str">
        <f>IFERROR(__xludf.DUMMYFUNCTION("GOOGLETRANSLATE(B12184,""id"",""en"")"),"['application', 'good', 'steady', '']")</f>
        <v>['application', 'good', 'steady', '']</v>
      </c>
      <c r="D12184" s="3">
        <v>5.0</v>
      </c>
    </row>
    <row r="12185" ht="15.75" customHeight="1">
      <c r="A12185" s="1">
        <v>13150.0</v>
      </c>
      <c r="B12185" s="3" t="s">
        <v>11567</v>
      </c>
      <c r="C12185" s="3" t="str">
        <f>IFERROR(__xludf.DUMMYFUNCTION("GOOGLETRANSLATE(B12185,""id"",""en"")"),"['Good', 'really', 'buy', 'package', 'cheap']")</f>
        <v>['Good', 'really', 'buy', 'package', 'cheap']</v>
      </c>
      <c r="D12185" s="3">
        <v>5.0</v>
      </c>
    </row>
    <row r="12186" ht="15.75" customHeight="1">
      <c r="A12186" s="1">
        <v>13151.0</v>
      </c>
      <c r="B12186" s="3" t="s">
        <v>11568</v>
      </c>
      <c r="C12186" s="3" t="str">
        <f>IFERROR(__xludf.DUMMYFUNCTION("GOOGLETRANSLATE(B12186,""id"",""en"")"),"['Useful', 'Application', 'Good', 'Hurry', 'Download', 'Download']")</f>
        <v>['Useful', 'Application', 'Good', 'Hurry', 'Download', 'Download']</v>
      </c>
      <c r="D12186" s="3">
        <v>5.0</v>
      </c>
    </row>
    <row r="12187" ht="15.75" customHeight="1">
      <c r="A12187" s="1">
        <v>13152.0</v>
      </c>
      <c r="B12187" s="3" t="s">
        <v>11569</v>
      </c>
      <c r="C12187" s="3" t="str">
        <f>IFERROR(__xludf.DUMMYFUNCTION("GOOGLETRANSLATE(B12187,""id"",""en"")"),"['Package', 'expensive', 'signal', 'rich', 'snail', 'bnerin', 'solution', 'high school', 'package', 'mulu', 'ditwarin', 'signal', ' Bangkek ']")</f>
        <v>['Package', 'expensive', 'signal', 'rich', 'snail', 'bnerin', 'solution', 'high school', 'package', 'mulu', 'ditwarin', 'signal', ' Bangkek ']</v>
      </c>
      <c r="D12187" s="3">
        <v>1.0</v>
      </c>
    </row>
    <row r="12188" ht="15.75" customHeight="1">
      <c r="A12188" s="1">
        <v>13153.0</v>
      </c>
      <c r="B12188" s="3" t="s">
        <v>11570</v>
      </c>
      <c r="C12188" s="3" t="str">
        <f>IFERROR(__xludf.DUMMYFUNCTION("GOOGLETRANSLATE(B12188,""id"",""en"")"),"['mission', 'bro', 'pulse', 'cut', 'borrow', 'package', 'sms',' accept ',' love ',' return ',' Rp ',' repayment ',' package ',' emergency ',' run out ',' pulse ',' take ',' package ',' emergency ',' hub ',' apply ',' take ',' package ',' emergency ',' exp"&amp;"lanation ' , '']")</f>
        <v>['mission', 'bro', 'pulse', 'cut', 'borrow', 'package', 'sms',' accept ',' love ',' return ',' Rp ',' repayment ',' package ',' emergency ',' run out ',' pulse ',' take ',' package ',' emergency ',' hub ',' apply ',' take ',' package ',' emergency ',' explanation ' , '']</v>
      </c>
      <c r="D12188" s="3">
        <v>2.0</v>
      </c>
    </row>
    <row r="12189" ht="15.75" customHeight="1">
      <c r="A12189" s="1">
        <v>13154.0</v>
      </c>
      <c r="B12189" s="3" t="s">
        <v>11571</v>
      </c>
      <c r="C12189" s="3" t="str">
        <f>IFERROR(__xludf.DUMMYFUNCTION("GOOGLETRANSLATE(B12189,""id"",""en"")"),"['Thank you', 'Movers', 'Negri']")</f>
        <v>['Thank you', 'Movers', 'Negri']</v>
      </c>
      <c r="D12189" s="3">
        <v>5.0</v>
      </c>
    </row>
    <row r="12190" ht="15.75" customHeight="1">
      <c r="A12190" s="1">
        <v>13155.0</v>
      </c>
      <c r="B12190" s="3" t="s">
        <v>11572</v>
      </c>
      <c r="C12190" s="3" t="str">
        <f>IFERROR(__xludf.DUMMYFUNCTION("GOOGLETRANSLATE(B12190,""id"",""en"")"),"['Network', 'extensive', 'stable']")</f>
        <v>['Network', 'extensive', 'stable']</v>
      </c>
      <c r="D12190" s="3">
        <v>5.0</v>
      </c>
    </row>
    <row r="12191" ht="15.75" customHeight="1">
      <c r="A12191" s="1">
        <v>13156.0</v>
      </c>
      <c r="B12191" s="3" t="s">
        <v>11573</v>
      </c>
      <c r="C12191" s="3" t="str">
        <f>IFERROR(__xludf.DUMMYFUNCTION("GOOGLETRANSLATE(B12191,""id"",""en"")"),"['', 'quality']")</f>
        <v>['', 'quality']</v>
      </c>
      <c r="D12191" s="3">
        <v>5.0</v>
      </c>
    </row>
    <row r="12192" ht="15.75" customHeight="1">
      <c r="A12192" s="1">
        <v>13157.0</v>
      </c>
      <c r="B12192" s="3" t="s">
        <v>11574</v>
      </c>
      <c r="C12192" s="3" t="str">
        <f>IFERROR(__xludf.DUMMYFUNCTION("GOOGLETRANSLATE(B12192,""id"",""en"")"),"['Memmbanru']")</f>
        <v>['Memmbanru']</v>
      </c>
      <c r="D12192" s="3">
        <v>5.0</v>
      </c>
    </row>
    <row r="12193" ht="15.75" customHeight="1">
      <c r="A12193" s="1">
        <v>13158.0</v>
      </c>
      <c r="B12193" s="3" t="s">
        <v>11575</v>
      </c>
      <c r="C12193" s="3" t="str">
        <f>IFERROR(__xludf.DUMMYFUNCTION("GOOGLETRANSLATE(B12193,""id"",""en"")"),"['Hello', 'Telkomsel', 'Provides',' Fund ',' Emergency ',' Credit ',' Kasi ',' Suggestions', 'Deleted', 'Difficult', 'Dikami', 'seller', ' pulses ',' consumers ',' forget ',' use ',' funds ',' emergency ',' contents ',' pulse ',' directly ',' cut "", 'dir"&amp;"ected', 'said', 'pulses' , 'Enter', 'Telkomsel', 'SMS', 'contents',' reset ',' pulse ',' paid ',' funds', 'emergency', 'consumer', 'Playing', 'Victim', ' Thinking ',' Tipu ',' tlg ',' agent ',' pulse ',' Dipipos']")</f>
        <v>['Hello', 'Telkomsel', 'Provides',' Fund ',' Emergency ',' Credit ',' Kasi ',' Suggestions', 'Deleted', 'Difficult', 'Dikami', 'seller', ' pulses ',' consumers ',' forget ',' use ',' funds ',' emergency ',' contents ',' pulse ',' directly ',' cut ", 'directed', 'said', 'pulses' , 'Enter', 'Telkomsel', 'SMS', 'contents',' reset ',' pulse ',' paid ',' funds', 'emergency', 'consumer', 'Playing', 'Victim', ' Thinking ',' Tipu ',' tlg ',' agent ',' pulse ',' Dipipos']</v>
      </c>
      <c r="D12193" s="3">
        <v>4.0</v>
      </c>
    </row>
    <row r="12194" ht="15.75" customHeight="1">
      <c r="A12194" s="1">
        <v>13159.0</v>
      </c>
      <c r="B12194" s="3" t="s">
        <v>11576</v>
      </c>
      <c r="C12194" s="3" t="str">
        <f>IFERROR(__xludf.DUMMYFUNCTION("GOOGLETRANSLATE(B12194,""id"",""en"")"),"['Telkomsel', 'use']")</f>
        <v>['Telkomsel', 'use']</v>
      </c>
      <c r="D12194" s="3">
        <v>5.0</v>
      </c>
    </row>
    <row r="12195" ht="15.75" customHeight="1">
      <c r="A12195" s="1">
        <v>13160.0</v>
      </c>
      <c r="B12195" s="3" t="s">
        <v>11577</v>
      </c>
      <c r="C12195" s="3" t="str">
        <f>IFERROR(__xludf.DUMMYFUNCTION("GOOGLETRANSLATE(B12195,""id"",""en"")"),"['woi', 'what's',' cave ',' contents', 'thousand', 'abis',' replace ',' ajg ',' buy ',' apapa ',' package ',' buy ',' package']")</f>
        <v>['woi', 'what's',' cave ',' contents', 'thousand', 'abis',' replace ',' ajg ',' buy ',' apapa ',' package ',' buy ',' package']</v>
      </c>
      <c r="D12195" s="3">
        <v>1.0</v>
      </c>
    </row>
    <row r="12196" ht="15.75" customHeight="1">
      <c r="A12196" s="1">
        <v>13161.0</v>
      </c>
      <c r="B12196" s="3" t="s">
        <v>11578</v>
      </c>
      <c r="C12196" s="3" t="str">
        <f>IFERROR(__xludf.DUMMYFUNCTION("GOOGLETRANSLATE(B12196,""id"",""en"")"),"['expensive', 'package', 'nya']")</f>
        <v>['expensive', 'package', 'nya']</v>
      </c>
      <c r="D12196" s="3">
        <v>1.0</v>
      </c>
    </row>
    <row r="12197" ht="15.75" customHeight="1">
      <c r="A12197" s="1">
        <v>13162.0</v>
      </c>
      <c r="B12197" s="3" t="s">
        <v>11579</v>
      </c>
      <c r="C12197" s="3" t="str">
        <f>IFERROR(__xludf.DUMMYFUNCTION("GOOGLETRANSLATE(B12197,""id"",""en"")"),"['Hapbis', 'update', 'jammed', 'mentok', 'logo', 'severe']")</f>
        <v>['Hapbis', 'update', 'jammed', 'mentok', 'logo', 'severe']</v>
      </c>
      <c r="D12197" s="3">
        <v>1.0</v>
      </c>
    </row>
    <row r="12198" ht="15.75" customHeight="1">
      <c r="A12198" s="1">
        <v>13163.0</v>
      </c>
      <c r="B12198" s="3" t="s">
        <v>11580</v>
      </c>
      <c r="C12198" s="3" t="str">
        <f>IFERROR(__xludf.DUMMYFUNCTION("GOOGLETRANSLATE(B12198,""id"",""en"")"),"['Disappointed', 'APK', 'contents',' package ',' thousand ',' filled ',' chat ',' contents', 'pulse', 'APK', 'code', 'reference', ' times', 'failed', 'back']")</f>
        <v>['Disappointed', 'APK', 'contents',' package ',' thousand ',' filled ',' chat ',' contents', 'pulse', 'APK', 'code', 'reference', ' times', 'failed', 'back']</v>
      </c>
      <c r="D12198" s="3">
        <v>1.0</v>
      </c>
    </row>
    <row r="12199" ht="15.75" customHeight="1">
      <c r="A12199" s="1">
        <v>13164.0</v>
      </c>
      <c r="B12199" s="3" t="s">
        <v>11581</v>
      </c>
      <c r="C12199" s="3" t="str">
        <f>IFERROR(__xludf.DUMMYFUNCTION("GOOGLETRANSLATE(B12199,""id"",""en"")"),"['PKET', 'expensive', 'signal', 'kyak', 'taik', 'no', 'stable', 'area', 'karawang', 'jwa', 'west']")</f>
        <v>['PKET', 'expensive', 'signal', 'kyak', 'taik', 'no', 'stable', 'area', 'karawang', 'jwa', 'west']</v>
      </c>
      <c r="D12199" s="3">
        <v>1.0</v>
      </c>
    </row>
    <row r="12200" ht="15.75" customHeight="1">
      <c r="A12200" s="1">
        <v>13165.0</v>
      </c>
      <c r="B12200" s="3" t="s">
        <v>1837</v>
      </c>
      <c r="C12200" s="3" t="str">
        <f>IFERROR(__xludf.DUMMYFUNCTION("GOOGLETRANSLATE(B12200,""id"",""en"")"),"['Application', 'help', ""]")</f>
        <v>['Application', 'help', "]</v>
      </c>
      <c r="D12200" s="3">
        <v>5.0</v>
      </c>
    </row>
    <row r="12201" ht="15.75" customHeight="1">
      <c r="A12201" s="1">
        <v>13166.0</v>
      </c>
      <c r="B12201" s="3" t="s">
        <v>11582</v>
      </c>
      <c r="C12201" s="3" t="str">
        <f>IFERROR(__xludf.DUMMYFUNCTION("GOOGLETRANSLATE(B12201,""id"",""en"")"),"['used']")</f>
        <v>['used']</v>
      </c>
      <c r="D12201" s="3">
        <v>1.0</v>
      </c>
    </row>
    <row r="12202" ht="15.75" customHeight="1">
      <c r="A12202" s="1">
        <v>13167.0</v>
      </c>
      <c r="B12202" s="3" t="s">
        <v>11583</v>
      </c>
      <c r="C12202" s="3" t="str">
        <f>IFERROR(__xludf.DUMMYFUNCTION("GOOGLETRANSLATE(B12202,""id"",""en"")"),"['Cook', 'quota', 'signal', 'ngeleg', 'Padah', 'LTE', 'key', 'signal', 'slow', 'open', 'Yotube', 'facbook', ' Instagram ',' Main ',' Game ',' Season ',' Telkomsel ']")</f>
        <v>['Cook', 'quota', 'signal', 'ngeleg', 'Padah', 'LTE', 'key', 'signal', 'slow', 'open', 'Yotube', 'facbook', ' Instagram ',' Main ',' Game ',' Season ',' Telkomsel ']</v>
      </c>
      <c r="D12202" s="3">
        <v>1.0</v>
      </c>
    </row>
    <row r="12203" ht="15.75" customHeight="1">
      <c r="A12203" s="1">
        <v>13168.0</v>
      </c>
      <c r="B12203" s="3" t="s">
        <v>11584</v>
      </c>
      <c r="C12203" s="3" t="str">
        <f>IFERROR(__xludf.DUMMYFUNCTION("GOOGLETRANSLATE(B12203,""id"",""en"")"),"['patent', 'staple']")</f>
        <v>['patent', 'staple']</v>
      </c>
      <c r="D12203" s="3">
        <v>5.0</v>
      </c>
    </row>
    <row r="12204" ht="15.75" customHeight="1">
      <c r="A12204" s="1">
        <v>13169.0</v>
      </c>
      <c r="B12204" s="3" t="s">
        <v>3616</v>
      </c>
      <c r="C12204" s="3" t="str">
        <f>IFERROR(__xludf.DUMMYFUNCTION("GOOGLETRANSLATE(B12204,""id"",""en"")"),"['application', 'good']")</f>
        <v>['application', 'good']</v>
      </c>
      <c r="D12204" s="3">
        <v>5.0</v>
      </c>
    </row>
    <row r="12205" ht="15.75" customHeight="1">
      <c r="A12205" s="1">
        <v>13170.0</v>
      </c>
      <c r="B12205" s="3" t="s">
        <v>11585</v>
      </c>
      <c r="C12205" s="3" t="str">
        <f>IFERROR(__xludf.DUMMYFUNCTION("GOOGLETRANSLATE(B12205,""id"",""en"")"),"['Telkomsel', 'network', 'slow', 'contents', 'package', 'data']")</f>
        <v>['Telkomsel', 'network', 'slow', 'contents', 'package', 'data']</v>
      </c>
      <c r="D12205" s="3">
        <v>1.0</v>
      </c>
    </row>
    <row r="12206" ht="15.75" customHeight="1">
      <c r="A12206" s="1">
        <v>13171.0</v>
      </c>
      <c r="B12206" s="3" t="s">
        <v>11586</v>
      </c>
      <c r="C12206" s="3" t="str">
        <f>IFERROR(__xludf.DUMMYFUNCTION("GOOGLETRANSLATE(B12206,""id"",""en"")"),"['opened', 'appears', 'update', '']")</f>
        <v>['opened', 'appears', 'update', '']</v>
      </c>
      <c r="D12206" s="3">
        <v>1.0</v>
      </c>
    </row>
    <row r="12207" ht="15.75" customHeight="1">
      <c r="A12207" s="1">
        <v>13172.0</v>
      </c>
      <c r="B12207" s="3" t="s">
        <v>11587</v>
      </c>
      <c r="C12207" s="3" t="str">
        <f>IFERROR(__xludf.DUMMYFUNCTION("GOOGLETRANSLATE(B12207,""id"",""en"")"),"['apk', 'good', 'really', 'delete', 'yaa']")</f>
        <v>['apk', 'good', 'really', 'delete', 'yaa']</v>
      </c>
      <c r="D12207" s="3">
        <v>1.0</v>
      </c>
    </row>
    <row r="12208" ht="15.75" customHeight="1">
      <c r="A12208" s="1">
        <v>13173.0</v>
      </c>
      <c r="B12208" s="3" t="s">
        <v>11588</v>
      </c>
      <c r="C12208" s="3" t="str">
        <f>IFERROR(__xludf.DUMMYFUNCTION("GOOGLETRANSLATE(B12208,""id"",""en"")"),"['', 'Android', 'Install', 'Block']")</f>
        <v>['', 'Android', 'Install', 'Block']</v>
      </c>
      <c r="D12208" s="3">
        <v>1.0</v>
      </c>
    </row>
    <row r="12209" ht="15.75" customHeight="1">
      <c r="A12209" s="1">
        <v>13174.0</v>
      </c>
      <c r="B12209" s="3" t="s">
        <v>11589</v>
      </c>
      <c r="C12209" s="3" t="str">
        <f>IFERROR(__xludf.DUMMYFUNCTION("GOOGLETRANSLATE(B12209,""id"",""en"")"),"['Telkomsel', 'quality', 'doubt', 'anything', 'thank you', 'Telkomsel']")</f>
        <v>['Telkomsel', 'quality', 'doubt', 'anything', 'thank you', 'Telkomsel']</v>
      </c>
      <c r="D12209" s="3">
        <v>5.0</v>
      </c>
    </row>
    <row r="12210" ht="15.75" customHeight="1">
      <c r="A12210" s="1">
        <v>13175.0</v>
      </c>
      <c r="B12210" s="3" t="s">
        <v>11590</v>
      </c>
      <c r="C12210" s="3" t="str">
        <f>IFERROR(__xludf.DUMMYFUNCTION("GOOGLETRANSLATE(B12210,""id"",""en"")"),"['expensive', 'really', 'price', 'quota', 'package']")</f>
        <v>['expensive', 'really', 'price', 'quota', 'package']</v>
      </c>
      <c r="D12210" s="3">
        <v>1.0</v>
      </c>
    </row>
    <row r="12211" ht="15.75" customHeight="1">
      <c r="A12211" s="1">
        <v>13177.0</v>
      </c>
      <c r="B12211" s="3" t="s">
        <v>11591</v>
      </c>
      <c r="C12211" s="3" t="str">
        <f>IFERROR(__xludf.DUMMYFUNCTION("GOOGLETRANSLATE(B12211,""id"",""en"")"),"['Trimakasih', 'Telkomsel', 'Kouta', 'Free', 'GB']")</f>
        <v>['Trimakasih', 'Telkomsel', 'Kouta', 'Free', 'GB']</v>
      </c>
      <c r="D12211" s="3">
        <v>5.0</v>
      </c>
    </row>
    <row r="12212" ht="15.75" customHeight="1">
      <c r="A12212" s="1">
        <v>13178.0</v>
      </c>
      <c r="B12212" s="3" t="s">
        <v>11592</v>
      </c>
      <c r="C12212" s="3" t="str">
        <f>IFERROR(__xludf.DUMMYFUNCTION("GOOGLETRANSLATE(B12212,""id"",""en"")"),"['use', 'smooth', 'use', 'Telkomsel']")</f>
        <v>['use', 'smooth', 'use', 'Telkomsel']</v>
      </c>
      <c r="D12212" s="3">
        <v>5.0</v>
      </c>
    </row>
    <row r="12213" ht="15.75" customHeight="1">
      <c r="A12213" s="1">
        <v>13179.0</v>
      </c>
      <c r="B12213" s="3" t="s">
        <v>11593</v>
      </c>
      <c r="C12213" s="3" t="str">
        <f>IFERROR(__xludf.DUMMYFUNCTION("GOOGLETRANSLATE(B12213,""id"",""en"")"),"['', 'Good', 'cheap', 'festive']")</f>
        <v>['', 'Good', 'cheap', 'festive']</v>
      </c>
      <c r="D12213" s="3">
        <v>5.0</v>
      </c>
    </row>
    <row r="12214" ht="15.75" customHeight="1">
      <c r="A12214" s="1">
        <v>13180.0</v>
      </c>
      <c r="B12214" s="3" t="s">
        <v>11594</v>
      </c>
      <c r="C12214" s="3" t="str">
        <f>IFERROR(__xludf.DUMMYFUNCTION("GOOGLETRANSLATE(B12214,""id"",""en"")"),"['', 'Telkomsel', 'forward', '']")</f>
        <v>['', 'Telkomsel', 'forward', '']</v>
      </c>
      <c r="D12214" s="3">
        <v>5.0</v>
      </c>
    </row>
    <row r="12215" ht="15.75" customHeight="1">
      <c r="A12215" s="1">
        <v>13181.0</v>
      </c>
      <c r="B12215" s="3" t="s">
        <v>11595</v>
      </c>
      <c r="C12215" s="3" t="str">
        <f>IFERROR(__xludf.DUMMYFUNCTION("GOOGLETRANSLATE(B12215,""id"",""en"")"),"['update', 'error', 'buy', 'package', 'pulse', 'use', 'wifi', ""]")</f>
        <v>['update', 'error', 'buy', 'package', 'pulse', 'use', 'wifi', "]</v>
      </c>
      <c r="D12215" s="3">
        <v>4.0</v>
      </c>
    </row>
    <row r="12216" ht="15.75" customHeight="1">
      <c r="A12216" s="1">
        <v>13182.0</v>
      </c>
      <c r="B12216" s="3" t="s">
        <v>11596</v>
      </c>
      <c r="C12216" s="3" t="str">
        <f>IFERROR(__xludf.DUMMYFUNCTION("GOOGLETRANSLATE(B12216,""id"",""en"")"),"['Honey', 'buy', 'package', 'data', 'choice', 'according to', 'need']")</f>
        <v>['Honey', 'buy', 'package', 'data', 'choice', 'according to', 'need']</v>
      </c>
      <c r="D12216" s="3">
        <v>5.0</v>
      </c>
    </row>
    <row r="12217" ht="15.75" customHeight="1">
      <c r="A12217" s="1">
        <v>13183.0</v>
      </c>
      <c r="B12217" s="3" t="s">
        <v>11597</v>
      </c>
      <c r="C12217" s="3" t="str">
        <f>IFERROR(__xludf.DUMMYFUNCTION("GOOGLETRANSLATE(B12217,""id"",""en"")"),"['hope', 'Useful', '']")</f>
        <v>['hope', 'Useful', '']</v>
      </c>
      <c r="D12217" s="3">
        <v>5.0</v>
      </c>
    </row>
    <row r="12218" ht="15.75" customHeight="1">
      <c r="A12218" s="1">
        <v>13184.0</v>
      </c>
      <c r="B12218" s="3" t="s">
        <v>11598</v>
      </c>
      <c r="C12218" s="3" t="str">
        <f>IFERROR(__xludf.DUMMYFUNCTION("GOOGLETRANSLATE(B12218,""id"",""en"")"),"['rare', 'leg', 'sometimes', 'sometimes', 'appeal', 'good', 'telkomsel']")</f>
        <v>['rare', 'leg', 'sometimes', 'sometimes', 'appeal', 'good', 'telkomsel']</v>
      </c>
      <c r="D12218" s="3">
        <v>5.0</v>
      </c>
    </row>
    <row r="12219" ht="15.75" customHeight="1">
      <c r="A12219" s="1">
        <v>13185.0</v>
      </c>
      <c r="B12219" s="3" t="s">
        <v>11599</v>
      </c>
      <c r="C12219" s="3" t="str">
        <f>IFERROR(__xludf.DUMMYFUNCTION("GOOGLETRANSLATE(B12219,""id"",""en"")"),"['Most', 'update']")</f>
        <v>['Most', 'update']</v>
      </c>
      <c r="D12219" s="3">
        <v>5.0</v>
      </c>
    </row>
    <row r="12220" ht="15.75" customHeight="1">
      <c r="A12220" s="1">
        <v>13186.0</v>
      </c>
      <c r="B12220" s="3" t="s">
        <v>11600</v>
      </c>
      <c r="C12220" s="3" t="str">
        <f>IFERROR(__xludf.DUMMYFUNCTION("GOOGLETRANSLATE(B12220,""id"",""en"")"),"['card', 'Telkomsel', 'upgrade', 'meek', 'change', 'ugly', 'Telkomsel', 'slow', 'severe', 'already', 'lose', 'prime', ' Price ',' expensive ',' emang ',' think ',' Telkomsel ',' price ',' according to ',' quality ',' ']")</f>
        <v>['card', 'Telkomsel', 'upgrade', 'meek', 'change', 'ugly', 'Telkomsel', 'slow', 'severe', 'already', 'lose', 'prime', ' Price ',' expensive ',' emang ',' think ',' Telkomsel ',' price ',' according to ',' quality ',' ']</v>
      </c>
      <c r="D12220" s="3">
        <v>1.0</v>
      </c>
    </row>
    <row r="12221" ht="15.75" customHeight="1">
      <c r="A12221" s="1">
        <v>13187.0</v>
      </c>
      <c r="B12221" s="3" t="s">
        <v>11601</v>
      </c>
      <c r="C12221" s="3" t="str">
        <f>IFERROR(__xludf.DUMMYFUNCTION("GOOGLETRANSLATE(B12221,""id"",""en"")"),"['Signal', 'like', 'disorder']")</f>
        <v>['Signal', 'like', 'disorder']</v>
      </c>
      <c r="D12221" s="3">
        <v>2.0</v>
      </c>
    </row>
    <row r="12222" ht="15.75" customHeight="1">
      <c r="A12222" s="1">
        <v>13188.0</v>
      </c>
      <c r="B12222" s="3" t="s">
        <v>11602</v>
      </c>
      <c r="C12222" s="3" t="str">
        <f>IFERROR(__xludf.DUMMYFUNCTION("GOOGLETRANSLATE(B12222,""id"",""en"")"),"['Satisfied', 'APK', '']")</f>
        <v>['Satisfied', 'APK', '']</v>
      </c>
      <c r="D12222" s="3">
        <v>4.0</v>
      </c>
    </row>
    <row r="12223" ht="15.75" customHeight="1">
      <c r="A12223" s="1">
        <v>13189.0</v>
      </c>
      <c r="B12223" s="3" t="s">
        <v>11603</v>
      </c>
      <c r="C12223" s="3" t="str">
        <f>IFERROR(__xludf.DUMMYFUNCTION("GOOGLETRANSLATE(B12223,""id"",""en"")"),"['pulse', 'kpotong', '']")</f>
        <v>['pulse', 'kpotong', '']</v>
      </c>
      <c r="D12223" s="3">
        <v>1.0</v>
      </c>
    </row>
    <row r="12224" ht="15.75" customHeight="1">
      <c r="A12224" s="1">
        <v>13190.0</v>
      </c>
      <c r="B12224" s="3" t="s">
        <v>11604</v>
      </c>
      <c r="C12224" s="3" t="str">
        <f>IFERROR(__xludf.DUMMYFUNCTION("GOOGLETRANSLATE(B12224,""id"",""en"")"),"['Application', 'Emotion', 'Center', 'Help', 'Veronika', 'Help', 'Looking', 'Solution', 'Find', 'Spin', 'Entertainment', 'Region', ' Mandailing ',' Christmas', 'Signal', 'Internet', 'Stable', 'Lost', 'Electricity', 'Padam', 'Automatic', 'Signal', 'Interne"&amp;"t', 'Padam', 'People' , 'choose', 'move', 'operator', 'rather than', 'Telkomsel', 'disappointing']")</f>
        <v>['Application', 'Emotion', 'Center', 'Help', 'Veronika', 'Help', 'Looking', 'Solution', 'Find', 'Spin', 'Entertainment', 'Region', ' Mandailing ',' Christmas', 'Signal', 'Internet', 'Stable', 'Lost', 'Electricity', 'Padam', 'Automatic', 'Signal', 'Internet', 'Padam', 'People' , 'choose', 'move', 'operator', 'rather than', 'Telkomsel', 'disappointing']</v>
      </c>
      <c r="D12224" s="3">
        <v>1.0</v>
      </c>
    </row>
    <row r="12225" ht="15.75" customHeight="1">
      <c r="A12225" s="1">
        <v>13191.0</v>
      </c>
      <c r="B12225" s="3" t="s">
        <v>11605</v>
      </c>
      <c r="C12225" s="3" t="str">
        <f>IFERROR(__xludf.DUMMYFUNCTION("GOOGLETRANSLATE(B12225,""id"",""en"")"),"['Install', 'APPLK', 'GDA', 'EIAP', 'Login', 'Nongoll', 'Logo', 'Doang', 'Ampe', 'Nungu', 'brpa', 'Hard', ' Clay ',' leftover ',' package ',' ama ',' contents', 'reset', 'tired', 'gush', 'pnya', 'Appel', 'Telkomsel']")</f>
        <v>['Install', 'APPLK', 'GDA', 'EIAP', 'Login', 'Nongoll', 'Logo', 'Doang', 'Ampe', 'Nungu', 'brpa', 'Hard', ' Clay ',' leftover ',' package ',' ama ',' contents', 'reset', 'tired', 'gush', 'pnya', 'Appel', 'Telkomsel']</v>
      </c>
      <c r="D12225" s="3">
        <v>1.0</v>
      </c>
    </row>
    <row r="12226" ht="15.75" customHeight="1">
      <c r="A12226" s="1">
        <v>13192.0</v>
      </c>
      <c r="B12226" s="3" t="s">
        <v>11606</v>
      </c>
      <c r="C12226" s="3" t="str">
        <f>IFERROR(__xludf.DUMMYFUNCTION("GOOGLETRANSLATE(B12226,""id"",""en"")"),"['Severe', 'really', 'already', 'transaction', 'succeed', 'package', 'enter', 'balance', 'cut', 'contents',' pulse ',' already ',' entry ',' contact ',' Twitter ',' progress', 'told', 'Wait', 'results',' anything ',' already ',' waiting ',' process', 'res"&amp;"ults',' whatever ' , 'Sampe', 'Thinking', 'Kek', 'Gini', 'Dilama', 'In', 'Weve', 'Terms',' People ',' Buy ',' Package ',' Need ',' emergency ',' purposes', 'service', 'bad', 'really', 'fast', 'resolved']")</f>
        <v>['Severe', 'really', 'already', 'transaction', 'succeed', 'package', 'enter', 'balance', 'cut', 'contents',' pulse ',' already ',' entry ',' contact ',' Twitter ',' progress', 'told', 'Wait', 'results',' anything ',' already ',' waiting ',' process', 'results',' whatever ' , 'Sampe', 'Thinking', 'Kek', 'Gini', 'Dilama', 'In', 'Weve', 'Terms',' People ',' Buy ',' Package ',' Need ',' emergency ',' purposes', 'service', 'bad', 'really', 'fast', 'resolved']</v>
      </c>
      <c r="D12226" s="3">
        <v>1.0</v>
      </c>
    </row>
    <row r="12227" ht="15.75" customHeight="1">
      <c r="A12227" s="1">
        <v>13193.0</v>
      </c>
      <c r="B12227" s="3" t="s">
        <v>11607</v>
      </c>
      <c r="C12227" s="3" t="str">
        <f>IFERROR(__xludf.DUMMYFUNCTION("GOOGLETRANSLATE(B12227,""id"",""en"")"),"['Until', 'Blm', 'got', 'Lottery', '']")</f>
        <v>['Until', 'Blm', 'got', 'Lottery', '']</v>
      </c>
      <c r="D12227" s="3">
        <v>5.0</v>
      </c>
    </row>
    <row r="12228" ht="15.75" customHeight="1">
      <c r="A12228" s="1">
        <v>13194.0</v>
      </c>
      <c r="B12228" s="3" t="s">
        <v>11608</v>
      </c>
      <c r="C12228" s="3" t="str">
        <f>IFERROR(__xludf.DUMMYFUNCTION("GOOGLETRANSLATE(B12228,""id"",""en"")"),"['', 'Red', 'already', 'defective']")</f>
        <v>['', 'Red', 'already', 'defective']</v>
      </c>
      <c r="D12228" s="3">
        <v>2.0</v>
      </c>
    </row>
    <row r="12229" ht="15.75" customHeight="1">
      <c r="A12229" s="1">
        <v>13195.0</v>
      </c>
      <c r="B12229" s="3" t="s">
        <v>11609</v>
      </c>
      <c r="C12229" s="3" t="str">
        <f>IFERROR(__xludf.DUMMYFUNCTION("GOOGLETRANSLATE(B12229,""id"",""en"")"),"['session', 'enter', 'Ribet', 'Mulu', 'Males']")</f>
        <v>['session', 'enter', 'Ribet', 'Mulu', 'Males']</v>
      </c>
      <c r="D12229" s="3">
        <v>3.0</v>
      </c>
    </row>
    <row r="12230" ht="15.75" customHeight="1">
      <c r="A12230" s="1">
        <v>13196.0</v>
      </c>
      <c r="B12230" s="3" t="s">
        <v>1572</v>
      </c>
      <c r="C12230" s="3" t="str">
        <f>IFERROR(__xludf.DUMMYFUNCTION("GOOGLETRANSLATE(B12230,""id"",""en"")"),"['Love', 'Star']")</f>
        <v>['Love', 'Star']</v>
      </c>
      <c r="D12230" s="3">
        <v>4.0</v>
      </c>
    </row>
    <row r="12231" ht="15.75" customHeight="1">
      <c r="A12231" s="1">
        <v>13197.0</v>
      </c>
      <c r="B12231" s="3" t="s">
        <v>11610</v>
      </c>
      <c r="C12231" s="3" t="str">
        <f>IFERROR(__xludf.DUMMYFUNCTION("GOOGLETRANSLATE(B12231,""id"",""en"")"),"['Appl', 'Bagu']")</f>
        <v>['Appl', 'Bagu']</v>
      </c>
      <c r="D12231" s="3">
        <v>5.0</v>
      </c>
    </row>
    <row r="12232" ht="15.75" customHeight="1">
      <c r="A12232" s="1">
        <v>13198.0</v>
      </c>
      <c r="B12232" s="3" t="s">
        <v>11611</v>
      </c>
      <c r="C12232" s="3" t="str">
        <f>IFERROR(__xludf.DUMMYFUNCTION("GOOGLETRANSLATE(B12232,""id"",""en"")"),"['Java', 'city', 'kebumen', 'get', 'gift', 'anything', 'get', 'promo', 'interesting', 'number', '']")</f>
        <v>['Java', 'city', 'kebumen', 'get', 'gift', 'anything', 'get', 'promo', 'interesting', 'number', '']</v>
      </c>
      <c r="D12232" s="3">
        <v>5.0</v>
      </c>
    </row>
    <row r="12233" ht="15.75" customHeight="1">
      <c r="A12233" s="1">
        <v>13199.0</v>
      </c>
      <c r="B12233" s="3" t="s">
        <v>11612</v>
      </c>
      <c r="C12233" s="3" t="str">
        <f>IFERROR(__xludf.DUMMYFUNCTION("GOOGLETRANSLATE(B12233,""id"",""en"")"),"['Okay', 'skrg', 'udh', 'good', 'keep', 'be careful', 'acting']")</f>
        <v>['Okay', 'skrg', 'udh', 'good', 'keep', 'be careful', 'acting']</v>
      </c>
      <c r="D12233" s="3">
        <v>5.0</v>
      </c>
    </row>
    <row r="12234" ht="15.75" customHeight="1">
      <c r="A12234" s="1">
        <v>13200.0</v>
      </c>
      <c r="B12234" s="3" t="s">
        <v>11613</v>
      </c>
      <c r="C12234" s="3" t="str">
        <f>IFERROR(__xludf.DUMMYFUNCTION("GOOGLETRANSLATE(B12234,""id"",""en"")"),"['Optimize', 'reading', 'data', 'online', 'offline']")</f>
        <v>['Optimize', 'reading', 'data', 'online', 'offline']</v>
      </c>
      <c r="D12234" s="3">
        <v>1.0</v>
      </c>
    </row>
    <row r="12235" ht="15.75" customHeight="1">
      <c r="A12235" s="1">
        <v>13201.0</v>
      </c>
      <c r="B12235" s="3" t="s">
        <v>11614</v>
      </c>
      <c r="C12235" s="3" t="str">
        <f>IFERROR(__xludf.DUMMYFUNCTION("GOOGLETRANSLATE(B12235,""id"",""en"")"),"['Telkomsel', 'Atasanya', 'CEO', 'That's',' Telkomsel ',' Quality ',' Determine ',' Price ',' Boro ',' Boro ',' Quality ',' Signal ',' missing ',' likes', 'error', 'take', 'lucky', 'big', 'service', 'good', 'mah', 'tasty', 'boro', 'boro', 'taikkk' ]")</f>
        <v>['Telkomsel', 'Atasanya', 'CEO', 'That's',' Telkomsel ',' Quality ',' Determine ',' Price ',' Boro ',' Boro ',' Quality ',' Signal ',' missing ',' likes', 'error', 'take', 'lucky', 'big', 'service', 'good', 'mah', 'tasty', 'boro', 'boro', 'taikkk' ]</v>
      </c>
      <c r="D12235" s="3">
        <v>1.0</v>
      </c>
    </row>
    <row r="12236" ht="15.75" customHeight="1">
      <c r="A12236" s="1">
        <v>13202.0</v>
      </c>
      <c r="B12236" s="3" t="s">
        <v>11615</v>
      </c>
      <c r="C12236" s="3" t="str">
        <f>IFERROR(__xludf.DUMMYFUNCTION("GOOGLETRANSLATE(B12236,""id"",""en"")"),"['package', 'internet', 'rates', 'expensive', 'use', 'card', 'Telkomsel', 'comfortable', 'expensive']")</f>
        <v>['package', 'internet', 'rates', 'expensive', 'use', 'card', 'Telkomsel', 'comfortable', 'expensive']</v>
      </c>
      <c r="D12236" s="3">
        <v>1.0</v>
      </c>
    </row>
    <row r="12237" ht="15.75" customHeight="1">
      <c r="A12237" s="1">
        <v>13203.0</v>
      </c>
      <c r="B12237" s="3" t="s">
        <v>11616</v>
      </c>
      <c r="C12237" s="3" t="str">
        <f>IFERROR(__xludf.DUMMYFUNCTION("GOOGLETRANSLATE(B12237,""id"",""en"")"),"['Star', 'love', 'star', 'quota', 'expensive', 'network', 'pulp', 'Telkomsel', 'pulp', 'network', 'bad', 'until', ' slow connection', '']")</f>
        <v>['Star', 'love', 'star', 'quota', 'expensive', 'network', 'pulp', 'Telkomsel', 'pulp', 'network', 'bad', 'until', ' slow connection', '']</v>
      </c>
      <c r="D12237" s="3">
        <v>1.0</v>
      </c>
    </row>
    <row r="12238" ht="15.75" customHeight="1">
      <c r="A12238" s="1">
        <v>13204.0</v>
      </c>
      <c r="B12238" s="3" t="s">
        <v>11617</v>
      </c>
      <c r="C12238" s="3" t="str">
        <f>IFERROR(__xludf.DUMMYFUNCTION("GOOGLETRANSLATE(B12238,""id"",""en"")"),"['price', 'package', 'expensive', 'user', 'loyal', 'Telkomsel', '']")</f>
        <v>['price', 'package', 'expensive', 'user', 'loyal', 'Telkomsel', '']</v>
      </c>
      <c r="D12238" s="3">
        <v>1.0</v>
      </c>
    </row>
    <row r="12239" ht="15.75" customHeight="1">
      <c r="A12239" s="1">
        <v>13205.0</v>
      </c>
      <c r="B12239" s="3" t="s">
        <v>11618</v>
      </c>
      <c r="C12239" s="3" t="str">
        <f>IFERROR(__xludf.DUMMYFUNCTION("GOOGLETRANSLATE(B12239,""id"",""en"")"),"['application', 'migration', 'network', 'priority', 'migration', 'priority', 'joss',' information ',' application ',' mytelkomsel ',' help ',' information ',' Latest ',' Grapari ',' Office ',' Branch ',' Mantap ', ""]")</f>
        <v>['application', 'migration', 'network', 'priority', 'migration', 'priority', 'joss',' information ',' application ',' mytelkomsel ',' help ',' information ',' Latest ',' Grapari ',' Office ',' Branch ',' Mantap ', "]</v>
      </c>
      <c r="D12239" s="3">
        <v>5.0</v>
      </c>
    </row>
    <row r="12240" ht="15.75" customHeight="1">
      <c r="A12240" s="1">
        <v>13206.0</v>
      </c>
      <c r="B12240" s="3" t="s">
        <v>11619</v>
      </c>
      <c r="C12240" s="3" t="str">
        <f>IFERROR(__xludf.DUMMYFUNCTION("GOOGLETRANSLATE(B12240,""id"",""en"")"),"['Transfer', 'Credit', 'Costs', 'Middle', 'Silver', 'Busset', '']")</f>
        <v>['Transfer', 'Credit', 'Costs', 'Middle', 'Silver', 'Busset', '']</v>
      </c>
      <c r="D12240" s="3">
        <v>1.0</v>
      </c>
    </row>
    <row r="12241" ht="15.75" customHeight="1">
      <c r="A12241" s="1">
        <v>13207.0</v>
      </c>
      <c r="B12241" s="3" t="s">
        <v>11620</v>
      </c>
      <c r="C12241" s="3" t="str">
        <f>IFERROR(__xludf.DUMMYFUNCTION("GOOGLETRANSLATE(B12241,""id"",""en"")"),"['really', 'smooth']")</f>
        <v>['really', 'smooth']</v>
      </c>
      <c r="D12241" s="3">
        <v>5.0</v>
      </c>
    </row>
    <row r="12242" ht="15.75" customHeight="1">
      <c r="A12242" s="1">
        <v>13208.0</v>
      </c>
      <c r="B12242" s="3" t="s">
        <v>11621</v>
      </c>
      <c r="C12242" s="3" t="str">
        <f>IFERROR(__xludf.DUMMYFUNCTION("GOOGLETRANSLATE(B12242,""id"",""en"")"),"['Good', 'Kasi', 'twigs', 'because', 'BLM', 'Try', 'application', '']")</f>
        <v>['Good', 'Kasi', 'twigs', 'because', 'BLM', 'Try', 'application', '']</v>
      </c>
      <c r="D12242" s="3">
        <v>4.0</v>
      </c>
    </row>
    <row r="12243" ht="15.75" customHeight="1">
      <c r="A12243" s="1">
        <v>13209.0</v>
      </c>
      <c r="B12243" s="3" t="s">
        <v>11622</v>
      </c>
      <c r="C12243" s="3" t="str">
        <f>IFERROR(__xludf.DUMMYFUNCTION("GOOGLETRANSLATE(B12243,""id"",""en"")"),"['Hello', 'Telkomsel', 'SMS', 'Berkunasi', 'Paying', 'Package', 'Emergency', 'Take', 'Package', 'Emergency', 'Credit', 'Cut', ' Magsud ',' ']")</f>
        <v>['Hello', 'Telkomsel', 'SMS', 'Berkunasi', 'Paying', 'Package', 'Emergency', 'Take', 'Package', 'Emergency', 'Credit', 'Cut', ' Magsud ',' ']</v>
      </c>
      <c r="D12243" s="3">
        <v>1.0</v>
      </c>
    </row>
    <row r="12244" ht="15.75" customHeight="1">
      <c r="A12244" s="1">
        <v>13210.0</v>
      </c>
      <c r="B12244" s="3" t="s">
        <v>11623</v>
      </c>
      <c r="C12244" s="3" t="str">
        <f>IFERROR(__xludf.DUMMYFUNCTION("GOOGLETRANSLATE(B12244,""id"",""en"")"),"['Assalamualaikum', 'Updated', 'Android', 'Application', 'No', 'Road', 'Please', 'Help']")</f>
        <v>['Assalamualaikum', 'Updated', 'Android', 'Application', 'No', 'Road', 'Please', 'Help']</v>
      </c>
      <c r="D12244" s="3">
        <v>1.0</v>
      </c>
    </row>
    <row r="12245" ht="15.75" customHeight="1">
      <c r="A12245" s="1">
        <v>13211.0</v>
      </c>
      <c r="B12245" s="3" t="s">
        <v>11624</v>
      </c>
      <c r="C12245" s="3" t="str">
        <f>IFERROR(__xludf.DUMMYFUNCTION("GOOGLETRANSLATE(B12245,""id"",""en"")"),"['Good', 'Abekai']")</f>
        <v>['Good', 'Abekai']</v>
      </c>
      <c r="D12245" s="3">
        <v>5.0</v>
      </c>
    </row>
    <row r="12246" ht="15.75" customHeight="1">
      <c r="A12246" s="1">
        <v>13212.0</v>
      </c>
      <c r="B12246" s="3" t="s">
        <v>11625</v>
      </c>
      <c r="C12246" s="3" t="str">
        <f>IFERROR(__xludf.DUMMYFUNCTION("GOOGLETRANSLATE(B12246,""id"",""en"")"),"['Application', 'Certified', 'Understand', 'Nge', 'Log', 'Pekah', 'Government', 'Tayyyy']")</f>
        <v>['Application', 'Certified', 'Understand', 'Nge', 'Log', 'Pekah', 'Government', 'Tayyyy']</v>
      </c>
      <c r="D12246" s="3">
        <v>1.0</v>
      </c>
    </row>
    <row r="12247" ht="15.75" customHeight="1">
      <c r="A12247" s="1">
        <v>13214.0</v>
      </c>
      <c r="B12247" s="3" t="s">
        <v>11626</v>
      </c>
      <c r="C12247" s="3" t="str">
        <f>IFERROR(__xludf.DUMMYFUNCTION("GOOGLETRANSLATE(B12247,""id"",""en"")"),"['Sorry', 'Gays', 'Star', 'Since', 'Application', 'Try', ""]")</f>
        <v>['Sorry', 'Gays', 'Star', 'Since', 'Application', 'Try', "]</v>
      </c>
      <c r="D12247" s="3">
        <v>3.0</v>
      </c>
    </row>
    <row r="12248" ht="15.75" customHeight="1">
      <c r="A12248" s="1">
        <v>13215.0</v>
      </c>
      <c r="B12248" s="3" t="s">
        <v>11627</v>
      </c>
      <c r="C12248" s="3" t="str">
        <f>IFERROR(__xludf.DUMMYFUNCTION("GOOGLETRANSLATE(B12248,""id"",""en"")"),"['Multi', 'function', 'easy', 'contents',' pulse ',' package ',' mantep ',' bother ',' search ',' place ',' counter ',' place ',' Thank you ',' Telkomsel ']")</f>
        <v>['Multi', 'function', 'easy', 'contents',' pulse ',' package ',' mantep ',' bother ',' search ',' place ',' counter ',' place ',' Thank you ',' Telkomsel ']</v>
      </c>
      <c r="D12248" s="3">
        <v>5.0</v>
      </c>
    </row>
    <row r="12249" ht="15.75" customHeight="1">
      <c r="A12249" s="1">
        <v>13216.0</v>
      </c>
      <c r="B12249" s="3" t="s">
        <v>11628</v>
      </c>
      <c r="C12249" s="3" t="str">
        <f>IFERROR(__xludf.DUMMYFUNCTION("GOOGLETRANSLATE(B12249,""id"",""en"")"),"['', 'update', 'tasty', 'slow', 'perish', 'ngehhang', 'Ngehe', ""]")</f>
        <v>['', 'update', 'tasty', 'slow', 'perish', 'ngehhang', 'Ngehe', "]</v>
      </c>
      <c r="D12249" s="3">
        <v>1.0</v>
      </c>
    </row>
    <row r="12250" ht="15.75" customHeight="1">
      <c r="A12250" s="1">
        <v>13217.0</v>
      </c>
      <c r="B12250" s="3" t="s">
        <v>11629</v>
      </c>
      <c r="C12250" s="3" t="str">
        <f>IFERROR(__xludf.DUMMYFUNCTION("GOOGLETRANSLATE(B12250,""id"",""en"")"),"['Region', 'Riau', 'Network', 'Telkomsel', 'Destroyed', 'Fix', 'Network', 'Klian', 'Kimbek', ""]")</f>
        <v>['Region', 'Riau', 'Network', 'Telkomsel', 'Destroyed', 'Fix', 'Network', 'Klian', 'Kimbek', "]</v>
      </c>
      <c r="D12250" s="3">
        <v>1.0</v>
      </c>
    </row>
    <row r="12251" ht="15.75" customHeight="1">
      <c r="A12251" s="1">
        <v>13218.0</v>
      </c>
      <c r="B12251" s="3" t="s">
        <v>11630</v>
      </c>
      <c r="C12251" s="3" t="str">
        <f>IFERROR(__xludf.DUMMYFUNCTION("GOOGLETRANSLATE(B12251,""id"",""en"")"),"['It's', 'Rich']")</f>
        <v>['It's', 'Rich']</v>
      </c>
      <c r="D12251" s="3">
        <v>2.0</v>
      </c>
    </row>
    <row r="12252" ht="15.75" customHeight="1">
      <c r="A12252" s="1">
        <v>13219.0</v>
      </c>
      <c r="B12252" s="3" t="s">
        <v>11631</v>
      </c>
      <c r="C12252" s="3" t="str">
        <f>IFERROR(__xludf.DUMMYFUNCTION("GOOGLETRANSLATE(B12252,""id"",""en"")"),"['Telkomsel', 'number', 'Ntah', 'leaked', 'number', 'DRI', 'OPERATOR', 'DRI', 'TGL', 'SPAM', 'CALL', 'ORG', ' Known ',' disturb ',' ']")</f>
        <v>['Telkomsel', 'number', 'Ntah', 'leaked', 'number', 'DRI', 'OPERATOR', 'DRI', 'TGL', 'SPAM', 'CALL', 'ORG', ' Known ',' disturb ',' ']</v>
      </c>
      <c r="D12252" s="3">
        <v>2.0</v>
      </c>
    </row>
    <row r="12253" ht="15.75" customHeight="1">
      <c r="A12253" s="1">
        <v>13220.0</v>
      </c>
      <c r="B12253" s="3" t="s">
        <v>11632</v>
      </c>
      <c r="C12253" s="3" t="str">
        <f>IFERROR(__xludf.DUMMYFUNCTION("GOOGLETRANSLATE(B12253,""id"",""en"")"),"['Nabire', 'Papua', 'Exact', 'Kalibobo', 'Bright', 'Disappointed', 'Connection', 'Signal', 'Full', 'Watch', 'YouTube', 'Quality', ' Video ',' buffering ',' Open ',' Application ',' Telkomsel ',' Speed ​​',' Connection ',' Mbps']")</f>
        <v>['Nabire', 'Papua', 'Exact', 'Kalibobo', 'Bright', 'Disappointed', 'Connection', 'Signal', 'Full', 'Watch', 'YouTube', 'Quality', ' Video ',' buffering ',' Open ',' Application ',' Telkomsel ',' Speed ​​',' Connection ',' Mbps']</v>
      </c>
      <c r="D12253" s="3">
        <v>1.0</v>
      </c>
    </row>
    <row r="12254" ht="15.75" customHeight="1">
      <c r="A12254" s="1">
        <v>13221.0</v>
      </c>
      <c r="B12254" s="3" t="s">
        <v>11633</v>
      </c>
      <c r="C12254" s="3" t="str">
        <f>IFERROR(__xludf.DUMMYFUNCTION("GOOGLETRANSLATE(B12254,""id"",""en"")"),"['Thank you', 'Telkomsel', 'makes it easy', 'service', 'internet', 'community', 'Indonesia']")</f>
        <v>['Thank you', 'Telkomsel', 'makes it easy', 'service', 'internet', 'community', 'Indonesia']</v>
      </c>
      <c r="D12254" s="3">
        <v>5.0</v>
      </c>
    </row>
    <row r="12255" ht="15.75" customHeight="1">
      <c r="A12255" s="1">
        <v>13222.0</v>
      </c>
      <c r="B12255" s="3" t="s">
        <v>5727</v>
      </c>
      <c r="C12255" s="3" t="str">
        <f>IFERROR(__xludf.DUMMYFUNCTION("GOOGLETRANSLATE(B12255,""id"",""en"")"),"['Easy', 'buy', 'pulse']")</f>
        <v>['Easy', 'buy', 'pulse']</v>
      </c>
      <c r="D12255" s="3">
        <v>4.0</v>
      </c>
    </row>
    <row r="12256" ht="15.75" customHeight="1">
      <c r="A12256" s="1">
        <v>13223.0</v>
      </c>
      <c r="B12256" s="3" t="s">
        <v>11634</v>
      </c>
      <c r="C12256" s="3" t="str">
        <f>IFERROR(__xludf.DUMMYFUNCTION("GOOGLETRANSLATE(B12256,""id"",""en"")"),"['really good']")</f>
        <v>['really good']</v>
      </c>
      <c r="D12256" s="3">
        <v>5.0</v>
      </c>
    </row>
    <row r="12257" ht="15.75" customHeight="1">
      <c r="A12257" s="1">
        <v>13224.0</v>
      </c>
      <c r="B12257" s="3" t="s">
        <v>11635</v>
      </c>
      <c r="C12257" s="3" t="str">
        <f>IFERROR(__xludf.DUMMYFUNCTION("GOOGLETRANSLATE(B12257,""id"",""en"")"),"['Hi', 'Telkomsel', 'the application', 'opened', 'uninstall', 'open', 'the application', 'opened', 'please', 'help', 'explanation', ""]")</f>
        <v>['Hi', 'Telkomsel', 'the application', 'opened', 'uninstall', 'open', 'the application', 'opened', 'please', 'help', 'explanation', "]</v>
      </c>
      <c r="D12257" s="3">
        <v>5.0</v>
      </c>
    </row>
    <row r="12258" ht="15.75" customHeight="1">
      <c r="A12258" s="1">
        <v>13225.0</v>
      </c>
      <c r="B12258" s="3" t="s">
        <v>4561</v>
      </c>
      <c r="C12258" s="3" t="str">
        <f>IFERROR(__xludf.DUMMYFUNCTION("GOOGLETRANSLATE(B12258,""id"",""en"")"),"['APK', 'Good', '']")</f>
        <v>['APK', 'Good', '']</v>
      </c>
      <c r="D12258" s="3">
        <v>5.0</v>
      </c>
    </row>
    <row r="12259" ht="15.75" customHeight="1">
      <c r="A12259" s="1">
        <v>13226.0</v>
      </c>
      <c r="B12259" s="3" t="s">
        <v>11636</v>
      </c>
      <c r="C12259" s="3" t="str">
        <f>IFERROR(__xludf.DUMMYFUNCTION("GOOGLETRANSLATE(B12259,""id"",""en"")"),"['Thank you', 'Telkomsel', 'Hallo', 'service', 'satisfying', 'help', ""]")</f>
        <v>['Thank you', 'Telkomsel', 'Hallo', 'service', 'satisfying', 'help', "]</v>
      </c>
      <c r="D12259" s="3">
        <v>5.0</v>
      </c>
    </row>
    <row r="12260" ht="15.75" customHeight="1">
      <c r="A12260" s="1">
        <v>13227.0</v>
      </c>
      <c r="B12260" s="3" t="s">
        <v>11637</v>
      </c>
      <c r="C12260" s="3" t="str">
        <f>IFERROR(__xludf.DUMMYFUNCTION("GOOGLETRANSLATE(B12260,""id"",""en"")"),"['Telkomsel', 'sihh', 'buy', 'package', 'server', 'busy', 'that's', 'tlong', 'explanation', '']")</f>
        <v>['Telkomsel', 'sihh', 'buy', 'package', 'server', 'busy', 'that's', 'tlong', 'explanation', '']</v>
      </c>
      <c r="D12260" s="3">
        <v>1.0</v>
      </c>
    </row>
    <row r="12261" ht="15.75" customHeight="1">
      <c r="A12261" s="1">
        <v>13228.0</v>
      </c>
      <c r="B12261" s="3" t="s">
        <v>11638</v>
      </c>
      <c r="C12261" s="3" t="str">
        <f>IFERROR(__xludf.DUMMYFUNCTION("GOOGLETRANSLATE(B12261,""id"",""en"")"),"['Telkomsel', 'Knp', 'BANGKE', 'Yesterday', 'Ngelag', 'Severe', 'Cave', 'Play', 'Ngelag', 'Mulu', 'Sampe', 'Gabisa', ' Play ',' get ',' Bacotan ',' Team ',' Mulu ',' Cave ',' Gegara ',' Signal ']")</f>
        <v>['Telkomsel', 'Knp', 'BANGKE', 'Yesterday', 'Ngelag', 'Severe', 'Cave', 'Play', 'Ngelag', 'Mulu', 'Sampe', 'Gabisa', ' Play ',' get ',' Bacotan ',' Team ',' Mulu ',' Cave ',' Gegara ',' Signal ']</v>
      </c>
      <c r="D12261" s="3">
        <v>1.0</v>
      </c>
    </row>
    <row r="12262" ht="15.75" customHeight="1">
      <c r="A12262" s="1">
        <v>13229.0</v>
      </c>
      <c r="B12262" s="3" t="s">
        <v>11639</v>
      </c>
      <c r="C12262" s="3" t="str">
        <f>IFERROR(__xludf.DUMMYFUNCTION("GOOGLETRANSLATE(B12262,""id"",""en"")"),"['make', 'card', 'Telkomsel', 'what', 'sekrang', 'mentang', 'in power', 'system', 'network', 'rich', 'garbage', 'slow', ' Very ',' Switch ',' Provider ',' Maen ',' Game ',' Streaming ']")</f>
        <v>['make', 'card', 'Telkomsel', 'what', 'sekrang', 'mentang', 'in power', 'system', 'network', 'rich', 'garbage', 'slow', ' Very ',' Switch ',' Provider ',' Maen ',' Game ',' Streaming ']</v>
      </c>
      <c r="D12262" s="3">
        <v>1.0</v>
      </c>
    </row>
    <row r="12263" ht="15.75" customHeight="1">
      <c r="A12263" s="1">
        <v>13230.0</v>
      </c>
      <c r="B12263" s="3" t="s">
        <v>11640</v>
      </c>
      <c r="C12263" s="3" t="str">
        <f>IFERROR(__xludf.DUMMYFUNCTION("GOOGLETRANSLATE(B12263,""id"",""en"")"),"['HLO', 'Tide', 'Application', 'Delete', 'Karna', 'Eat', 'Pulse', 'Lost', 'Pulses',' PDHAL ',' Should ',' Install ',' Code ',' ferrification ',' Dwart ',' tdak ',' delay ',' trllu ',' cpat ',' ']")</f>
        <v>['HLO', 'Tide', 'Application', 'Delete', 'Karna', 'Eat', 'Pulse', 'Lost', 'Pulses',' PDHAL ',' Should ',' Install ',' Code ',' ferrification ',' Dwart ',' tdak ',' delay ',' trllu ',' cpat ',' ']</v>
      </c>
      <c r="D12263" s="3">
        <v>2.0</v>
      </c>
    </row>
    <row r="12264" ht="15.75" customHeight="1">
      <c r="A12264" s="1">
        <v>13231.0</v>
      </c>
      <c r="B12264" s="3" t="s">
        <v>11641</v>
      </c>
      <c r="C12264" s="3" t="str">
        <f>IFERROR(__xludf.DUMMYFUNCTION("GOOGLETRANSLATE(B12264,""id"",""en"")"),"['Points', 'Exchange', 'Try', 'Failed', 'Please', 'Solution']")</f>
        <v>['Points', 'Exchange', 'Try', 'Failed', 'Please', 'Solution']</v>
      </c>
      <c r="D12264" s="3">
        <v>5.0</v>
      </c>
    </row>
    <row r="12265" ht="15.75" customHeight="1">
      <c r="A12265" s="1">
        <v>13232.0</v>
      </c>
      <c r="B12265" s="3" t="s">
        <v>11642</v>
      </c>
      <c r="C12265" s="3" t="str">
        <f>IFERROR(__xludf.DUMMYFUNCTION("GOOGLETRANSLATE(B12265,""id"",""en"")"),"['Making', 'Telkomsel', 'Tool', 'Consoltation', 'Distance', 'Sarana', 'Siratatrahmi', 'Family', 'Berbida', 'Region', 'Help', 'KPD', ' Affairs', 'business',' goods', 'buy', 'sell', 'Telkomsel', 'application', 'progress',' field ',' politics', 'education', "&amp;"'complete', 'Khus' , 'Islam', '']")</f>
        <v>['Making', 'Telkomsel', 'Tool', 'Consoltation', 'Distance', 'Sarana', 'Siratatrahmi', 'Family', 'Berbida', 'Region', 'Help', 'KPD', ' Affairs', 'business',' goods', 'buy', 'sell', 'Telkomsel', 'application', 'progress',' field ',' politics', 'education', 'complete', 'Khus' , 'Islam', '']</v>
      </c>
      <c r="D12265" s="3">
        <v>5.0</v>
      </c>
    </row>
    <row r="12266" ht="15.75" customHeight="1">
      <c r="A12266" s="1">
        <v>13233.0</v>
      </c>
      <c r="B12266" s="3" t="s">
        <v>11643</v>
      </c>
      <c r="C12266" s="3" t="str">
        <f>IFERROR(__xludf.DUMMYFUNCTION("GOOGLETRANSLATE(B12266,""id"",""en"")"),"['best', 'best']")</f>
        <v>['best', 'best']</v>
      </c>
      <c r="D12266" s="3">
        <v>5.0</v>
      </c>
    </row>
    <row r="12267" ht="15.75" customHeight="1">
      <c r="A12267" s="1">
        <v>13234.0</v>
      </c>
      <c r="B12267" s="3" t="s">
        <v>11644</v>
      </c>
      <c r="C12267" s="3" t="str">
        <f>IFERROR(__xludf.DUMMYFUNCTION("GOOGLETRANSLATE(B12267,""id"",""en"")"),"['package', 'expensive', 'signal', 'according to', 'Telkomsel', 'Benerin', 'network', 'internet', 'you', 'ride', 'price', 'package']")</f>
        <v>['package', 'expensive', 'signal', 'according to', 'Telkomsel', 'Benerin', 'network', 'internet', 'you', 'ride', 'price', 'package']</v>
      </c>
      <c r="D12267" s="3">
        <v>1.0</v>
      </c>
    </row>
    <row r="12268" ht="15.75" customHeight="1">
      <c r="A12268" s="1">
        <v>13235.0</v>
      </c>
      <c r="B12268" s="3" t="s">
        <v>11645</v>
      </c>
      <c r="C12268" s="3" t="str">
        <f>IFERROR(__xludf.DUMMYFUNCTION("GOOGLETRANSLATE(B12268,""id"",""en"")"),"['Paketan', 'expensive', 'signal', 'missing', 'lost', 'number', 'already', 'moved', 'provider', 'quality', 'dilapidated', 'boss',' Senggol ']")</f>
        <v>['Paketan', 'expensive', 'signal', 'missing', 'lost', 'number', 'already', 'moved', 'provider', 'quality', 'dilapidated', 'boss',' Senggol ']</v>
      </c>
      <c r="D12268" s="3">
        <v>1.0</v>
      </c>
    </row>
    <row r="12269" ht="15.75" customHeight="1">
      <c r="A12269" s="1">
        <v>13236.0</v>
      </c>
      <c r="B12269" s="3" t="s">
        <v>11646</v>
      </c>
      <c r="C12269" s="3" t="str">
        <f>IFERROR(__xludf.DUMMYFUNCTION("GOOGLETRANSLATE(B12269,""id"",""en"")"),"['already', 'times', 'buy', 'pulse', 'pulses', 'ilang', 'that's', '']")</f>
        <v>['already', 'times', 'buy', 'pulse', 'pulses', 'ilang', 'that's', '']</v>
      </c>
      <c r="D12269" s="3">
        <v>2.0</v>
      </c>
    </row>
    <row r="12270" ht="15.75" customHeight="1">
      <c r="A12270" s="1">
        <v>13237.0</v>
      </c>
      <c r="B12270" s="3" t="s">
        <v>11647</v>
      </c>
      <c r="C12270" s="3" t="str">
        <f>IFERROR(__xludf.DUMMYFUNCTION("GOOGLETRANSLATE(B12270,""id"",""en"")"),"['Sexelomed', 'garbage', 'said', 'buy', 'pulse', 'package', 'internet', 'contents',' pulse ',' rb ',' open ',' browse ',' Credit ',' RB ',' Suck ',' Open ',' Package ',' Internet ',' Strong ',' Pay ',' Bill ',' Rent ',' Land ',' Country ',' Kah ' , '']")</f>
        <v>['Sexelomed', 'garbage', 'said', 'buy', 'pulse', 'package', 'internet', 'contents',' pulse ',' rb ',' open ',' browse ',' Credit ',' RB ',' Suck ',' Open ',' Package ',' Internet ',' Strong ',' Pay ',' Bill ',' Rent ',' Land ',' Country ',' Kah ' , '']</v>
      </c>
      <c r="D12270" s="3">
        <v>1.0</v>
      </c>
    </row>
    <row r="12271" ht="15.75" customHeight="1">
      <c r="A12271" s="1">
        <v>13238.0</v>
      </c>
      <c r="B12271" s="3" t="s">
        <v>11648</v>
      </c>
      <c r="C12271" s="3" t="str">
        <f>IFERROR(__xludf.DUMMYFUNCTION("GOOGLETRANSLATE(B12271,""id"",""en"")"),"['Enter', 'Application', 'Telkomsel']")</f>
        <v>['Enter', 'Application', 'Telkomsel']</v>
      </c>
      <c r="D12271" s="3">
        <v>1.0</v>
      </c>
    </row>
    <row r="12272" ht="15.75" customHeight="1">
      <c r="A12272" s="1">
        <v>13239.0</v>
      </c>
      <c r="B12272" s="3" t="s">
        <v>11649</v>
      </c>
      <c r="C12272" s="3" t="str">
        <f>IFERROR(__xludf.DUMMYFUNCTION("GOOGLETRANSLATE(B12272,""id"",""en"")"),"['Telkomsel', 'The', 'Best', 'Darling', 'Delarce', 'Credit', 'Sorry', 'Star', 'Comfortable']")</f>
        <v>['Telkomsel', 'The', 'Best', 'Darling', 'Delarce', 'Credit', 'Sorry', 'Star', 'Comfortable']</v>
      </c>
      <c r="D12272" s="3">
        <v>1.0</v>
      </c>
    </row>
    <row r="12273" ht="15.75" customHeight="1">
      <c r="A12273" s="1">
        <v>13240.0</v>
      </c>
      <c r="B12273" s="3" t="s">
        <v>11650</v>
      </c>
      <c r="C12273" s="3" t="str">
        <f>IFERROR(__xludf.DUMMYFUNCTION("GOOGLETRANSLATE(B12273,""id"",""en"")"),"['klu', 'area', 'masalembo', 'crowd', 'reinforced', 'signalx']")</f>
        <v>['klu', 'area', 'masalembo', 'crowd', 'reinforced', 'signalx']</v>
      </c>
      <c r="D12273" s="3">
        <v>5.0</v>
      </c>
    </row>
    <row r="12274" ht="15.75" customHeight="1">
      <c r="A12274" s="1">
        <v>13241.0</v>
      </c>
      <c r="B12274" s="3" t="s">
        <v>11651</v>
      </c>
      <c r="C12274" s="3" t="str">
        <f>IFERROR(__xludf.DUMMYFUNCTION("GOOGLETRANSLATE(B12274,""id"",""en"")"),"['Telkomsel', 'Jga', 'buy', 'pulse', 'pulse', 'missing', 'back', 'pulses']")</f>
        <v>['Telkomsel', 'Jga', 'buy', 'pulse', 'pulse', 'missing', 'back', 'pulses']</v>
      </c>
      <c r="D12274" s="3">
        <v>1.0</v>
      </c>
    </row>
    <row r="12275" ht="15.75" customHeight="1">
      <c r="A12275" s="1">
        <v>13242.0</v>
      </c>
      <c r="B12275" s="3" t="s">
        <v>11652</v>
      </c>
      <c r="C12275" s="3" t="str">
        <f>IFERROR(__xludf.DUMMYFUNCTION("GOOGLETRANSLATE(B12275,""id"",""en"")"),"['just', 'network', 'Telkomsel', 'slow', 'Mending', 'Change', 'card', 'already', 'expensive', 'network', 'low']")</f>
        <v>['just', 'network', 'Telkomsel', 'slow', 'Mending', 'Change', 'card', 'already', 'expensive', 'network', 'low']</v>
      </c>
      <c r="D12275" s="3">
        <v>1.0</v>
      </c>
    </row>
    <row r="12276" ht="15.75" customHeight="1">
      <c r="A12276" s="1">
        <v>13243.0</v>
      </c>
      <c r="B12276" s="3" t="s">
        <v>4488</v>
      </c>
      <c r="C12276" s="3" t="str">
        <f>IFERROR(__xludf.DUMMYFUNCTION("GOOGLETRANSLATE(B12276,""id"",""en"")"),"['Help', 'Thank you', 'Telkomsel']")</f>
        <v>['Help', 'Thank you', 'Telkomsel']</v>
      </c>
      <c r="D12276" s="3">
        <v>5.0</v>
      </c>
    </row>
    <row r="12277" ht="15.75" customHeight="1">
      <c r="A12277" s="1">
        <v>13245.0</v>
      </c>
      <c r="B12277" s="3" t="s">
        <v>11653</v>
      </c>
      <c r="C12277" s="3" t="str">
        <f>IFERROR(__xludf.DUMMYFUNCTION("GOOGLETRANSLATE(B12277,""id"",""en"")"),"['Open', 'Dlm', 'offline', 'Develop', ""]")</f>
        <v>['Open', 'Dlm', 'offline', 'Develop', "]</v>
      </c>
      <c r="D12277" s="3">
        <v>4.0</v>
      </c>
    </row>
    <row r="12278" ht="15.75" customHeight="1">
      <c r="A12278" s="1">
        <v>13246.0</v>
      </c>
      <c r="B12278" s="3" t="s">
        <v>11654</v>
      </c>
      <c r="C12278" s="3" t="str">
        <f>IFERROR(__xludf.DUMMYFUNCTION("GOOGLETRANSLATE(B12278,""id"",""en"")"),"['Lottery', 'Telkomsel', 'Points',' Taleng ',' Pelangement ',' Lottery ',' Gift ',' Org ',' Evidence ',' Uda ',' Thousands', ' Points', 'already', 'Send', 'Lottery', 'Can', 'Gifts',' Mengengol ',' Kagak ',' Lower ',' Star ']")</f>
        <v>['Lottery', 'Telkomsel', 'Points',' Taleng ',' Pelangement ',' Lottery ',' Gift ',' Org ',' Evidence ',' Uda ',' Thousands', ' Points', 'already', 'Send', 'Lottery', 'Can', 'Gifts',' Mengengol ',' Kagak ',' Lower ',' Star ']</v>
      </c>
      <c r="D12278" s="3">
        <v>1.0</v>
      </c>
    </row>
    <row r="12279" ht="15.75" customHeight="1">
      <c r="A12279" s="1">
        <v>13247.0</v>
      </c>
      <c r="B12279" s="3" t="s">
        <v>11655</v>
      </c>
      <c r="C12279" s="3" t="str">
        <f>IFERROR(__xludf.DUMMYFUNCTION("GOOGLETRANSLATE(B12279,""id"",""en"")"),"['Telkomsel', 'Leech', 'land']")</f>
        <v>['Telkomsel', 'Leech', 'land']</v>
      </c>
      <c r="D12279" s="3">
        <v>1.0</v>
      </c>
    </row>
    <row r="12280" ht="15.75" customHeight="1">
      <c r="A12280" s="1">
        <v>13248.0</v>
      </c>
      <c r="B12280" s="3" t="s">
        <v>9426</v>
      </c>
      <c r="C12280" s="3" t="str">
        <f>IFERROR(__xludf.DUMMYFUNCTION("GOOGLETRANSLATE(B12280,""id"",""en"")"),"['pretty good']")</f>
        <v>['pretty good']</v>
      </c>
      <c r="D12280" s="3">
        <v>5.0</v>
      </c>
    </row>
    <row r="12281" ht="15.75" customHeight="1">
      <c r="A12281" s="1">
        <v>13249.0</v>
      </c>
      <c r="B12281" s="3" t="s">
        <v>11656</v>
      </c>
      <c r="C12281" s="3" t="str">
        <f>IFERROR(__xludf.DUMMYFUNCTION("GOOGLETRANSLATE(B12281,""id"",""en"")"),"['Glad', 'Wear', 'Telkomsel', 'Thank you', 'Telkomsel']")</f>
        <v>['Glad', 'Wear', 'Telkomsel', 'Thank you', 'Telkomsel']</v>
      </c>
      <c r="D12281" s="3">
        <v>5.0</v>
      </c>
    </row>
    <row r="12282" ht="15.75" customHeight="1">
      <c r="A12282" s="1">
        <v>13250.0</v>
      </c>
      <c r="B12282" s="3" t="s">
        <v>11657</v>
      </c>
      <c r="C12282" s="3" t="str">
        <f>IFERROR(__xludf.DUMMYFUNCTION("GOOGLETRANSLATE(B12282,""id"",""en"")"),"['apk', 'bobroook', 'heavy', 'really', 'Aok', 'quality', 'lowly']")</f>
        <v>['apk', 'bobroook', 'heavy', 'really', 'Aok', 'quality', 'lowly']</v>
      </c>
      <c r="D12282" s="3">
        <v>1.0</v>
      </c>
    </row>
    <row r="12283" ht="15.75" customHeight="1">
      <c r="A12283" s="1">
        <v>13251.0</v>
      </c>
      <c r="B12283" s="3" t="s">
        <v>11658</v>
      </c>
      <c r="C12283" s="3" t="str">
        <f>IFERROR(__xludf.DUMMYFUNCTION("GOOGLETRANSLATE(B12283,""id"",""en"")"),"['oath', 'regret', 'Telkomsel', 'number', 'list', 'banking', 'already', 'waste', 'card', 'Telkomsel', ""]")</f>
        <v>['oath', 'regret', 'Telkomsel', 'number', 'list', 'banking', 'already', 'waste', 'card', 'Telkomsel', "]</v>
      </c>
      <c r="D12283" s="3">
        <v>1.0</v>
      </c>
    </row>
    <row r="12284" ht="15.75" customHeight="1">
      <c r="A12284" s="1">
        <v>13252.0</v>
      </c>
      <c r="B12284" s="3" t="s">
        <v>11659</v>
      </c>
      <c r="C12284" s="3" t="str">
        <f>IFERROR(__xludf.DUMMYFUNCTION("GOOGLETRANSLATE(B12284,""id"",""en"")"),"['expensive', 'price', 'quota']")</f>
        <v>['expensive', 'price', 'quota']</v>
      </c>
      <c r="D12284" s="3">
        <v>2.0</v>
      </c>
    </row>
    <row r="12285" ht="15.75" customHeight="1">
      <c r="A12285" s="1">
        <v>13253.0</v>
      </c>
      <c r="B12285" s="3" t="s">
        <v>11660</v>
      </c>
      <c r="C12285" s="3" t="str">
        <f>IFERROR(__xludf.DUMMYFUNCTION("GOOGLETRANSLATE(B12285,""id"",""en"")"),"['quota', 'expensive', 'lbh', 'disappointing', 'lgi', 'quality', 'network', 'downhill', 'price', 'expensive', 'willing', 'pay', ' Expensive ',' network ',' good ',' network ',' Segeek ',' willing ',' pay ',' as expensive ']")</f>
        <v>['quota', 'expensive', 'lbh', 'disappointing', 'lgi', 'quality', 'network', 'downhill', 'price', 'expensive', 'willing', 'pay', ' Expensive ',' network ',' good ',' network ',' Segeek ',' willing ',' pay ',' as expensive ']</v>
      </c>
      <c r="D12285" s="3">
        <v>1.0</v>
      </c>
    </row>
    <row r="12286" ht="15.75" customHeight="1">
      <c r="A12286" s="1">
        <v>13254.0</v>
      </c>
      <c r="B12286" s="3" t="s">
        <v>11661</v>
      </c>
      <c r="C12286" s="3" t="str">
        <f>IFERROR(__xludf.DUMMYFUNCTION("GOOGLETRANSLATE(B12286,""id"",""en"")"),"['user', 'loyal', 'MyTelkomsel', 'Satisfied', 'really', 'promo', 'Telkomsel']")</f>
        <v>['user', 'loyal', 'MyTelkomsel', 'Satisfied', 'really', 'promo', 'Telkomsel']</v>
      </c>
      <c r="D12286" s="3">
        <v>5.0</v>
      </c>
    </row>
    <row r="12287" ht="15.75" customHeight="1">
      <c r="A12287" s="1">
        <v>13255.0</v>
      </c>
      <c r="B12287" s="3" t="s">
        <v>11662</v>
      </c>
      <c r="C12287" s="3" t="str">
        <f>IFERROR(__xludf.DUMMYFUNCTION("GOOGLETRANSLATE(B12287,""id"",""en"")"),"['makes it easier', 'read', 'email', 'enter', '']")</f>
        <v>['makes it easier', 'read', 'email', 'enter', '']</v>
      </c>
      <c r="D12287" s="3">
        <v>5.0</v>
      </c>
    </row>
    <row r="12288" ht="15.75" customHeight="1">
      <c r="A12288" s="1">
        <v>13256.0</v>
      </c>
      <c r="B12288" s="3" t="s">
        <v>11663</v>
      </c>
      <c r="C12288" s="3" t="str">
        <f>IFERROR(__xludf.DUMMYFUNCTION("GOOGLETRANSLATE(B12288,""id"",""en"")"),"['first', 'road', 'TPI', 'right', 'update', 'jdi', 'open']")</f>
        <v>['first', 'road', 'TPI', 'right', 'update', 'jdi', 'open']</v>
      </c>
      <c r="D12288" s="3">
        <v>1.0</v>
      </c>
    </row>
    <row r="12289" ht="15.75" customHeight="1">
      <c r="A12289" s="1">
        <v>13257.0</v>
      </c>
      <c r="B12289" s="3" t="s">
        <v>11664</v>
      </c>
      <c r="C12289" s="3" t="str">
        <f>IFERROR(__xludf.DUMMYFUNCTION("GOOGLETRANSLATE(B12289,""id"",""en"")"),"['service', 'satisfying', 'quality', 'guaranteed', 'recom', 'really', 'user', 'card', 'Telkomsel', 'mah', '']")</f>
        <v>['service', 'satisfying', 'quality', 'guaranteed', 'recom', 'really', 'user', 'card', 'Telkomsel', 'mah', '']</v>
      </c>
      <c r="D12289" s="3">
        <v>5.0</v>
      </c>
    </row>
    <row r="12290" ht="15.75" customHeight="1">
      <c r="A12290" s="1">
        <v>13259.0</v>
      </c>
      <c r="B12290" s="3" t="s">
        <v>11665</v>
      </c>
      <c r="C12290" s="3" t="str">
        <f>IFERROR(__xludf.DUMMYFUNCTION("GOOGLETRANSLATE(B12290,""id"",""en"")"),"['buy', 'package', 'internet', 'easy']")</f>
        <v>['buy', 'package', 'internet', 'easy']</v>
      </c>
      <c r="D12290" s="3">
        <v>5.0</v>
      </c>
    </row>
    <row r="12291" ht="15.75" customHeight="1">
      <c r="A12291" s="1">
        <v>13260.0</v>
      </c>
      <c r="B12291" s="3" t="s">
        <v>11666</v>
      </c>
      <c r="C12291" s="3" t="str">
        <f>IFERROR(__xludf.DUMMYFUNCTION("GOOGLETRANSLATE(B12291,""id"",""en"")"),"['expensive', 'didingkn']")</f>
        <v>['expensive', 'didingkn']</v>
      </c>
      <c r="D12291" s="3">
        <v>3.0</v>
      </c>
    </row>
    <row r="12292" ht="15.75" customHeight="1">
      <c r="A12292" s="1">
        <v>13261.0</v>
      </c>
      <c r="B12292" s="3" t="s">
        <v>11667</v>
      </c>
      <c r="C12292" s="3" t="str">
        <f>IFERROR(__xludf.DUMMYFUNCTION("GOOGLETRANSLATE(B12292,""id"",""en"")"),"['sgt', 'helpful']")</f>
        <v>['sgt', 'helpful']</v>
      </c>
      <c r="D12292" s="3">
        <v>2.0</v>
      </c>
    </row>
    <row r="12293" ht="15.75" customHeight="1">
      <c r="A12293" s="1">
        <v>13262.0</v>
      </c>
      <c r="B12293" s="3" t="s">
        <v>11668</v>
      </c>
      <c r="C12293" s="3" t="str">
        <f>IFERROR(__xludf.DUMMYFUNCTION("GOOGLETRANSLATE(B12293,""id"",""en"")"),"['Login', 'City', 'Suggestion', 'Convenience', 'Login', 'City', '']")</f>
        <v>['Login', 'City', 'Suggestion', 'Convenience', 'Login', 'City', '']</v>
      </c>
      <c r="D12293" s="3">
        <v>4.0</v>
      </c>
    </row>
    <row r="12294" ht="15.75" customHeight="1">
      <c r="A12294" s="1">
        <v>13263.0</v>
      </c>
      <c r="B12294" s="3" t="s">
        <v>890</v>
      </c>
      <c r="C12294" s="3" t="str">
        <f>IFERROR(__xludf.DUMMYFUNCTION("GOOGLETRANSLATE(B12294,""id"",""en"")"),"['good', '']")</f>
        <v>['good', '']</v>
      </c>
      <c r="D12294" s="3">
        <v>5.0</v>
      </c>
    </row>
    <row r="12295" ht="15.75" customHeight="1">
      <c r="A12295" s="1">
        <v>13265.0</v>
      </c>
      <c r="B12295" s="3" t="s">
        <v>11669</v>
      </c>
      <c r="C12295" s="3" t="str">
        <f>IFERROR(__xludf.DUMMYFUNCTION("GOOGLETRANSLATE(B12295,""id"",""en"")"),"['Pakek', 'Telkomsel', 'Good']")</f>
        <v>['Pakek', 'Telkomsel', 'Good']</v>
      </c>
      <c r="D12295" s="3">
        <v>5.0</v>
      </c>
    </row>
    <row r="12296" ht="15.75" customHeight="1">
      <c r="A12296" s="1">
        <v>13266.0</v>
      </c>
      <c r="B12296" s="3" t="s">
        <v>11670</v>
      </c>
      <c r="C12296" s="3" t="str">
        <f>IFERROR(__xludf.DUMMYFUNCTION("GOOGLETRANSLATE(B12296,""id"",""en"")"),"['Satisfied', 'Level', 'Service', 'Love', 'Telkomsel']")</f>
        <v>['Satisfied', 'Level', 'Service', 'Love', 'Telkomsel']</v>
      </c>
      <c r="D12296" s="3">
        <v>5.0</v>
      </c>
    </row>
    <row r="12297" ht="15.75" customHeight="1">
      <c r="A12297" s="1">
        <v>13267.0</v>
      </c>
      <c r="B12297" s="3" t="s">
        <v>11671</v>
      </c>
      <c r="C12297" s="3" t="str">
        <f>IFERROR(__xludf.DUMMYFUNCTION("GOOGLETRANSLATE(B12297,""id"",""en"")"),"['signal', 'ilang', 'already']")</f>
        <v>['signal', 'ilang', 'already']</v>
      </c>
      <c r="D12297" s="3">
        <v>1.0</v>
      </c>
    </row>
    <row r="12298" ht="15.75" customHeight="1">
      <c r="A12298" s="1">
        <v>13268.0</v>
      </c>
      <c r="B12298" s="3" t="s">
        <v>11672</v>
      </c>
      <c r="C12298" s="3" t="str">
        <f>IFERROR(__xludf.DUMMYFUNCTION("GOOGLETRANSLATE(B12298,""id"",""en"")"),"['chaotic', 'Telkomsel', 'quota', 'GB', 'a week', 'run out', 'eat', 'quota', 'data', 'disappointed', 'disappointed', 'customer', ' already ',' expensive ',' fast ',' really ',' eat ',' quota ',' data ',' switch ',' prortion ',' you ',' Telkomsel ',' Damn "&amp;"']")</f>
        <v>['chaotic', 'Telkomsel', 'quota', 'GB', 'a week', 'run out', 'eat', 'quota', 'data', 'disappointed', 'disappointed', 'customer', ' already ',' expensive ',' fast ',' really ',' eat ',' quota ',' data ',' switch ',' prortion ',' you ',' Telkomsel ',' Damn ']</v>
      </c>
      <c r="D12298" s="3">
        <v>1.0</v>
      </c>
    </row>
    <row r="12299" ht="15.75" customHeight="1">
      <c r="A12299" s="1">
        <v>13269.0</v>
      </c>
      <c r="B12299" s="3" t="s">
        <v>11673</v>
      </c>
      <c r="C12299" s="3" t="str">
        <f>IFERROR(__xludf.DUMMYFUNCTION("GOOGLETRANSLATE(B12299,""id"",""en"")"),"['Telkomsel', 'TOP']")</f>
        <v>['Telkomsel', 'TOP']</v>
      </c>
      <c r="D12299" s="3">
        <v>5.0</v>
      </c>
    </row>
    <row r="12300" ht="15.75" customHeight="1">
      <c r="A12300" s="1">
        <v>13270.0</v>
      </c>
      <c r="B12300" s="3" t="s">
        <v>11674</v>
      </c>
      <c r="C12300" s="3" t="str">
        <f>IFERROR(__xludf.DUMMYFUNCTION("GOOGLETRANSLATE(B12300,""id"",""en"")"),"['Steady', 'emang', 'Telkomsel']")</f>
        <v>['Steady', 'emang', 'Telkomsel']</v>
      </c>
      <c r="D12300" s="3">
        <v>5.0</v>
      </c>
    </row>
    <row r="12301" ht="15.75" customHeight="1">
      <c r="A12301" s="1">
        <v>13271.0</v>
      </c>
      <c r="B12301" s="3" t="s">
        <v>11675</v>
      </c>
      <c r="C12301" s="3" t="str">
        <f>IFERROR(__xludf.DUMMYFUNCTION("GOOGLETRANSLATE(B12301,""id"",""en"")"),"['Ngerticarax']")</f>
        <v>['Ngerticarax']</v>
      </c>
      <c r="D12301" s="3">
        <v>4.0</v>
      </c>
    </row>
    <row r="12302" ht="15.75" customHeight="1">
      <c r="A12302" s="1">
        <v>13272.0</v>
      </c>
      <c r="B12302" s="3" t="s">
        <v>11676</v>
      </c>
      <c r="C12302" s="3" t="str">
        <f>IFERROR(__xludf.DUMMYFUNCTION("GOOGLETRANSLATE(B12302,""id"",""en"")"),"['Network', 'Not bad', 'Nge', 'Push', 'Rank']")</f>
        <v>['Network', 'Not bad', 'Nge', 'Push', 'Rank']</v>
      </c>
      <c r="D12302" s="3">
        <v>5.0</v>
      </c>
    </row>
    <row r="12303" ht="15.75" customHeight="1">
      <c r="A12303" s="1">
        <v>13273.0</v>
      </c>
      <c r="B12303" s="3" t="s">
        <v>11677</v>
      </c>
      <c r="C12303" s="3" t="str">
        <f>IFERROR(__xludf.DUMMYFUNCTION("GOOGLETRANSLATE(B12303,""id"",""en"")"),"['pulse', 'buy', 'package', 'gabisa']")</f>
        <v>['pulse', 'buy', 'package', 'gabisa']</v>
      </c>
      <c r="D12303" s="3">
        <v>1.0</v>
      </c>
    </row>
    <row r="12304" ht="15.75" customHeight="1">
      <c r="A12304" s="1">
        <v>13274.0</v>
      </c>
      <c r="B12304" s="3" t="s">
        <v>11678</v>
      </c>
      <c r="C12304" s="3" t="str">
        <f>IFERROR(__xludf.DUMMYFUNCTION("GOOGLETRANSLATE(B12304,""id"",""en"")"),"['Kek', 'KNTL', 'Network', 'I think', 'Good', 'Mending', 'Buy', 'Koutaa', 'spend', 'money', 'Nge', 'game', ' cave ',' suggestion ',' play ',' near ',' pole ',' telkom ',' bgs', 'network']")</f>
        <v>['Kek', 'KNTL', 'Network', 'I think', 'Good', 'Mending', 'Buy', 'Koutaa', 'spend', 'money', 'Nge', 'game', ' cave ',' suggestion ',' play ',' near ',' pole ',' telkom ',' bgs', 'network']</v>
      </c>
      <c r="D12304" s="3">
        <v>1.0</v>
      </c>
    </row>
    <row r="12305" ht="15.75" customHeight="1">
      <c r="A12305" s="1">
        <v>13275.0</v>
      </c>
      <c r="B12305" s="3" t="s">
        <v>11679</v>
      </c>
      <c r="C12305" s="3" t="str">
        <f>IFERROR(__xludf.DUMMYFUNCTION("GOOGLETRANSLATE(B12305,""id"",""en"")"),"['apk', 'help', 'useful']")</f>
        <v>['apk', 'help', 'useful']</v>
      </c>
      <c r="D12305" s="3">
        <v>5.0</v>
      </c>
    </row>
    <row r="12306" ht="15.75" customHeight="1">
      <c r="A12306" s="1">
        <v>13276.0</v>
      </c>
      <c r="B12306" s="3" t="s">
        <v>11680</v>
      </c>
      <c r="C12306" s="3" t="str">
        <f>IFERROR(__xludf.DUMMYFUNCTION("GOOGLETRANSLATE(B12306,""id"",""en"")"),"['Jringan', 'Telokmsel', 'dog', 'ngetot']")</f>
        <v>['Jringan', 'Telokmsel', 'dog', 'ngetot']</v>
      </c>
      <c r="D12306" s="3">
        <v>1.0</v>
      </c>
    </row>
    <row r="12307" ht="15.75" customHeight="1">
      <c r="A12307" s="1">
        <v>13277.0</v>
      </c>
      <c r="B12307" s="3" t="s">
        <v>11681</v>
      </c>
      <c r="C12307" s="3" t="str">
        <f>IFERROR(__xludf.DUMMYFUNCTION("GOOGLETRANSLATE(B12307,""id"",""en"")"),"['complete information']")</f>
        <v>['complete information']</v>
      </c>
      <c r="D12307" s="3">
        <v>4.0</v>
      </c>
    </row>
    <row r="12308" ht="15.75" customHeight="1">
      <c r="A12308" s="1">
        <v>13278.0</v>
      </c>
      <c r="B12308" s="3" t="s">
        <v>5793</v>
      </c>
      <c r="C12308" s="3" t="str">
        <f>IFERROR(__xludf.DUMMYFUNCTION("GOOGLETRANSLATE(B12308,""id"",""en"")"),"['Package', 'cheap']")</f>
        <v>['Package', 'cheap']</v>
      </c>
      <c r="D12308" s="3">
        <v>5.0</v>
      </c>
    </row>
    <row r="12309" ht="15.75" customHeight="1">
      <c r="A12309" s="1">
        <v>13279.0</v>
      </c>
      <c r="B12309" s="3" t="s">
        <v>11682</v>
      </c>
      <c r="C12309" s="3" t="str">
        <f>IFERROR(__xludf.DUMMYFUNCTION("GOOGLETRANSLATE(B12309,""id"",""en"")"),"['Lack', 'buy', 'package', 'quota', 'chat', 'pulse', 'drained', 'please', 'fix', 'need', 'different', 'different']")</f>
        <v>['Lack', 'buy', 'package', 'quota', 'chat', 'pulse', 'drained', 'please', 'fix', 'need', 'different', 'different']</v>
      </c>
      <c r="D12309" s="3">
        <v>3.0</v>
      </c>
    </row>
    <row r="12310" ht="15.75" customHeight="1">
      <c r="A12310" s="1">
        <v>13281.0</v>
      </c>
      <c r="B12310" s="3" t="s">
        <v>11683</v>
      </c>
      <c r="C12310" s="3" t="str">
        <f>IFERROR(__xludf.DUMMYFUNCTION("GOOGLETRANSLATE(B12310,""id"",""en"")"),"['satisfying', 'Wear', 'Telkomsel', '']")</f>
        <v>['satisfying', 'Wear', 'Telkomsel', '']</v>
      </c>
      <c r="D12310" s="3">
        <v>5.0</v>
      </c>
    </row>
    <row r="12311" ht="15.75" customHeight="1">
      <c r="A12311" s="1">
        <v>13282.0</v>
      </c>
      <c r="B12311" s="3" t="s">
        <v>11684</v>
      </c>
      <c r="C12311" s="3" t="str">
        <f>IFERROR(__xludf.DUMMYFUNCTION("GOOGLETRANSLATE(B12311,""id"",""en"")"),"['Application', 'piye', 'right', 'forgetful', 'run out', 'quota', 'checked', 'mbokyao', 'check', 'free', ""]")</f>
        <v>['Application', 'piye', 'right', 'forgetful', 'run out', 'quota', 'checked', 'mbokyao', 'check', 'free', "]</v>
      </c>
      <c r="D12311" s="3">
        <v>1.0</v>
      </c>
    </row>
    <row r="12312" ht="15.75" customHeight="1">
      <c r="A12312" s="1">
        <v>13283.0</v>
      </c>
      <c r="B12312" s="3" t="s">
        <v>11685</v>
      </c>
      <c r="C12312" s="3" t="str">
        <f>IFERROR(__xludf.DUMMYFUNCTION("GOOGLETRANSLATE(B12312,""id"",""en"")"),"['hope', 'Win', 'Udian']")</f>
        <v>['hope', 'Win', 'Udian']</v>
      </c>
      <c r="D12312" s="3">
        <v>4.0</v>
      </c>
    </row>
    <row r="12313" ht="15.75" customHeight="1">
      <c r="A12313" s="1">
        <v>13284.0</v>
      </c>
      <c r="B12313" s="3" t="s">
        <v>11686</v>
      </c>
      <c r="C12313" s="3" t="str">
        <f>IFERROR(__xludf.DUMMYFUNCTION("GOOGLETRANSLATE(B12313,""id"",""en"")"),"['Provider', 'Best', 'Indonesia', 'Anyway', 'Increases', 'Serving', 'Consumers', 'Maintain', 'Achieved', '']")</f>
        <v>['Provider', 'Best', 'Indonesia', 'Anyway', 'Increases', 'Serving', 'Consumers', 'Maintain', 'Achieved', '']</v>
      </c>
      <c r="D12313" s="3">
        <v>5.0</v>
      </c>
    </row>
    <row r="12314" ht="15.75" customHeight="1">
      <c r="A12314" s="1">
        <v>13285.0</v>
      </c>
      <c r="B12314" s="3" t="s">
        <v>11687</v>
      </c>
      <c r="C12314" s="3" t="str">
        <f>IFERROR(__xludf.DUMMYFUNCTION("GOOGLETRANSLATE(B12314,""id"",""en"")"),"['signal', 'Please', 'Level']")</f>
        <v>['signal', 'Please', 'Level']</v>
      </c>
      <c r="D12314" s="3">
        <v>3.0</v>
      </c>
    </row>
    <row r="12315" ht="15.75" customHeight="1">
      <c r="A12315" s="1">
        <v>13286.0</v>
      </c>
      <c r="B12315" s="3" t="s">
        <v>11688</v>
      </c>
      <c r="C12315" s="3" t="str">
        <f>IFERROR(__xludf.DUMMYFUNCTION("GOOGLETRANSLATE(B12315,""id"",""en"")"),"['cheap', 'price', 'application', 'promo', 'promo', 'package']")</f>
        <v>['cheap', 'price', 'application', 'promo', 'promo', 'package']</v>
      </c>
      <c r="D12315" s="3">
        <v>5.0</v>
      </c>
    </row>
    <row r="12316" ht="15.75" customHeight="1">
      <c r="A12316" s="1">
        <v>13288.0</v>
      </c>
      <c r="B12316" s="3" t="s">
        <v>11689</v>
      </c>
      <c r="C12316" s="3" t="str">
        <f>IFERROR(__xludf.DUMMYFUNCTION("GOOGLETRANSLATE(B12316,""id"",""en"")"),"['APK', 'good', 'satisfying']")</f>
        <v>['APK', 'good', 'satisfying']</v>
      </c>
      <c r="D12316" s="3">
        <v>5.0</v>
      </c>
    </row>
    <row r="12317" ht="15.75" customHeight="1">
      <c r="A12317" s="1">
        <v>13289.0</v>
      </c>
      <c r="B12317" s="3" t="s">
        <v>11690</v>
      </c>
      <c r="C12317" s="3" t="str">
        <f>IFERROR(__xludf.DUMMYFUNCTION("GOOGLETRANSLATE(B12317,""id"",""en"")"),"['MyTelkomsel', 'practical', 'net', 'widespread']")</f>
        <v>['MyTelkomsel', 'practical', 'net', 'widespread']</v>
      </c>
      <c r="D12317" s="3">
        <v>5.0</v>
      </c>
    </row>
    <row r="12318" ht="15.75" customHeight="1">
      <c r="A12318" s="1">
        <v>13290.0</v>
      </c>
      <c r="B12318" s="3" t="s">
        <v>11691</v>
      </c>
      <c r="C12318" s="3" t="str">
        <f>IFERROR(__xludf.DUMMYFUNCTION("GOOGLETRANSLATE(B12318,""id"",""en"")"),"['bsa', 'Telkomsel', 'bsjoyalan', 'pulse', 'good', 'boss', 'sekligus', 'all', 'operator']")</f>
        <v>['bsa', 'Telkomsel', 'bsjoyalan', 'pulse', 'good', 'boss', 'sekligus', 'all', 'operator']</v>
      </c>
      <c r="D12318" s="3">
        <v>5.0</v>
      </c>
    </row>
    <row r="12319" ht="15.75" customHeight="1">
      <c r="A12319" s="1">
        <v>13291.0</v>
      </c>
      <c r="B12319" s="3" t="s">
        <v>11692</v>
      </c>
      <c r="C12319" s="3" t="str">
        <f>IFERROR(__xludf.DUMMYFUNCTION("GOOGLETRANSLATE(B12319,""id"",""en"")"),"['Data', 'additional']")</f>
        <v>['Data', 'additional']</v>
      </c>
      <c r="D12319" s="3">
        <v>5.0</v>
      </c>
    </row>
    <row r="12320" ht="15.75" customHeight="1">
      <c r="A12320" s="1">
        <v>13292.0</v>
      </c>
      <c r="B12320" s="3" t="s">
        <v>11693</v>
      </c>
      <c r="C12320" s="3" t="str">
        <f>IFERROR(__xludf.DUMMYFUNCTION("GOOGLETRANSLATE(B12320,""id"",""en"")"),"['approve', 'package', 'emergency', 'SMS', 'package', 'emergency', 'active', 'complaint', 'try', 'via', 'Veronika', 'Useful', ' Sexycles', 'Add', 'Features',' Activate ',' Package ',' Emergency ',' Pin ',' misunderstanding ', ""]")</f>
        <v>['approve', 'package', 'emergency', 'SMS', 'package', 'emergency', 'active', 'complaint', 'try', 'via', 'Veronika', 'Useful', ' Sexycles', 'Add', 'Features',' Activate ',' Package ',' Emergency ',' Pin ',' misunderstanding ', "]</v>
      </c>
      <c r="D12320" s="3">
        <v>1.0</v>
      </c>
    </row>
    <row r="12321" ht="15.75" customHeight="1">
      <c r="A12321" s="1">
        <v>13293.0</v>
      </c>
      <c r="B12321" s="3" t="s">
        <v>1347</v>
      </c>
      <c r="C12321" s="3" t="str">
        <f>IFERROR(__xludf.DUMMYFUNCTION("GOOGLETRANSLATE(B12321,""id"",""en"")"),"['Package', 'Internet', 'expensive']")</f>
        <v>['Package', 'Internet', 'expensive']</v>
      </c>
      <c r="D12321" s="3">
        <v>1.0</v>
      </c>
    </row>
    <row r="12322" ht="15.75" customHeight="1">
      <c r="A12322" s="1">
        <v>13294.0</v>
      </c>
      <c r="B12322" s="3" t="s">
        <v>11694</v>
      </c>
      <c r="C12322" s="3" t="str">
        <f>IFERROR(__xludf.DUMMYFUNCTION("GOOGLETRANSLATE(B12322,""id"",""en"")"),"['Service', 'satisfying', 'promo', 'interesting']")</f>
        <v>['Service', 'satisfying', 'promo', 'interesting']</v>
      </c>
      <c r="D12322" s="3">
        <v>5.0</v>
      </c>
    </row>
    <row r="12323" ht="15.75" customHeight="1">
      <c r="A12323" s="1">
        <v>13295.0</v>
      </c>
      <c r="B12323" s="3" t="s">
        <v>11695</v>
      </c>
      <c r="C12323" s="3" t="str">
        <f>IFERROR(__xludf.DUMMYFUNCTION("GOOGLETRANSLATE(B12323,""id"",""en"")"),"['Perfect', 'Service']")</f>
        <v>['Perfect', 'Service']</v>
      </c>
      <c r="D12323" s="3">
        <v>5.0</v>
      </c>
    </row>
    <row r="12324" ht="15.75" customHeight="1">
      <c r="A12324" s="1">
        <v>13296.0</v>
      </c>
      <c r="B12324" s="3" t="s">
        <v>11696</v>
      </c>
      <c r="C12324" s="3" t="str">
        <f>IFERROR(__xludf.DUMMYFUNCTION("GOOGLETRANSLATE(B12324,""id"",""en"")"),"['The application', 'Cool', '']")</f>
        <v>['The application', 'Cool', '']</v>
      </c>
      <c r="D12324" s="3">
        <v>5.0</v>
      </c>
    </row>
    <row r="12325" ht="15.75" customHeight="1">
      <c r="A12325" s="1">
        <v>13297.0</v>
      </c>
      <c r="B12325" s="3" t="s">
        <v>11697</v>
      </c>
      <c r="C12325" s="3" t="str">
        <f>IFERROR(__xludf.DUMMYFUNCTION("GOOGLETRANSLATE(B12325,""id"",""en"")"),"['Fraudster', 'Caseback', 'Coins',' Buy ',' Package ',' Min ',' Via ',' Shopee ',' Pay ',' BLN ',' emng ',' Wktu ',' Fill ',' quota ',' before ',' pay ',' printed ',' coin ',' pay ',' enter ',' coin ',' account ',' shopee ', ""]")</f>
        <v>['Fraudster', 'Caseback', 'Coins',' Buy ',' Package ',' Min ',' Via ',' Shopee ',' Pay ',' BLN ',' emng ',' Wktu ',' Fill ',' quota ',' before ',' pay ',' printed ',' coin ',' pay ',' enter ',' coin ',' account ',' shopee ', "]</v>
      </c>
      <c r="D12325" s="3">
        <v>1.0</v>
      </c>
    </row>
    <row r="12326" ht="15.75" customHeight="1">
      <c r="A12326" s="1">
        <v>13298.0</v>
      </c>
      <c r="B12326" s="3" t="s">
        <v>11698</v>
      </c>
      <c r="C12326" s="3" t="str">
        <f>IFERROR(__xludf.DUMMYFUNCTION("GOOGLETRANSLATE(B12326,""id"",""en"")"),"['', 'service', 'network', 'netting', 'play', 'game', 'game', 'mnjadi', 'stable', 'sometimes',' just ',' bar ',' resulted ',' Game ',' lag ',' please ',' note ',' TSB ',' Thanks', 'sympathy']")</f>
        <v>['', 'service', 'network', 'netting', 'play', 'game', 'game', 'mnjadi', 'stable', 'sometimes',' just ',' bar ',' resulted ',' Game ',' lag ',' please ',' note ',' TSB ',' Thanks', 'sympathy']</v>
      </c>
      <c r="D12326" s="3">
        <v>5.0</v>
      </c>
    </row>
    <row r="12327" ht="15.75" customHeight="1">
      <c r="A12327" s="1">
        <v>13299.0</v>
      </c>
      <c r="B12327" s="3" t="s">
        <v>2423</v>
      </c>
      <c r="C12327" s="3" t="str">
        <f>IFERROR(__xludf.DUMMYFUNCTION("GOOGLETRANSLATE(B12327,""id"",""en"")"),"['Steady', 'help']")</f>
        <v>['Steady', 'help']</v>
      </c>
      <c r="D12327" s="3">
        <v>4.0</v>
      </c>
    </row>
    <row r="12328" ht="15.75" customHeight="1">
      <c r="A12328" s="1">
        <v>13300.0</v>
      </c>
      <c r="B12328" s="3" t="s">
        <v>11699</v>
      </c>
      <c r="C12328" s="3" t="str">
        <f>IFERROR(__xludf.DUMMYFUNCTION("GOOGLETRANSLATE(B12328,""id"",""en"")"),"['signal', 'break up']")</f>
        <v>['signal', 'break up']</v>
      </c>
      <c r="D12328" s="3">
        <v>5.0</v>
      </c>
    </row>
    <row r="12329" ht="15.75" customHeight="1">
      <c r="A12329" s="1">
        <v>13301.0</v>
      </c>
      <c r="B12329" s="3" t="s">
        <v>11700</v>
      </c>
      <c r="C12329" s="3" t="str">
        <f>IFERROR(__xludf.DUMMYFUNCTION("GOOGLETRANSLATE(B12329,""id"",""en"")"),"['strange', 'manual', 'replace', 'card', 'KTP', 'GRAPARI', 'TITI', 'Yellow', 'Ahmad', 'Nasution']")</f>
        <v>['strange', 'manual', 'replace', 'card', 'KTP', 'GRAPARI', 'TITI', 'Yellow', 'Ahmad', 'Nasution']</v>
      </c>
      <c r="D12329" s="3">
        <v>1.0</v>
      </c>
    </row>
    <row r="12330" ht="15.75" customHeight="1">
      <c r="A12330" s="1">
        <v>13302.0</v>
      </c>
      <c r="B12330" s="3" t="s">
        <v>11701</v>
      </c>
      <c r="C12330" s="3" t="str">
        <f>IFERROR(__xludf.DUMMYFUNCTION("GOOGLETRANSLATE(B12330,""id"",""en"")"),"['Sorry', 'Rating', 'Change', 'Application', 'Error', 'Force', 'Close', 'Already', 'Try', 'Reinstall', 'The result', 'Rating', ' Application ',' Network ',' Telkomsel ',' Best ', ""]")</f>
        <v>['Sorry', 'Rating', 'Change', 'Application', 'Error', 'Force', 'Close', 'Already', 'Try', 'Reinstall', 'The result', 'Rating', ' Application ',' Network ',' Telkomsel ',' Best ', "]</v>
      </c>
      <c r="D12330" s="3">
        <v>2.0</v>
      </c>
    </row>
    <row r="12331" ht="15.75" customHeight="1">
      <c r="A12331" s="1">
        <v>13303.0</v>
      </c>
      <c r="B12331" s="3" t="s">
        <v>11702</v>
      </c>
      <c r="C12331" s="3" t="str">
        <f>IFERROR(__xludf.DUMMYFUNCTION("GOOGLETRANSLATE(B12331,""id"",""en"")"),"['signal', 'Telkomsel', 'ugly', 'sometimes',' signal ',' annoying ',' work ',' work ',' loss', 'pay', 'sorry', 'love', ' Stars', 'Fix', 'Performance', 'Star', 'WiFi', 'Speedy', 'Office', 'Lemotttt', 'Disappointing', '']")</f>
        <v>['signal', 'Telkomsel', 'ugly', 'sometimes',' signal ',' annoying ',' work ',' work ',' loss', 'pay', 'sorry', 'love', ' Stars', 'Fix', 'Performance', 'Star', 'WiFi', 'Speedy', 'Office', 'Lemotttt', 'Disappointing', '']</v>
      </c>
      <c r="D12331" s="3">
        <v>1.0</v>
      </c>
    </row>
    <row r="12332" ht="15.75" customHeight="1">
      <c r="A12332" s="1">
        <v>13304.0</v>
      </c>
      <c r="B12332" s="3" t="s">
        <v>11703</v>
      </c>
      <c r="C12332" s="3" t="str">
        <f>IFERROR(__xludf.DUMMYFUNCTION("GOOGLETRANSLATE(B12332,""id"",""en"")"),"['serious',' SMS ',' Where ',' read ',' Credit ',' Cut ',' Payment ',' Package ',' Emergency ',' Shocked ',' Buy ',' Package ',' emergency ',' times', 'buy', 'already', 'please', 'return', 'pulse']")</f>
        <v>['serious',' SMS ',' Where ',' read ',' Credit ',' Cut ',' Payment ',' Package ',' Emergency ',' Shocked ',' Buy ',' Package ',' emergency ',' times', 'buy', 'already', 'please', 'return', 'pulse']</v>
      </c>
      <c r="D12332" s="3">
        <v>1.0</v>
      </c>
    </row>
    <row r="12333" ht="15.75" customHeight="1">
      <c r="A12333" s="1">
        <v>13306.0</v>
      </c>
      <c r="B12333" s="3" t="s">
        <v>11704</v>
      </c>
      <c r="C12333" s="3" t="str">
        <f>IFERROR(__xludf.DUMMYFUNCTION("GOOGLETRANSLATE(B12333,""id"",""en"")"),"['really', 'enter', 'application', '']")</f>
        <v>['really', 'enter', 'application', '']</v>
      </c>
      <c r="D12333" s="3">
        <v>2.0</v>
      </c>
    </row>
    <row r="12334" ht="15.75" customHeight="1">
      <c r="A12334" s="1">
        <v>13307.0</v>
      </c>
      <c r="B12334" s="3" t="s">
        <v>9904</v>
      </c>
      <c r="C12334" s="3" t="str">
        <f>IFERROR(__xludf.DUMMYFUNCTION("GOOGLETRANSLATE(B12334,""id"",""en"")"),"['Steady', 'makes it easy']")</f>
        <v>['Steady', 'makes it easy']</v>
      </c>
      <c r="D12334" s="3">
        <v>5.0</v>
      </c>
    </row>
    <row r="12335" ht="15.75" customHeight="1">
      <c r="A12335" s="1">
        <v>13308.0</v>
      </c>
      <c r="B12335" s="3" t="s">
        <v>11705</v>
      </c>
      <c r="C12335" s="3" t="str">
        <f>IFERROR(__xludf.DUMMYFUNCTION("GOOGLETRANSLATE(B12335,""id"",""en"")"),"['The network', 'spacious', 'makes it easy', 'activity', 'digital', 'internet']")</f>
        <v>['The network', 'spacious', 'makes it easy', 'activity', 'digital', 'internet']</v>
      </c>
      <c r="D12335" s="3">
        <v>5.0</v>
      </c>
    </row>
    <row r="12336" ht="15.75" customHeight="1">
      <c r="A12336" s="1">
        <v>13309.0</v>
      </c>
      <c r="B12336" s="3" t="s">
        <v>1435</v>
      </c>
      <c r="C12336" s="3" t="str">
        <f>IFERROR(__xludf.DUMMYFUNCTION("GOOGLETRANSLATE(B12336,""id"",""en"")"),"['help', '']")</f>
        <v>['help', '']</v>
      </c>
      <c r="D12336" s="3">
        <v>5.0</v>
      </c>
    </row>
    <row r="12337" ht="15.75" customHeight="1">
      <c r="A12337" s="1">
        <v>13310.0</v>
      </c>
      <c r="B12337" s="3" t="s">
        <v>11706</v>
      </c>
      <c r="C12337" s="3" t="str">
        <f>IFERROR(__xludf.DUMMYFUNCTION("GOOGLETRANSLATE(B12337,""id"",""en"")"),"['Wonder', 'Take', 'Package', 'SMS', 'Return', 'Content', 'Credit', 'Call', 'Process',' Credit ',' Cut "", 'Here' Telkomsel ',' Severe ',' Customer ',' Miss', 'Telkomsel', 'Points',' Really ',' Exchange ',' Points', 'No', 'Dapet', ""]")</f>
        <v>['Wonder', 'Take', 'Package', 'SMS', 'Return', 'Content', 'Credit', 'Call', 'Process',' Credit ',' Cut ", 'Here' Telkomsel ',' Severe ',' Customer ',' Miss', 'Telkomsel', 'Points',' Really ',' Exchange ',' Points', 'No', 'Dapet', "]</v>
      </c>
      <c r="D12337" s="3">
        <v>1.0</v>
      </c>
    </row>
    <row r="12338" ht="15.75" customHeight="1">
      <c r="A12338" s="1">
        <v>13311.0</v>
      </c>
      <c r="B12338" s="3" t="s">
        <v>11707</v>
      </c>
      <c r="C12338" s="3" t="str">
        <f>IFERROR(__xludf.DUMMYFUNCTION("GOOGLETRANSLATE(B12338,""id"",""en"")"),"['Application', 'petrified']")</f>
        <v>['Application', 'petrified']</v>
      </c>
      <c r="D12338" s="3">
        <v>5.0</v>
      </c>
    </row>
    <row r="12339" ht="15.75" customHeight="1">
      <c r="A12339" s="1">
        <v>13313.0</v>
      </c>
      <c r="B12339" s="3" t="s">
        <v>11708</v>
      </c>
      <c r="C12339" s="3" t="str">
        <f>IFERROR(__xludf.DUMMYFUNCTION("GOOGLETRANSLATE(B12339,""id"",""en"")"),"['Error']")</f>
        <v>['Error']</v>
      </c>
      <c r="D12339" s="3">
        <v>1.0</v>
      </c>
    </row>
    <row r="12340" ht="15.75" customHeight="1">
      <c r="A12340" s="1">
        <v>13314.0</v>
      </c>
      <c r="B12340" s="3" t="s">
        <v>11709</v>
      </c>
      <c r="C12340" s="3" t="str">
        <f>IFERROR(__xludf.DUMMYFUNCTION("GOOGLETRANSLATE(B12340,""id"",""en"")"),"['Hopefully', 'Success', 'Enhanced', 'Service', 'trmksh']")</f>
        <v>['Hopefully', 'Success', 'Enhanced', 'Service', 'trmksh']</v>
      </c>
      <c r="D12340" s="3">
        <v>5.0</v>
      </c>
    </row>
    <row r="12341" ht="15.75" customHeight="1">
      <c r="A12341" s="1">
        <v>13315.0</v>
      </c>
      <c r="B12341" s="3" t="s">
        <v>11710</v>
      </c>
      <c r="C12341" s="3" t="str">
        <f>IFERROR(__xludf.DUMMYFUNCTION("GOOGLETRANSLATE(B12341,""id"",""en"")"),"['buy', 'quota', 'application', 'failed', 'writing', 'appears',' sorry ',' disorder ',' system ',' buy ',' Telkomsel ',' rich ',' So ',' please ',' repaired ',' buy ',' pulse ',' internet ', ""]")</f>
        <v>['buy', 'quota', 'application', 'failed', 'writing', 'appears',' sorry ',' disorder ',' system ',' buy ',' Telkomsel ',' rich ',' So ',' please ',' repaired ',' buy ',' pulse ',' internet ', "]</v>
      </c>
      <c r="D12341" s="3">
        <v>3.0</v>
      </c>
    </row>
    <row r="12342" ht="15.75" customHeight="1">
      <c r="A12342" s="1">
        <v>13316.0</v>
      </c>
      <c r="B12342" s="3" t="s">
        <v>11711</v>
      </c>
      <c r="C12342" s="3" t="str">
        <f>IFERROR(__xludf.DUMMYFUNCTION("GOOGLETRANSLATE(B12342,""id"",""en"")"),"['Disappointed', 'Telkomsel', 'ugly', 'signal', 'buy', 'kouta', 'money', 'please', 'mutasiin', 'thanks', ""]")</f>
        <v>['Disappointed', 'Telkomsel', 'ugly', 'signal', 'buy', 'kouta', 'money', 'please', 'mutasiin', 'thanks', "]</v>
      </c>
      <c r="D12342" s="3">
        <v>1.0</v>
      </c>
    </row>
    <row r="12343" ht="15.75" customHeight="1">
      <c r="A12343" s="1">
        <v>13317.0</v>
      </c>
      <c r="B12343" s="3" t="s">
        <v>5445</v>
      </c>
      <c r="C12343" s="3" t="str">
        <f>IFERROR(__xludf.DUMMYFUNCTION("GOOGLETRANSLATE(B12343,""id"",""en"")"),"['fast']")</f>
        <v>['fast']</v>
      </c>
      <c r="D12343" s="3">
        <v>5.0</v>
      </c>
    </row>
    <row r="12344" ht="15.75" customHeight="1">
      <c r="A12344" s="1">
        <v>13318.0</v>
      </c>
      <c r="B12344" s="3" t="s">
        <v>11712</v>
      </c>
      <c r="C12344" s="3" t="str">
        <f>IFERROR(__xludf.DUMMYFUNCTION("GOOGLETRANSLATE(B12344,""id"",""en"")"),"['times',' contents', 'pulse', 'directly', 'reduced', 'contents',' enter ',' please ',' donk ',' obvious', 'mind', 'negatip', ' Malingin ',' then ',' BLI ',' Package ',' Zonk ',' Please ',' Credit ',' ilang ',' Please ',' Dear ',' Dear ']")</f>
        <v>['times',' contents', 'pulse', 'directly', 'reduced', 'contents',' enter ',' please ',' donk ',' obvious', 'mind', 'negatip', ' Malingin ',' then ',' BLI ',' Package ',' Zonk ',' Please ',' Credit ',' ilang ',' Please ',' Dear ',' Dear ']</v>
      </c>
      <c r="D12344" s="3">
        <v>1.0</v>
      </c>
    </row>
    <row r="12345" ht="15.75" customHeight="1">
      <c r="A12345" s="1">
        <v>13319.0</v>
      </c>
      <c r="B12345" s="3" t="s">
        <v>11713</v>
      </c>
      <c r="C12345" s="3" t="str">
        <f>IFERROR(__xludf.DUMMYFUNCTION("GOOGLETRANSLATE(B12345,""id"",""en"")"),"['application', 'good', 'midah', 'buy', 'package', 'data']")</f>
        <v>['application', 'good', 'midah', 'buy', 'package', 'data']</v>
      </c>
      <c r="D12345" s="3">
        <v>1.0</v>
      </c>
    </row>
    <row r="12346" ht="15.75" customHeight="1">
      <c r="A12346" s="1">
        <v>13320.0</v>
      </c>
      <c r="B12346" s="3" t="s">
        <v>11714</v>
      </c>
      <c r="C12346" s="3" t="str">
        <f>IFERROR(__xludf.DUMMYFUNCTION("GOOGLETRANSLATE(B12346,""id"",""en"")"),"['It's easy', 'transaction', 'purchase', 'pulses', 'package', 'data', 'increase', '']")</f>
        <v>['It's easy', 'transaction', 'purchase', 'pulses', 'package', 'data', 'increase', '']</v>
      </c>
      <c r="D12346" s="3">
        <v>5.0</v>
      </c>
    </row>
    <row r="12347" ht="15.75" customHeight="1">
      <c r="A12347" s="1">
        <v>13321.0</v>
      </c>
      <c r="B12347" s="3" t="s">
        <v>11715</v>
      </c>
      <c r="C12347" s="3" t="str">
        <f>IFERROR(__xludf.DUMMYFUNCTION("GOOGLETRANSLATE(B12347,""id"",""en"")"),"['lack of', 'little', 'price', 'package', 'internet', '']")</f>
        <v>['lack of', 'little', 'price', 'package', 'internet', '']</v>
      </c>
      <c r="D12347" s="3">
        <v>3.0</v>
      </c>
    </row>
    <row r="12348" ht="15.75" customHeight="1">
      <c r="A12348" s="1">
        <v>13323.0</v>
      </c>
      <c r="B12348" s="3" t="s">
        <v>6685</v>
      </c>
      <c r="C12348" s="3" t="str">
        <f>IFERROR(__xludf.DUMMYFUNCTION("GOOGLETRANSLATE(B12348,""id"",""en"")"),"['cool', '']")</f>
        <v>['cool', '']</v>
      </c>
      <c r="D12348" s="3">
        <v>1.0</v>
      </c>
    </row>
    <row r="12349" ht="15.75" customHeight="1">
      <c r="A12349" s="1">
        <v>13325.0</v>
      </c>
      <c r="B12349" s="3" t="s">
        <v>11716</v>
      </c>
      <c r="C12349" s="3" t="str">
        <f>IFERROR(__xludf.DUMMYFUNCTION("GOOGLETRANSLATE(B12349,""id"",""en"")"),"['Good', 'application', 'cheap', 'buy', 'package', 'data']")</f>
        <v>['Good', 'application', 'cheap', 'buy', 'package', 'data']</v>
      </c>
      <c r="D12349" s="3">
        <v>5.0</v>
      </c>
    </row>
    <row r="12350" ht="15.75" customHeight="1">
      <c r="A12350" s="1">
        <v>13326.0</v>
      </c>
      <c r="B12350" s="3" t="s">
        <v>11717</v>
      </c>
      <c r="C12350" s="3" t="str">
        <f>IFERROR(__xludf.DUMMYFUNCTION("GOOGLETRANSLATE(B12350,""id"",""en"")"),"['Promo', 'Internet', 'LOTIN']")</f>
        <v>['Promo', 'Internet', 'LOTIN']</v>
      </c>
      <c r="D12350" s="3">
        <v>1.0</v>
      </c>
    </row>
    <row r="12351" ht="15.75" customHeight="1">
      <c r="A12351" s="1">
        <v>13327.0</v>
      </c>
      <c r="B12351" s="3" t="s">
        <v>11718</v>
      </c>
      <c r="C12351" s="3" t="str">
        <f>IFERROR(__xludf.DUMMYFUNCTION("GOOGLETRANSLATE(B12351,""id"",""en"")"),"['Kouta', 'according to', 'price', 'AJG', 'Kouta', 'expensive', 'signal', 'garbage', 'mending', 'so', 'collapse', 'fix', ' kek ',' right ',' buy ',' kouta ',' right ',' already ',' list ',' internet ',' slow ',' mending ']")</f>
        <v>['Kouta', 'according to', 'price', 'AJG', 'Kouta', 'expensive', 'signal', 'garbage', 'mending', 'so', 'collapse', 'fix', ' kek ',' right ',' buy ',' kouta ',' right ',' already ',' list ',' internet ',' slow ',' mending ']</v>
      </c>
      <c r="D12351" s="3">
        <v>1.0</v>
      </c>
    </row>
    <row r="12352" ht="15.75" customHeight="1">
      <c r="A12352" s="1">
        <v>13328.0</v>
      </c>
      <c r="B12352" s="3" t="s">
        <v>11719</v>
      </c>
      <c r="C12352" s="3" t="str">
        <f>IFERROR(__xludf.DUMMYFUNCTION("GOOGLETRANSLATE(B12352,""id"",""en"")"),"['Promotions', 'Helpful', 'Bangeeet', '']")</f>
        <v>['Promotions', 'Helpful', 'Bangeeet', '']</v>
      </c>
      <c r="D12352" s="3">
        <v>5.0</v>
      </c>
    </row>
    <row r="12353" ht="15.75" customHeight="1">
      <c r="A12353" s="1">
        <v>13329.0</v>
      </c>
      <c r="B12353" s="3" t="s">
        <v>11720</v>
      </c>
      <c r="C12353" s="3" t="str">
        <f>IFERROR(__xludf.DUMMYFUNCTION("GOOGLETRANSLATE(B12353,""id"",""en"")"),"['Update', 'compatibility', 'Android', '']")</f>
        <v>['Update', 'compatibility', 'Android', '']</v>
      </c>
      <c r="D12353" s="3">
        <v>3.0</v>
      </c>
    </row>
    <row r="12354" ht="15.75" customHeight="1">
      <c r="A12354" s="1">
        <v>13330.0</v>
      </c>
      <c r="B12354" s="3" t="s">
        <v>11721</v>
      </c>
      <c r="C12354" s="3" t="str">
        <f>IFERROR(__xludf.DUMMYFUNCTION("GOOGLETRANSLATE(B12354,""id"",""en"")"),"['Steady', 'Application', 'Help', 'User', 'Need', 'Simple']")</f>
        <v>['Steady', 'Application', 'Help', 'User', 'Need', 'Simple']</v>
      </c>
      <c r="D12354" s="3">
        <v>5.0</v>
      </c>
    </row>
    <row r="12355" ht="15.75" customHeight="1">
      <c r="A12355" s="1">
        <v>13331.0</v>
      </c>
      <c r="B12355" s="3" t="s">
        <v>11722</v>
      </c>
      <c r="C12355" s="3" t="str">
        <f>IFERROR(__xludf.DUMMYFUNCTION("GOOGLETRANSLATE(B12355,""id"",""en"")"),"['Helpful', 'user', '']")</f>
        <v>['Helpful', 'user', '']</v>
      </c>
      <c r="D12355" s="3">
        <v>4.0</v>
      </c>
    </row>
    <row r="12356" ht="15.75" customHeight="1">
      <c r="A12356" s="1">
        <v>13332.0</v>
      </c>
      <c r="B12356" s="3" t="s">
        <v>11723</v>
      </c>
      <c r="C12356" s="3" t="str">
        <f>IFERROR(__xludf.DUMMYFUNCTION("GOOGLETRANSLATE(B12356,""id"",""en"")"),"['Voice', 'opponent', 'Talk', 'break up', 'break up']")</f>
        <v>['Voice', 'opponent', 'Talk', 'break up', 'break up']</v>
      </c>
      <c r="D12356" s="3">
        <v>3.0</v>
      </c>
    </row>
    <row r="12357" ht="15.75" customHeight="1">
      <c r="A12357" s="1">
        <v>13333.0</v>
      </c>
      <c r="B12357" s="3" t="s">
        <v>11724</v>
      </c>
      <c r="C12357" s="3" t="str">
        <f>IFERROR(__xludf.DUMMYFUNCTION("GOOGLETRANSLATE(B12357,""id"",""en"")"),"['Help', 'Bagat']")</f>
        <v>['Help', 'Bagat']</v>
      </c>
      <c r="D12357" s="3">
        <v>4.0</v>
      </c>
    </row>
    <row r="12358" ht="15.75" customHeight="1">
      <c r="A12358" s="1">
        <v>13334.0</v>
      </c>
      <c r="B12358" s="3" t="s">
        <v>11725</v>
      </c>
      <c r="C12358" s="3" t="str">
        <f>IFERROR(__xludf.DUMMYFUNCTION("GOOGLETRANSLATE(B12358,""id"",""en"")"),"['Buy', 'Package', 'Combo', 'Bonus', 'Quota', 'Tel', 'SMS', ""]")</f>
        <v>['Buy', 'Package', 'Combo', 'Bonus', 'Quota', 'Tel', 'SMS', "]</v>
      </c>
      <c r="D12358" s="3">
        <v>5.0</v>
      </c>
    </row>
    <row r="12359" ht="15.75" customHeight="1">
      <c r="A12359" s="1">
        <v>13335.0</v>
      </c>
      <c r="B12359" s="3" t="s">
        <v>11726</v>
      </c>
      <c r="C12359" s="3" t="str">
        <f>IFERROR(__xludf.DUMMYFUNCTION("GOOGLETRANSLATE(B12359,""id"",""en"")"),"['Prizes', 'Ahoook', '']")</f>
        <v>['Prizes', 'Ahoook', '']</v>
      </c>
      <c r="D12359" s="3">
        <v>3.0</v>
      </c>
    </row>
    <row r="12360" ht="15.75" customHeight="1">
      <c r="A12360" s="1">
        <v>13337.0</v>
      </c>
      <c r="B12360" s="3" t="s">
        <v>11727</v>
      </c>
      <c r="C12360" s="3" t="str">
        <f>IFERROR(__xludf.DUMMYFUNCTION("GOOGLETRANSLATE(B12360,""id"",""en"")"),"['jaringgan', 'slow', 'my place', 'number', 'skrg', 'slow', 'appeal', ""]")</f>
        <v>['jaringgan', 'slow', 'my place', 'number', 'skrg', 'slow', 'appeal', "]</v>
      </c>
      <c r="D12360" s="3">
        <v>1.0</v>
      </c>
    </row>
    <row r="12361" ht="15.75" customHeight="1">
      <c r="A12361" s="1">
        <v>13338.0</v>
      </c>
      <c r="B12361" s="3" t="s">
        <v>11728</v>
      </c>
      <c r="C12361" s="3" t="str">
        <f>IFERROR(__xludf.DUMMYFUNCTION("GOOGLETRANSLATE(B12361,""id"",""en"")"),"['message', 'dead', 'lights', 'network', 'Telkomsel', 'missing', 'sudden', '']")</f>
        <v>['message', 'dead', 'lights', 'network', 'Telkomsel', 'missing', 'sudden', '']</v>
      </c>
      <c r="D12361" s="3">
        <v>1.0</v>
      </c>
    </row>
    <row r="12362" ht="15.75" customHeight="1">
      <c r="A12362" s="1">
        <v>13339.0</v>
      </c>
      <c r="B12362" s="3" t="s">
        <v>11729</v>
      </c>
      <c r="C12362" s="3" t="str">
        <f>IFERROR(__xludf.DUMMYFUNCTION("GOOGLETRANSLATE(B12362,""id"",""en"")"),"['choice', 'package', 'kmi', 'need', 'promo', 'bare', 'tantalizing', 'usera', 'package', 'internet', 'adequate', 'according to' Pandemic ',' Covid ',' Help ',' Low ',' Economy ',' Package ',' Cheap ',' Helping ',' Walking ',' Facing ',' Flow ',' Pandemic "&amp;"',' Supaya ' , 'Controlled', ""]")</f>
        <v>['choice', 'package', 'kmi', 'need', 'promo', 'bare', 'tantalizing', 'usera', 'package', 'internet', 'adequate', 'according to' Pandemic ',' Covid ',' Help ',' Low ',' Economy ',' Package ',' Cheap ',' Helping ',' Walking ',' Facing ',' Flow ',' Pandemic ',' Supaya ' , 'Controlled', "]</v>
      </c>
      <c r="D12362" s="3">
        <v>5.0</v>
      </c>
    </row>
    <row r="12363" ht="15.75" customHeight="1">
      <c r="A12363" s="1">
        <v>13340.0</v>
      </c>
      <c r="B12363" s="3" t="s">
        <v>11730</v>
      </c>
      <c r="C12363" s="3" t="str">
        <f>IFERROR(__xludf.DUMMYFUNCTION("GOOGLETRANSLATE(B12363,""id"",""en"")"),"['Bintang', 'biccara']")</f>
        <v>['Bintang', 'biccara']</v>
      </c>
      <c r="D12363" s="3">
        <v>5.0</v>
      </c>
    </row>
    <row r="12364" ht="15.75" customHeight="1">
      <c r="A12364" s="1">
        <v>13342.0</v>
      </c>
      <c r="B12364" s="3" t="s">
        <v>11731</v>
      </c>
      <c r="C12364" s="3" t="str">
        <f>IFERROR(__xludf.DUMMYFUNCTION("GOOGLETRANSLATE(B12364,""id"",""en"")"),"['poor', 'Jangguan', 'then', 'the network', 'yesterday', 'replace', 'card', 'klu', 'then', 'gini', 'change', 'sdah', ' Miss', 'use', 'Tlkomsel', 'Ksini', 'bad', 'network', 'TTAP', 'use', 'KRTU', 'LGI', 'Intrnetan', 'person', 'the network' , 'poor', 'TTAP'"&amp;", 'Brdoa', 'Hopefully', 'In the future', 'The network', 'MMB "",' Star ',' Love ',' Ssuai ',' Dnnn ',' Disappointed ',' ']")</f>
        <v>['poor', 'Jangguan', 'then', 'the network', 'yesterday', 'replace', 'card', 'klu', 'then', 'gini', 'change', 'sdah', ' Miss', 'use', 'Tlkomsel', 'Ksini', 'bad', 'network', 'TTAP', 'use', 'KRTU', 'LGI', 'Intrnetan', 'person', 'the network' , 'poor', 'TTAP', 'Brdoa', 'Hopefully', 'In the future', 'The network', 'MMB ",' Star ',' Love ',' Ssuai ',' Dnnn ',' Disappointed ',' ']</v>
      </c>
      <c r="D12364" s="3">
        <v>3.0</v>
      </c>
    </row>
    <row r="12365" ht="15.75" customHeight="1">
      <c r="A12365" s="1">
        <v>13343.0</v>
      </c>
      <c r="B12365" s="3" t="s">
        <v>11732</v>
      </c>
      <c r="C12365" s="3" t="str">
        <f>IFERROR(__xludf.DUMMYFUNCTION("GOOGLETRANSLATE(B12365,""id"",""en"")"),"['', 'buy', 'kouta', 'clock', 'run out', 'blm']")</f>
        <v>['', 'buy', 'kouta', 'clock', 'run out', 'blm']</v>
      </c>
      <c r="D12365" s="3">
        <v>1.0</v>
      </c>
    </row>
    <row r="12366" ht="15.75" customHeight="1">
      <c r="A12366" s="1">
        <v>13344.0</v>
      </c>
      <c r="B12366" s="3" t="s">
        <v>11733</v>
      </c>
      <c r="C12366" s="3" t="str">
        <f>IFERROR(__xludf.DUMMYFUNCTION("GOOGLETRANSLATE(B12366,""id"",""en"")"),"['principal', 'triumpha', 'Telkomsel']")</f>
        <v>['principal', 'triumpha', 'Telkomsel']</v>
      </c>
      <c r="D12366" s="3">
        <v>5.0</v>
      </c>
    </row>
    <row r="12367" ht="15.75" customHeight="1">
      <c r="A12367" s="1">
        <v>13345.0</v>
      </c>
      <c r="B12367" s="3" t="s">
        <v>11734</v>
      </c>
      <c r="C12367" s="3" t="str">
        <f>IFERROR(__xludf.DUMMYFUNCTION("GOOGLETRANSLATE(B12367,""id"",""en"")"),"['monetary', 'buy', 'quota', 'psti', 'leftover', 'pulse', 'sumps',' go there ',' then ',' functions', 'jdi', 'loss',' Buy ',' quota ',' lgi ']")</f>
        <v>['monetary', 'buy', 'quota', 'psti', 'leftover', 'pulse', 'sumps',' go there ',' then ',' functions', 'jdi', 'loss',' Buy ',' quota ',' lgi ']</v>
      </c>
      <c r="D12367" s="3">
        <v>3.0</v>
      </c>
    </row>
    <row r="12368" ht="15.75" customHeight="1">
      <c r="A12368" s="1">
        <v>13347.0</v>
      </c>
      <c r="B12368" s="3" t="s">
        <v>11735</v>
      </c>
      <c r="C12368" s="3" t="str">
        <f>IFERROR(__xludf.DUMMYFUNCTION("GOOGLETRANSLATE(B12368,""id"",""en"")"),"['DPAT', 'promo', 'cheap']")</f>
        <v>['DPAT', 'promo', 'cheap']</v>
      </c>
      <c r="D12368" s="3">
        <v>5.0</v>
      </c>
    </row>
    <row r="12369" ht="15.75" customHeight="1">
      <c r="A12369" s="1">
        <v>13348.0</v>
      </c>
      <c r="B12369" s="3" t="s">
        <v>11736</v>
      </c>
      <c r="C12369" s="3" t="str">
        <f>IFERROR(__xludf.DUMMYFUNCTION("GOOGLETRANSLATE(B12369,""id"",""en"")"),"['confused', 'APS', 'opened']")</f>
        <v>['confused', 'APS', 'opened']</v>
      </c>
      <c r="D12369" s="3">
        <v>2.0</v>
      </c>
    </row>
    <row r="12370" ht="15.75" customHeight="1">
      <c r="A12370" s="1">
        <v>13349.0</v>
      </c>
      <c r="B12370" s="3" t="s">
        <v>11737</v>
      </c>
      <c r="C12370" s="3" t="str">
        <f>IFERROR(__xludf.DUMMYFUNCTION("GOOGLETRANSLATE(B12370,""id"",""en"")"),"['application', 'good', 'promo', 'thank you', 'May', 'Telkomsel', '']")</f>
        <v>['application', 'good', 'promo', 'thank you', 'May', 'Telkomsel', '']</v>
      </c>
      <c r="D12370" s="3">
        <v>5.0</v>
      </c>
    </row>
    <row r="12371" ht="15.75" customHeight="1">
      <c r="A12371" s="1">
        <v>13350.0</v>
      </c>
      <c r="B12371" s="3" t="s">
        <v>11738</v>
      </c>
      <c r="C12371" s="3" t="str">
        <f>IFERROR(__xludf.DUMMYFUNCTION("GOOGLETRANSLATE(B12371,""id"",""en"")"),"['like', 'suck', 'pulse']")</f>
        <v>['like', 'suck', 'pulse']</v>
      </c>
      <c r="D12371" s="3">
        <v>2.0</v>
      </c>
    </row>
    <row r="12372" ht="15.75" customHeight="1">
      <c r="A12372" s="1">
        <v>13351.0</v>
      </c>
      <c r="B12372" s="3" t="s">
        <v>11739</v>
      </c>
      <c r="C12372" s="3" t="str">
        <f>IFERROR(__xludf.DUMMYFUNCTION("GOOGLETRANSLATE(B12372,""id"",""en"")"),"['', 'Telekom', 'offer', 'prodac', 'community', 'need', 'soul', 'iterpeunet', 'soul', 'wira', 'business',' dependent ',' reading ',' company ',' moves', 'services',' telecommunications', 'opportunity', 'buisnis',' develop ',' prodac ',' data ',' potential"&amp;" ',' buisnis', 'data', 'wide', 'wake up', 'work', 'government', 'data', 'pebduk', 'field', 'field', 'prepare', 'data', 'agriculture', 'Peter', 'data ',' Nelayanan ',' rent ',' Dounlink ',' device ',' terminal ',' short ',' kitawarka ']")</f>
        <v>['', 'Telekom', 'offer', 'prodac', 'community', 'need', 'soul', 'iterpeunet', 'soul', 'wira', 'business',' dependent ',' reading ',' company ',' moves', 'services',' telecommunications', 'opportunity', 'buisnis',' develop ',' prodac ',' data ',' potential ',' buisnis', 'data', 'wide', 'wake up', 'work', 'government', 'data', 'pebduk', 'field', 'field', 'prepare', 'data', 'agriculture', 'Peter', 'data ',' Nelayanan ',' rent ',' Dounlink ',' device ',' terminal ',' short ',' kitawarka ']</v>
      </c>
      <c r="D12372" s="3">
        <v>5.0</v>
      </c>
    </row>
    <row r="12373" ht="15.75" customHeight="1">
      <c r="A12373" s="1">
        <v>13352.0</v>
      </c>
      <c r="B12373" s="3" t="s">
        <v>11740</v>
      </c>
      <c r="C12373" s="3" t="str">
        <f>IFERROR(__xludf.DUMMYFUNCTION("GOOGLETRANSLATE(B12373,""id"",""en"")"),"['Bonus', 'Diligent', 'Promo', 'Surprise', 'Weekly', 'Ahh', 'Dihati']")</f>
        <v>['Bonus', 'Diligent', 'Promo', 'Surprise', 'Weekly', 'Ahh', 'Dihati']</v>
      </c>
      <c r="D12373" s="3">
        <v>5.0</v>
      </c>
    </row>
    <row r="12374" ht="15.75" customHeight="1">
      <c r="A12374" s="1">
        <v>13353.0</v>
      </c>
      <c r="B12374" s="3" t="s">
        <v>11741</v>
      </c>
      <c r="C12374" s="3" t="str">
        <f>IFERROR(__xludf.DUMMYFUNCTION("GOOGLETRANSLATE(B12374,""id"",""en"")"),"['month', 'RMH', 'internet', 'slow', 'Bangat', 'sometimes', 'signal', 'smooth', 'obstacle', 'trims']")</f>
        <v>['month', 'RMH', 'internet', 'slow', 'Bangat', 'sometimes', 'signal', 'smooth', 'obstacle', 'trims']</v>
      </c>
      <c r="D12374" s="3">
        <v>5.0</v>
      </c>
    </row>
    <row r="12375" ht="15.75" customHeight="1">
      <c r="A12375" s="1">
        <v>13354.0</v>
      </c>
      <c r="B12375" s="3" t="s">
        <v>11742</v>
      </c>
      <c r="C12375" s="3" t="str">
        <f>IFERROR(__xludf.DUMMYFUNCTION("GOOGLETRANSLATE(B12375,""id"",""en"")"),"['easy', 'smooth', 'network', 'supports', 'performance', '']")</f>
        <v>['easy', 'smooth', 'network', 'supports', 'performance', '']</v>
      </c>
      <c r="D12375" s="3">
        <v>5.0</v>
      </c>
    </row>
    <row r="12376" ht="15.75" customHeight="1">
      <c r="A12376" s="1">
        <v>13355.0</v>
      </c>
      <c r="B12376" s="3" t="s">
        <v>11743</v>
      </c>
      <c r="C12376" s="3" t="str">
        <f>IFERROR(__xludf.DUMMYFUNCTION("GOOGLETRANSLATE(B12376,""id"",""en"")"),"['Steady', 'smooth']")</f>
        <v>['Steady', 'smooth']</v>
      </c>
      <c r="D12376" s="3">
        <v>5.0</v>
      </c>
    </row>
    <row r="12377" ht="15.75" customHeight="1">
      <c r="A12377" s="1">
        <v>13356.0</v>
      </c>
      <c r="B12377" s="3" t="s">
        <v>11744</v>
      </c>
      <c r="C12377" s="3" t="str">
        <f>IFERROR(__xludf.DUMMYFUNCTION("GOOGLETRANSLATE(B12377,""id"",""en"")"),"['Update', 'Android', 'Install', 'Telkomsel', 'Application', '']")</f>
        <v>['Update', 'Android', 'Install', 'Telkomsel', 'Application', '']</v>
      </c>
      <c r="D12377" s="3">
        <v>1.0</v>
      </c>
    </row>
    <row r="12378" ht="15.75" customHeight="1">
      <c r="A12378" s="1">
        <v>13357.0</v>
      </c>
      <c r="B12378" s="3" t="s">
        <v>10556</v>
      </c>
      <c r="C12378" s="3" t="str">
        <f>IFERROR(__xludf.DUMMYFUNCTION("GOOGLETRANSLATE(B12378,""id"",""en"")"),"['Profitable']")</f>
        <v>['Profitable']</v>
      </c>
      <c r="D12378" s="3">
        <v>5.0</v>
      </c>
    </row>
    <row r="12379" ht="15.75" customHeight="1">
      <c r="A12379" s="1">
        <v>13358.0</v>
      </c>
      <c r="B12379" s="3" t="s">
        <v>4002</v>
      </c>
      <c r="C12379" s="3" t="str">
        <f>IFERROR(__xludf.DUMMYFUNCTION("GOOGLETRANSLATE(B12379,""id"",""en"")"),"['petrified']")</f>
        <v>['petrified']</v>
      </c>
      <c r="D12379" s="3">
        <v>5.0</v>
      </c>
    </row>
    <row r="12380" ht="15.75" customHeight="1">
      <c r="A12380" s="1">
        <v>13359.0</v>
      </c>
      <c r="B12380" s="3" t="s">
        <v>11745</v>
      </c>
      <c r="C12380" s="3" t="str">
        <f>IFERROR(__xludf.DUMMYFUNCTION("GOOGLETRANSLATE(B12380,""id"",""en"")"),"['Exchange', 'Points', 'tired', 'nukernya', 'Sometimes', 'sometimes', 'application', 'exchange', 'Points', ""]")</f>
        <v>['Exchange', 'Points', 'tired', 'nukernya', 'Sometimes', 'sometimes', 'application', 'exchange', 'Points', "]</v>
      </c>
      <c r="D12380" s="3">
        <v>1.0</v>
      </c>
    </row>
    <row r="12381" ht="15.75" customHeight="1">
      <c r="A12381" s="1">
        <v>13360.0</v>
      </c>
      <c r="B12381" s="3" t="s">
        <v>2090</v>
      </c>
      <c r="C12381" s="3" t="str">
        <f>IFERROR(__xludf.DUMMYFUNCTION("GOOGLETRANSLATE(B12381,""id"",""en"")"),"['Telkomsel', 'best']")</f>
        <v>['Telkomsel', 'best']</v>
      </c>
      <c r="D12381" s="3">
        <v>5.0</v>
      </c>
    </row>
    <row r="12382" ht="15.75" customHeight="1">
      <c r="A12382" s="1">
        <v>13362.0</v>
      </c>
      <c r="B12382" s="3" t="s">
        <v>11746</v>
      </c>
      <c r="C12382" s="3" t="str">
        <f>IFERROR(__xludf.DUMMYFUNCTION("GOOGLETRANSLATE(B12382,""id"",""en"")"),"['Telkomsel', 'Bankek']")</f>
        <v>['Telkomsel', 'Bankek']</v>
      </c>
      <c r="D12382" s="3">
        <v>1.0</v>
      </c>
    </row>
    <row r="12383" ht="15.75" customHeight="1">
      <c r="A12383" s="1">
        <v>13363.0</v>
      </c>
      <c r="B12383" s="3" t="s">
        <v>11747</v>
      </c>
      <c r="C12383" s="3" t="str">
        <f>IFERROR(__xludf.DUMMYFUNCTION("GOOGLETRANSLATE(B12383,""id"",""en"")"),"['operator', 'jelekkkkk', 'contents',' pulse ',' activated ',' package ',' telkomsel ',' dlm ',' count ',' second ',' pulse ',' right ',' run out ',' munkin ',' in ',' count ',' second ',' cost ',' internet ',' GB ',' annoyed ',' moved ']")</f>
        <v>['operator', 'jelekkkkk', 'contents',' pulse ',' activated ',' package ',' telkomsel ',' dlm ',' count ',' second ',' pulse ',' right ',' run out ',' munkin ',' in ',' count ',' second ',' cost ',' internet ',' GB ',' annoyed ',' moved ']</v>
      </c>
      <c r="D12383" s="3">
        <v>1.0</v>
      </c>
    </row>
    <row r="12384" ht="15.75" customHeight="1">
      <c r="A12384" s="1">
        <v>13364.0</v>
      </c>
      <c r="B12384" s="3" t="s">
        <v>11748</v>
      </c>
      <c r="C12384" s="3" t="str">
        <f>IFERROR(__xludf.DUMMYFUNCTION("GOOGLETRANSLATE(B12384,""id"",""en"")"),"['steady', 'help', 'easy']")</f>
        <v>['steady', 'help', 'easy']</v>
      </c>
      <c r="D12384" s="3">
        <v>5.0</v>
      </c>
    </row>
    <row r="12385" ht="15.75" customHeight="1">
      <c r="A12385" s="1">
        <v>13365.0</v>
      </c>
      <c r="B12385" s="3" t="s">
        <v>11749</v>
      </c>
      <c r="C12385" s="3" t="str">
        <f>IFERROR(__xludf.DUMMYFUNCTION("GOOGLETRANSLATE(B12385,""id"",""en"")"),"['Help', 'transaction', 'pulse', 'package']")</f>
        <v>['Help', 'transaction', 'pulse', 'package']</v>
      </c>
      <c r="D12385" s="3">
        <v>5.0</v>
      </c>
    </row>
    <row r="12386" ht="15.75" customHeight="1">
      <c r="A12386" s="1">
        <v>13366.0</v>
      </c>
      <c r="B12386" s="3" t="s">
        <v>11750</v>
      </c>
      <c r="C12386" s="3" t="str">
        <f>IFERROR(__xludf.DUMMYFUNCTION("GOOGLETRANSLATE(B12386,""id"",""en"")"),"['Good', 'Lotten', 'bonus']")</f>
        <v>['Good', 'Lotten', 'bonus']</v>
      </c>
      <c r="D12386" s="3">
        <v>5.0</v>
      </c>
    </row>
    <row r="12387" ht="15.75" customHeight="1">
      <c r="A12387" s="1">
        <v>13368.0</v>
      </c>
      <c r="B12387" s="3" t="s">
        <v>11751</v>
      </c>
      <c r="C12387" s="3" t="str">
        <f>IFERROR(__xludf.DUMMYFUNCTION("GOOGLETRANSLATE(B12387,""id"",""en"")"),"['Functional', 'Good', 'aesthetic', 'Not bad', '']")</f>
        <v>['Functional', 'Good', 'aesthetic', 'Not bad', '']</v>
      </c>
      <c r="D12387" s="3">
        <v>5.0</v>
      </c>
    </row>
    <row r="12388" ht="15.75" customHeight="1">
      <c r="A12388" s="1">
        <v>13369.0</v>
      </c>
      <c r="B12388" s="3" t="s">
        <v>11752</v>
      </c>
      <c r="C12388" s="3" t="str">
        <f>IFERROR(__xludf.DUMMYFUNCTION("GOOGLETRANSLATE(B12388,""id"",""en"")"),"['Quality', 'Telkomsel', 'Leading']")</f>
        <v>['Quality', 'Telkomsel', 'Leading']</v>
      </c>
      <c r="D12388" s="3">
        <v>5.0</v>
      </c>
    </row>
    <row r="12389" ht="15.75" customHeight="1">
      <c r="A12389" s="1">
        <v>13371.0</v>
      </c>
      <c r="B12389" s="3" t="s">
        <v>11753</v>
      </c>
      <c r="C12389" s="3" t="str">
        <f>IFERROR(__xludf.DUMMYFUNCTION("GOOGLETRANSLATE(B12389,""id"",""en"")"),"['Good', 'Simple', 'Accurate']")</f>
        <v>['Good', 'Simple', 'Accurate']</v>
      </c>
      <c r="D12389" s="3">
        <v>5.0</v>
      </c>
    </row>
    <row r="12390" ht="15.75" customHeight="1">
      <c r="A12390" s="1">
        <v>13372.0</v>
      </c>
      <c r="B12390" s="3" t="s">
        <v>11754</v>
      </c>
      <c r="C12390" s="3" t="str">
        <f>IFERROR(__xludf.DUMMYFUNCTION("GOOGLETRANSLATE(B12390,""id"",""en"")"),"['so cool', '']")</f>
        <v>['so cool', '']</v>
      </c>
      <c r="D12390" s="3">
        <v>5.0</v>
      </c>
    </row>
    <row r="12391" ht="15.75" customHeight="1">
      <c r="A12391" s="1">
        <v>13373.0</v>
      </c>
      <c r="B12391" s="3" t="s">
        <v>11755</v>
      </c>
      <c r="C12391" s="3" t="str">
        <f>IFERROR(__xludf.DUMMYFUNCTION("GOOGLETRANSLATE(B12391,""id"",""en"")"),"['LBH', 'Satisfied', '']")</f>
        <v>['LBH', 'Satisfied', '']</v>
      </c>
      <c r="D12391" s="3">
        <v>4.0</v>
      </c>
    </row>
    <row r="12392" ht="15.75" customHeight="1">
      <c r="A12392" s="1">
        <v>13374.0</v>
      </c>
      <c r="B12392" s="3" t="s">
        <v>11756</v>
      </c>
      <c r="C12392" s="3" t="str">
        <f>IFERROR(__xludf.DUMMYFUNCTION("GOOGLETRANSLATE(B12392,""id"",""en"")"),"['Satisfied', 'Telcomsel']")</f>
        <v>['Satisfied', 'Telcomsel']</v>
      </c>
      <c r="D12392" s="3">
        <v>5.0</v>
      </c>
    </row>
    <row r="12393" ht="15.75" customHeight="1">
      <c r="A12393" s="1">
        <v>13375.0</v>
      </c>
      <c r="B12393" s="3" t="s">
        <v>11757</v>
      </c>
      <c r="C12393" s="3" t="str">
        <f>IFERROR(__xludf.DUMMYFUNCTION("GOOGLETRANSLATE(B12393,""id"",""en"")"),"['used', 'tuk', 'buy', 'package']")</f>
        <v>['used', 'tuk', 'buy', 'package']</v>
      </c>
      <c r="D12393" s="3">
        <v>1.0</v>
      </c>
    </row>
    <row r="12394" ht="15.75" customHeight="1">
      <c r="A12394" s="1">
        <v>13376.0</v>
      </c>
      <c r="B12394" s="3" t="s">
        <v>11758</v>
      </c>
      <c r="C12394" s="3" t="str">
        <f>IFERROR(__xludf.DUMMYFUNCTION("GOOGLETRANSLATE(B12394,""id"",""en"")"),"['Help', 'easy', 'prime', 'service']")</f>
        <v>['Help', 'easy', 'prime', 'service']</v>
      </c>
      <c r="D12394" s="3">
        <v>5.0</v>
      </c>
    </row>
    <row r="12395" ht="15.75" customHeight="1">
      <c r="A12395" s="1">
        <v>13378.0</v>
      </c>
      <c r="B12395" s="3" t="s">
        <v>11759</v>
      </c>
      <c r="C12395" s="3" t="str">
        <f>IFERROR(__xludf.DUMMYFUNCTION("GOOGLETRANSLATE(B12395,""id"",""en"")"),"['The application', 'good', 'bngettt', 'like', '']")</f>
        <v>['The application', 'good', 'bngettt', 'like', '']</v>
      </c>
      <c r="D12395" s="3">
        <v>5.0</v>
      </c>
    </row>
    <row r="12396" ht="15.75" customHeight="1">
      <c r="A12396" s="1">
        <v>13379.0</v>
      </c>
      <c r="B12396" s="3" t="s">
        <v>11760</v>
      </c>
      <c r="C12396" s="3" t="str">
        <f>IFERROR(__xludf.DUMMYFUNCTION("GOOGLETRANSLATE(B12396,""id"",""en"")"),"['Help', 'application', 'purchase', 'data', 'package', 'Telkomsel']")</f>
        <v>['Help', 'application', 'purchase', 'data', 'package', 'Telkomsel']</v>
      </c>
      <c r="D12396" s="3">
        <v>5.0</v>
      </c>
    </row>
    <row r="12397" ht="15.75" customHeight="1">
      <c r="A12397" s="1">
        <v>13380.0</v>
      </c>
      <c r="B12397" s="3" t="s">
        <v>11761</v>
      </c>
      <c r="C12397" s="3" t="str">
        <f>IFERROR(__xludf.DUMMYFUNCTION("GOOGLETRANSLATE(B12397,""id"",""en"")"),"['quota', 'games',' useful ',' quota ',' main ',' most ',' connect ',' fit ',' enter ',' games', 'buy', 'quota', ' main ',' doang ',' expensive ',' plus', 'little', 'buy', 'quota', 'game', 'plus',' quota ',' main ',' quota ',' main ' , 'quota', 'main', 'r"&amp;"un out', 'quota', 'game', 'ngeleg', 'work', '']")</f>
        <v>['quota', 'games',' useful ',' quota ',' main ',' most ',' connect ',' fit ',' enter ',' games', 'buy', 'quota', ' main ',' doang ',' expensive ',' plus', 'little', 'buy', 'quota', 'game', 'plus',' quota ',' main ',' quota ',' main ' , 'quota', 'main', 'run out', 'quota', 'game', 'ngeleg', 'work', '']</v>
      </c>
      <c r="D12397" s="3">
        <v>1.0</v>
      </c>
    </row>
    <row r="12398" ht="15.75" customHeight="1">
      <c r="A12398" s="1">
        <v>13381.0</v>
      </c>
      <c r="B12398" s="3" t="s">
        <v>11762</v>
      </c>
      <c r="C12398" s="3" t="str">
        <f>IFERROR(__xludf.DUMMYFUNCTION("GOOGLETRANSLATE(B12398,""id"",""en"")"),"['bad', 'service', 'network', 'internet', 'signal', 'udh', 'slow', 'send', 'message', 'chat', 'ugly', 'ugly', ' Secretary ']")</f>
        <v>['bad', 'service', 'network', 'internet', 'signal', 'udh', 'slow', 'send', 'message', 'chat', 'ugly', 'ugly', ' Secretary ']</v>
      </c>
      <c r="D12398" s="3">
        <v>1.0</v>
      </c>
    </row>
    <row r="12399" ht="15.75" customHeight="1">
      <c r="A12399" s="1">
        <v>13382.0</v>
      </c>
      <c r="B12399" s="3" t="s">
        <v>11763</v>
      </c>
      <c r="C12399" s="3" t="str">
        <f>IFERROR(__xludf.DUMMYFUNCTION("GOOGLETRANSLATE(B12399,""id"",""en"")"),"['difficult', 'enter', 'funds', 'there', 'succeed', 'enter', 'tetep', 'connected']")</f>
        <v>['difficult', 'enter', 'funds', 'there', 'succeed', 'enter', 'tetep', 'connected']</v>
      </c>
      <c r="D12399" s="3">
        <v>4.0</v>
      </c>
    </row>
    <row r="12400" ht="15.75" customHeight="1">
      <c r="A12400" s="1">
        <v>13383.0</v>
      </c>
      <c r="B12400" s="3" t="s">
        <v>8577</v>
      </c>
      <c r="C12400" s="3" t="str">
        <f>IFERROR(__xludf.DUMMYFUNCTION("GOOGLETRANSLATE(B12400,""id"",""en"")"),"['slow network']")</f>
        <v>['slow network']</v>
      </c>
      <c r="D12400" s="3">
        <v>1.0</v>
      </c>
    </row>
    <row r="12401" ht="15.75" customHeight="1">
      <c r="A12401" s="1">
        <v>13384.0</v>
      </c>
      <c r="B12401" s="3" t="s">
        <v>11764</v>
      </c>
      <c r="C12401" s="3" t="str">
        <f>IFERROR(__xludf.DUMMYFUNCTION("GOOGLETRANSLATE(B12401,""id"",""en"")"),"['Honging', 'buy', 'pulse', 'check', 'data', 'cheap', 'buy', 'pulse', 'Telkomsel']")</f>
        <v>['Honging', 'buy', 'pulse', 'check', 'data', 'cheap', 'buy', 'pulse', 'Telkomsel']</v>
      </c>
      <c r="D12401" s="3">
        <v>5.0</v>
      </c>
    </row>
    <row r="12402" ht="15.75" customHeight="1">
      <c r="A12402" s="1">
        <v>13386.0</v>
      </c>
      <c r="B12402" s="3" t="s">
        <v>11765</v>
      </c>
      <c r="C12402" s="3" t="str">
        <f>IFERROR(__xludf.DUMMYFUNCTION("GOOGLETRANSLATE(B12402,""id"",""en"")"),"['easy', 'used', 'good']")</f>
        <v>['easy', 'used', 'good']</v>
      </c>
      <c r="D12402" s="3">
        <v>5.0</v>
      </c>
    </row>
    <row r="12403" ht="15.75" customHeight="1">
      <c r="A12403" s="1">
        <v>13387.0</v>
      </c>
      <c r="B12403" s="3" t="s">
        <v>11766</v>
      </c>
      <c r="C12403" s="3" t="str">
        <f>IFERROR(__xludf.DUMMYFUNCTION("GOOGLETRANSLATE(B12403,""id"",""en"")"),"['send', 'sms',' card ',' blocked ',' pay ',' already ',' sms', 'thank you', 'payment', 'bill', 'accepted', 'already', ' times', 'that's',' kroscek ',' data ',' already ',' Veronika ',' want ',' already ',' send ',' reply ',' system ',' open ',' picture '"&amp;" , 'ancient', 'systems', 'that's', 'industry', '']")</f>
        <v>['send', 'sms',' card ',' blocked ',' pay ',' already ',' sms', 'thank you', 'payment', 'bill', 'accepted', 'already', ' times', 'that's',' kroscek ',' data ',' already ',' Veronika ',' want ',' already ',' send ',' reply ',' system ',' open ',' picture ' , 'ancient', 'systems', 'that's', 'industry', '']</v>
      </c>
      <c r="D12403" s="3">
        <v>1.0</v>
      </c>
    </row>
    <row r="12404" ht="15.75" customHeight="1">
      <c r="A12404" s="1">
        <v>13388.0</v>
      </c>
      <c r="B12404" s="3" t="s">
        <v>11767</v>
      </c>
      <c r="C12404" s="3" t="str">
        <f>IFERROR(__xludf.DUMMYFUNCTION("GOOGLETRANSLATE(B12404,""id"",""en"")"),"['', 'GOVE', 'Give', 'Telkomsel', 'Abundant', 'Grace', 'Hopefully', 'Telkomsel', 'Aamiiin', 'Hopefully', 'Telkomsel', 'Gift ',' Car ',' Quiet ',' Aamiiin ',' Allahumma ',' Aamiiin ']")</f>
        <v>['', 'GOVE', 'Give', 'Telkomsel', 'Abundant', 'Grace', 'Hopefully', 'Telkomsel', 'Aamiiin', 'Hopefully', 'Telkomsel', 'Gift ',' Car ',' Quiet ',' Aamiiin ',' Allahumma ',' Aamiiin ']</v>
      </c>
      <c r="D12404" s="3">
        <v>5.0</v>
      </c>
    </row>
    <row r="12405" ht="15.75" customHeight="1">
      <c r="A12405" s="1">
        <v>13389.0</v>
      </c>
      <c r="B12405" s="3" t="s">
        <v>11768</v>
      </c>
      <c r="C12405" s="3" t="str">
        <f>IFERROR(__xludf.DUMMYFUNCTION("GOOGLETRANSLATE(B12405,""id"",""en"")"),"['difficult', 'opened']")</f>
        <v>['difficult', 'opened']</v>
      </c>
      <c r="D12405" s="3">
        <v>1.0</v>
      </c>
    </row>
    <row r="12406" ht="15.75" customHeight="1">
      <c r="A12406" s="1">
        <v>13390.0</v>
      </c>
      <c r="B12406" s="3" t="s">
        <v>366</v>
      </c>
      <c r="C12406" s="3" t="str">
        <f>IFERROR(__xludf.DUMMYFUNCTION("GOOGLETRANSLATE(B12406,""id"",""en"")"),"['Application', 'Best', '']")</f>
        <v>['Application', 'Best', '']</v>
      </c>
      <c r="D12406" s="3">
        <v>5.0</v>
      </c>
    </row>
    <row r="12407" ht="15.75" customHeight="1">
      <c r="A12407" s="1">
        <v>13391.0</v>
      </c>
      <c r="B12407" s="3" t="s">
        <v>11769</v>
      </c>
      <c r="C12407" s="3" t="str">
        <f>IFERROR(__xludf.DUMMYFUNCTION("GOOGLETRANSLATE(B12407,""id"",""en"")"),"['Package', 'data', 'cheap', 'keep']")</f>
        <v>['Package', 'data', 'cheap', 'keep']</v>
      </c>
      <c r="D12407" s="3">
        <v>5.0</v>
      </c>
    </row>
    <row r="12408" ht="15.75" customHeight="1">
      <c r="A12408" s="1">
        <v>13392.0</v>
      </c>
      <c r="B12408" s="3" t="s">
        <v>1416</v>
      </c>
      <c r="C12408" s="3" t="str">
        <f>IFERROR(__xludf.DUMMYFUNCTION("GOOGLETRANSLATE(B12408,""id"",""en"")"),"['The network', 'slow', ""]")</f>
        <v>['The network', 'slow', "]</v>
      </c>
      <c r="D12408" s="3">
        <v>1.0</v>
      </c>
    </row>
    <row r="12409" ht="15.75" customHeight="1">
      <c r="A12409" s="1">
        <v>13393.0</v>
      </c>
      <c r="B12409" s="3" t="s">
        <v>11770</v>
      </c>
      <c r="C12409" s="3" t="str">
        <f>IFERROR(__xludf.DUMMYFUNCTION("GOOGLETRANSLATE(B12409,""id"",""en"")"),"['Quality', 'Network', 'Telkomsel', 'Region', 'Jeneponto', 'Bad', 'City', 'Hotel', 'Sari', 'Kec', 'binu', 'internet', ' HARD ',' KOAKA ',' Internet ',' Bar ',' Position ',' Bad ',' Quality ',' Network ',' Telkomsel ',' Region ',' Jeneponto ',' Want ',' mu"&amp;"ltiply ' , 'Tower', 'BTS', 'Region', 'Jeneponto', 'City', 'Jeneponto', 'SJJA', 'Difficult', 'remote', 'poor', ""]")</f>
        <v>['Quality', 'Network', 'Telkomsel', 'Region', 'Jeneponto', 'Bad', 'City', 'Hotel', 'Sari', 'Kec', 'binu', 'internet', ' HARD ',' KOAKA ',' Internet ',' Bar ',' Position ',' Bad ',' Quality ',' Network ',' Telkomsel ',' Region ',' Jeneponto ',' Want ',' multiply ' , 'Tower', 'BTS', 'Region', 'Jeneponto', 'City', 'Jeneponto', 'SJJA', 'Difficult', 'remote', 'poor', "]</v>
      </c>
      <c r="D12409" s="3">
        <v>1.0</v>
      </c>
    </row>
    <row r="12410" ht="15.75" customHeight="1">
      <c r="A12410" s="1">
        <v>13394.0</v>
      </c>
      <c r="B12410" s="3" t="s">
        <v>11771</v>
      </c>
      <c r="C12410" s="3" t="str">
        <f>IFERROR(__xludf.DUMMYFUNCTION("GOOGLETRANSLATE(B12410,""id"",""en"")"),"['', 'Telkomsel', 'Top', 'really', 'Points', 'Hangus', 'Easy', 'UDH', 'App', 'Lottery', 'DPT', 'Gift', "" ]")</f>
        <v>['', 'Telkomsel', 'Top', 'really', 'Points', 'Hangus', 'Easy', 'UDH', 'App', 'Lottery', 'DPT', 'Gift', " ]</v>
      </c>
      <c r="D12410" s="3">
        <v>5.0</v>
      </c>
    </row>
    <row r="12411" ht="15.75" customHeight="1">
      <c r="A12411" s="1">
        <v>13395.0</v>
      </c>
      <c r="B12411" s="3" t="s">
        <v>11772</v>
      </c>
      <c r="C12411" s="3" t="str">
        <f>IFERROR(__xludf.DUMMYFUNCTION("GOOGLETRANSLATE(B12411,""id"",""en"")"),"['Age', 'school', 'smpe', 'skrg', 'change', 'card', 'Telkomsel', '']")</f>
        <v>['Age', 'school', 'smpe', 'skrg', 'change', 'card', 'Telkomsel', '']</v>
      </c>
      <c r="D12411" s="3">
        <v>5.0</v>
      </c>
    </row>
    <row r="12412" ht="15.75" customHeight="1">
      <c r="A12412" s="1">
        <v>13396.0</v>
      </c>
      <c r="B12412" s="3" t="s">
        <v>11773</v>
      </c>
      <c r="C12412" s="3" t="str">
        <f>IFERROR(__xludf.DUMMYFUNCTION("GOOGLETRANSLATE(B12412,""id"",""en"")"),"['It's easy', 'users', 'application', 'Telkomsel', 'buy', 'pulses', 'package', 'data', '']")</f>
        <v>['It's easy', 'users', 'application', 'Telkomsel', 'buy', 'pulses', 'package', 'data', '']</v>
      </c>
      <c r="D12412" s="3">
        <v>5.0</v>
      </c>
    </row>
    <row r="12413" ht="15.75" customHeight="1">
      <c r="A12413" s="1">
        <v>13398.0</v>
      </c>
      <c r="B12413" s="3" t="s">
        <v>11774</v>
      </c>
      <c r="C12413" s="3" t="str">
        <f>IFERROR(__xludf.DUMMYFUNCTION("GOOGLETRANSLATE(B12413,""id"",""en"")"),"['Satisfied', 'happy', '']")</f>
        <v>['Satisfied', 'happy', '']</v>
      </c>
      <c r="D12413" s="3">
        <v>5.0</v>
      </c>
    </row>
    <row r="12414" ht="15.75" customHeight="1">
      <c r="A12414" s="1">
        <v>13399.0</v>
      </c>
      <c r="B12414" s="3" t="s">
        <v>11775</v>
      </c>
      <c r="C12414" s="3" t="str">
        <f>IFERROR(__xludf.DUMMYFUNCTION("GOOGLETRANSLATE(B12414,""id"",""en"")"),"['Satisfied', 'really', 'Telkomsel']")</f>
        <v>['Satisfied', 'really', 'Telkomsel']</v>
      </c>
      <c r="D12414" s="3">
        <v>5.0</v>
      </c>
    </row>
    <row r="12415" ht="15.75" customHeight="1">
      <c r="A12415" s="1">
        <v>13400.0</v>
      </c>
      <c r="B12415" s="3" t="s">
        <v>11776</v>
      </c>
      <c r="C12415" s="3" t="str">
        <f>IFERROR(__xludf.DUMMYFUNCTION("GOOGLETRANSLATE(B12415,""id"",""en"")"),"['multiply', 'promo', 'quota', 'cheap', 'enjoy', 'layer', 'community', 'circle']")</f>
        <v>['multiply', 'promo', 'quota', 'cheap', 'enjoy', 'layer', 'community', 'circle']</v>
      </c>
      <c r="D12415" s="3">
        <v>5.0</v>
      </c>
    </row>
    <row r="12416" ht="15.75" customHeight="1">
      <c r="A12416" s="1">
        <v>13401.0</v>
      </c>
      <c r="B12416" s="3" t="s">
        <v>11777</v>
      </c>
      <c r="C12416" s="3" t="str">
        <f>IFERROR(__xludf.DUMMYFUNCTION("GOOGLETRANSLATE(B12416,""id"",""en"")"),"['Love', 'Bintang', 'Karna', 'Beginner']")</f>
        <v>['Love', 'Bintang', 'Karna', 'Beginner']</v>
      </c>
      <c r="D12416" s="3">
        <v>3.0</v>
      </c>
    </row>
    <row r="12417" ht="15.75" customHeight="1">
      <c r="A12417" s="1">
        <v>13402.0</v>
      </c>
      <c r="B12417" s="3" t="s">
        <v>11778</v>
      </c>
      <c r="C12417" s="3" t="str">
        <f>IFERROR(__xludf.DUMMYFUNCTION("GOOGLETRANSLATE(B12417,""id"",""en"")"),"['Increase', 'security', 'application']")</f>
        <v>['Increase', 'security', 'application']</v>
      </c>
      <c r="D12417" s="3">
        <v>3.0</v>
      </c>
    </row>
    <row r="12418" ht="15.75" customHeight="1">
      <c r="A12418" s="1">
        <v>13403.0</v>
      </c>
      <c r="B12418" s="3" t="s">
        <v>11779</v>
      </c>
      <c r="C12418" s="3" t="str">
        <f>IFERROR(__xludf.DUMMYFUNCTION("GOOGLETRANSLATE(B12418,""id"",""en"")"),"['Steady', 'Basa', 'stale', 'love', ""]")</f>
        <v>['Steady', 'Basa', 'stale', 'love', "]</v>
      </c>
      <c r="D12418" s="3">
        <v>5.0</v>
      </c>
    </row>
    <row r="12419" ht="15.75" customHeight="1">
      <c r="A12419" s="1">
        <v>13404.0</v>
      </c>
      <c r="B12419" s="3" t="s">
        <v>11780</v>
      </c>
      <c r="C12419" s="3" t="str">
        <f>IFERROR(__xludf.DUMMYFUNCTION("GOOGLETRANSLATE(B12419,""id"",""en"")"),"['likes',' PKE ',' Telkomsel ',' skrg ',' eneg ',' gegara ',' tekomsel ',' sndiri ',' ngadin ',' program ',' migration ',' card ',' After ',' Following ',' Program ',' Card ',' Visit ',' DTG ',' address', 'work', 'PHP', 'Consumer', 'please', 'bner', 'bner"&amp;"' , 'salary', 'right', 'Hello', 'Kick', 'Rb', 'Non', 'Activate', 'Down', 'Hello', 'Unlimited', 'RB', 'OPrator', ' Omdo ',' Bill ',' Gede ',' get ',' RB ', ""]")</f>
        <v>['likes',' PKE ',' Telkomsel ',' skrg ',' eneg ',' gegara ',' tekomsel ',' sndiri ',' ngadin ',' program ',' migration ',' card ',' After ',' Following ',' Program ',' Card ',' Visit ',' DTG ',' address', 'work', 'PHP', 'Consumer', 'please', 'bner', 'bner' , 'salary', 'right', 'Hello', 'Kick', 'Rb', 'Non', 'Activate', 'Down', 'Hello', 'Unlimited', 'RB', 'OPrator', ' Omdo ',' Bill ',' Gede ',' get ',' RB ', "]</v>
      </c>
      <c r="D12419" s="3">
        <v>1.0</v>
      </c>
    </row>
    <row r="12420" ht="15.75" customHeight="1">
      <c r="A12420" s="1">
        <v>13405.0</v>
      </c>
      <c r="B12420" s="3" t="s">
        <v>11781</v>
      </c>
      <c r="C12420" s="3" t="str">
        <f>IFERROR(__xludf.DUMMYFUNCTION("GOOGLETRANSLATE(B12420,""id"",""en"")"),"['', 'Gini', 'gini', 'Telkomslet', 'steal', 'pulse', 'package', 'emergency', 'congratulations', 'meal', 'money', 'haram']")</f>
        <v>['', 'Gini', 'gini', 'Telkomslet', 'steal', 'pulse', 'package', 'emergency', 'congratulations', 'meal', 'money', 'haram']</v>
      </c>
      <c r="D12420" s="3">
        <v>1.0</v>
      </c>
    </row>
    <row r="12421" ht="15.75" customHeight="1">
      <c r="A12421" s="1">
        <v>13406.0</v>
      </c>
      <c r="B12421" s="3" t="s">
        <v>11782</v>
      </c>
      <c r="C12421" s="3" t="str">
        <f>IFERROR(__xludf.DUMMYFUNCTION("GOOGLETRANSLATE(B12421,""id"",""en"")"),"['Help', 'APK', 'Dwaki Fix', 'APK', 'Lemot', 'Access', '']")</f>
        <v>['Help', 'APK', 'Dwaki Fix', 'APK', 'Lemot', 'Access', '']</v>
      </c>
      <c r="D12421" s="3">
        <v>4.0</v>
      </c>
    </row>
    <row r="12422" ht="15.75" customHeight="1">
      <c r="A12422" s="1">
        <v>13407.0</v>
      </c>
      <c r="B12422" s="3" t="s">
        <v>11783</v>
      </c>
      <c r="C12422" s="3" t="str">
        <f>IFERROR(__xludf.DUMMYFUNCTION("GOOGLETRANSLATE(B12422,""id"",""en"")"),"['Credit', 'cut', 'pay off', 'KNPA', 'PTONG', 'disappointing']")</f>
        <v>['Credit', 'cut', 'pay off', 'KNPA', 'PTONG', 'disappointing']</v>
      </c>
      <c r="D12422" s="3">
        <v>1.0</v>
      </c>
    </row>
    <row r="12423" ht="15.75" customHeight="1">
      <c r="A12423" s="1">
        <v>13408.0</v>
      </c>
      <c r="B12423" s="3" t="s">
        <v>11784</v>
      </c>
      <c r="C12423" s="3" t="str">
        <f>IFERROR(__xludf.DUMMYFUNCTION("GOOGLETRANSLATE(B12423,""id"",""en"")"),"['Alhamdulillah', 'Baaraakallohu', 'Hopefully', 'Trusss', 'Indonesia', 'Gold']")</f>
        <v>['Alhamdulillah', 'Baaraakallohu', 'Hopefully', 'Trusss', 'Indonesia', 'Gold']</v>
      </c>
      <c r="D12423" s="3">
        <v>5.0</v>
      </c>
    </row>
    <row r="12424" ht="15.75" customHeight="1">
      <c r="A12424" s="1">
        <v>13409.0</v>
      </c>
      <c r="B12424" s="3" t="s">
        <v>11785</v>
      </c>
      <c r="C12424" s="3" t="str">
        <f>IFERROR(__xludf.DUMMYFUNCTION("GOOGLETRANSLATE(B12424,""id"",""en"")"),"['application', 'Haram', 'no', 'use', 'Telkomsel', 'contents',' pulse ',' run out ',' pulse ',' mending ',' use ',' Indosat ',' safe']")</f>
        <v>['application', 'Haram', 'no', 'use', 'Telkomsel', 'contents',' pulse ',' run out ',' pulse ',' mending ',' use ',' Indosat ',' safe']</v>
      </c>
      <c r="D12424" s="3">
        <v>1.0</v>
      </c>
    </row>
    <row r="12425" ht="15.75" customHeight="1">
      <c r="A12425" s="1">
        <v>13410.0</v>
      </c>
      <c r="B12425" s="3" t="s">
        <v>11786</v>
      </c>
      <c r="C12425" s="3" t="str">
        <f>IFERROR(__xludf.DUMMYFUNCTION("GOOGLETRANSLATE(B12425,""id"",""en"")"),"['application', 'good', 'recommendation', 'really']")</f>
        <v>['application', 'good', 'recommendation', 'really']</v>
      </c>
      <c r="D12425" s="3">
        <v>4.0</v>
      </c>
    </row>
    <row r="12426" ht="15.75" customHeight="1">
      <c r="A12426" s="1">
        <v>13412.0</v>
      </c>
      <c r="B12426" s="3" t="s">
        <v>11787</v>
      </c>
      <c r="C12426" s="3" t="str">
        <f>IFERROR(__xludf.DUMMYFUNCTION("GOOGLETRANSLATE(B12426,""id"",""en"")"),"['love', 'star', 'dizziness', 'pakek', 'package', 'pulse', '']")</f>
        <v>['love', 'star', 'dizziness', 'pakek', 'package', 'pulse', '']</v>
      </c>
      <c r="D12426" s="3">
        <v>5.0</v>
      </c>
    </row>
    <row r="12427" ht="15.75" customHeight="1">
      <c r="A12427" s="1">
        <v>13414.0</v>
      </c>
      <c r="B12427" s="3" t="s">
        <v>11788</v>
      </c>
      <c r="C12427" s="3" t="str">
        <f>IFERROR(__xludf.DUMMYFUNCTION("GOOGLETRANSLATE(B12427,""id"",""en"")"),"['network', 'broad', 'reinforced', 'signal']")</f>
        <v>['network', 'broad', 'reinforced', 'signal']</v>
      </c>
      <c r="D12427" s="3">
        <v>4.0</v>
      </c>
    </row>
    <row r="12428" ht="15.75" customHeight="1">
      <c r="A12428" s="1">
        <v>13415.0</v>
      </c>
      <c r="B12428" s="3" t="s">
        <v>11789</v>
      </c>
      <c r="C12428" s="3" t="str">
        <f>IFERROR(__xludf.DUMMYFUNCTION("GOOGLETRANSLATE(B12428,""id"",""en"")"),"['Test', 'Bintang', 'dlu']")</f>
        <v>['Test', 'Bintang', 'dlu']</v>
      </c>
      <c r="D12428" s="3">
        <v>3.0</v>
      </c>
    </row>
    <row r="12429" ht="15.75" customHeight="1">
      <c r="A12429" s="1">
        <v>13416.0</v>
      </c>
      <c r="B12429" s="3" t="s">
        <v>2628</v>
      </c>
      <c r="C12429" s="3" t="str">
        <f>IFERROR(__xludf.DUMMYFUNCTION("GOOGLETRANSLATE(B12429,""id"",""en"")"),"['present']")</f>
        <v>['present']</v>
      </c>
      <c r="D12429" s="3">
        <v>5.0</v>
      </c>
    </row>
    <row r="12430" ht="15.75" customHeight="1">
      <c r="A12430" s="1">
        <v>13417.0</v>
      </c>
      <c r="B12430" s="3" t="s">
        <v>11790</v>
      </c>
      <c r="C12430" s="3" t="str">
        <f>IFERROR(__xludf.DUMMYFUNCTION("GOOGLETRANSLATE(B12430,""id"",""en"")"),"['Its Palikasa', 'Good', 'Trimakasi']")</f>
        <v>['Its Palikasa', 'Good', 'Trimakasi']</v>
      </c>
      <c r="D12430" s="3">
        <v>5.0</v>
      </c>
    </row>
    <row r="12431" ht="15.75" customHeight="1">
      <c r="A12431" s="1">
        <v>13418.0</v>
      </c>
      <c r="B12431" s="3" t="s">
        <v>11791</v>
      </c>
      <c r="C12431" s="3" t="str">
        <f>IFERROR(__xludf.DUMMYFUNCTION("GOOGLETRANSLATE(B12431,""id"",""en"")"),"['Signal', 'Telkomsel', 'knp', 'ugly', 'really', 'for a while', 'for a while', 'missing', 'line', 'according to', 'price', 'offer', ' The service is', 'Please', 'repaired']")</f>
        <v>['Signal', 'Telkomsel', 'knp', 'ugly', 'really', 'for a while', 'for a while', 'missing', 'line', 'according to', 'price', 'offer', ' The service is', 'Please', 'repaired']</v>
      </c>
      <c r="D12431" s="3">
        <v>2.0</v>
      </c>
    </row>
    <row r="12432" ht="15.75" customHeight="1">
      <c r="A12432" s="1">
        <v>13419.0</v>
      </c>
      <c r="B12432" s="3" t="s">
        <v>11792</v>
      </c>
      <c r="C12432" s="3" t="str">
        <f>IFERROR(__xludf.DUMMYFUNCTION("GOOGLETRANSLATE(B12432,""id"",""en"")"),"['Choice', 'package']")</f>
        <v>['Choice', 'package']</v>
      </c>
      <c r="D12432" s="3">
        <v>5.0</v>
      </c>
    </row>
    <row r="12433" ht="15.75" customHeight="1">
      <c r="A12433" s="1">
        <v>13420.0</v>
      </c>
      <c r="B12433" s="3" t="s">
        <v>11793</v>
      </c>
      <c r="C12433" s="3" t="str">
        <f>IFERROR(__xludf.DUMMYFUNCTION("GOOGLETRANSLATE(B12433,""id"",""en"")"),"['Option', 'Method', 'Payment', 'Gopay', 'Gada']")</f>
        <v>['Option', 'Method', 'Payment', 'Gopay', 'Gada']</v>
      </c>
      <c r="D12433" s="3">
        <v>1.0</v>
      </c>
    </row>
    <row r="12434" ht="15.75" customHeight="1">
      <c r="A12434" s="1">
        <v>13421.0</v>
      </c>
      <c r="B12434" s="3" t="s">
        <v>11794</v>
      </c>
      <c r="C12434" s="3" t="str">
        <f>IFERROR(__xludf.DUMMYFUNCTION("GOOGLETRANSLATE(B12434,""id"",""en"")"),"['Application', 'slow', 'please', 'repaired']")</f>
        <v>['Application', 'slow', 'please', 'repaired']</v>
      </c>
      <c r="D12434" s="3">
        <v>1.0</v>
      </c>
    </row>
    <row r="12435" ht="15.75" customHeight="1">
      <c r="A12435" s="1">
        <v>13422.0</v>
      </c>
      <c r="B12435" s="3" t="s">
        <v>11795</v>
      </c>
      <c r="C12435" s="3" t="str">
        <f>IFERROR(__xludf.DUMMYFUNCTION("GOOGLETRANSLATE(B12435,""id"",""en"")"),"['Telkomsel', 'steady', 'bah', ""]")</f>
        <v>['Telkomsel', 'steady', 'bah', "]</v>
      </c>
      <c r="D12435" s="3">
        <v>5.0</v>
      </c>
    </row>
    <row r="12436" ht="15.75" customHeight="1">
      <c r="A12436" s="1">
        <v>13423.0</v>
      </c>
      <c r="B12436" s="3" t="s">
        <v>11796</v>
      </c>
      <c r="C12436" s="3" t="str">
        <f>IFERROR(__xludf.DUMMYFUNCTION("GOOGLETRANSLATE(B12436,""id"",""en"")"),"['Telkomsel', 'disorder', 'disappointed', 'entry']")</f>
        <v>['Telkomsel', 'disorder', 'disappointed', 'entry']</v>
      </c>
      <c r="D12436" s="3">
        <v>1.0</v>
      </c>
    </row>
    <row r="12437" ht="15.75" customHeight="1">
      <c r="A12437" s="1">
        <v>13424.0</v>
      </c>
      <c r="B12437" s="3" t="s">
        <v>11797</v>
      </c>
      <c r="C12437" s="3" t="str">
        <f>IFERROR(__xludf.DUMMYFUNCTION("GOOGLETRANSLATE(B12437,""id"",""en"")"),"['application', 'poor', 'buy', 'package', 'succeed', 'err', 'pulse', 'abis',' duhhh ',' poor ',' red ',' application ',' Sister ',' Notif ',' Success', 'Error', 'Already', 'Becus',' Manual ',' Kayak ',' DLU ',' Manual ',' Difficult ',' Application ',' Har"&amp;"d ' , 'bother', 'doang']")</f>
        <v>['application', 'poor', 'buy', 'package', 'succeed', 'err', 'pulse', 'abis',' duhhh ',' poor ',' red ',' application ',' Sister ',' Notif ',' Success', 'Error', 'Already', 'Becus',' Manual ',' Kayak ',' DLU ',' Manual ',' Difficult ',' Application ',' Hard ' , 'bother', 'doang']</v>
      </c>
      <c r="D12437" s="3">
        <v>1.0</v>
      </c>
    </row>
    <row r="12438" ht="15.75" customHeight="1">
      <c r="A12438" s="1">
        <v>13425.0</v>
      </c>
      <c r="B12438" s="3" t="s">
        <v>11798</v>
      </c>
      <c r="C12438" s="3" t="str">
        <f>IFERROR(__xludf.DUMMYFUNCTION("GOOGLETRANSLATE(B12438,""id"",""en"")"),"['Network', 'Ujan', 'Paraahhh', 'Bangeeeet', 'SuperRrr', 'Jeleeeekkkkkk', 'Sumpaah', 'Whatever', 'Kek', 'yes',' network ',' scattered ',' Where ',' Holysss', 'CUS', 'Change', 'card', 'Gausah', 'make it difficult', 'person', 'love', 'criticism', 'network',"&amp;" 'ugly', 'quota' , 'expensive', 'Worth', 'a little', 'money', 'quota', 'expensive', 'facility', 'upgrade', 'the difference', 'provider', 'network', 'pulp', ' Kek ',' Gini ',' ']")</f>
        <v>['Network', 'Ujan', 'Paraahhh', 'Bangeeeet', 'SuperRrr', 'Jeleeeekkkkkk', 'Sumpaah', 'Whatever', 'Kek', 'yes',' network ',' scattered ',' Where ',' Holysss', 'CUS', 'Change', 'card', 'Gausah', 'make it difficult', 'person', 'love', 'criticism', 'network', 'ugly', 'quota' , 'expensive', 'Worth', 'a little', 'money', 'quota', 'expensive', 'facility', 'upgrade', 'the difference', 'provider', 'network', 'pulp', ' Kek ',' Gini ',' ']</v>
      </c>
      <c r="D12438" s="3">
        <v>1.0</v>
      </c>
    </row>
    <row r="12439" ht="15.75" customHeight="1">
      <c r="A12439" s="1">
        <v>13426.0</v>
      </c>
      <c r="B12439" s="3" t="s">
        <v>11799</v>
      </c>
      <c r="C12439" s="3" t="str">
        <f>IFERROR(__xludf.DUMMYFUNCTION("GOOGLETRANSLATE(B12439,""id"",""en"")"),"['Telkomsel', 'network', 'biggest', 'widest', 'the fastest', 'best', 'communication']")</f>
        <v>['Telkomsel', 'network', 'biggest', 'widest', 'the fastest', 'best', 'communication']</v>
      </c>
      <c r="D12439" s="3">
        <v>5.0</v>
      </c>
    </row>
    <row r="12440" ht="15.75" customHeight="1">
      <c r="A12440" s="1">
        <v>13428.0</v>
      </c>
      <c r="B12440" s="3" t="s">
        <v>11800</v>
      </c>
      <c r="C12440" s="3" t="str">
        <f>IFERROR(__xludf.DUMMYFUNCTION("GOOGLETRANSLATE(B12440,""id"",""en"")"),"['Network', 'poor']")</f>
        <v>['Network', 'poor']</v>
      </c>
      <c r="D12440" s="3">
        <v>3.0</v>
      </c>
    </row>
    <row r="12441" ht="15.75" customHeight="1">
      <c r="A12441" s="1">
        <v>13429.0</v>
      </c>
      <c r="B12441" s="3" t="s">
        <v>11801</v>
      </c>
      <c r="C12441" s="3" t="str">
        <f>IFERROR(__xludf.DUMMYFUNCTION("GOOGLETRANSLATE(B12441,""id"",""en"")"),"['want', 'quota', 'free']")</f>
        <v>['want', 'quota', 'free']</v>
      </c>
      <c r="D12441" s="3">
        <v>5.0</v>
      </c>
    </row>
    <row r="12442" ht="15.75" customHeight="1">
      <c r="A12442" s="1">
        <v>13430.0</v>
      </c>
      <c r="B12442" s="3" t="s">
        <v>11802</v>
      </c>
      <c r="C12442" s="3" t="str">
        <f>IFERROR(__xludf.DUMMYFUNCTION("GOOGLETRANSLATE(B12442,""id"",""en"")"),"['Steady', 'thank you', 'boss']")</f>
        <v>['Steady', 'thank you', 'boss']</v>
      </c>
      <c r="D12442" s="3">
        <v>5.0</v>
      </c>
    </row>
    <row r="12443" ht="15.75" customHeight="1">
      <c r="A12443" s="1">
        <v>13431.0</v>
      </c>
      <c r="B12443" s="3" t="s">
        <v>11803</v>
      </c>
      <c r="C12443" s="3" t="str">
        <f>IFERROR(__xludf.DUMMYFUNCTION("GOOGLETRANSLATE(B12443,""id"",""en"")"),"['Memabnu']")</f>
        <v>['Memabnu']</v>
      </c>
      <c r="D12443" s="3">
        <v>5.0</v>
      </c>
    </row>
    <row r="12444" ht="15.75" customHeight="1">
      <c r="A12444" s="1">
        <v>13432.0</v>
      </c>
      <c r="B12444" s="3" t="s">
        <v>11804</v>
      </c>
      <c r="C12444" s="3" t="str">
        <f>IFERROR(__xludf.DUMMYFUNCTION("GOOGLETRANSLATE(B12444,""id"",""en"")"),"['Please', 'fix', 'network', 'Telkomsel', 'dlu', 'bnggakakan', 'because' stable ',' reach ',' wide ',' cook ',' jogja ',' City ',' Region ',' Kampung ',' Sudagaran ',' Signal ',' Cover ', ""]")</f>
        <v>['Please', 'fix', 'network', 'Telkomsel', 'dlu', 'bnggakakan', 'because' stable ',' reach ',' wide ',' cook ',' jogja ',' City ',' Region ',' Kampung ',' Sudagaran ',' Signal ',' Cover ', "]</v>
      </c>
      <c r="D12444" s="3">
        <v>1.0</v>
      </c>
    </row>
    <row r="12445" ht="15.75" customHeight="1">
      <c r="A12445" s="1">
        <v>13433.0</v>
      </c>
      <c r="B12445" s="3" t="s">
        <v>11805</v>
      </c>
      <c r="C12445" s="3" t="str">
        <f>IFERROR(__xludf.DUMMYFUNCTION("GOOGLETRANSLATE(B12445,""id"",""en"")"),"['pulses', 'Langang']")</f>
        <v>['pulses', 'Langang']</v>
      </c>
      <c r="D12445" s="3">
        <v>1.0</v>
      </c>
    </row>
    <row r="12446" ht="15.75" customHeight="1">
      <c r="A12446" s="1">
        <v>13434.0</v>
      </c>
      <c r="B12446" s="3" t="s">
        <v>11806</v>
      </c>
      <c r="C12446" s="3" t="str">
        <f>IFERROR(__xludf.DUMMYFUNCTION("GOOGLETRANSLATE(B12446,""id"",""en"")"),"['Like', 'really', 'use', 'application', 'MyTelkomsel', 'Simple', 'See', 'quota', 'buy', 'quota', 'just', 'happy', ' really ',' dehh ']")</f>
        <v>['Like', 'really', 'use', 'application', 'MyTelkomsel', 'Simple', 'See', 'quota', 'buy', 'quota', 'just', 'happy', ' really ',' dehh ']</v>
      </c>
      <c r="D12446" s="3">
        <v>5.0</v>
      </c>
    </row>
    <row r="12447" ht="15.75" customHeight="1">
      <c r="A12447" s="1">
        <v>13435.0</v>
      </c>
      <c r="B12447" s="3" t="s">
        <v>11807</v>
      </c>
      <c r="C12447" s="3" t="str">
        <f>IFERROR(__xludf.DUMMYFUNCTION("GOOGLETRANSLATE(B12447,""id"",""en"")"),"['classmate', 'Telkomsel', 'internet', 'like', 'gini', 'package', 'expensive', 'network', 'priority', 'really', 'already', 'closed', ' his company ',' emang ',' go bankrupt ',' go bankrupt ',' good ',' already ',' closed ',' kasian ',' customer ',' php ',"&amp;"' network ']")</f>
        <v>['classmate', 'Telkomsel', 'internet', 'like', 'gini', 'package', 'expensive', 'network', 'priority', 'really', 'already', 'closed', ' his company ',' emang ',' go bankrupt ',' go bankrupt ',' good ',' already ',' closed ',' kasian ',' customer ',' php ',' network ']</v>
      </c>
      <c r="D12447" s="3">
        <v>1.0</v>
      </c>
    </row>
    <row r="12448" ht="15.75" customHeight="1">
      <c r="A12448" s="1">
        <v>13436.0</v>
      </c>
      <c r="B12448" s="3" t="s">
        <v>11808</v>
      </c>
      <c r="C12448" s="3" t="str">
        <f>IFERROR(__xludf.DUMMYFUNCTION("GOOGLETRANSLATE(B12448,""id"",""en"")"),"['Payment', 'use', 'Gopay', ""]")</f>
        <v>['Payment', 'use', 'Gopay', "]</v>
      </c>
      <c r="D12448" s="3">
        <v>2.0</v>
      </c>
    </row>
    <row r="12449" ht="15.75" customHeight="1">
      <c r="A12449" s="1">
        <v>13437.0</v>
      </c>
      <c r="B12449" s="3" t="s">
        <v>11809</v>
      </c>
      <c r="C12449" s="3" t="str">
        <f>IFERROR(__xludf.DUMMYFUNCTION("GOOGLETRANSLATE(B12449,""id"",""en"")"),"['late', 'quota', 'run out', '']")</f>
        <v>['late', 'quota', 'run out', '']</v>
      </c>
      <c r="D12449" s="3">
        <v>1.0</v>
      </c>
    </row>
    <row r="12450" ht="15.75" customHeight="1">
      <c r="A12450" s="1">
        <v>13438.0</v>
      </c>
      <c r="B12450" s="3" t="s">
        <v>11810</v>
      </c>
      <c r="C12450" s="3" t="str">
        <f>IFERROR(__xludf.DUMMYFUNCTION("GOOGLETRANSLATE(B12450,""id"",""en"")"),"['trimakasih', 'shopping', 'credit', 'data', 'barter', 'pulse', 'regular', 'fast', 'simple', '']")</f>
        <v>['trimakasih', 'shopping', 'credit', 'data', 'barter', 'pulse', 'regular', 'fast', 'simple', '']</v>
      </c>
      <c r="D12450" s="3">
        <v>5.0</v>
      </c>
    </row>
    <row r="12451" ht="15.75" customHeight="1">
      <c r="A12451" s="1">
        <v>13439.0</v>
      </c>
      <c r="B12451" s="3" t="s">
        <v>11811</v>
      </c>
      <c r="C12451" s="3" t="str">
        <f>IFERROR(__xludf.DUMMYFUNCTION("GOOGLETRANSLATE(B12451,""id"",""en"")"),"['Telkomsel', 'already', 'nyaco', 'credit', 'ilang', 'package', 'data', 'dapet', 'report', 'pulse', 'internet']")</f>
        <v>['Telkomsel', 'already', 'nyaco', 'credit', 'ilang', 'package', 'data', 'dapet', 'report', 'pulse', 'internet']</v>
      </c>
      <c r="D12451" s="3">
        <v>1.0</v>
      </c>
    </row>
    <row r="12452" ht="15.75" customHeight="1">
      <c r="A12452" s="1">
        <v>13441.0</v>
      </c>
      <c r="B12452" s="3" t="s">
        <v>11812</v>
      </c>
      <c r="C12452" s="3" t="str">
        <f>IFERROR(__xludf.DUMMYFUNCTION("GOOGLETRANSLATE(B12452,""id"",""en"")"),"['Package', 'night', 'buy', 'date', 'clock', 'date', 'broken', 'dahh', 'consumer', 'telkom', 'telkom', 'koq', ' ']")</f>
        <v>['Package', 'night', 'buy', 'date', 'clock', 'date', 'broken', 'dahh', 'consumer', 'telkom', 'telkom', 'koq', ' ']</v>
      </c>
      <c r="D12452" s="3">
        <v>1.0</v>
      </c>
    </row>
    <row r="12453" ht="15.75" customHeight="1">
      <c r="A12453" s="1">
        <v>13443.0</v>
      </c>
      <c r="B12453" s="3" t="s">
        <v>11813</v>
      </c>
      <c r="C12453" s="3" t="str">
        <f>IFERROR(__xludf.DUMMYFUNCTION("GOOGLETRANSLATE(B12453,""id"",""en"")"),"['Good', 'The application', '']")</f>
        <v>['Good', 'The application', '']</v>
      </c>
      <c r="D12453" s="3">
        <v>5.0</v>
      </c>
    </row>
    <row r="12454" ht="15.75" customHeight="1">
      <c r="A12454" s="1">
        <v>13444.0</v>
      </c>
      <c r="B12454" s="3" t="s">
        <v>11814</v>
      </c>
      <c r="C12454" s="3" t="str">
        <f>IFERROR(__xludf.DUMMYFUNCTION("GOOGLETRANSLATE(B12454,""id"",""en"")"),"['young']")</f>
        <v>['young']</v>
      </c>
      <c r="D12454" s="3">
        <v>1.0</v>
      </c>
    </row>
    <row r="12455" ht="15.75" customHeight="1">
      <c r="A12455" s="1">
        <v>13445.0</v>
      </c>
      <c r="B12455" s="3" t="s">
        <v>11815</v>
      </c>
      <c r="C12455" s="3" t="str">
        <f>IFERROR(__xludf.DUMMYFUNCTION("GOOGLETRANSLATE(B12455,""id"",""en"")"),"['buy', 'package', 'night', 'activate', 'pulse', 'sucked', 'right', 'Telkomsel', 'right', 'check', 'Telkomsel', 'Oops',' tejadi ',' mistake ',' what ',' miscalaother ',' situ ',' pulse ',' sucked ',' honest ',' disappointed ',' service ',' Telkomsel ']")</f>
        <v>['buy', 'package', 'night', 'activate', 'pulse', 'sucked', 'right', 'Telkomsel', 'right', 'check', 'Telkomsel', 'Oops',' tejadi ',' mistake ',' what ',' miscalaother ',' situ ',' pulse ',' sucked ',' honest ',' disappointed ',' service ',' Telkomsel ']</v>
      </c>
      <c r="D12455" s="3">
        <v>2.0</v>
      </c>
    </row>
    <row r="12456" ht="15.75" customHeight="1">
      <c r="A12456" s="1">
        <v>13446.0</v>
      </c>
      <c r="B12456" s="3" t="s">
        <v>11816</v>
      </c>
      <c r="C12456" s="3" t="str">
        <f>IFERROR(__xludf.DUMMYFUNCTION("GOOGLETRANSLATE(B12456,""id"",""en"")"),"['Application', 'okay']")</f>
        <v>['Application', 'okay']</v>
      </c>
      <c r="D12456" s="3">
        <v>5.0</v>
      </c>
    </row>
    <row r="12457" ht="15.75" customHeight="1">
      <c r="A12457" s="1">
        <v>13447.0</v>
      </c>
      <c r="B12457" s="3" t="s">
        <v>11817</v>
      </c>
      <c r="C12457" s="3" t="str">
        <f>IFERROR(__xludf.DUMMYFUNCTION("GOOGLETRANSLATE(B12457,""id"",""en"")"),"['makes it easier', 'contents', 'package', 'internet', 'check', 'pulse']")</f>
        <v>['makes it easier', 'contents', 'package', 'internet', 'check', 'pulse']</v>
      </c>
      <c r="D12457" s="3">
        <v>5.0</v>
      </c>
    </row>
    <row r="12458" ht="15.75" customHeight="1">
      <c r="A12458" s="1">
        <v>13448.0</v>
      </c>
      <c r="B12458" s="3" t="s">
        <v>11818</v>
      </c>
      <c r="C12458" s="3" t="str">
        <f>IFERROR(__xludf.DUMMYFUNCTION("GOOGLETRANSLATE(B12458,""id"",""en"")"),"['Woyyy', 'Telkomsel', 'Network', 'Kutoa', 'GB', 'Open', 'AJG', 'Make', 'Times',' Buy ',' Tool ',' Mahala ',' little ',' ngeta ',' network ',' the most expensive ',' ppp ']")</f>
        <v>['Woyyy', 'Telkomsel', 'Network', 'Kutoa', 'GB', 'Open', 'AJG', 'Make', 'Times',' Buy ',' Tool ',' Mahala ',' little ',' ngeta ',' network ',' the most expensive ',' ppp ']</v>
      </c>
      <c r="D12458" s="3">
        <v>1.0</v>
      </c>
    </row>
    <row r="12459" ht="15.75" customHeight="1">
      <c r="A12459" s="1">
        <v>13449.0</v>
      </c>
      <c r="B12459" s="3" t="s">
        <v>11819</v>
      </c>
      <c r="C12459" s="3" t="str">
        <f>IFERROR(__xludf.DUMMYFUNCTION("GOOGLETRANSLATE(B12459,""id"",""en"")"),"['Lotsin', 'promo', 'feel at home']")</f>
        <v>['Lotsin', 'promo', 'feel at home']</v>
      </c>
      <c r="D12459" s="3">
        <v>5.0</v>
      </c>
    </row>
    <row r="12460" ht="15.75" customHeight="1">
      <c r="A12460" s="1">
        <v>13450.0</v>
      </c>
      <c r="B12460" s="3" t="s">
        <v>11820</v>
      </c>
      <c r="C12460" s="3" t="str">
        <f>IFERROR(__xludf.DUMMYFUNCTION("GOOGLETRANSLATE(B12460,""id"",""en"")"),"['Not bad', 'update']")</f>
        <v>['Not bad', 'update']</v>
      </c>
      <c r="D12460" s="3">
        <v>3.0</v>
      </c>
    </row>
    <row r="12461" ht="15.75" customHeight="1">
      <c r="A12461" s="1">
        <v>13451.0</v>
      </c>
      <c r="B12461" s="3" t="s">
        <v>11821</v>
      </c>
      <c r="C12461" s="3" t="str">
        <f>IFERROR(__xludf.DUMMYFUNCTION("GOOGLETRANSLATE(B12461,""id"",""en"")"),"['User', 'PGN', 'Numb', '']")</f>
        <v>['User', 'PGN', 'Numb', '']</v>
      </c>
      <c r="D12461" s="3">
        <v>4.0</v>
      </c>
    </row>
    <row r="12462" ht="15.75" customHeight="1">
      <c r="A12462" s="1">
        <v>13452.0</v>
      </c>
      <c r="B12462" s="3" t="s">
        <v>11822</v>
      </c>
      <c r="C12462" s="3" t="str">
        <f>IFERROR(__xludf.DUMMYFUNCTION("GOOGLETRANSLATE(B12462,""id"",""en"")"),"['recommendets', 'BYK', 'PROMO', '']")</f>
        <v>['recommendets', 'BYK', 'PROMO', '']</v>
      </c>
      <c r="D12462" s="3">
        <v>5.0</v>
      </c>
    </row>
    <row r="12463" ht="15.75" customHeight="1">
      <c r="A12463" s="1">
        <v>13453.0</v>
      </c>
      <c r="B12463" s="3" t="s">
        <v>5643</v>
      </c>
      <c r="C12463" s="3" t="str">
        <f>IFERROR(__xludf.DUMMYFUNCTION("GOOGLETRANSLATE(B12463,""id"",""en"")"),"['Telkomsel', 'Success']")</f>
        <v>['Telkomsel', 'Success']</v>
      </c>
      <c r="D12463" s="3">
        <v>5.0</v>
      </c>
    </row>
    <row r="12464" ht="15.75" customHeight="1">
      <c r="A12464" s="1">
        <v>13454.0</v>
      </c>
      <c r="B12464" s="3" t="s">
        <v>11823</v>
      </c>
      <c r="C12464" s="3" t="str">
        <f>IFERROR(__xludf.DUMMYFUNCTION("GOOGLETRANSLATE(B12464,""id"",""en"")"),"['Mangkin', 'Leet']")</f>
        <v>['Mangkin', 'Leet']</v>
      </c>
      <c r="D12464" s="3">
        <v>3.0</v>
      </c>
    </row>
    <row r="12465" ht="15.75" customHeight="1">
      <c r="A12465" s="1">
        <v>13455.0</v>
      </c>
      <c r="B12465" s="3" t="s">
        <v>11824</v>
      </c>
      <c r="C12465" s="3" t="str">
        <f>IFERROR(__xludf.DUMMYFUNCTION("GOOGLETRANSLATE(B12465,""id"",""en"")"),"['loyal', 'use', 'Telkomsel']")</f>
        <v>['loyal', 'use', 'Telkomsel']</v>
      </c>
      <c r="D12465" s="3">
        <v>5.0</v>
      </c>
    </row>
    <row r="12466" ht="15.75" customHeight="1">
      <c r="A12466" s="1">
        <v>13456.0</v>
      </c>
      <c r="B12466" s="3" t="s">
        <v>11825</v>
      </c>
      <c r="C12466" s="3" t="str">
        <f>IFERROR(__xludf.DUMMYFUNCTION("GOOGLETRANSLATE(B12466,""id"",""en"")"),"['', 'Telkomsel', 'skrang', 'slow']")</f>
        <v>['', 'Telkomsel', 'skrang', 'slow']</v>
      </c>
      <c r="D12466" s="3">
        <v>1.0</v>
      </c>
    </row>
    <row r="12467" ht="15.75" customHeight="1">
      <c r="A12467" s="1">
        <v>13457.0</v>
      </c>
      <c r="B12467" s="3" t="s">
        <v>11826</v>
      </c>
      <c r="C12467" s="3" t="str">
        <f>IFERROR(__xludf.DUMMYFUNCTION("GOOGLETRANSLATE(B12467,""id"",""en"")"),"['already', 'buy', 'package', 'internet', 'lwat', 'Telkomsel', 'description', 'disorder', 'signal', 'good', 'connection', 'smooth', ' strange', '']")</f>
        <v>['already', 'buy', 'package', 'internet', 'lwat', 'Telkomsel', 'description', 'disorder', 'signal', 'good', 'connection', 'smooth', ' strange', '']</v>
      </c>
      <c r="D12467" s="3">
        <v>1.0</v>
      </c>
    </row>
    <row r="12468" ht="15.75" customHeight="1">
      <c r="A12468" s="1">
        <v>13458.0</v>
      </c>
      <c r="B12468" s="3" t="s">
        <v>2169</v>
      </c>
      <c r="C12468" s="3" t="str">
        <f>IFERROR(__xludf.DUMMYFUNCTION("GOOGLETRANSLATE(B12468,""id"",""en"")"),"['bad signal']")</f>
        <v>['bad signal']</v>
      </c>
      <c r="D12468" s="3">
        <v>1.0</v>
      </c>
    </row>
    <row r="12469" ht="15.75" customHeight="1">
      <c r="A12469" s="1">
        <v>13459.0</v>
      </c>
      <c r="B12469" s="3" t="s">
        <v>11827</v>
      </c>
      <c r="C12469" s="3" t="str">
        <f>IFERROR(__xludf.DUMMYFUNCTION("GOOGLETRANSLATE(B12469,""id"",""en"")"),"['Credit', 'Cutting', 'Package', 'Internet', 'GB', 'Telkomsel', 'AnjiiiiInggg']")</f>
        <v>['Credit', 'Cutting', 'Package', 'Internet', 'GB', 'Telkomsel', 'AnjiiiiInggg']</v>
      </c>
      <c r="D12469" s="3">
        <v>1.0</v>
      </c>
    </row>
    <row r="12470" ht="15.75" customHeight="1">
      <c r="A12470" s="1">
        <v>13460.0</v>
      </c>
      <c r="B12470" s="3" t="s">
        <v>11828</v>
      </c>
      <c r="C12470" s="3" t="str">
        <f>IFERROR(__xludf.DUMMYFUNCTION("GOOGLETRANSLATE(B12470,""id"",""en"")"),"['Address', 'email', 'nomm', 'show', 'complete', 'replace', 'apasaja', 'hidden', 'misused', 'thank you', ""]")</f>
        <v>['Address', 'email', 'nomm', 'show', 'complete', 'replace', 'apasaja', 'hidden', 'misused', 'thank you', "]</v>
      </c>
      <c r="D12470" s="3">
        <v>3.0</v>
      </c>
    </row>
    <row r="12471" ht="15.75" customHeight="1">
      <c r="A12471" s="1">
        <v>13461.0</v>
      </c>
      <c r="B12471" s="3" t="s">
        <v>11829</v>
      </c>
      <c r="C12471" s="3" t="str">
        <f>IFERROR(__xludf.DUMMYFUNCTION("GOOGLETRANSLATE(B12471,""id"",""en"")"),"['Star', 'Krna', 'network', 'Telkomsel', 'tidk', 'good', 'replace', 'card', 'laen', ""]")</f>
        <v>['Star', 'Krna', 'network', 'Telkomsel', 'tidk', 'good', 'replace', 'card', 'laen', "]</v>
      </c>
      <c r="D12471" s="3">
        <v>1.0</v>
      </c>
    </row>
    <row r="12472" ht="15.75" customHeight="1">
      <c r="A12472" s="1">
        <v>13462.0</v>
      </c>
      <c r="B12472" s="3" t="s">
        <v>11830</v>
      </c>
      <c r="C12472" s="3" t="str">
        <f>IFERROR(__xludf.DUMMYFUNCTION("GOOGLETRANSLATE(B12472,""id"",""en"")"),"['Network', 'Kec', 'Pematang', 'Reba', 'Indragiri', 'Hulu', 'Riau', 'Severe', 'Network', 'bbrp', 'bln', 'chao', ' Dilapidated ',' Telkomsel ',' Kyk ']")</f>
        <v>['Network', 'Kec', 'Pematang', 'Reba', 'Indragiri', 'Hulu', 'Riau', 'Severe', 'Network', 'bbrp', 'bln', 'chao', ' Dilapidated ',' Telkomsel ',' Kyk ']</v>
      </c>
      <c r="D12472" s="3">
        <v>1.0</v>
      </c>
    </row>
    <row r="12473" ht="15.75" customHeight="1">
      <c r="A12473" s="1">
        <v>13463.0</v>
      </c>
      <c r="B12473" s="3" t="s">
        <v>11831</v>
      </c>
      <c r="C12473" s="3" t="str">
        <f>IFERROR(__xludf.DUMMYFUNCTION("GOOGLETRANSLATE(B12473,""id"",""en"")"),"['Network', 'Bagusan', 'Card', 'DRPD', 'Telkom', 'Hello', 'Play', 'Like', 'ilang', 'Network', 'Gajelas', ""]")</f>
        <v>['Network', 'Bagusan', 'Card', 'DRPD', 'Telkom', 'Hello', 'Play', 'Like', 'ilang', 'Network', 'Gajelas', "]</v>
      </c>
      <c r="D12473" s="3">
        <v>1.0</v>
      </c>
    </row>
    <row r="12474" ht="15.75" customHeight="1">
      <c r="A12474" s="1">
        <v>13464.0</v>
      </c>
      <c r="B12474" s="3" t="s">
        <v>11832</v>
      </c>
      <c r="C12474" s="3" t="str">
        <f>IFERROR(__xludf.DUMMYFUNCTION("GOOGLETRANSLATE(B12474,""id"",""en"")"),"['Kink', 'turnover', 'application', 'Tipu', '']")</f>
        <v>['Kink', 'turnover', 'application', 'Tipu', '']</v>
      </c>
      <c r="D12474" s="3">
        <v>1.0</v>
      </c>
    </row>
    <row r="12475" ht="15.75" customHeight="1">
      <c r="A12475" s="1">
        <v>13465.0</v>
      </c>
      <c r="B12475" s="3" t="s">
        <v>11833</v>
      </c>
      <c r="C12475" s="3" t="str">
        <f>IFERROR(__xludf.DUMMYFUNCTION("GOOGLETRANSLATE(B12475,""id"",""en"")"),"['Good', 'Lock', 'Lock', 'Credit', 'Turning', 'Data', 'Internet', 'Credit', 'Sucked', 'Package', 'Quota', 'Written', ' Cutting ',' pulse ',' package ',' quota ',' expected ',' update ',' plusin ',' feature ',' lock ',' pulse ',' user ',' complain ',' puls"&amp;"es' , 'lost', 'reduced', 'so', 'thank', 'love']")</f>
        <v>['Good', 'Lock', 'Lock', 'Credit', 'Turning', 'Data', 'Internet', 'Credit', 'Sucked', 'Package', 'Quota', 'Written', ' Cutting ',' pulse ',' package ',' quota ',' expected ',' update ',' plusin ',' feature ',' lock ',' pulse ',' user ',' complain ',' pulses' , 'lost', 'reduced', 'so', 'thank', 'love']</v>
      </c>
      <c r="D12475" s="3">
        <v>4.0</v>
      </c>
    </row>
    <row r="12476" ht="15.75" customHeight="1">
      <c r="A12476" s="1">
        <v>13466.0</v>
      </c>
      <c r="B12476" s="3" t="s">
        <v>11834</v>
      </c>
      <c r="C12476" s="3" t="str">
        <f>IFERROR(__xludf.DUMMYFUNCTION("GOOGLETRANSLATE(B12476,""id"",""en"")"),"['Cipinang', 'North', 'Signal', 'Good']")</f>
        <v>['Cipinang', 'North', 'Signal', 'Good']</v>
      </c>
      <c r="D12476" s="3">
        <v>2.0</v>
      </c>
    </row>
    <row r="12477" ht="15.75" customHeight="1">
      <c r="A12477" s="1">
        <v>13467.0</v>
      </c>
      <c r="B12477" s="3" t="s">
        <v>2691</v>
      </c>
      <c r="C12477" s="3" t="str">
        <f>IFERROR(__xludf.DUMMYFUNCTION("GOOGLETRANSLATE(B12477,""id"",""en"")"),"['Good', 'Increase']")</f>
        <v>['Good', 'Increase']</v>
      </c>
      <c r="D12477" s="3">
        <v>5.0</v>
      </c>
    </row>
    <row r="12478" ht="15.75" customHeight="1">
      <c r="A12478" s="1">
        <v>13469.0</v>
      </c>
      <c r="B12478" s="3" t="s">
        <v>11835</v>
      </c>
      <c r="C12478" s="3" t="str">
        <f>IFERROR(__xludf.DUMMYFUNCTION("GOOGLETRANSLATE(B12478,""id"",""en"")"),"['quota', 'entry', 'difficult']")</f>
        <v>['quota', 'entry', 'difficult']</v>
      </c>
      <c r="D12478" s="3">
        <v>3.0</v>
      </c>
    </row>
    <row r="12479" ht="15.75" customHeight="1">
      <c r="A12479" s="1">
        <v>13470.0</v>
      </c>
      <c r="B12479" s="3" t="s">
        <v>11836</v>
      </c>
      <c r="C12479" s="3" t="str">
        <f>IFERROR(__xludf.DUMMYFUNCTION("GOOGLETRANSLATE(B12479,""id"",""en"")"),"['woy', 'teltod', 'love', 'network', 'right', 'napa', 'writing', 'gunain', 'chat', 'kagak', 'tod']")</f>
        <v>['woy', 'teltod', 'love', 'network', 'right', 'napa', 'writing', 'gunain', 'chat', 'kagak', 'tod']</v>
      </c>
      <c r="D12479" s="3">
        <v>4.0</v>
      </c>
    </row>
    <row r="12480" ht="15.75" customHeight="1">
      <c r="A12480" s="1">
        <v>13471.0</v>
      </c>
      <c r="B12480" s="3" t="s">
        <v>11837</v>
      </c>
      <c r="C12480" s="3" t="str">
        <f>IFERROR(__xludf.DUMMYFUNCTION("GOOGLETRANSLATE(B12480,""id"",""en"")"),"['use', 'Telkomsel', 'package', 'expensive', 'dlu', 'package', 'telephone', 'tsel', 'unlimited', 'operator', 'mnt', 'package', ' JDI ',' Tsel ',' MNT ',' Operator ',' MNT ',' Naturally ',' Reduced ',' Price ',' Folding ',' Sumpah ',' Enter ',' Tool ',' Ve"&amp;"ry ' , 'Provider', 'already', 'ground', 'price', 'Sangaat', 'Naturally', 'find', 'package', 'suitable', 'based', 'location', 'pdhal', ' STGH ',' Thun ',' LBH ',' Sya ',' Satisfied ',' Call ',' Now ',' Connect ',' Package ',' Litu ']")</f>
        <v>['use', 'Telkomsel', 'package', 'expensive', 'dlu', 'package', 'telephone', 'tsel', 'unlimited', 'operator', 'mnt', 'package', ' JDI ',' Tsel ',' MNT ',' Operator ',' MNT ',' Naturally ',' Reduced ',' Price ',' Folding ',' Sumpah ',' Enter ',' Tool ',' Very ' , 'Provider', 'already', 'ground', 'price', 'Sangaat', 'Naturally', 'find', 'package', 'suitable', 'based', 'location', 'pdhal', ' STGH ',' Thun ',' LBH ',' Sya ',' Satisfied ',' Call ',' Now ',' Connect ',' Package ',' Litu ']</v>
      </c>
      <c r="D12480" s="3">
        <v>1.0</v>
      </c>
    </row>
    <row r="12481" ht="15.75" customHeight="1">
      <c r="A12481" s="1">
        <v>13472.0</v>
      </c>
      <c r="B12481" s="3" t="s">
        <v>11838</v>
      </c>
      <c r="C12481" s="3" t="str">
        <f>IFERROR(__xludf.DUMMYFUNCTION("GOOGLETRANSLATE(B12481,""id"",""en"")"),"['time']")</f>
        <v>['time']</v>
      </c>
      <c r="D12481" s="3">
        <v>3.0</v>
      </c>
    </row>
    <row r="12482" ht="15.75" customHeight="1">
      <c r="A12482" s="1">
        <v>13473.0</v>
      </c>
      <c r="B12482" s="3" t="s">
        <v>11839</v>
      </c>
      <c r="C12482" s="3" t="str">
        <f>IFERROR(__xludf.DUMMYFUNCTION("GOOGLETRANSLATE(B12482,""id"",""en"")"),"['down', 'little', 'price', 'package', 'given', 'star', '']")</f>
        <v>['down', 'little', 'price', 'package', 'given', 'star', '']</v>
      </c>
      <c r="D12482" s="3">
        <v>4.0</v>
      </c>
    </row>
    <row r="12483" ht="15.75" customHeight="1">
      <c r="A12483" s="1">
        <v>13475.0</v>
      </c>
      <c r="B12483" s="3" t="s">
        <v>11840</v>
      </c>
      <c r="C12483" s="3" t="str">
        <f>IFERROR(__xludf.DUMMYFUNCTION("GOOGLETRANSLATE(B12483,""id"",""en"")"),"['Salah', 'Customer', 'Card', 'Hello', 'Post', 'Pay', 'Existence', 'City', 'City', 'Telkomsel', 'Activate', 'Additional', ' Package ',' quota ',' input ',' bill ',' ']")</f>
        <v>['Salah', 'Customer', 'Card', 'Hello', 'Post', 'Pay', 'Existence', 'City', 'City', 'Telkomsel', 'Activate', 'Additional', ' Package ',' quota ',' input ',' bill ',' ']</v>
      </c>
      <c r="D12483" s="3">
        <v>5.0</v>
      </c>
    </row>
    <row r="12484" ht="15.75" customHeight="1">
      <c r="A12484" s="1">
        <v>13476.0</v>
      </c>
      <c r="B12484" s="3" t="s">
        <v>11841</v>
      </c>
      <c r="C12484" s="3" t="str">
        <f>IFERROR(__xludf.DUMMYFUNCTION("GOOGLETRANSLATE(B12484,""id"",""en"")"),"['', 'star', 'good', 'expensive', 'expensive', 'package', 'internet', 'card', 'bnget']")</f>
        <v>['', 'star', 'good', 'expensive', 'expensive', 'package', 'internet', 'card', 'bnget']</v>
      </c>
      <c r="D12484" s="3">
        <v>5.0</v>
      </c>
    </row>
    <row r="12485" ht="15.75" customHeight="1">
      <c r="A12485" s="1">
        <v>13477.0</v>
      </c>
      <c r="B12485" s="3" t="s">
        <v>11842</v>
      </c>
      <c r="C12485" s="3" t="str">
        <f>IFERROR(__xludf.DUMMYFUNCTION("GOOGLETRANSLATE(B12485,""id"",""en"")"),"['Collapin', 'little', 'price', 'package', 'data']")</f>
        <v>['Collapin', 'little', 'price', 'package', 'data']</v>
      </c>
      <c r="D12485" s="3">
        <v>5.0</v>
      </c>
    </row>
    <row r="12486" ht="15.75" customHeight="1">
      <c r="A12486" s="1">
        <v>13478.0</v>
      </c>
      <c r="B12486" s="3" t="s">
        <v>11843</v>
      </c>
      <c r="C12486" s="3" t="str">
        <f>IFERROR(__xludf.DUMMYFUNCTION("GOOGLETRANSLATE(B12486,""id"",""en"")"),"['Package', 'unlimited', 'expensive', 'donk', 'cheap', ""]")</f>
        <v>['Package', 'unlimited', 'expensive', 'donk', 'cheap', "]</v>
      </c>
      <c r="D12486" s="3">
        <v>4.0</v>
      </c>
    </row>
    <row r="12487" ht="15.75" customHeight="1">
      <c r="A12487" s="1">
        <v>13480.0</v>
      </c>
      <c r="B12487" s="3" t="s">
        <v>11844</v>
      </c>
      <c r="C12487" s="3" t="str">
        <f>IFERROR(__xludf.DUMMYFUNCTION("GOOGLETRANSLATE(B12487,""id"",""en"")"),"['offer', 'cheap', 'quota', 'little', 'a month']")</f>
        <v>['offer', 'cheap', 'quota', 'little', 'a month']</v>
      </c>
      <c r="D12487" s="3">
        <v>5.0</v>
      </c>
    </row>
    <row r="12488" ht="15.75" customHeight="1">
      <c r="A12488" s="1">
        <v>13481.0</v>
      </c>
      <c r="B12488" s="3" t="s">
        <v>11845</v>
      </c>
      <c r="C12488" s="3" t="str">
        <f>IFERROR(__xludf.DUMMYFUNCTION("GOOGLETRANSLATE(B12488,""id"",""en"")"),"['', 'Telkomsel', 'The', 'Best', 'application', 'sgt', 'makes it easy', 'help']")</f>
        <v>['', 'Telkomsel', 'The', 'Best', 'application', 'sgt', 'makes it easy', 'help']</v>
      </c>
      <c r="D12488" s="3">
        <v>5.0</v>
      </c>
    </row>
    <row r="12489" ht="15.75" customHeight="1">
      <c r="A12489" s="1">
        <v>13482.0</v>
      </c>
      <c r="B12489" s="3" t="s">
        <v>11846</v>
      </c>
      <c r="C12489" s="3" t="str">
        <f>IFERROR(__xludf.DUMMYFUNCTION("GOOGLETRANSLATE(B12489,""id"",""en"")"),"['already', 'package', 'expensive', 'signal', 'ugly', 'me', 'play', 'lost', 'Mulu', 'signal', 'Telkomsel', 'Kek', ' Please, 'smooth', 'user', 'disappointed', 'subscribe', 'Telkomsel', 'signal', 'ugly', 'loss', 'pay', 'package', 'data', 'expensive' , 'quot"&amp;"a', 'wasteful', 'signal', 'ugly', 'mending', 'card', '']")</f>
        <v>['already', 'package', 'expensive', 'signal', 'ugly', 'me', 'play', 'lost', 'Mulu', 'signal', 'Telkomsel', 'Kek', ' Please, 'smooth', 'user', 'disappointed', 'subscribe', 'Telkomsel', 'signal', 'ugly', 'loss', 'pay', 'package', 'data', 'expensive' , 'quota', 'wasteful', 'signal', 'ugly', 'mending', 'card', '']</v>
      </c>
      <c r="D12489" s="3">
        <v>1.0</v>
      </c>
    </row>
    <row r="12490" ht="15.75" customHeight="1">
      <c r="A12490" s="1">
        <v>13483.0</v>
      </c>
      <c r="B12490" s="3" t="s">
        <v>262</v>
      </c>
      <c r="C12490" s="3" t="str">
        <f>IFERROR(__xludf.DUMMYFUNCTION("GOOGLETRANSLATE(B12490,""id"",""en"")"),"['Application', 'MyTelkomsel', 'help']")</f>
        <v>['Application', 'MyTelkomsel', 'help']</v>
      </c>
      <c r="D12490" s="3">
        <v>5.0</v>
      </c>
    </row>
    <row r="12491" ht="15.75" customHeight="1">
      <c r="A12491" s="1">
        <v>13484.0</v>
      </c>
      <c r="B12491" s="3" t="s">
        <v>11847</v>
      </c>
      <c r="C12491" s="3" t="str">
        <f>IFERROR(__xludf.DUMMYFUNCTION("GOOGLETRANSLATE(B12491,""id"",""en"")"),"['satisfying', 'service']")</f>
        <v>['satisfying', 'service']</v>
      </c>
      <c r="D12491" s="3">
        <v>5.0</v>
      </c>
    </row>
    <row r="12492" ht="15.75" customHeight="1">
      <c r="A12492" s="1">
        <v>13485.0</v>
      </c>
      <c r="B12492" s="3" t="s">
        <v>11848</v>
      </c>
      <c r="C12492" s="3" t="str">
        <f>IFERROR(__xludf.DUMMYFUNCTION("GOOGLETRANSLATE(B12492,""id"",""en"")"),"['Update', 'Enga', 'Open', 'Minutes', 'Abis', 'MB', 'WTF', '']")</f>
        <v>['Update', 'Enga', 'Open', 'Minutes', 'Abis', 'MB', 'WTF', '']</v>
      </c>
      <c r="D12492" s="3">
        <v>1.0</v>
      </c>
    </row>
    <row r="12493" ht="15.75" customHeight="1">
      <c r="A12493" s="1">
        <v>13486.0</v>
      </c>
      <c r="B12493" s="3" t="s">
        <v>11849</v>
      </c>
      <c r="C12493" s="3" t="str">
        <f>IFERROR(__xludf.DUMMYFUNCTION("GOOGLETRANSLATE(B12493,""id"",""en"")"),"['Signal', 'Bad', 'Capital', 'Jakarta', 'Except', 'Diesa']")</f>
        <v>['Signal', 'Bad', 'Capital', 'Jakarta', 'Except', 'Diesa']</v>
      </c>
      <c r="D12493" s="3">
        <v>1.0</v>
      </c>
    </row>
    <row r="12494" ht="15.75" customHeight="1">
      <c r="A12494" s="1">
        <v>13489.0</v>
      </c>
      <c r="B12494" s="3" t="s">
        <v>11850</v>
      </c>
      <c r="C12494" s="3" t="str">
        <f>IFERROR(__xludf.DUMMYFUNCTION("GOOGLETRANSLATE(B12494,""id"",""en"")"),"['', 'ang', 'signal', 'slow', 'bnke', 'expensive', 'lgi', 'emang', 'job', 'producer', 'balek', 'Maleh', 'Mending ',' move ',' move ',' card ',' bngsat ',' ']")</f>
        <v>['', 'ang', 'signal', 'slow', 'bnke', 'expensive', 'lgi', 'emang', 'job', 'producer', 'balek', 'Maleh', 'Mending ',' move ',' move ',' card ',' bngsat ',' ']</v>
      </c>
      <c r="D12494" s="3">
        <v>1.0</v>
      </c>
    </row>
    <row r="12495" ht="15.75" customHeight="1">
      <c r="A12495" s="1">
        <v>13490.0</v>
      </c>
      <c r="B12495" s="3" t="s">
        <v>11851</v>
      </c>
      <c r="C12495" s="3" t="str">
        <f>IFERROR(__xludf.DUMMYFUNCTION("GOOGLETRANSLATE(B12495,""id"",""en"")"),"['Like', 'Application', 'Telkomsel', 'Missing']")</f>
        <v>['Like', 'Application', 'Telkomsel', 'Missing']</v>
      </c>
      <c r="D12495" s="3">
        <v>5.0</v>
      </c>
    </row>
    <row r="12496" ht="15.75" customHeight="1">
      <c r="A12496" s="1">
        <v>13491.0</v>
      </c>
      <c r="B12496" s="3" t="s">
        <v>11852</v>
      </c>
      <c r="C12496" s="3" t="str">
        <f>IFERROR(__xludf.DUMMYFUNCTION("GOOGLETRANSLATE(B12496,""id"",""en"")"),"['signal', 'written', 'Muter', 'complain', 'Telkomsel', 'Meet', 'Veronika', 'assistant', 'automatic', 'Telkomsel', 'sophisticated', 'help', ' Then ',' Live ',' Agent ',' Human ',' get ',' Covid ', ""]")</f>
        <v>['signal', 'written', 'Muter', 'complain', 'Telkomsel', 'Meet', 'Veronika', 'assistant', 'automatic', 'Telkomsel', 'sophisticated', 'help', ' Then ',' Live ',' Agent ',' Human ',' get ',' Covid ', "]</v>
      </c>
      <c r="D12496" s="3">
        <v>1.0</v>
      </c>
    </row>
    <row r="12497" ht="15.75" customHeight="1">
      <c r="A12497" s="1">
        <v>13492.0</v>
      </c>
      <c r="B12497" s="3" t="s">
        <v>11853</v>
      </c>
      <c r="C12497" s="3" t="str">
        <f>IFERROR(__xludf.DUMMYFUNCTION("GOOGLETRANSLATE(B12497,""id"",""en"")"),"['Bgus', 'easy', 'users', '']")</f>
        <v>['Bgus', 'easy', 'users', '']</v>
      </c>
      <c r="D12497" s="3">
        <v>5.0</v>
      </c>
    </row>
    <row r="12498" ht="15.75" customHeight="1">
      <c r="A12498" s="1">
        <v>13494.0</v>
      </c>
      <c r="B12498" s="3" t="s">
        <v>11854</v>
      </c>
      <c r="C12498" s="3" t="str">
        <f>IFERROR(__xludf.DUMMYFUNCTION("GOOGLETRANSLATE(B12498,""id"",""en"")"),"['Star', 'Satisfied', 'APK', 'TLKMSL']")</f>
        <v>['Star', 'Satisfied', 'APK', 'TLKMSL']</v>
      </c>
      <c r="D12498" s="3">
        <v>3.0</v>
      </c>
    </row>
    <row r="12499" ht="15.75" customHeight="1">
      <c r="A12499" s="1">
        <v>13495.0</v>
      </c>
      <c r="B12499" s="3" t="s">
        <v>1857</v>
      </c>
      <c r="C12499" s="3" t="str">
        <f>IFERROR(__xludf.DUMMYFUNCTION("GOOGLETRANSLATE(B12499,""id"",""en"")"),"['like']")</f>
        <v>['like']</v>
      </c>
      <c r="D12499" s="3">
        <v>5.0</v>
      </c>
    </row>
    <row r="12500" ht="15.75" customHeight="1">
      <c r="A12500" s="1">
        <v>13496.0</v>
      </c>
      <c r="B12500" s="3" t="s">
        <v>11855</v>
      </c>
      <c r="C12500" s="3" t="str">
        <f>IFERROR(__xludf.DUMMYFUNCTION("GOOGLETRANSLATE(B12500,""id"",""en"")"),"['Residents',' Riau ',' Pekanbaru ',' Thank you ',' Thank you ',' Telkomsel ',' Indonesia ',' Karna ',' Telkomsel ',' the development ',' Indonesia ',' Hopefully ',' Telkomsel ',' developed ',' findings', 'good', 'cheap', 'amen', 'hopefully', 'Telkomsel',"&amp;" 'thinking', 'Jangkauwan', 'economy', 'medium', 'down' , 'Thank you', 'Telkomsel']")</f>
        <v>['Residents',' Riau ',' Pekanbaru ',' Thank you ',' Thank you ',' Telkomsel ',' Indonesia ',' Karna ',' Telkomsel ',' the development ',' Indonesia ',' Hopefully ',' Telkomsel ',' developed ',' findings', 'good', 'cheap', 'amen', 'hopefully', 'Telkomsel', 'thinking', 'Jangkauwan', 'economy', 'medium', 'down' , 'Thank you', 'Telkomsel']</v>
      </c>
      <c r="D12500" s="3">
        <v>4.0</v>
      </c>
    </row>
    <row r="12501" ht="15.75" customHeight="1">
      <c r="A12501" s="1">
        <v>13497.0</v>
      </c>
      <c r="B12501" s="3" t="s">
        <v>11856</v>
      </c>
      <c r="C12501" s="3" t="str">
        <f>IFERROR(__xludf.DUMMYFUNCTION("GOOGLETRANSLATE(B12501,""id"",""en"")"),"['APK', 'Bigss']")</f>
        <v>['APK', 'Bigss']</v>
      </c>
      <c r="D12501" s="3">
        <v>5.0</v>
      </c>
    </row>
    <row r="12502" ht="15.75" customHeight="1">
      <c r="A12502" s="1">
        <v>13498.0</v>
      </c>
      <c r="B12502" s="3" t="s">
        <v>11857</v>
      </c>
      <c r="C12502" s="3" t="str">
        <f>IFERROR(__xludf.DUMMYFUNCTION("GOOGLETRANSLATE(B12502,""id"",""en"")"),"['City', 'signal', 'Telkomsel', 'sekrang', 'slow', 'bangett', 'please', 'lahh', 'search', 'the problem', 'youtuban', 'smooth', ' Muter ',' NGK ',' BINS ',' ']")</f>
        <v>['City', 'signal', 'Telkomsel', 'sekrang', 'slow', 'bangett', 'please', 'lahh', 'search', 'the problem', 'youtuban', 'smooth', ' Muter ',' NGK ',' BINS ',' ']</v>
      </c>
      <c r="D12502" s="3">
        <v>1.0</v>
      </c>
    </row>
    <row r="12503" ht="15.75" customHeight="1">
      <c r="A12503" s="1">
        <v>13499.0</v>
      </c>
      <c r="B12503" s="3" t="s">
        <v>11858</v>
      </c>
      <c r="C12503" s="3" t="str">
        <f>IFERROR(__xludf.DUMMYFUNCTION("GOOGLETRANSLATE(B12503,""id"",""en"")"),"['Telkomsel', 'poor', 'network', 'slow', 'house', 'tower', '']")</f>
        <v>['Telkomsel', 'poor', 'network', 'slow', 'house', 'tower', '']</v>
      </c>
      <c r="D12503" s="3">
        <v>1.0</v>
      </c>
    </row>
    <row r="12504" ht="15.75" customHeight="1">
      <c r="A12504" s="1">
        <v>13500.0</v>
      </c>
      <c r="B12504" s="3" t="s">
        <v>11859</v>
      </c>
      <c r="C12504" s="3" t="str">
        <f>IFERROR(__xludf.DUMMYFUNCTION("GOOGLETRANSLATE(B12504,""id"",""en"")"),"['Network', 'rotten']")</f>
        <v>['Network', 'rotten']</v>
      </c>
      <c r="D12504" s="3">
        <v>1.0</v>
      </c>
    </row>
    <row r="12505" ht="15.75" customHeight="1">
      <c r="A12505" s="1">
        <v>13501.0</v>
      </c>
      <c r="B12505" s="3" t="s">
        <v>11860</v>
      </c>
      <c r="C12505" s="3" t="str">
        <f>IFERROR(__xludf.DUMMYFUNCTION("GOOGLETRANSLATE(B12505,""id"",""en"")"),"['Restore', 'signal', 'Telkomsel', 'dlu', 'because', 'skarang', 'slow']")</f>
        <v>['Restore', 'signal', 'Telkomsel', 'dlu', 'because', 'skarang', 'slow']</v>
      </c>
      <c r="D12505" s="3">
        <v>1.0</v>
      </c>
    </row>
    <row r="12506" ht="15.75" customHeight="1">
      <c r="A12506" s="1">
        <v>13502.0</v>
      </c>
      <c r="B12506" s="3" t="s">
        <v>11861</v>
      </c>
      <c r="C12506" s="3" t="str">
        <f>IFERROR(__xludf.DUMMYFUNCTION("GOOGLETRANSLATE(B12506,""id"",""en"")"),"['Application', 'okay', 'service', 'slow', 'a year', 'use', 'telkom', 'network', 'safe', 'a year', 'ugly', 'ugly', ' ugly ',' difficult ',' looked ',' signal ',' Season ',' Ampe ',' slammed ',' already ',' help ',' APL ',' Telkom ',' Kekupin ',' responded"&amp;" ' , 'Connect', 'Samsek', 'Season', ""]")</f>
        <v>['Application', 'okay', 'service', 'slow', 'a year', 'use', 'telkom', 'network', 'safe', 'a year', 'ugly', 'ugly', ' ugly ',' difficult ',' looked ',' signal ',' Season ',' Ampe ',' slammed ',' already ',' help ',' APL ',' Telkom ',' Kekupin ',' responded ' , 'Connect', 'Samsek', 'Season', "]</v>
      </c>
      <c r="D12506" s="3">
        <v>2.0</v>
      </c>
    </row>
    <row r="12507" ht="15.75" customHeight="1">
      <c r="A12507" s="1">
        <v>13503.0</v>
      </c>
      <c r="B12507" s="3" t="s">
        <v>636</v>
      </c>
      <c r="C12507" s="3" t="str">
        <f>IFERROR(__xludf.DUMMYFUNCTION("GOOGLETRANSLATE(B12507,""id"",""en"")"),"['The application', 'Good', '']")</f>
        <v>['The application', 'Good', '']</v>
      </c>
      <c r="D12507" s="3">
        <v>5.0</v>
      </c>
    </row>
    <row r="12508" ht="15.75" customHeight="1">
      <c r="A12508" s="1">
        <v>13504.0</v>
      </c>
      <c r="B12508" s="3" t="s">
        <v>11862</v>
      </c>
      <c r="C12508" s="3" t="str">
        <f>IFERROR(__xludf.DUMMYFUNCTION("GOOGLETRANSLATE(B12508,""id"",""en"")"),"['Telkomsel', 'Rich', 'EXSIS', 'Patok']")</f>
        <v>['Telkomsel', 'Rich', 'EXSIS', 'Patok']</v>
      </c>
      <c r="D12508" s="3">
        <v>5.0</v>
      </c>
    </row>
    <row r="12509" ht="15.75" customHeight="1">
      <c r="A12509" s="1">
        <v>13505.0</v>
      </c>
      <c r="B12509" s="3" t="s">
        <v>1510</v>
      </c>
      <c r="C12509" s="3" t="str">
        <f>IFERROR(__xludf.DUMMYFUNCTION("GOOGLETRANSLATE(B12509,""id"",""en"")"),"['Satisfied', 'Telkomsel']")</f>
        <v>['Satisfied', 'Telkomsel']</v>
      </c>
      <c r="D12509" s="3">
        <v>4.0</v>
      </c>
    </row>
    <row r="12510" ht="15.75" customHeight="1">
      <c r="A12510" s="1">
        <v>13506.0</v>
      </c>
      <c r="B12510" s="3" t="s">
        <v>11863</v>
      </c>
      <c r="C12510" s="3" t="str">
        <f>IFERROR(__xludf.DUMMYFUNCTION("GOOGLETRANSLATE(B12510,""id"",""en"")"),"['Telkomsel', 'Severe', 'Credit', 'Inedible', 'Quota', 'Data', 'Quota', 'Call', 'Lazy', 'Use', 'Card', ""]")</f>
        <v>['Telkomsel', 'Severe', 'Credit', 'Inedible', 'Quota', 'Data', 'Quota', 'Call', 'Lazy', 'Use', 'Card', "]</v>
      </c>
      <c r="D12510" s="3">
        <v>1.0</v>
      </c>
    </row>
    <row r="12511" ht="15.75" customHeight="1">
      <c r="A12511" s="1">
        <v>13507.0</v>
      </c>
      <c r="B12511" s="3" t="s">
        <v>11864</v>
      </c>
      <c r="C12511" s="3" t="str">
        <f>IFERROR(__xludf.DUMMYFUNCTION("GOOGLETRANSLATE(B12511,""id"",""en"")"),"['signal', 'Anjiiiiiiiing', 'Operator', 'Bad']")</f>
        <v>['signal', 'Anjiiiiiiiing', 'Operator', 'Bad']</v>
      </c>
      <c r="D12511" s="3">
        <v>1.0</v>
      </c>
    </row>
    <row r="12512" ht="15.75" customHeight="1">
      <c r="A12512" s="1">
        <v>13508.0</v>
      </c>
      <c r="B12512" s="3" t="s">
        <v>11865</v>
      </c>
      <c r="C12512" s="3" t="str">
        <f>IFERROR(__xludf.DUMMYFUNCTION("GOOGLETRANSLATE(B12512,""id"",""en"")"),"['Network', 'ugly', 'really', 'disappointed', 'service', 'Telkomsel']")</f>
        <v>['Network', 'ugly', 'really', 'disappointed', 'service', 'Telkomsel']</v>
      </c>
      <c r="D12512" s="3">
        <v>1.0</v>
      </c>
    </row>
    <row r="12513" ht="15.75" customHeight="1">
      <c r="A12513" s="1">
        <v>13509.0</v>
      </c>
      <c r="B12513" s="3" t="s">
        <v>11866</v>
      </c>
      <c r="C12513" s="3" t="str">
        <f>IFERROR(__xludf.DUMMYFUNCTION("GOOGLETRANSLATE(B12513,""id"",""en"")"),"['Telkomsel', 'signal', 'steady']")</f>
        <v>['Telkomsel', 'signal', 'steady']</v>
      </c>
      <c r="D12513" s="3">
        <v>5.0</v>
      </c>
    </row>
    <row r="12514" ht="15.75" customHeight="1">
      <c r="A12514" s="1">
        <v>13510.0</v>
      </c>
      <c r="B12514" s="3" t="s">
        <v>9831</v>
      </c>
      <c r="C12514" s="3" t="str">
        <f>IFERROR(__xludf.DUMMYFUNCTION("GOOGLETRANSLATE(B12514,""id"",""en"")"),"['Good', 'easy', 'fast']")</f>
        <v>['Good', 'easy', 'fast']</v>
      </c>
      <c r="D12514" s="3">
        <v>5.0</v>
      </c>
    </row>
    <row r="12515" ht="15.75" customHeight="1">
      <c r="A12515" s="1">
        <v>13511.0</v>
      </c>
      <c r="B12515" s="3" t="s">
        <v>11867</v>
      </c>
      <c r="C12515" s="3" t="str">
        <f>IFERROR(__xludf.DUMMYFUNCTION("GOOGLETRANSLATE(B12515,""id"",""en"")"),"['My area', 'bln', 'October', 'network', 'internet', 'Telkomsel', 'contents',' package ',' data ',' internet ',' Telkomsel ',' slow ',' Naudzubillah ',' ']")</f>
        <v>['My area', 'bln', 'October', 'network', 'internet', 'Telkomsel', 'contents',' package ',' data ',' internet ',' Telkomsel ',' slow ',' Naudzubillah ',' ']</v>
      </c>
      <c r="D12515" s="3">
        <v>1.0</v>
      </c>
    </row>
    <row r="12516" ht="15.75" customHeight="1">
      <c r="A12516" s="1">
        <v>13512.0</v>
      </c>
      <c r="B12516" s="3" t="s">
        <v>11868</v>
      </c>
      <c r="C12516" s="3" t="str">
        <f>IFERROR(__xludf.DUMMYFUNCTION("GOOGLETRANSLATE(B12516,""id"",""en"")"),"['leftover', 'pulse', 'sllalu', 'sucked', 'taken', 'Telkomsel', 'stay', 'smpai', 'leftover', 'quota', 'apply', 'contents',' Credit ',' reduced ',' reduction ',' pulse ',' skali ',' quota ',' apply ',' Please ',' Telkomsel ',' renew it ', ""]")</f>
        <v>['leftover', 'pulse', 'sllalu', 'sucked', 'taken', 'Telkomsel', 'stay', 'smpai', 'leftover', 'quota', 'apply', 'contents',' Credit ',' reduced ',' reduction ',' pulse ',' skali ',' quota ',' apply ',' Please ',' Telkomsel ',' renew it ', "]</v>
      </c>
      <c r="D12516" s="3">
        <v>2.0</v>
      </c>
    </row>
    <row r="12517" ht="15.75" customHeight="1">
      <c r="A12517" s="1">
        <v>13513.0</v>
      </c>
      <c r="B12517" s="3" t="s">
        <v>11869</v>
      </c>
      <c r="C12517" s="3" t="str">
        <f>IFERROR(__xludf.DUMMYFUNCTION("GOOGLETRANSLATE(B12517,""id"",""en"")"),"['Points',' Useful ',' Tuker ',' Package ',' Data ',' TTP ',' PKE ',' PULSA ',' MHL ',' PROMO ',' Notification ',' Battery ',' Dri ',' APK ',' Gini ',' West ',' Tin ',' Doang ', ""]")</f>
        <v>['Points',' Useful ',' Tuker ',' Package ',' Data ',' TTP ',' PKE ',' PULSA ',' MHL ',' PROMO ',' Notification ',' Battery ',' Dri ',' APK ',' Gini ',' West ',' Tin ',' Doang ', "]</v>
      </c>
      <c r="D12517" s="3">
        <v>1.0</v>
      </c>
    </row>
    <row r="12518" ht="15.75" customHeight="1">
      <c r="A12518" s="1">
        <v>13514.0</v>
      </c>
      <c r="B12518" s="3" t="s">
        <v>11870</v>
      </c>
      <c r="C12518" s="3" t="str">
        <f>IFERROR(__xludf.DUMMYFUNCTION("GOOGLETRANSLATE(B12518,""id"",""en"")"),"['love', 'star', 'application']")</f>
        <v>['love', 'star', 'application']</v>
      </c>
      <c r="D12518" s="3">
        <v>3.0</v>
      </c>
    </row>
    <row r="12519" ht="15.75" customHeight="1">
      <c r="A12519" s="1">
        <v>13515.0</v>
      </c>
      <c r="B12519" s="3" t="s">
        <v>11871</v>
      </c>
      <c r="C12519" s="3" t="str">
        <f>IFERROR(__xludf.DUMMYFUNCTION("GOOGLETRANSLATE(B12519,""id"",""en"")"),"['Love', 'star', 'Karna', 'Telkomsel', 'signal', 'ugly', 'Telkomsel', 'Mending', 'Dubarin', 'cable', 'signal', 'eat', ' fish ',' shark ',' stingy ',' stingy ',' signal ']")</f>
        <v>['Love', 'star', 'Karna', 'Telkomsel', 'signal', 'ugly', 'Telkomsel', 'Mending', 'Dubarin', 'cable', 'signal', 'eat', ' fish ',' shark ',' stingy ',' stingy ',' signal ']</v>
      </c>
      <c r="D12519" s="3">
        <v>1.0</v>
      </c>
    </row>
    <row r="12520" ht="15.75" customHeight="1">
      <c r="A12520" s="1">
        <v>13516.0</v>
      </c>
      <c r="B12520" s="3" t="s">
        <v>11872</v>
      </c>
      <c r="C12520" s="3" t="str">
        <f>IFERROR(__xludf.DUMMYFUNCTION("GOOGLETRANSLATE(B12520,""id"",""en"")"),"['Service']")</f>
        <v>['Service']</v>
      </c>
      <c r="D12520" s="3">
        <v>5.0</v>
      </c>
    </row>
    <row r="12521" ht="15.75" customHeight="1">
      <c r="A12521" s="1">
        <v>13518.0</v>
      </c>
      <c r="B12521" s="3" t="s">
        <v>11873</v>
      </c>
      <c r="C12521" s="3" t="str">
        <f>IFERROR(__xludf.DUMMYFUNCTION("GOOGLETRANSLATE(B12521,""id"",""en"")"),"['signal', 'deteriorate', 'Apasih', 'friend']")</f>
        <v>['signal', 'deteriorate', 'Apasih', 'friend']</v>
      </c>
      <c r="D12521" s="3">
        <v>5.0</v>
      </c>
    </row>
    <row r="12522" ht="15.75" customHeight="1">
      <c r="A12522" s="1">
        <v>13519.0</v>
      </c>
      <c r="B12522" s="3" t="s">
        <v>11874</v>
      </c>
      <c r="C12522" s="3" t="str">
        <f>IFERROR(__xludf.DUMMYFUNCTION("GOOGLETRANSLATE(B12522,""id"",""en"")"),"['Active', 'reduced', 'buy', 'package', 'rule']")</f>
        <v>['Active', 'reduced', 'buy', 'package', 'rule']</v>
      </c>
      <c r="D12522" s="3">
        <v>3.0</v>
      </c>
    </row>
    <row r="12523" ht="15.75" customHeight="1">
      <c r="A12523" s="1">
        <v>13520.0</v>
      </c>
      <c r="B12523" s="3" t="s">
        <v>11875</v>
      </c>
      <c r="C12523" s="3" t="str">
        <f>IFERROR(__xludf.DUMMYFUNCTION("GOOGLETRANSLATE(B12523,""id"",""en"")"),"['pulse', 'Sumpot', 'notification']")</f>
        <v>['pulse', 'Sumpot', 'notification']</v>
      </c>
      <c r="D12523" s="3">
        <v>1.0</v>
      </c>
    </row>
    <row r="12524" ht="15.75" customHeight="1">
      <c r="A12524" s="1">
        <v>13521.0</v>
      </c>
      <c r="B12524" s="3" t="s">
        <v>7714</v>
      </c>
      <c r="C12524" s="3" t="str">
        <f>IFERROR(__xludf.DUMMYFUNCTION("GOOGLETRANSLATE(B12524,""id"",""en"")"),"['', 'good']")</f>
        <v>['', 'good']</v>
      </c>
      <c r="D12524" s="3">
        <v>5.0</v>
      </c>
    </row>
    <row r="12525" ht="15.75" customHeight="1">
      <c r="A12525" s="1">
        <v>13522.0</v>
      </c>
      <c r="B12525" s="3" t="s">
        <v>11876</v>
      </c>
      <c r="C12525" s="3" t="str">
        <f>IFERROR(__xludf.DUMMYFUNCTION("GOOGLETRANSLATE(B12525,""id"",""en"")"),"['users',' Telkomsel ',' old ',' moved ',' Android ',' Goood ',' The ',' Beast ',' really ',' Features', 'Features',' Mustk ',' ']")</f>
        <v>['users',' Telkomsel ',' old ',' moved ',' Android ',' Goood ',' The ',' Beast ',' really ',' Features', 'Features',' Mustk ',' ']</v>
      </c>
      <c r="D12525" s="3">
        <v>5.0</v>
      </c>
    </row>
    <row r="12526" ht="15.75" customHeight="1">
      <c r="A12526" s="1">
        <v>13523.0</v>
      </c>
      <c r="B12526" s="3" t="s">
        <v>11877</v>
      </c>
      <c r="C12526" s="3" t="str">
        <f>IFERROR(__xludf.DUMMYFUNCTION("GOOGLETRANSLATE(B12526,""id"",""en"")"),"['', 'Telkomsel', 'Cool']")</f>
        <v>['', 'Telkomsel', 'Cool']</v>
      </c>
      <c r="D12526" s="3">
        <v>5.0</v>
      </c>
    </row>
    <row r="12527" ht="15.75" customHeight="1">
      <c r="A12527" s="1">
        <v>13524.0</v>
      </c>
      <c r="B12527" s="3" t="s">
        <v>11878</v>
      </c>
      <c r="C12527" s="3" t="str">
        <f>IFERROR(__xludf.DUMMYFUNCTION("GOOGLETRANSLATE(B12527,""id"",""en"")"),"['Open toaaaaaa']")</f>
        <v>['Open toaaaaaa']</v>
      </c>
      <c r="D12527" s="3">
        <v>1.0</v>
      </c>
    </row>
    <row r="12528" ht="15.75" customHeight="1">
      <c r="A12528" s="1">
        <v>13525.0</v>
      </c>
      <c r="B12528" s="3" t="s">
        <v>11879</v>
      </c>
      <c r="C12528" s="3" t="str">
        <f>IFERROR(__xludf.DUMMYFUNCTION("GOOGLETRANSLATE(B12528,""id"",""en"")"),"['Network', 'problematic', 'Telkomsel', 'Network', 'Good', 'Severe', '']")</f>
        <v>['Network', 'problematic', 'Telkomsel', 'Network', 'Good', 'Severe', '']</v>
      </c>
      <c r="D12528" s="3">
        <v>1.0</v>
      </c>
    </row>
    <row r="12529" ht="15.75" customHeight="1">
      <c r="A12529" s="1">
        <v>13526.0</v>
      </c>
      <c r="B12529" s="3" t="s">
        <v>11880</v>
      </c>
      <c r="C12529" s="3" t="str">
        <f>IFERROR(__xludf.DUMMYFUNCTION("GOOGLETRANSLATE(B12529,""id"",""en"")"),"['APK', 'Bagus', 'Bangett']")</f>
        <v>['APK', 'Bagus', 'Bangett']</v>
      </c>
      <c r="D12529" s="3">
        <v>5.0</v>
      </c>
    </row>
    <row r="12530" ht="15.75" customHeight="1">
      <c r="A12530" s="1">
        <v>13527.0</v>
      </c>
      <c r="B12530" s="3" t="s">
        <v>11881</v>
      </c>
      <c r="C12530" s="3" t="str">
        <f>IFERROR(__xludf.DUMMYFUNCTION("GOOGLETRANSLATE(B12530,""id"",""en"")"),"['service', 'upgrade', 'card', 'sent', 'address', 'subscriber', 'then', 'functions', 'try', 'disappointed']")</f>
        <v>['service', 'upgrade', 'card', 'sent', 'address', 'subscriber', 'then', 'functions', 'try', 'disappointed']</v>
      </c>
      <c r="D12530" s="3">
        <v>1.0</v>
      </c>
    </row>
    <row r="12531" ht="15.75" customHeight="1">
      <c r="A12531" s="1">
        <v>13528.0</v>
      </c>
      <c r="B12531" s="3" t="s">
        <v>11882</v>
      </c>
      <c r="C12531" s="3" t="str">
        <f>IFERROR(__xludf.DUMMYFUNCTION("GOOGLETRANSLATE(B12531,""id"",""en"")"),"['Like', 'Thank you', 'Suda', 'Convenience', 'Purchase', 'Package', 'Data']")</f>
        <v>['Like', 'Thank you', 'Suda', 'Convenience', 'Purchase', 'Package', 'Data']</v>
      </c>
      <c r="D12531" s="3">
        <v>5.0</v>
      </c>
    </row>
    <row r="12532" ht="15.75" customHeight="1">
      <c r="A12532" s="1">
        <v>13529.0</v>
      </c>
      <c r="B12532" s="3" t="s">
        <v>11883</v>
      </c>
      <c r="C12532" s="3" t="str">
        <f>IFERROR(__xludf.DUMMYFUNCTION("GOOGLETRANSLATE(B12532,""id"",""en"")"),"['Try', 'Good']")</f>
        <v>['Try', 'Good']</v>
      </c>
      <c r="D12532" s="3">
        <v>2.0</v>
      </c>
    </row>
    <row r="12533" ht="15.75" customHeight="1">
      <c r="A12533" s="1">
        <v>13530.0</v>
      </c>
      <c r="B12533" s="3" t="s">
        <v>11884</v>
      </c>
      <c r="C12533" s="3" t="str">
        <f>IFERROR(__xludf.DUMMYFUNCTION("GOOGLETRANSLATE(B12533,""id"",""en"")"),"['quota', 'cheap', 'satisfied']")</f>
        <v>['quota', 'cheap', 'satisfied']</v>
      </c>
      <c r="D12533" s="3">
        <v>5.0</v>
      </c>
    </row>
    <row r="12534" ht="15.75" customHeight="1">
      <c r="A12534" s="1">
        <v>13531.0</v>
      </c>
      <c r="B12534" s="3" t="s">
        <v>11885</v>
      </c>
      <c r="C12534" s="3" t="str">
        <f>IFERROR(__xludf.DUMMYFUNCTION("GOOGLETRANSLATE(B12534,""id"",""en"")"),"['Increase', 'bonus', 'redeem', 'cheap', 'quota', 'hee']")</f>
        <v>['Increase', 'bonus', 'redeem', 'cheap', 'quota', 'hee']</v>
      </c>
      <c r="D12534" s="3">
        <v>5.0</v>
      </c>
    </row>
    <row r="12535" ht="15.75" customHeight="1">
      <c r="A12535" s="1">
        <v>13532.0</v>
      </c>
      <c r="B12535" s="3" t="s">
        <v>2679</v>
      </c>
      <c r="C12535" s="3" t="str">
        <f>IFERROR(__xludf.DUMMYFUNCTION("GOOGLETRANSLATE(B12535,""id"",""en"")"),"['Good', 'really', 'APK']")</f>
        <v>['Good', 'really', 'APK']</v>
      </c>
      <c r="D12535" s="3">
        <v>4.0</v>
      </c>
    </row>
    <row r="12536" ht="15.75" customHeight="1">
      <c r="A12536" s="1">
        <v>13533.0</v>
      </c>
      <c r="B12536" s="3" t="s">
        <v>11886</v>
      </c>
      <c r="C12536" s="3" t="str">
        <f>IFERROR(__xludf.DUMMYFUNCTION("GOOGLETRANSLATE(B12536,""id"",""en"")"),"['Seneng', 'Application', 'Telkomsel', 'Sanngat', 'Help']")</f>
        <v>['Seneng', 'Application', 'Telkomsel', 'Sanngat', 'Help']</v>
      </c>
      <c r="D12536" s="3">
        <v>1.0</v>
      </c>
    </row>
    <row r="12537" ht="15.75" customHeight="1">
      <c r="A12537" s="1">
        <v>13534.0</v>
      </c>
      <c r="B12537" s="3" t="s">
        <v>11887</v>
      </c>
      <c r="C12537" s="3" t="str">
        <f>IFERROR(__xludf.DUMMYFUNCTION("GOOGLETRANSLATE(B12537,""id"",""en"")"),"['Notification', 'late', 'right', 'quota', 'abis',' notification ',' appears', 'minutes',' thereafter ',' pulses', 'ilang', 'Telkomsel', ' Great ',' ']")</f>
        <v>['Notification', 'late', 'right', 'quota', 'abis',' notification ',' appears', 'minutes',' thereafter ',' pulses', 'ilang', 'Telkomsel', ' Great ',' ']</v>
      </c>
      <c r="D12537" s="3">
        <v>1.0</v>
      </c>
    </row>
    <row r="12538" ht="15.75" customHeight="1">
      <c r="A12538" s="1">
        <v>13535.0</v>
      </c>
      <c r="B12538" s="3" t="s">
        <v>11888</v>
      </c>
      <c r="C12538" s="3" t="str">
        <f>IFERROR(__xludf.DUMMYFUNCTION("GOOGLETRANSLATE(B12538,""id"",""en"")"),"['Good', 'benefits', 'practical', '']")</f>
        <v>['Good', 'benefits', 'practical', '']</v>
      </c>
      <c r="D12538" s="3">
        <v>5.0</v>
      </c>
    </row>
    <row r="12539" ht="15.75" customHeight="1">
      <c r="A12539" s="1">
        <v>13536.0</v>
      </c>
      <c r="B12539" s="3" t="s">
        <v>11889</v>
      </c>
      <c r="C12539" s="3" t="str">
        <f>IFERROR(__xludf.DUMMYFUNCTION("GOOGLETRANSLATE(B12539,""id"",""en"")"),"['work', '']")</f>
        <v>['work', '']</v>
      </c>
      <c r="D12539" s="3">
        <v>5.0</v>
      </c>
    </row>
    <row r="12540" ht="15.75" customHeight="1">
      <c r="A12540" s="1">
        <v>13537.0</v>
      </c>
      <c r="B12540" s="3" t="s">
        <v>11890</v>
      </c>
      <c r="C12540" s="3" t="str">
        <f>IFERROR(__xludf.DUMMYFUNCTION("GOOGLETRANSLATE(B12540,""id"",""en"")"),"['Knp', 'Price', 'Package', 'Changed', 'Change', 'Buy', 'Package', 'OMG', 'GB', 'Price', 'Buy', 'Package', ' GB ',' price ',' strange ',' fooled ',' ']")</f>
        <v>['Knp', 'Price', 'Package', 'Changed', 'Change', 'Buy', 'Package', 'OMG', 'GB', 'Price', 'Buy', 'Package', ' GB ',' price ',' strange ',' fooled ',' ']</v>
      </c>
      <c r="D12540" s="3">
        <v>1.0</v>
      </c>
    </row>
    <row r="12541" ht="15.75" customHeight="1">
      <c r="A12541" s="1">
        <v>13538.0</v>
      </c>
      <c r="B12541" s="3" t="s">
        <v>11891</v>
      </c>
      <c r="C12541" s="3" t="str">
        <f>IFERROR(__xludf.DUMMYFUNCTION("GOOGLETRANSLATE(B12541,""id"",""en"")"),"['signal', 'strange', 'browsing', '']")</f>
        <v>['signal', 'strange', 'browsing', '']</v>
      </c>
      <c r="D12541" s="3">
        <v>1.0</v>
      </c>
    </row>
    <row r="12542" ht="15.75" customHeight="1">
      <c r="A12542" s="1">
        <v>13539.0</v>
      </c>
      <c r="B12542" s="3" t="s">
        <v>11892</v>
      </c>
      <c r="C12542" s="3" t="str">
        <f>IFERROR(__xludf.DUMMYFUNCTION("GOOGLETRANSLATE(B12542,""id"",""en"")"),"['Severe', 'signal', 'Ampe', 'Speed', 'zero', 'area', 'Citra', 'beautiful', 'dst']")</f>
        <v>['Severe', 'signal', 'Ampe', 'Speed', 'zero', 'area', 'Citra', 'beautiful', 'dst']</v>
      </c>
      <c r="D12542" s="3">
        <v>1.0</v>
      </c>
    </row>
    <row r="12543" ht="15.75" customHeight="1">
      <c r="A12543" s="1">
        <v>13540.0</v>
      </c>
      <c r="B12543" s="3" t="s">
        <v>11893</v>
      </c>
      <c r="C12543" s="3" t="str">
        <f>IFERROR(__xludf.DUMMYFUNCTION("GOOGLETRANSLATE(B12543,""id"",""en"")"),"['Good', 'help', ""]")</f>
        <v>['Good', 'help', "]</v>
      </c>
      <c r="D12543" s="3">
        <v>4.0</v>
      </c>
    </row>
    <row r="12544" ht="15.75" customHeight="1">
      <c r="A12544" s="1">
        <v>13541.0</v>
      </c>
      <c r="B12544" s="3" t="s">
        <v>11894</v>
      </c>
      <c r="C12544" s="3" t="str">
        <f>IFERROR(__xludf.DUMMYFUNCTION("GOOGLETRANSLATE(B12544,""id"",""en"")"),"['Package', 'internet', 'perman', 'Telkomsel', 'card', 'Taun', 'package', 'internet', 'muahhaal', ""]")</f>
        <v>['Package', 'internet', 'perman', 'Telkomsel', 'card', 'Taun', 'package', 'internet', 'muahhaal', "]</v>
      </c>
      <c r="D12544" s="3">
        <v>3.0</v>
      </c>
    </row>
    <row r="12545" ht="15.75" customHeight="1">
      <c r="A12545" s="1">
        <v>13542.0</v>
      </c>
      <c r="B12545" s="3" t="s">
        <v>11895</v>
      </c>
      <c r="C12545" s="3" t="str">
        <f>IFERROR(__xludf.DUMMYFUNCTION("GOOGLETRANSLATE(B12545,""id"",""en"")"),"['Telkom', 'slow', 'alliiiiiiiiiii', 'already', 'that's', 'expensive', 'Telkom', '']")</f>
        <v>['Telkom', 'slow', 'alliiiiiiiiiii', 'already', 'that's', 'expensive', 'Telkom', '']</v>
      </c>
      <c r="D12545" s="3">
        <v>1.0</v>
      </c>
    </row>
    <row r="12546" ht="15.75" customHeight="1">
      <c r="A12546" s="1">
        <v>13543.0</v>
      </c>
      <c r="B12546" s="3" t="s">
        <v>11896</v>
      </c>
      <c r="C12546" s="3" t="str">
        <f>IFERROR(__xludf.DUMMYFUNCTION("GOOGLETRANSLATE(B12546,""id"",""en"")"),"['Cave', 'Package', 'Call', 'Minutes',' Cave ',' Out ',' Minutes', 'Cut', 'Eastern', 'Telkomsel', 'Udeh', 'Kayak', ' Maling ',' Jancuuukkkkk ']")</f>
        <v>['Cave', 'Package', 'Call', 'Minutes',' Cave ',' Out ',' Minutes', 'Cut', 'Eastern', 'Telkomsel', 'Udeh', 'Kayak', ' Maling ',' Jancuuukkkkk ']</v>
      </c>
      <c r="D12546" s="3">
        <v>1.0</v>
      </c>
    </row>
    <row r="12547" ht="15.75" customHeight="1">
      <c r="A12547" s="1">
        <v>13544.0</v>
      </c>
      <c r="B12547" s="3" t="s">
        <v>11897</v>
      </c>
      <c r="C12547" s="3" t="str">
        <f>IFERROR(__xludf.DUMMYFUNCTION("GOOGLETRANSLATE(B12547,""id"",""en"")"),"['Network', 'Teremot', 'World', 'Parahh']")</f>
        <v>['Network', 'Teremot', 'World', 'Parahh']</v>
      </c>
      <c r="D12547" s="3">
        <v>1.0</v>
      </c>
    </row>
    <row r="12548" ht="15.75" customHeight="1">
      <c r="A12548" s="1">
        <v>13545.0</v>
      </c>
      <c r="B12548" s="3" t="s">
        <v>11898</v>
      </c>
      <c r="C12548" s="3" t="str">
        <f>IFERROR(__xludf.DUMMYFUNCTION("GOOGLETRANSLATE(B12548,""id"",""en"")"),"['Nggk', 'Come on', 'Telkomsel']")</f>
        <v>['Nggk', 'Come on', 'Telkomsel']</v>
      </c>
      <c r="D12548" s="3">
        <v>5.0</v>
      </c>
    </row>
    <row r="12549" ht="15.75" customHeight="1">
      <c r="A12549" s="1">
        <v>13546.0</v>
      </c>
      <c r="B12549" s="3" t="s">
        <v>11899</v>
      </c>
      <c r="C12549" s="3" t="str">
        <f>IFERROR(__xludf.DUMMYFUNCTION("GOOGLETRANSLATE(B12549,""id"",""en"")"),"['Free', 'Free', 'Card', 'Cheap', 'World', 'Hereafter', 'Thailand', 'Vietnam', 'Philippines',' Indonesia ',' Rich ',' Vitamin ',' Thailand ',' Malaysia ',' Rich ',' Fiber ',' Home ', ""]")</f>
        <v>['Free', 'Free', 'Card', 'Cheap', 'World', 'Hereafter', 'Thailand', 'Vietnam', 'Philippines',' Indonesia ',' Rich ',' Vitamin ',' Thailand ',' Malaysia ',' Rich ',' Fiber ',' Home ', "]</v>
      </c>
      <c r="D12549" s="3">
        <v>5.0</v>
      </c>
    </row>
    <row r="12550" ht="15.75" customHeight="1">
      <c r="A12550" s="1">
        <v>13547.0</v>
      </c>
      <c r="B12550" s="3" t="s">
        <v>11900</v>
      </c>
      <c r="C12550" s="3" t="str">
        <f>IFERROR(__xludf.DUMMYFUNCTION("GOOGLETRANSLATE(B12550,""id"",""en"")"),"['Hey', 'Telkomsel', 'times',' gave ',' promo ',' short ',' show ',' promo ',' package ',' internet ',' already ',' difficult ',' difficult ',' gatherin ',' money ',' buy ',' package ',' save ',' a week ',' package ',' application ',' Telkomsel ',' how ',"&amp;"' Kalen ',' Customer ' , 'loyal', 'kelen', 'moved', 'operator', 'bagusan', 'donk', 'kelen', 'kelen', 'think', 'search', 'money', ' Org ',' paid ',' employees', 'work', 'scavenger', 'search', 'money', 'internet', 'application', 'game', 'etc.', 'so as']")</f>
        <v>['Hey', 'Telkomsel', 'times',' gave ',' promo ',' short ',' show ',' promo ',' package ',' internet ',' already ',' difficult ',' difficult ',' gatherin ',' money ',' buy ',' package ',' save ',' a week ',' package ',' application ',' Telkomsel ',' how ',' Kalen ',' Customer ' , 'loyal', 'kelen', 'moved', 'operator', 'bagusan', 'donk', 'kelen', 'kelen', 'think', 'search', 'money', ' Org ',' paid ',' employees', 'work', 'scavenger', 'search', 'money', 'internet', 'application', 'game', 'etc.', 'so as']</v>
      </c>
      <c r="D12550" s="3">
        <v>1.0</v>
      </c>
    </row>
    <row r="12551" ht="15.75" customHeight="1">
      <c r="A12551" s="1">
        <v>13548.0</v>
      </c>
      <c r="B12551" s="3" t="s">
        <v>11901</v>
      </c>
      <c r="C12551" s="3" t="str">
        <f>IFERROR(__xludf.DUMMYFUNCTION("GOOGLETRANSLATE(B12551,""id"",""en"")"),"['hope', 'free', 'quota', '']")</f>
        <v>['hope', 'free', 'quota', '']</v>
      </c>
      <c r="D12551" s="3">
        <v>5.0</v>
      </c>
    </row>
    <row r="12552" ht="15.75" customHeight="1">
      <c r="A12552" s="1">
        <v>13550.0</v>
      </c>
      <c r="B12552" s="3" t="s">
        <v>11902</v>
      </c>
      <c r="C12552" s="3" t="str">
        <f>IFERROR(__xludf.DUMMYFUNCTION("GOOGLETRANSLATE(B12552,""id"",""en"")"),"['signal', 'improve', 'woy', 'fix', 'signal', 'network', 'woi', 'response', 'taik']")</f>
        <v>['signal', 'improve', 'woy', 'fix', 'signal', 'network', 'woi', 'response', 'taik']</v>
      </c>
      <c r="D12552" s="3">
        <v>1.0</v>
      </c>
    </row>
    <row r="12553" ht="15.75" customHeight="1">
      <c r="A12553" s="1">
        <v>13551.0</v>
      </c>
      <c r="B12553" s="3" t="s">
        <v>11903</v>
      </c>
      <c r="C12553" s="3" t="str">
        <f>IFERROR(__xludf.DUMMYFUNCTION("GOOGLETRANSLATE(B12553,""id"",""en"")"),"['Telkomsel', 'provider', 'buy', 'quota', 'quota', 'active', 'leftover', 'pulses', 'sucked', 'GOBL', '']")</f>
        <v>['Telkomsel', 'provider', 'buy', 'quota', 'quota', 'active', 'leftover', 'pulses', 'sucked', 'GOBL', '']</v>
      </c>
      <c r="D12553" s="3">
        <v>1.0</v>
      </c>
    </row>
    <row r="12554" ht="15.75" customHeight="1">
      <c r="A12554" s="1">
        <v>13552.0</v>
      </c>
      <c r="B12554" s="3" t="s">
        <v>11904</v>
      </c>
      <c r="C12554" s="3" t="str">
        <f>IFERROR(__xludf.DUMMYFUNCTION("GOOGLETRANSLATE(B12554,""id"",""en"")"),"['Telkomsel', 'Signal', 'home', 'city', 'Jakarta', 'area', 'market', 'maximum', 'change', 'except', 'speeding', 'change', ' Good ',' Bye ',' ']")</f>
        <v>['Telkomsel', 'Signal', 'home', 'city', 'Jakarta', 'area', 'market', 'maximum', 'change', 'except', 'speeding', 'change', ' Good ',' Bye ',' ']</v>
      </c>
      <c r="D12554" s="3">
        <v>1.0</v>
      </c>
    </row>
    <row r="12555" ht="15.75" customHeight="1">
      <c r="A12555" s="1">
        <v>13553.0</v>
      </c>
      <c r="B12555" s="3" t="s">
        <v>11905</v>
      </c>
      <c r="C12555" s="3" t="str">
        <f>IFERROR(__xludf.DUMMYFUNCTION("GOOGLETRANSLATE(B12555,""id"",""en"")"),"['hopefully', 'Telkomsel', 'may', 'success',' forward ',' smg ',' can ',' brkh ',' mndpt ',' Honda ',' beat ',' ANTR ',' Ank ',' school ',' Aamiin ',' ']")</f>
        <v>['hopefully', 'Telkomsel', 'may', 'success',' forward ',' smg ',' can ',' brkh ',' mndpt ',' Honda ',' beat ',' ANTR ',' Ank ',' school ',' Aamiin ',' ']</v>
      </c>
      <c r="D12555" s="3">
        <v>5.0</v>
      </c>
    </row>
    <row r="12556" ht="15.75" customHeight="1">
      <c r="A12556" s="1">
        <v>13554.0</v>
      </c>
      <c r="B12556" s="3" t="s">
        <v>2620</v>
      </c>
      <c r="C12556" s="3" t="str">
        <f>IFERROR(__xludf.DUMMYFUNCTION("GOOGLETRANSLATE(B12556,""id"",""en"")"),"Of course")</f>
        <v>Of course</v>
      </c>
      <c r="D12556" s="3">
        <v>4.0</v>
      </c>
    </row>
    <row r="12557" ht="15.75" customHeight="1">
      <c r="A12557" s="1">
        <v>13555.0</v>
      </c>
      <c r="B12557" s="3" t="s">
        <v>11906</v>
      </c>
      <c r="C12557" s="3" t="str">
        <f>IFERROR(__xludf.DUMMYFUNCTION("GOOGLETRANSLATE(B12557,""id"",""en"")"),"['Try', 'easy', 'hopefully', 'good']")</f>
        <v>['Try', 'easy', 'hopefully', 'good']</v>
      </c>
      <c r="D12557" s="3">
        <v>5.0</v>
      </c>
    </row>
    <row r="12558" ht="15.75" customHeight="1">
      <c r="A12558" s="1">
        <v>13556.0</v>
      </c>
      <c r="B12558" s="3" t="s">
        <v>11907</v>
      </c>
      <c r="C12558" s="3" t="str">
        <f>IFERROR(__xludf.DUMMYFUNCTION("GOOGLETRANSLATE(B12558,""id"",""en"")"),"['Paketan', 'gamemax', 'fill', 'package', 'gamemax', 'pakek', 'play', 'game', 'listed', 'packetan', 'gamemax', 'disappointing']")</f>
        <v>['Paketan', 'gamemax', 'fill', 'package', 'gamemax', 'pakek', 'play', 'game', 'listed', 'packetan', 'gamemax', 'disappointing']</v>
      </c>
      <c r="D12558" s="3">
        <v>2.0</v>
      </c>
    </row>
    <row r="12559" ht="15.75" customHeight="1">
      <c r="A12559" s="1">
        <v>13557.0</v>
      </c>
      <c r="B12559" s="3" t="s">
        <v>11908</v>
      </c>
      <c r="C12559" s="3" t="str">
        <f>IFERROR(__xludf.DUMMYFUNCTION("GOOGLETRANSLATE(B12559,""id"",""en"")"),"['Pokona', 'mah', 'Telkomsel', 'mantaps']")</f>
        <v>['Pokona', 'mah', 'Telkomsel', 'mantaps']</v>
      </c>
      <c r="D12559" s="3">
        <v>5.0</v>
      </c>
    </row>
    <row r="12560" ht="15.75" customHeight="1">
      <c r="A12560" s="1">
        <v>13558.0</v>
      </c>
      <c r="B12560" s="3" t="s">
        <v>11909</v>
      </c>
      <c r="C12560" s="3" t="str">
        <f>IFERROR(__xludf.DUMMYFUNCTION("GOOGLETRANSLATE(B12560,""id"",""en"")"),"['Network', 'Please', 'Fix', 'Lagih', 'Elor']")</f>
        <v>['Network', 'Please', 'Fix', 'Lagih', 'Elor']</v>
      </c>
      <c r="D12560" s="3">
        <v>5.0</v>
      </c>
    </row>
    <row r="12561" ht="15.75" customHeight="1">
      <c r="A12561" s="1">
        <v>13559.0</v>
      </c>
      <c r="B12561" s="3" t="s">
        <v>11910</v>
      </c>
      <c r="C12561" s="3" t="str">
        <f>IFERROR(__xludf.DUMMYFUNCTION("GOOGLETRANSLATE(B12561,""id"",""en"")"),"['signal', 'severe', 'slow', 'ugly', 'according to', 'price', 'package', 'expensive', 'doang', 'signal', 'severe', '']")</f>
        <v>['signal', 'severe', 'slow', 'ugly', 'according to', 'price', 'package', 'expensive', 'doang', 'signal', 'severe', '']</v>
      </c>
      <c r="D12561" s="3">
        <v>3.0</v>
      </c>
    </row>
    <row r="12562" ht="15.75" customHeight="1">
      <c r="A12562" s="1">
        <v>13560.0</v>
      </c>
      <c r="B12562" s="3" t="s">
        <v>11911</v>
      </c>
      <c r="C12562" s="3" t="str">
        <f>IFERROR(__xludf.DUMMYFUNCTION("GOOGLETRANSLATE(B12562,""id"",""en"")"),"['APK', 'good', 'level', 'quota', 'cheap']")</f>
        <v>['APK', 'good', 'level', 'quota', 'cheap']</v>
      </c>
      <c r="D12562" s="3">
        <v>5.0</v>
      </c>
    </row>
    <row r="12563" ht="15.75" customHeight="1">
      <c r="A12563" s="1">
        <v>13561.0</v>
      </c>
      <c r="B12563" s="3" t="s">
        <v>11912</v>
      </c>
      <c r="C12563" s="3" t="str">
        <f>IFERROR(__xludf.DUMMYFUNCTION("GOOGLETRANSLATE(B12563,""id"",""en"")"),"['annoyed', 'Telkomsel', 'Satisfied', 'Telkomsel', 'Network', 'Stable', 'User', 'Like', 'ilang', 'Please', 'Fix', 'Thank you']")</f>
        <v>['annoyed', 'Telkomsel', 'Satisfied', 'Telkomsel', 'Network', 'Stable', 'User', 'Like', 'ilang', 'Please', 'Fix', 'Thank you']</v>
      </c>
      <c r="D12563" s="3">
        <v>1.0</v>
      </c>
    </row>
    <row r="12564" ht="15.75" customHeight="1">
      <c r="A12564" s="1">
        <v>13562.0</v>
      </c>
      <c r="B12564" s="3" t="s">
        <v>11913</v>
      </c>
      <c r="C12564" s="3" t="str">
        <f>IFERROR(__xludf.DUMMYFUNCTION("GOOGLETRANSLATE(B12564,""id"",""en"")"),"['signal', 'smooth', 'a week', 'signal', 'Full', 'Nge', 'Game', 'Nge', 'lag', 'streaming', 'application', 'Loading', ' signal ',' hope ',' repaired ',' herface ']")</f>
        <v>['signal', 'smooth', 'a week', 'signal', 'Full', 'Nge', 'Game', 'Nge', 'lag', 'streaming', 'application', 'Loading', ' signal ',' hope ',' repaired ',' herface ']</v>
      </c>
      <c r="D12564" s="3">
        <v>1.0</v>
      </c>
    </row>
    <row r="12565" ht="15.75" customHeight="1">
      <c r="A12565" s="1">
        <v>13563.0</v>
      </c>
      <c r="B12565" s="3" t="s">
        <v>2620</v>
      </c>
      <c r="C12565" s="3" t="str">
        <f>IFERROR(__xludf.DUMMYFUNCTION("GOOGLETRANSLATE(B12565,""id"",""en"")"),"Of course")</f>
        <v>Of course</v>
      </c>
      <c r="D12565" s="3">
        <v>2.0</v>
      </c>
    </row>
    <row r="12566" ht="15.75" customHeight="1">
      <c r="A12566" s="1">
        <v>13564.0</v>
      </c>
      <c r="B12566" s="3" t="s">
        <v>11914</v>
      </c>
      <c r="C12566" s="3" t="str">
        <f>IFERROR(__xludf.DUMMYFUNCTION("GOOGLETRANSLATE(B12566,""id"",""en"")"),"['Hope', 'developed', 'forward']")</f>
        <v>['Hope', 'developed', 'forward']</v>
      </c>
      <c r="D12566" s="3">
        <v>5.0</v>
      </c>
    </row>
    <row r="12567" ht="15.75" customHeight="1">
      <c r="A12567" s="1">
        <v>13565.0</v>
      </c>
      <c r="B12567" s="3" t="s">
        <v>11915</v>
      </c>
      <c r="C12567" s="3" t="str">
        <f>IFERROR(__xludf.DUMMYFUNCTION("GOOGLETRANSLATE(B12567,""id"",""en"")"),"['Network', 'slow', 'severe', 'network', 'package', 'expensive']")</f>
        <v>['Network', 'slow', 'severe', 'network', 'package', 'expensive']</v>
      </c>
      <c r="D12567" s="3">
        <v>1.0</v>
      </c>
    </row>
    <row r="12568" ht="15.75" customHeight="1">
      <c r="A12568" s="1">
        <v>13566.0</v>
      </c>
      <c r="B12568" s="3" t="s">
        <v>11916</v>
      </c>
      <c r="C12568" s="3" t="str">
        <f>IFERROR(__xludf.DUMMYFUNCTION("GOOGLETRANSLATE(B12568,""id"",""en"")"),"['Deceived', 'buy', 'quota', 'quota', 'enter', 'pulse', 'run out']")</f>
        <v>['Deceived', 'buy', 'quota', 'quota', 'enter', 'pulse', 'run out']</v>
      </c>
      <c r="D12568" s="3">
        <v>1.0</v>
      </c>
    </row>
    <row r="12569" ht="15.75" customHeight="1">
      <c r="A12569" s="1">
        <v>13567.0</v>
      </c>
      <c r="B12569" s="3" t="s">
        <v>11917</v>
      </c>
      <c r="C12569" s="3" t="str">
        <f>IFERROR(__xludf.DUMMYFUNCTION("GOOGLETRANSLATE(B12569,""id"",""en"")"),"['Okay', 'really', 'hope', 'consistent', 'functional', 'user', 'active', 'believe', 'provider', 'keep', 'quality', 'bahah', ' Users', 'Love', 'Telkomsel', 'Kali', 'Getting to', '']")</f>
        <v>['Okay', 'really', 'hope', 'consistent', 'functional', 'user', 'active', 'believe', 'provider', 'keep', 'quality', 'bahah', ' Users', 'Love', 'Telkomsel', 'Kali', 'Getting to', '']</v>
      </c>
      <c r="D12569" s="3">
        <v>5.0</v>
      </c>
    </row>
    <row r="12570" ht="15.75" customHeight="1">
      <c r="A12570" s="1">
        <v>13568.0</v>
      </c>
      <c r="B12570" s="3" t="s">
        <v>541</v>
      </c>
      <c r="C12570" s="3" t="str">
        <f>IFERROR(__xludf.DUMMYFUNCTION("GOOGLETRANSLATE(B12570,""id"",""en"")"),"['hopefully']")</f>
        <v>['hopefully']</v>
      </c>
      <c r="D12570" s="3">
        <v>4.0</v>
      </c>
    </row>
    <row r="12571" ht="15.75" customHeight="1">
      <c r="A12571" s="1">
        <v>13569.0</v>
      </c>
      <c r="B12571" s="3" t="s">
        <v>11918</v>
      </c>
      <c r="C12571" s="3" t="str">
        <f>IFERROR(__xludf.DUMMYFUNCTION("GOOGLETRANSLATE(B12571,""id"",""en"")"),"['Please', 'Package', 'Local', 'Main', 'Multimedia', 'Sesuain', 'Quota', 'Main', 'Multimedia', 'Multimedia', 'already', ' According to ',' application ',' Gunain ', ""]")</f>
        <v>['Please', 'Package', 'Local', 'Main', 'Multimedia', 'Sesuain', 'Quota', 'Main', 'Multimedia', 'Multimedia', 'already', ' According to ',' application ',' Gunain ', "]</v>
      </c>
      <c r="D12571" s="3">
        <v>4.0</v>
      </c>
    </row>
    <row r="12572" ht="15.75" customHeight="1">
      <c r="A12572" s="1">
        <v>13570.0</v>
      </c>
      <c r="B12572" s="3" t="s">
        <v>11919</v>
      </c>
      <c r="C12572" s="3" t="str">
        <f>IFERROR(__xludf.DUMMYFUNCTION("GOOGLETRANSLATE(B12572,""id"",""en"")"),"['Increases', 'Service', 'Pelangement', 'Established', 'Collaboration', ""]")</f>
        <v>['Increases', 'Service', 'Pelangement', 'Established', 'Collaboration', "]</v>
      </c>
      <c r="D12572" s="3">
        <v>5.0</v>
      </c>
    </row>
    <row r="12573" ht="15.75" customHeight="1">
      <c r="A12573" s="1">
        <v>13571.0</v>
      </c>
      <c r="B12573" s="3" t="s">
        <v>11920</v>
      </c>
      <c r="C12573" s="3" t="str">
        <f>IFERROR(__xludf.DUMMYFUNCTION("GOOGLETRANSLATE(B12573,""id"",""en"")"),"['Steady', 'Telkomsel', 'Points']")</f>
        <v>['Steady', 'Telkomsel', 'Points']</v>
      </c>
      <c r="D12573" s="3">
        <v>5.0</v>
      </c>
    </row>
    <row r="12574" ht="15.75" customHeight="1">
      <c r="A12574" s="1">
        <v>13572.0</v>
      </c>
      <c r="B12574" s="3" t="s">
        <v>11921</v>
      </c>
      <c r="C12574" s="3" t="str">
        <f>IFERROR(__xludf.DUMMYFUNCTION("GOOGLETRANSLATE(B12574,""id"",""en"")"),"['Please', 'Network', 'Telkomsel', 'Good', 'Disappointed', 'Upset', 'Wear', 'Telkomsel', 'Bad', 'ugly', ""]")</f>
        <v>['Please', 'Network', 'Telkomsel', 'Good', 'Disappointed', 'Upset', 'Wear', 'Telkomsel', 'Bad', 'ugly', "]</v>
      </c>
      <c r="D12574" s="3">
        <v>1.0</v>
      </c>
    </row>
    <row r="12575" ht="15.75" customHeight="1">
      <c r="A12575" s="1">
        <v>13573.0</v>
      </c>
      <c r="B12575" s="3" t="s">
        <v>11922</v>
      </c>
      <c r="C12575" s="3" t="str">
        <f>IFERROR(__xludf.DUMMYFUNCTION("GOOGLETRANSLATE(B12575,""id"",""en"")"),"['Telkomsel', 'robp', 'force', 'customer', 'loyal', 'paying', 'outsmart', 'availability', 'choice', 'package', 'quota']")</f>
        <v>['Telkomsel', 'robp', 'force', 'customer', 'loyal', 'paying', 'outsmart', 'availability', 'choice', 'package', 'quota']</v>
      </c>
      <c r="D12575" s="3">
        <v>2.0</v>
      </c>
    </row>
    <row r="12576" ht="15.75" customHeight="1">
      <c r="A12576" s="1">
        <v>13574.0</v>
      </c>
      <c r="B12576" s="3" t="s">
        <v>902</v>
      </c>
      <c r="C12576" s="3" t="str">
        <f>IFERROR(__xludf.DUMMYFUNCTION("GOOGLETRANSLATE(B12576,""id"",""en"")"),"['best']")</f>
        <v>['best']</v>
      </c>
      <c r="D12576" s="3">
        <v>5.0</v>
      </c>
    </row>
    <row r="12577" ht="15.75" customHeight="1">
      <c r="A12577" s="1">
        <v>13575.0</v>
      </c>
      <c r="B12577" s="3" t="s">
        <v>3616</v>
      </c>
      <c r="C12577" s="3" t="str">
        <f>IFERROR(__xludf.DUMMYFUNCTION("GOOGLETRANSLATE(B12577,""id"",""en"")"),"['application', 'good']")</f>
        <v>['application', 'good']</v>
      </c>
      <c r="D12577" s="3">
        <v>3.0</v>
      </c>
    </row>
    <row r="12578" ht="15.75" customHeight="1">
      <c r="A12578" s="1">
        <v>13576.0</v>
      </c>
      <c r="B12578" s="3" t="s">
        <v>11923</v>
      </c>
      <c r="C12578" s="3" t="str">
        <f>IFERROR(__xludf.DUMMYFUNCTION("GOOGLETRANSLATE(B12578,""id"",""en"")"),"['Yesterday', 'Download', 'Points', 'Download', 'Points', 'BERES', 'Telkomsel', ""]")</f>
        <v>['Yesterday', 'Download', 'Points', 'Download', 'Points', 'BERES', 'Telkomsel', "]</v>
      </c>
      <c r="D12578" s="3">
        <v>1.0</v>
      </c>
    </row>
    <row r="12579" ht="15.75" customHeight="1">
      <c r="A12579" s="1">
        <v>13577.0</v>
      </c>
      <c r="B12579" s="3" t="s">
        <v>11924</v>
      </c>
      <c r="C12579" s="3" t="str">
        <f>IFERROR(__xludf.DUMMYFUNCTION("GOOGLETRANSLATE(B12579,""id"",""en"")"),"['slow', 'kayak', 'conch', 'expensive', 'yes', 'package']")</f>
        <v>['slow', 'kayak', 'conch', 'expensive', 'yes', 'package']</v>
      </c>
      <c r="D12579" s="3">
        <v>1.0</v>
      </c>
    </row>
    <row r="12580" ht="15.75" customHeight="1">
      <c r="A12580" s="1">
        <v>13578.0</v>
      </c>
      <c r="B12580" s="3" t="s">
        <v>11925</v>
      </c>
      <c r="C12580" s="3" t="str">
        <f>IFERROR(__xludf.DUMMYFUNCTION("GOOGLETRANSLATE(B12580,""id"",""en"")"),"['Mantapss', 'help', 'people', 'medium']")</f>
        <v>['Mantapss', 'help', 'people', 'medium']</v>
      </c>
      <c r="D12580" s="3">
        <v>5.0</v>
      </c>
    </row>
    <row r="12581" ht="15.75" customHeight="1">
      <c r="A12581" s="1">
        <v>13579.0</v>
      </c>
      <c r="B12581" s="3" t="s">
        <v>11926</v>
      </c>
      <c r="C12581" s="3" t="str">
        <f>IFERROR(__xludf.DUMMYFUNCTION("GOOGLETRANSLATE(B12581,""id"",""en"")"),"['Please', 'repaired', 'Lamban', 'enter']")</f>
        <v>['Please', 'repaired', 'Lamban', 'enter']</v>
      </c>
      <c r="D12581" s="3">
        <v>3.0</v>
      </c>
    </row>
    <row r="12582" ht="15.75" customHeight="1">
      <c r="A12582" s="1">
        <v>13580.0</v>
      </c>
      <c r="B12582" s="3" t="s">
        <v>11927</v>
      </c>
      <c r="C12582" s="3" t="str">
        <f>IFERROR(__xludf.DUMMYFUNCTION("GOOGLETRANSLATE(B12582,""id"",""en"")"),"['Steady', 'fast', 'really', '']")</f>
        <v>['Steady', 'fast', 'really', '']</v>
      </c>
      <c r="D12582" s="3">
        <v>5.0</v>
      </c>
    </row>
    <row r="12583" ht="15.75" customHeight="1">
      <c r="A12583" s="1">
        <v>13581.0</v>
      </c>
      <c r="B12583" s="3" t="s">
        <v>11928</v>
      </c>
      <c r="C12583" s="3" t="str">
        <f>IFERROR(__xludf.DUMMYFUNCTION("GOOGLETRANSLATE(B12583,""id"",""en"")"),"['Good', 'difficult', 'checked', 'pulse', 'package']")</f>
        <v>['Good', 'difficult', 'checked', 'pulse', 'package']</v>
      </c>
      <c r="D12583" s="3">
        <v>5.0</v>
      </c>
    </row>
    <row r="12584" ht="15.75" customHeight="1">
      <c r="A12584" s="1">
        <v>13582.0</v>
      </c>
      <c r="B12584" s="3" t="s">
        <v>11929</v>
      </c>
      <c r="C12584" s="3" t="str">
        <f>IFERROR(__xludf.DUMMYFUNCTION("GOOGLETRANSLATE(B12584,""id"",""en"")"),"['honest', 'Disappointed', 'Telkomsel', 'Package', 'Kombo', 'Sakti', 'Satisfying', 'Package', 'Kombo', 'Sakti', 'Package', 'Kombo', ' Multimedia ',' access', 'YouTube', '']")</f>
        <v>['honest', 'Disappointed', 'Telkomsel', 'Package', 'Kombo', 'Sakti', 'Satisfying', 'Package', 'Kombo', 'Sakti', 'Package', 'Kombo', ' Multimedia ',' access', 'YouTube', '']</v>
      </c>
      <c r="D12584" s="3">
        <v>1.0</v>
      </c>
    </row>
    <row r="12585" ht="15.75" customHeight="1">
      <c r="A12585" s="1">
        <v>13583.0</v>
      </c>
      <c r="B12585" s="3" t="s">
        <v>11930</v>
      </c>
      <c r="C12585" s="3" t="str">
        <f>IFERROR(__xludf.DUMMYFUNCTION("GOOGLETRANSLATE(B12585,""id"",""en"")"),"['Buy', 'Package', 'APK', 'Tekomsel', 'Free', 'Credit']")</f>
        <v>['Buy', 'Package', 'APK', 'Tekomsel', 'Free', 'Credit']</v>
      </c>
      <c r="D12585" s="3">
        <v>5.0</v>
      </c>
    </row>
    <row r="12586" ht="15.75" customHeight="1">
      <c r="A12586" s="1">
        <v>13584.0</v>
      </c>
      <c r="B12586" s="3" t="s">
        <v>11931</v>
      </c>
      <c r="C12586" s="3" t="str">
        <f>IFERROR(__xludf.DUMMYFUNCTION("GOOGLETRANSLATE(B12586,""id"",""en"")"),"['Cool', 'really', 'no', 'slow', 'package', 'internet', 'cheap']")</f>
        <v>['Cool', 'really', 'no', 'slow', 'package', 'internet', 'cheap']</v>
      </c>
      <c r="D12586" s="3">
        <v>5.0</v>
      </c>
    </row>
    <row r="12587" ht="15.75" customHeight="1">
      <c r="A12587" s="1">
        <v>13585.0</v>
      </c>
      <c r="B12587" s="3" t="s">
        <v>1352</v>
      </c>
      <c r="C12587" s="3" t="str">
        <f>IFERROR(__xludf.DUMMYFUNCTION("GOOGLETRANSLATE(B12587,""id"",""en"")"),"['']")</f>
        <v>['']</v>
      </c>
      <c r="D12587" s="3">
        <v>5.0</v>
      </c>
    </row>
    <row r="12588" ht="15.75" customHeight="1">
      <c r="A12588" s="1">
        <v>13586.0</v>
      </c>
      <c r="B12588" s="3" t="s">
        <v>11932</v>
      </c>
      <c r="C12588" s="3" t="str">
        <f>IFERROR(__xludf.DUMMYFUNCTION("GOOGLETRANSLATE(B12588,""id"",""en"")"),"['Gue', 'surprised', 'Telkomsel', 'electricity', 'area', 'my house', 'dead', 'signal', 'dead', 'slow', 'really', 'Telkomsel', ' Connect ',' electricity ',' home ',' Weather ',' Rain ',' Wind ',' Naturally ',' Electricity ',' Dead ',' Lho ', ""]")</f>
        <v>['Gue', 'surprised', 'Telkomsel', 'electricity', 'area', 'my house', 'dead', 'signal', 'dead', 'slow', 'really', 'Telkomsel', ' Connect ',' electricity ',' home ',' Weather ',' Rain ',' Wind ',' Naturally ',' Electricity ',' Dead ',' Lho ', "]</v>
      </c>
      <c r="D12588" s="3">
        <v>2.0</v>
      </c>
    </row>
    <row r="12589" ht="15.75" customHeight="1">
      <c r="A12589" s="1">
        <v>13587.0</v>
      </c>
      <c r="B12589" s="3" t="s">
        <v>11933</v>
      </c>
      <c r="C12589" s="3" t="str">
        <f>IFERROR(__xludf.DUMMYFUNCTION("GOOGLETRANSLATE(B12589,""id"",""en"")"),"['card', 'porn', 'maen', 'game', 'lag', 'watch', 'smooth', 'asui']")</f>
        <v>['card', 'porn', 'maen', 'game', 'lag', 'watch', 'smooth', 'asui']</v>
      </c>
      <c r="D12589" s="3">
        <v>4.0</v>
      </c>
    </row>
    <row r="12590" ht="15.75" customHeight="1">
      <c r="A12590" s="1">
        <v>13589.0</v>
      </c>
      <c r="B12590" s="3" t="s">
        <v>11934</v>
      </c>
      <c r="C12590" s="3" t="str">
        <f>IFERROR(__xludf.DUMMYFUNCTION("GOOGLETRANSLATE(B12590,""id"",""en"")"),"['Sekarng', 'difficult', 'really', 'open', 'apk', 'unistal', 'dlu', 'downd', 'reset', 'rich', 'dlu', 'open', ' HRUS ',' Look ',' Mulu ',' ']")</f>
        <v>['Sekarng', 'difficult', 'really', 'open', 'apk', 'unistal', 'dlu', 'downd', 'reset', 'rich', 'dlu', 'open', ' HRUS ',' Look ',' Mulu ',' ']</v>
      </c>
      <c r="D12590" s="3">
        <v>1.0</v>
      </c>
    </row>
    <row r="12591" ht="15.75" customHeight="1">
      <c r="A12591" s="1">
        <v>13590.0</v>
      </c>
      <c r="B12591" s="3" t="s">
        <v>11935</v>
      </c>
      <c r="C12591" s="3" t="str">
        <f>IFERROR(__xludf.DUMMYFUNCTION("GOOGLETRANSLATE(B12591,""id"",""en"")"),"['APK', 'good', 'mandatory', 'download']")</f>
        <v>['APK', 'good', 'mandatory', 'download']</v>
      </c>
      <c r="D12591" s="3">
        <v>4.0</v>
      </c>
    </row>
    <row r="12592" ht="15.75" customHeight="1">
      <c r="A12592" s="1">
        <v>13591.0</v>
      </c>
      <c r="B12592" s="3" t="s">
        <v>11936</v>
      </c>
      <c r="C12592" s="3" t="str">
        <f>IFERROR(__xludf.DUMMYFUNCTION("GOOGLETRANSLATE(B12592,""id"",""en"")"),"['My dropped', 'network', 'slow', '']")</f>
        <v>['My dropped', 'network', 'slow', '']</v>
      </c>
      <c r="D12592" s="3">
        <v>3.0</v>
      </c>
    </row>
    <row r="12593" ht="15.75" customHeight="1">
      <c r="A12593" s="1">
        <v>13592.0</v>
      </c>
      <c r="B12593" s="3" t="s">
        <v>11937</v>
      </c>
      <c r="C12593" s="3" t="str">
        <f>IFERROR(__xludf.DUMMYFUNCTION("GOOGLETRANSLATE(B12593,""id"",""en"")"),"['Cost', 'purchase', 'package', 'expensive', 'equalized', 'area', 'Java', '']")</f>
        <v>['Cost', 'purchase', 'package', 'expensive', 'equalized', 'area', 'Java', '']</v>
      </c>
      <c r="D12593" s="3">
        <v>3.0</v>
      </c>
    </row>
    <row r="12594" ht="15.75" customHeight="1">
      <c r="A12594" s="1">
        <v>13593.0</v>
      </c>
      <c r="B12594" s="3" t="s">
        <v>11938</v>
      </c>
      <c r="C12594" s="3" t="str">
        <f>IFERROR(__xludf.DUMMYFUNCTION("GOOGLETRANSLATE(B12594,""id"",""en"")"),"['Fun', 'Telkomsel', 'Karna', 'Reach', 'Daera', 'Putok', 'Promo', 'Telkomsel', 'Memill', 'Telkomsel', 'classified', 'people', ' Sangt ',' difficult ',' heart ',' Telkomsel ',' main ',' live ',' Telkomsel ', ""]")</f>
        <v>['Fun', 'Telkomsel', 'Karna', 'Reach', 'Daera', 'Putok', 'Promo', 'Telkomsel', 'Memill', 'Telkomsel', 'classified', 'people', ' Sangt ',' difficult ',' heart ',' Telkomsel ',' main ',' live ',' Telkomsel ', "]</v>
      </c>
      <c r="D12594" s="3">
        <v>5.0</v>
      </c>
    </row>
    <row r="12595" ht="15.75" customHeight="1">
      <c r="A12595" s="1">
        <v>13594.0</v>
      </c>
      <c r="B12595" s="3" t="s">
        <v>11939</v>
      </c>
      <c r="C12595" s="3" t="str">
        <f>IFERROR(__xludf.DUMMYFUNCTION("GOOGLETRANSLATE(B12595,""id"",""en"")"),"['Thank you', 'Telkomsel', 'already', 'Slalu', 'Understanding', 'Best', 'Win', 'Layday', 'Points', ""]")</f>
        <v>['Thank you', 'Telkomsel', 'already', 'Slalu', 'Understanding', 'Best', 'Win', 'Layday', 'Points', "]</v>
      </c>
      <c r="D12595" s="3">
        <v>5.0</v>
      </c>
    </row>
    <row r="12596" ht="15.75" customHeight="1">
      <c r="A12596" s="1">
        <v>13595.0</v>
      </c>
      <c r="B12596" s="3" t="s">
        <v>11940</v>
      </c>
      <c r="C12596" s="3" t="str">
        <f>IFERROR(__xludf.DUMMYFUNCTION("GOOGLETRANSLATE(B12596,""id"",""en"")"),"['Thank you', 'Telkomsel', 'Hopefully', 'In the future', 'whisper']")</f>
        <v>['Thank you', 'Telkomsel', 'Hopefully', 'In the future', 'whisper']</v>
      </c>
      <c r="D12596" s="3">
        <v>5.0</v>
      </c>
    </row>
    <row r="12597" ht="15.75" customHeight="1">
      <c r="A12597" s="1">
        <v>13596.0</v>
      </c>
      <c r="B12597" s="3" t="s">
        <v>11941</v>
      </c>
      <c r="C12597" s="3" t="str">
        <f>IFERROR(__xludf.DUMMYFUNCTION("GOOGLETRANSLATE(B12597,""id"",""en"")"),"['Sorry', 'ber', 'star', 'package', 'internet', 'national', 'expensive', 'cheap', 'package', 'world', 'games']")</f>
        <v>['Sorry', 'ber', 'star', 'package', 'internet', 'national', 'expensive', 'cheap', 'package', 'world', 'games']</v>
      </c>
      <c r="D12597" s="3">
        <v>2.0</v>
      </c>
    </row>
    <row r="12598" ht="15.75" customHeight="1">
      <c r="A12598" s="1">
        <v>13597.0</v>
      </c>
      <c r="B12598" s="3" t="s">
        <v>11942</v>
      </c>
      <c r="C12598" s="3" t="str">
        <f>IFERROR(__xludf.DUMMYFUNCTION("GOOGLETRANSLATE(B12598,""id"",""en"")"),"['application', 'Union', 'Malan', 'resource', 'Gede', 'cellphone', 'spec', 'minimal', 'slow', '']")</f>
        <v>['application', 'Union', 'Malan', 'resource', 'Gede', 'cellphone', 'spec', 'minimal', 'slow', '']</v>
      </c>
      <c r="D12598" s="3">
        <v>1.0</v>
      </c>
    </row>
    <row r="12599" ht="15.75" customHeight="1">
      <c r="A12599" s="1">
        <v>13598.0</v>
      </c>
      <c r="B12599" s="3" t="s">
        <v>11943</v>
      </c>
      <c r="C12599" s="3" t="str">
        <f>IFERROR(__xludf.DUMMYFUNCTION("GOOGLETRANSLATE(B12599,""id"",""en"")"),"['Application', 'Good', 'Useful', '']")</f>
        <v>['Application', 'Good', 'Useful', '']</v>
      </c>
      <c r="D12599" s="3">
        <v>4.0</v>
      </c>
    </row>
    <row r="12600" ht="15.75" customHeight="1">
      <c r="A12600" s="1">
        <v>13599.0</v>
      </c>
      <c r="B12600" s="3" t="s">
        <v>11944</v>
      </c>
      <c r="C12600" s="3" t="str">
        <f>IFERROR(__xludf.DUMMYFUNCTION("GOOGLETRANSLATE(B12600,""id"",""en"")"),"['buy', 'package', 'expensive', 'enter', 'package', 'internet', 'disappointed']")</f>
        <v>['buy', 'package', 'expensive', 'enter', 'package', 'internet', 'disappointed']</v>
      </c>
      <c r="D12600" s="3">
        <v>1.0</v>
      </c>
    </row>
    <row r="12601" ht="15.75" customHeight="1">
      <c r="A12601" s="1">
        <v>13600.0</v>
      </c>
      <c r="B12601" s="3" t="s">
        <v>11945</v>
      </c>
      <c r="C12601" s="3" t="str">
        <f>IFERROR(__xludf.DUMMYFUNCTION("GOOGLETRANSLATE(B12601,""id"",""en"")"),"['easy', 'promo']")</f>
        <v>['easy', 'promo']</v>
      </c>
      <c r="D12601" s="3">
        <v>5.0</v>
      </c>
    </row>
    <row r="12602" ht="15.75" customHeight="1">
      <c r="A12602" s="1">
        <v>13601.0</v>
      </c>
      <c r="B12602" s="3" t="s">
        <v>11946</v>
      </c>
      <c r="C12602" s="3" t="str">
        <f>IFERROR(__xludf.DUMMYFUNCTION("GOOGLETRANSLATE(B12602,""id"",""en"")"),"['staple', 'josss']")</f>
        <v>['staple', 'josss']</v>
      </c>
      <c r="D12602" s="3">
        <v>5.0</v>
      </c>
    </row>
    <row r="12603" ht="15.75" customHeight="1">
      <c r="A12603" s="1">
        <v>13602.0</v>
      </c>
      <c r="B12603" s="3" t="s">
        <v>11947</v>
      </c>
      <c r="C12603" s="3" t="str">
        <f>IFERROR(__xludf.DUMMYFUNCTION("GOOGLETRANSLATE(B12603,""id"",""en"")"),"['Telkomsel', 'Leet', 'tupollllll']")</f>
        <v>['Telkomsel', 'Leet', 'tupollllll']</v>
      </c>
      <c r="D12603" s="3">
        <v>1.0</v>
      </c>
    </row>
    <row r="12604" ht="15.75" customHeight="1">
      <c r="A12604" s="1">
        <v>13603.0</v>
      </c>
      <c r="B12604" s="3" t="s">
        <v>11948</v>
      </c>
      <c r="C12604" s="3" t="str">
        <f>IFERROR(__xludf.DUMMYFUNCTION("GOOGLETRANSLATE(B12604,""id"",""en"")"),"['leftover', 'quota', 'GB', 'use', 'gini', 'finished', 'use', 'card', 'Telkomsel']")</f>
        <v>['leftover', 'quota', 'GB', 'use', 'gini', 'finished', 'use', 'card', 'Telkomsel']</v>
      </c>
      <c r="D12604" s="3">
        <v>1.0</v>
      </c>
    </row>
    <row r="12605" ht="15.75" customHeight="1">
      <c r="A12605" s="1">
        <v>13604.0</v>
      </c>
      <c r="B12605" s="3" t="s">
        <v>11949</v>
      </c>
      <c r="C12605" s="3" t="str">
        <f>IFERROR(__xludf.DUMMYFUNCTION("GOOGLETRANSLATE(B12605,""id"",""en"")"),"['Eigitility', 'Activity']")</f>
        <v>['Eigitility', 'Activity']</v>
      </c>
      <c r="D12605" s="3">
        <v>5.0</v>
      </c>
    </row>
    <row r="12606" ht="15.75" customHeight="1">
      <c r="A12606" s="1">
        <v>13605.0</v>
      </c>
      <c r="B12606" s="3" t="s">
        <v>11950</v>
      </c>
      <c r="C12606" s="3" t="str">
        <f>IFERROR(__xludf.DUMMYFUNCTION("GOOGLETRANSLATE(B12606,""id"",""en"")"),"['Reposted', 'Review', 'Thank you', 'puppetam', 'in', 'use', 'service', 'dlm', 'APK', 'SNGT', 'helped', 'needs',' Purchases', 'home', 'Hopefully', 'Helpful', 'Review', 'BGI', 'User', 'Hopefully', 'Telkomsel', 'Jaya', ""]")</f>
        <v>['Reposted', 'Review', 'Thank you', 'puppetam', 'in', 'use', 'service', 'dlm', 'APK', 'SNGT', 'helped', 'needs',' Purchases', 'home', 'Hopefully', 'Helpful', 'Review', 'BGI', 'User', 'Hopefully', 'Telkomsel', 'Jaya', "]</v>
      </c>
      <c r="D12606" s="3">
        <v>5.0</v>
      </c>
    </row>
    <row r="12607" ht="15.75" customHeight="1">
      <c r="A12607" s="1">
        <v>13606.0</v>
      </c>
      <c r="B12607" s="3" t="s">
        <v>11951</v>
      </c>
      <c r="C12607" s="3" t="str">
        <f>IFERROR(__xludf.DUMMYFUNCTION("GOOGLETRANSLATE(B12607,""id"",""en"")"),"['MANP', 'Please', 'Koata', 'Data', 'Fast', 'Out', 'Use', 'Purchase', 'Data', 'Different', ""]")</f>
        <v>['MANP', 'Please', 'Koata', 'Data', 'Fast', 'Out', 'Use', 'Purchase', 'Data', 'Different', "]</v>
      </c>
      <c r="D12607" s="3">
        <v>5.0</v>
      </c>
    </row>
    <row r="12608" ht="15.75" customHeight="1">
      <c r="A12608" s="1">
        <v>13607.0</v>
      </c>
      <c r="B12608" s="3" t="s">
        <v>11952</v>
      </c>
      <c r="C12608" s="3" t="str">
        <f>IFERROR(__xludf.DUMMYFUNCTION("GOOGLETRANSLATE(B12608,""id"",""en"")"),"['Telkomsel', 'bad', 'quality', 'signalny', 'slow', 'appeal', 'provider', 'missing', 'signal', 'lost', 'nimbul', ""]")</f>
        <v>['Telkomsel', 'bad', 'quality', 'signalny', 'slow', 'appeal', 'provider', 'missing', 'signal', 'lost', 'nimbul', "]</v>
      </c>
      <c r="D12608" s="3">
        <v>1.0</v>
      </c>
    </row>
    <row r="12609" ht="15.75" customHeight="1">
      <c r="A12609" s="1">
        <v>13608.0</v>
      </c>
      <c r="B12609" s="3" t="s">
        <v>11953</v>
      </c>
      <c r="C12609" s="3" t="str">
        <f>IFERROR(__xludf.DUMMYFUNCTION("GOOGLETRANSLATE(B12609,""id"",""en"")"),"['steady', '']")</f>
        <v>['steady', '']</v>
      </c>
      <c r="D12609" s="3">
        <v>5.0</v>
      </c>
    </row>
    <row r="12610" ht="15.75" customHeight="1">
      <c r="A12610" s="1">
        <v>13609.0</v>
      </c>
      <c r="B12610" s="3" t="s">
        <v>11954</v>
      </c>
      <c r="C12610" s="3" t="str">
        <f>IFERROR(__xludf.DUMMYFUNCTION("GOOGLETRANSLATE(B12610,""id"",""en"")"),"['signal', 'good', 'recurring', 'signal', 'aoleng']")</f>
        <v>['signal', 'good', 'recurring', 'signal', 'aoleng']</v>
      </c>
      <c r="D12610" s="3">
        <v>5.0</v>
      </c>
    </row>
    <row r="12611" ht="15.75" customHeight="1">
      <c r="A12611" s="1">
        <v>13610.0</v>
      </c>
      <c r="B12611" s="3" t="s">
        <v>11955</v>
      </c>
      <c r="C12611" s="3" t="str">
        <f>IFERROR(__xludf.DUMMYFUNCTION("GOOGLETRANSLATE(B12611,""id"",""en"")"),"['APK', 'Useful']")</f>
        <v>['APK', 'Useful']</v>
      </c>
      <c r="D12611" s="3">
        <v>3.0</v>
      </c>
    </row>
    <row r="12612" ht="15.75" customHeight="1">
      <c r="A12612" s="1">
        <v>13611.0</v>
      </c>
      <c r="B12612" s="3" t="s">
        <v>11956</v>
      </c>
      <c r="C12612" s="3" t="str">
        <f>IFERROR(__xludf.DUMMYFUNCTION("GOOGLETRANSLATE(B12612,""id"",""en"")"),"['The application', 'Laload', 'really', 'Mawar', 'truss',' signal ',' Bgus', 'option', 'Collapting', 'Mulu', 'Sufficial', 'Please', ' improve ',' min ']")</f>
        <v>['The application', 'Laload', 'really', 'Mawar', 'truss',' signal ',' Bgus', 'option', 'Collapting', 'Mulu', 'Sufficial', 'Please', ' improve ',' min ']</v>
      </c>
      <c r="D12612" s="3">
        <v>1.0</v>
      </c>
    </row>
    <row r="12613" ht="15.75" customHeight="1">
      <c r="A12613" s="1">
        <v>13612.0</v>
      </c>
      <c r="B12613" s="3" t="s">
        <v>11957</v>
      </c>
      <c r="C12613" s="3" t="str">
        <f>IFERROR(__xludf.DUMMYFUNCTION("GOOGLETRANSLATE(B12613,""id"",""en"")"),"['improvement', 'stay', 'improvement', 'signal', 'drop', 'rain']")</f>
        <v>['improvement', 'stay', 'improvement', 'signal', 'drop', 'rain']</v>
      </c>
      <c r="D12613" s="3">
        <v>4.0</v>
      </c>
    </row>
    <row r="12614" ht="15.75" customHeight="1">
      <c r="A12614" s="1">
        <v>13613.0</v>
      </c>
      <c r="B12614" s="3" t="s">
        <v>11958</v>
      </c>
      <c r="C12614" s="3" t="str">
        <f>IFERROR(__xludf.DUMMYFUNCTION("GOOGLETRANSLATE(B12614,""id"",""en"")"),"['min', 'please', 'ficture', 'quata', 'belongs', 'kafang', 'pingin', 'quata', 'org', 'buy', 'send']")</f>
        <v>['min', 'please', 'ficture', 'quata', 'belongs', 'kafang', 'pingin', 'quata', 'org', 'buy', 'send']</v>
      </c>
      <c r="D12614" s="3">
        <v>5.0</v>
      </c>
    </row>
    <row r="12615" ht="15.75" customHeight="1">
      <c r="A12615" s="1">
        <v>13614.0</v>
      </c>
      <c r="B12615" s="3" t="s">
        <v>9742</v>
      </c>
      <c r="C12615" s="3" t="str">
        <f>IFERROR(__xludf.DUMMYFUNCTION("GOOGLETRANSLATE(B12615,""id"",""en"")"),"['Help', 'thank you']")</f>
        <v>['Help', 'thank you']</v>
      </c>
      <c r="D12615" s="3">
        <v>5.0</v>
      </c>
    </row>
    <row r="12616" ht="15.75" customHeight="1">
      <c r="A12616" s="1">
        <v>13615.0</v>
      </c>
      <c r="B12616" s="3" t="s">
        <v>11959</v>
      </c>
      <c r="C12616" s="3" t="str">
        <f>IFERROR(__xludf.DUMMYFUNCTION("GOOGLETRANSLATE(B12616,""id"",""en"")"),"['application', 'poor', 'handy']")</f>
        <v>['application', 'poor', 'handy']</v>
      </c>
      <c r="D12616" s="3">
        <v>4.0</v>
      </c>
    </row>
    <row r="12617" ht="15.75" customHeight="1">
      <c r="A12617" s="1">
        <v>13616.0</v>
      </c>
      <c r="B12617" s="3" t="s">
        <v>11960</v>
      </c>
      <c r="C12617" s="3" t="str">
        <f>IFERROR(__xludf.DUMMYFUNCTION("GOOGLETRANSLATE(B12617,""id"",""en"")"),"['Application', 'Good', 'Easy', 'Understand', 'Simple']")</f>
        <v>['Application', 'Good', 'Easy', 'Understand', 'Simple']</v>
      </c>
      <c r="D12617" s="3">
        <v>5.0</v>
      </c>
    </row>
    <row r="12618" ht="15.75" customHeight="1">
      <c r="A12618" s="1">
        <v>13617.0</v>
      </c>
      <c r="B12618" s="3" t="s">
        <v>11961</v>
      </c>
      <c r="C12618" s="3" t="str">
        <f>IFERROR(__xludf.DUMMYFUNCTION("GOOGLETRANSLATE(B12618,""id"",""en"")"),"['Telkomsel', 'memilkmi', 'network', 'widest', 'Thanks', 'Telkomsel', 'Network', 'limit']")</f>
        <v>['Telkomsel', 'memilkmi', 'network', 'widest', 'Thanks', 'Telkomsel', 'Network', 'limit']</v>
      </c>
      <c r="D12618" s="3">
        <v>5.0</v>
      </c>
    </row>
    <row r="12619" ht="15.75" customHeight="1">
      <c r="A12619" s="1">
        <v>13618.0</v>
      </c>
      <c r="B12619" s="3" t="s">
        <v>11962</v>
      </c>
      <c r="C12619" s="3" t="str">
        <f>IFERROR(__xludf.DUMMYFUNCTION("GOOGLETRANSLATE(B12619,""id"",""en"")"),"['The network', 'Bagus', 'like']")</f>
        <v>['The network', 'Bagus', 'like']</v>
      </c>
      <c r="D12619" s="3">
        <v>5.0</v>
      </c>
    </row>
    <row r="12620" ht="15.75" customHeight="1">
      <c r="A12620" s="1">
        <v>13620.0</v>
      </c>
      <c r="B12620" s="3" t="s">
        <v>11963</v>
      </c>
      <c r="C12620" s="3" t="str">
        <f>IFERROR(__xludf.DUMMYFUNCTION("GOOGLETRANSLATE(B12620,""id"",""en"")"),"['Ada', 'preferably']")</f>
        <v>['Ada', 'preferably']</v>
      </c>
      <c r="D12620" s="3">
        <v>1.0</v>
      </c>
    </row>
    <row r="12621" ht="15.75" customHeight="1">
      <c r="A12621" s="1">
        <v>13621.0</v>
      </c>
      <c r="B12621" s="3" t="s">
        <v>11964</v>
      </c>
      <c r="C12621" s="3" t="str">
        <f>IFERROR(__xludf.DUMMYFUNCTION("GOOGLETRANSLATE(B12621,""id"",""en"")"),"['Not bad', 'usage']")</f>
        <v>['Not bad', 'usage']</v>
      </c>
      <c r="D12621" s="3">
        <v>5.0</v>
      </c>
    </row>
    <row r="12622" ht="15.75" customHeight="1">
      <c r="A12622" s="1">
        <v>13622.0</v>
      </c>
      <c r="B12622" s="3" t="s">
        <v>11965</v>
      </c>
      <c r="C12622" s="3" t="str">
        <f>IFERROR(__xludf.DUMMYFUNCTION("GOOGLETRANSLATE(B12622,""id"",""en"")"),"['Help', 'see', 'bill', 'choose', 'package', '']")</f>
        <v>['Help', 'see', 'bill', 'choose', 'package', '']</v>
      </c>
      <c r="D12622" s="3">
        <v>5.0</v>
      </c>
    </row>
    <row r="12623" ht="15.75" customHeight="1">
      <c r="A12623" s="1">
        <v>13623.0</v>
      </c>
      <c r="B12623" s="3" t="s">
        <v>11966</v>
      </c>
      <c r="C12623" s="3" t="str">
        <f>IFERROR(__xludf.DUMMYFUNCTION("GOOGLETRANSLATE(B12623,""id"",""en"")"),"['Network', 'Sometimes',' missing ',' Sudden ',' disappear ',' empty ',' noon ',' network ',' as fast ',' quality ',' network ',' bad ',' Since ',' Removal ',' Riau ',' Ntah ',' Cause ',' Telkomsel ',' Moving ',' Moving ',' Forgotten ',' Leave ',' Behind "&amp;"',' Thank "", 'Love' , '']")</f>
        <v>['Network', 'Sometimes',' missing ',' Sudden ',' disappear ',' empty ',' noon ',' network ',' as fast ',' quality ',' network ',' bad ',' Since ',' Removal ',' Riau ',' Ntah ',' Cause ',' Telkomsel ',' Moving ',' Moving ',' Forgotten ',' Leave ',' Behind ',' Thank ", 'Love' , '']</v>
      </c>
      <c r="D12623" s="3">
        <v>3.0</v>
      </c>
    </row>
    <row r="12624" ht="15.75" customHeight="1">
      <c r="A12624" s="1">
        <v>13624.0</v>
      </c>
      <c r="B12624" s="3" t="s">
        <v>11967</v>
      </c>
      <c r="C12624" s="3" t="str">
        <f>IFERROR(__xludf.DUMMYFUNCTION("GOOGLETRANSLATE(B12624,""id"",""en"")"),"['Knpa', 'love', 'star', 'because', 'buy', 'package', 'gopay', 'already', 'clock', 'entry', 'need', 'kouta', ' Active ',' Angus', 'Money', 'Sia', 'Discard', 'Money', ""]")</f>
        <v>['Knpa', 'love', 'star', 'because', 'buy', 'package', 'gopay', 'already', 'clock', 'entry', 'need', 'kouta', ' Active ',' Angus', 'Money', 'Sia', 'Discard', 'Money', "]</v>
      </c>
      <c r="D12624" s="3">
        <v>1.0</v>
      </c>
    </row>
    <row r="12625" ht="15.75" customHeight="1">
      <c r="A12625" s="1">
        <v>13625.0</v>
      </c>
      <c r="B12625" s="3" t="s">
        <v>11968</v>
      </c>
      <c r="C12625" s="3" t="str">
        <f>IFERROR(__xludf.DUMMYFUNCTION("GOOGLETRANSLATE(B12625,""id"",""en"")"),"['Displays', 'Advertising', 'POP', 'Screen', 'Home', 'Open', 'Application', 'MyTelkomsel', 'Uncomfortable', 'Disturbing', '']")</f>
        <v>['Displays', 'Advertising', 'POP', 'Screen', 'Home', 'Open', 'Application', 'MyTelkomsel', 'Uncomfortable', 'Disturbing', '']</v>
      </c>
      <c r="D12625" s="3">
        <v>1.0</v>
      </c>
    </row>
    <row r="12626" ht="15.75" customHeight="1">
      <c r="A12626" s="1">
        <v>13626.0</v>
      </c>
      <c r="B12626" s="3" t="s">
        <v>11969</v>
      </c>
      <c r="C12626" s="3" t="str">
        <f>IFERROR(__xludf.DUMMYFUNCTION("GOOGLETRANSLATE(B12626,""id"",""en"")"),"['What', 'please', 'internet', 'no', 'promo', 'quota', 'expensive', 'times',' please ',' work ',' no ',' quota ',' Promo ',' ']")</f>
        <v>['What', 'please', 'internet', 'no', 'promo', 'quota', 'expensive', 'times',' please ',' work ',' no ',' quota ',' Promo ',' ']</v>
      </c>
      <c r="D12626" s="3">
        <v>1.0</v>
      </c>
    </row>
    <row r="12627" ht="15.75" customHeight="1">
      <c r="A12627" s="1">
        <v>13627.0</v>
      </c>
      <c r="B12627" s="3" t="s">
        <v>11970</v>
      </c>
      <c r="C12627" s="3" t="str">
        <f>IFERROR(__xludf.DUMMYFUNCTION("GOOGLETRANSLATE(B12627,""id"",""en"")"),"['Gift', 'user', 'Telkomsel', '']")</f>
        <v>['Gift', 'user', 'Telkomsel', '']</v>
      </c>
      <c r="D12627" s="3">
        <v>5.0</v>
      </c>
    </row>
    <row r="12628" ht="15.75" customHeight="1">
      <c r="A12628" s="1">
        <v>13629.0</v>
      </c>
      <c r="B12628" s="3" t="s">
        <v>11971</v>
      </c>
      <c r="C12628" s="3" t="str">
        <f>IFERROR(__xludf.DUMMYFUNCTION("GOOGLETRANSLATE(B12628,""id"",""en"")"),"['steady', 'consistent']")</f>
        <v>['steady', 'consistent']</v>
      </c>
      <c r="D12628" s="3">
        <v>5.0</v>
      </c>
    </row>
    <row r="12629" ht="15.75" customHeight="1">
      <c r="A12629" s="1">
        <v>13630.0</v>
      </c>
      <c r="B12629" s="3" t="s">
        <v>3467</v>
      </c>
      <c r="C12629" s="3" t="str">
        <f>IFERROR(__xludf.DUMMYFUNCTION("GOOGLETRANSLATE(B12629,""id"",""en"")"),"['', 'help']")</f>
        <v>['', 'help']</v>
      </c>
      <c r="D12629" s="3">
        <v>5.0</v>
      </c>
    </row>
    <row r="12630" ht="15.75" customHeight="1">
      <c r="A12630" s="1">
        <v>13631.0</v>
      </c>
      <c r="B12630" s="3" t="s">
        <v>11972</v>
      </c>
      <c r="C12630" s="3" t="str">
        <f>IFERROR(__xludf.DUMMYFUNCTION("GOOGLETRANSLATE(B12630,""id"",""en"")"),"['fast', 'bnyak', 'plihn', ""]")</f>
        <v>['fast', 'bnyak', 'plihn', "]</v>
      </c>
      <c r="D12630" s="3">
        <v>5.0</v>
      </c>
    </row>
    <row r="12631" ht="15.75" customHeight="1">
      <c r="A12631" s="1">
        <v>13632.0</v>
      </c>
      <c r="B12631" s="3" t="s">
        <v>1435</v>
      </c>
      <c r="C12631" s="3" t="str">
        <f>IFERROR(__xludf.DUMMYFUNCTION("GOOGLETRANSLATE(B12631,""id"",""en"")"),"['help', '']")</f>
        <v>['help', '']</v>
      </c>
      <c r="D12631" s="3">
        <v>5.0</v>
      </c>
    </row>
    <row r="12632" ht="15.75" customHeight="1">
      <c r="A12632" s="1">
        <v>13633.0</v>
      </c>
      <c r="B12632" s="3" t="s">
        <v>286</v>
      </c>
      <c r="C12632" s="3" t="str">
        <f>IFERROR(__xludf.DUMMYFUNCTION("GOOGLETRANSLATE(B12632,""id"",""en"")"),"['good']")</f>
        <v>['good']</v>
      </c>
      <c r="D12632" s="3">
        <v>5.0</v>
      </c>
    </row>
    <row r="12633" ht="15.75" customHeight="1">
      <c r="A12633" s="1">
        <v>13634.0</v>
      </c>
      <c r="B12633" s="3" t="s">
        <v>11973</v>
      </c>
      <c r="C12633" s="3" t="str">
        <f>IFERROR(__xludf.DUMMYFUNCTION("GOOGLETRANSLATE(B12633,""id"",""en"")"),"['', 'Kasi', 'star', 'because', 'Satisfied', 'Makai', 'Telkomsel', 'Hopefully', ""]")</f>
        <v>['', 'Kasi', 'star', 'because', 'Satisfied', 'Makai', 'Telkomsel', 'Hopefully', "]</v>
      </c>
      <c r="D12633" s="3">
        <v>5.0</v>
      </c>
    </row>
    <row r="12634" ht="15.75" customHeight="1">
      <c r="A12634" s="1">
        <v>13635.0</v>
      </c>
      <c r="B12634" s="3" t="s">
        <v>11974</v>
      </c>
      <c r="C12634" s="3" t="str">
        <f>IFERROR(__xludf.DUMMYFUNCTION("GOOGLETRANSLATE(B12634,""id"",""en"")"),"['Price', 'package', 'cheap', 'TPI', 'Network', 'ugly', 'really']")</f>
        <v>['Price', 'package', 'cheap', 'TPI', 'Network', 'ugly', 'really']</v>
      </c>
      <c r="D12634" s="3">
        <v>1.0</v>
      </c>
    </row>
    <row r="12635" ht="15.75" customHeight="1">
      <c r="A12635" s="1">
        <v>13636.0</v>
      </c>
      <c r="B12635" s="3" t="s">
        <v>11975</v>
      </c>
      <c r="C12635" s="3" t="str">
        <f>IFERROR(__xludf.DUMMYFUNCTION("GOOGLETRANSLATE(B12635,""id"",""en"")"),"['Hopefully', 'In the future', 'Network', 'Telkomsel', 'Best', ""]")</f>
        <v>['Hopefully', 'In the future', 'Network', 'Telkomsel', 'Best', "]</v>
      </c>
      <c r="D12635" s="3">
        <v>5.0</v>
      </c>
    </row>
    <row r="12636" ht="15.75" customHeight="1">
      <c r="A12636" s="1">
        <v>13637.0</v>
      </c>
      <c r="B12636" s="3" t="s">
        <v>11976</v>
      </c>
      <c r="C12636" s="3" t="str">
        <f>IFERROR(__xludf.DUMMYFUNCTION("GOOGLETRANSLATE(B12636,""id"",""en"")"),"['Here', 'Points',' Telkomsel ',' FIngksiIII ',' Nyaaa ',' Woii ',' Points', 'Telkomsel', 'exchanged', 'yaa', 'Points',' Ajaa ',' pulsaa ',' also ',' Points', 'Telkomsel', 'Nyaa', 'gaguna', 'already', 'looked', 'point', 'Susaahhh', 'Amana', 'right', 'nuke"&amp;"r' , 'Paketan', 'pulse', 'also', 'fak']")</f>
        <v>['Here', 'Points',' Telkomsel ',' FIngksiIII ',' Nyaaa ',' Woii ',' Points', 'Telkomsel', 'exchanged', 'yaa', 'Points',' Ajaa ',' pulsaa ',' also ',' Points', 'Telkomsel', 'Nyaa', 'gaguna', 'already', 'looked', 'point', 'Susaahhh', 'Amana', 'right', 'nuker' , 'Paketan', 'pulse', 'also', 'fak']</v>
      </c>
      <c r="D12636" s="3">
        <v>1.0</v>
      </c>
    </row>
    <row r="12637" ht="15.75" customHeight="1">
      <c r="A12637" s="1">
        <v>13638.0</v>
      </c>
      <c r="B12637" s="3" t="s">
        <v>11977</v>
      </c>
      <c r="C12637" s="3" t="str">
        <f>IFERROR(__xludf.DUMMYFUNCTION("GOOGLETRANSLATE(B12637,""id"",""en"")"),"['Signal', 'Strong', 'Village', 'Cangkreng', 'Lenteng', 'Sumenep', 'Plus', 'Tower', ""]")</f>
        <v>['Signal', 'Strong', 'Village', 'Cangkreng', 'Lenteng', 'Sumenep', 'Plus', 'Tower', "]</v>
      </c>
      <c r="D12637" s="3">
        <v>4.0</v>
      </c>
    </row>
    <row r="12638" ht="15.75" customHeight="1">
      <c r="A12638" s="1">
        <v>13639.0</v>
      </c>
      <c r="B12638" s="3" t="s">
        <v>11634</v>
      </c>
      <c r="C12638" s="3" t="str">
        <f>IFERROR(__xludf.DUMMYFUNCTION("GOOGLETRANSLATE(B12638,""id"",""en"")"),"['really good']")</f>
        <v>['really good']</v>
      </c>
      <c r="D12638" s="3">
        <v>5.0</v>
      </c>
    </row>
    <row r="12639" ht="15.75" customHeight="1">
      <c r="A12639" s="1">
        <v>13640.0</v>
      </c>
      <c r="B12639" s="3" t="s">
        <v>11978</v>
      </c>
      <c r="C12639" s="3" t="str">
        <f>IFERROR(__xludf.DUMMYFUNCTION("GOOGLETRANSLATE(B12639,""id"",""en"")"),"['Help', 'Continue', 'Good']")</f>
        <v>['Help', 'Continue', 'Good']</v>
      </c>
      <c r="D12639" s="3">
        <v>5.0</v>
      </c>
    </row>
    <row r="12640" ht="15.75" customHeight="1">
      <c r="A12640" s="1">
        <v>13641.0</v>
      </c>
      <c r="B12640" s="3" t="s">
        <v>11979</v>
      </c>
      <c r="C12640" s="3" t="str">
        <f>IFERROR(__xludf.DUMMYFUNCTION("GOOGLETRANSLATE(B12640,""id"",""en"")"),"['disorder', 'errorr', 'gmn', 'contents', 'package']")</f>
        <v>['disorder', 'errorr', 'gmn', 'contents', 'package']</v>
      </c>
      <c r="D12640" s="3">
        <v>3.0</v>
      </c>
    </row>
    <row r="12641" ht="15.75" customHeight="1">
      <c r="A12641" s="1">
        <v>13642.0</v>
      </c>
      <c r="B12641" s="3" t="s">
        <v>11980</v>
      </c>
      <c r="C12641" s="3" t="str">
        <f>IFERROR(__xludf.DUMMYFUNCTION("GOOGLETRANSLATE(B12641,""id"",""en"")"),"['Network', 'Telkomsel', 'Severe', 'Mending', 'Change', 'Provider', 'Work', 'Ngandelin', 'Internet', 'Lossin', 'Tissue', 'Telkomprat']")</f>
        <v>['Network', 'Telkomsel', 'Severe', 'Mending', 'Change', 'Provider', 'Work', 'Ngandelin', 'Internet', 'Lossin', 'Tissue', 'Telkomprat']</v>
      </c>
      <c r="D12641" s="3">
        <v>1.0</v>
      </c>
    </row>
    <row r="12642" ht="15.75" customHeight="1">
      <c r="A12642" s="1">
        <v>13643.0</v>
      </c>
      <c r="B12642" s="3" t="s">
        <v>11981</v>
      </c>
      <c r="C12642" s="3" t="str">
        <f>IFERROR(__xludf.DUMMYFUNCTION("GOOGLETRANSLATE(B12642,""id"",""en"")"),"['Telkomsel', 'Communication', 'Friendship', 'Easy', 'Thank you', 'Telkomsel', ""]")</f>
        <v>['Telkomsel', 'Communication', 'Friendship', 'Easy', 'Thank you', 'Telkomsel', "]</v>
      </c>
      <c r="D12642" s="3">
        <v>5.0</v>
      </c>
    </row>
    <row r="12643" ht="15.75" customHeight="1">
      <c r="A12643" s="1">
        <v>13644.0</v>
      </c>
      <c r="B12643" s="3" t="s">
        <v>11982</v>
      </c>
      <c r="C12643" s="3" t="str">
        <f>IFERROR(__xludf.DUMMYFUNCTION("GOOGLETRANSLATE(B12643,""id"",""en"")"),"['Please', 'usage', 'quota', 'internet', 'multimedia', 'held', 'option', 'wearer', 'quota', 'internet', 'main', 'Often', ' used ',' application ',' multimedia ',' quota ',' multimedia ',' used ',' charred ',' beg ',' noticed ',' considered ',' thank ',' l"&amp;"ove ']")</f>
        <v>['Please', 'usage', 'quota', 'internet', 'multimedia', 'held', 'option', 'wearer', 'quota', 'internet', 'main', 'Often', ' used ',' application ',' multimedia ',' quota ',' multimedia ',' used ',' charred ',' beg ',' noticed ',' considered ',' thank ',' love ']</v>
      </c>
      <c r="D12643" s="3">
        <v>3.0</v>
      </c>
    </row>
    <row r="12644" ht="15.75" customHeight="1">
      <c r="A12644" s="1">
        <v>13645.0</v>
      </c>
      <c r="B12644" s="3" t="s">
        <v>11983</v>
      </c>
      <c r="C12644" s="3" t="str">
        <f>IFERROR(__xludf.DUMMYFUNCTION("GOOGLETRANSLATE(B12644,""id"",""en"")"),"['Good', 'check', 'pulse', 'quota']")</f>
        <v>['Good', 'check', 'pulse', 'quota']</v>
      </c>
      <c r="D12644" s="3">
        <v>5.0</v>
      </c>
    </row>
    <row r="12645" ht="15.75" customHeight="1">
      <c r="A12645" s="1">
        <v>13647.0</v>
      </c>
      <c r="B12645" s="3" t="s">
        <v>11984</v>
      </c>
      <c r="C12645" s="3" t="str">
        <f>IFERROR(__xludf.DUMMYFUNCTION("GOOGLETRANSLATE(B12645,""id"",""en"")"),"['Severe', 'Stop']")</f>
        <v>['Severe', 'Stop']</v>
      </c>
      <c r="D12645" s="3">
        <v>1.0</v>
      </c>
    </row>
    <row r="12646" ht="15.75" customHeight="1">
      <c r="A12646" s="1">
        <v>13648.0</v>
      </c>
      <c r="B12646" s="3" t="s">
        <v>11985</v>
      </c>
      <c r="C12646" s="3" t="str">
        <f>IFERROR(__xludf.DUMMYFUNCTION("GOOGLETRANSLATE(B12646,""id"",""en"")"),"['Good', 'Network', 'Telkomsel', 'Indonesia', 'East', '']")</f>
        <v>['Good', 'Network', 'Telkomsel', 'Indonesia', 'East', '']</v>
      </c>
      <c r="D12646" s="3">
        <v>5.0</v>
      </c>
    </row>
    <row r="12647" ht="15.75" customHeight="1">
      <c r="A12647" s="1">
        <v>13649.0</v>
      </c>
      <c r="B12647" s="3" t="s">
        <v>885</v>
      </c>
      <c r="C12647" s="3" t="str">
        <f>IFERROR(__xludf.DUMMYFUNCTION("GOOGLETRANSLATE(B12647,""id"",""en"")"),"['Good', 'application']")</f>
        <v>['Good', 'application']</v>
      </c>
      <c r="D12647" s="3">
        <v>5.0</v>
      </c>
    </row>
    <row r="12648" ht="15.75" customHeight="1">
      <c r="A12648" s="1">
        <v>13650.0</v>
      </c>
      <c r="B12648" s="3" t="s">
        <v>11986</v>
      </c>
      <c r="C12648" s="3" t="str">
        <f>IFERROR(__xludf.DUMMYFUNCTION("GOOGLETRANSLATE(B12648,""id"",""en"")"),"['Mantap', 'mbantu', 'user']")</f>
        <v>['Mantap', 'mbantu', 'user']</v>
      </c>
      <c r="D12648" s="3">
        <v>4.0</v>
      </c>
    </row>
    <row r="12649" ht="15.75" customHeight="1">
      <c r="A12649" s="1">
        <v>13651.0</v>
      </c>
      <c r="B12649" s="3" t="s">
        <v>181</v>
      </c>
      <c r="C12649" s="3" t="str">
        <f>IFERROR(__xludf.DUMMYFUNCTION("GOOGLETRANSLATE(B12649,""id"",""en"")"),"['help']")</f>
        <v>['help']</v>
      </c>
      <c r="D12649" s="3">
        <v>4.0</v>
      </c>
    </row>
    <row r="12650" ht="15.75" customHeight="1">
      <c r="A12650" s="1">
        <v>13652.0</v>
      </c>
      <c r="B12650" s="3" t="s">
        <v>11987</v>
      </c>
      <c r="C12650" s="3" t="str">
        <f>IFERROR(__xludf.DUMMYFUNCTION("GOOGLETRANSLATE(B12650,""id"",""en"")"),"['promo', 'missing', 'love', 'star']")</f>
        <v>['promo', 'missing', 'love', 'star']</v>
      </c>
      <c r="D12650" s="3">
        <v>1.0</v>
      </c>
    </row>
    <row r="12651" ht="15.75" customHeight="1">
      <c r="A12651" s="1">
        <v>13653.0</v>
      </c>
      <c r="B12651" s="3" t="s">
        <v>11988</v>
      </c>
      <c r="C12651" s="3" t="str">
        <f>IFERROR(__xludf.DUMMYFUNCTION("GOOGLETRANSLATE(B12651,""id"",""en"")"),"['doglah', 'network', 'rich', 'gini', 'pig']")</f>
        <v>['doglah', 'network', 'rich', 'gini', 'pig']</v>
      </c>
      <c r="D12651" s="3">
        <v>1.0</v>
      </c>
    </row>
    <row r="12652" ht="15.75" customHeight="1">
      <c r="A12652" s="1">
        <v>13654.0</v>
      </c>
      <c r="B12652" s="3" t="s">
        <v>11989</v>
      </c>
      <c r="C12652" s="3" t="str">
        <f>IFERROR(__xludf.DUMMYFUNCTION("GOOGLETRANSLATE(B12652,""id"",""en"")"),"['Please', 'tuk', 'network', 'fix', 'ngeleg']")</f>
        <v>['Please', 'tuk', 'network', 'fix', 'ngeleg']</v>
      </c>
      <c r="D12652" s="3">
        <v>4.0</v>
      </c>
    </row>
    <row r="12653" ht="15.75" customHeight="1">
      <c r="A12653" s="1">
        <v>13655.0</v>
      </c>
      <c r="B12653" s="3" t="s">
        <v>11990</v>
      </c>
      <c r="C12653" s="3" t="str">
        <f>IFERROR(__xludf.DUMMYFUNCTION("GOOGLETRANSLATE(B12653,""id"",""en"")"),"['Logout', 'Login', 'Ribet', '']")</f>
        <v>['Logout', 'Login', 'Ribet', '']</v>
      </c>
      <c r="D12653" s="3">
        <v>1.0</v>
      </c>
    </row>
    <row r="12654" ht="15.75" customHeight="1">
      <c r="A12654" s="1">
        <v>13656.0</v>
      </c>
      <c r="B12654" s="3" t="s">
        <v>11991</v>
      </c>
      <c r="C12654" s="3" t="str">
        <f>IFERROR(__xludf.DUMMYFUNCTION("GOOGLETRANSLATE(B12654,""id"",""en"")"),"['easy', 'fast', 'committing', 'sring', 'auction', 'use', 'telkosel', 'yrs', 'skarang']")</f>
        <v>['easy', 'fast', 'committing', 'sring', 'auction', 'use', 'telkosel', 'yrs', 'skarang']</v>
      </c>
      <c r="D12654" s="3">
        <v>5.0</v>
      </c>
    </row>
    <row r="12655" ht="15.75" customHeight="1">
      <c r="A12655" s="1">
        <v>13657.0</v>
      </c>
      <c r="B12655" s="3" t="s">
        <v>11992</v>
      </c>
      <c r="C12655" s="3" t="str">
        <f>IFERROR(__xludf.DUMMYFUNCTION("GOOGLETRANSLATE(B12655,""id"",""en"")"),"['disappointing', 'notif', 'late', 'package', 'abis', 'pulse', 'truncated', 'professional', 'work']")</f>
        <v>['disappointing', 'notif', 'late', 'package', 'abis', 'pulse', 'truncated', 'professional', 'work']</v>
      </c>
      <c r="D12655" s="3">
        <v>1.0</v>
      </c>
    </row>
    <row r="12656" ht="15.75" customHeight="1">
      <c r="A12656" s="1">
        <v>13658.0</v>
      </c>
      <c r="B12656" s="3" t="s">
        <v>11993</v>
      </c>
      <c r="C12656" s="3" t="str">
        <f>IFERROR(__xludf.DUMMYFUNCTION("GOOGLETRANSLATE(B12656,""id"",""en"")"),"['best', 'promo']")</f>
        <v>['best', 'promo']</v>
      </c>
      <c r="D12656" s="3">
        <v>5.0</v>
      </c>
    </row>
    <row r="12657" ht="15.75" customHeight="1">
      <c r="A12657" s="1">
        <v>13659.0</v>
      </c>
      <c r="B12657" s="3" t="s">
        <v>11994</v>
      </c>
      <c r="C12657" s="3" t="str">
        <f>IFERROR(__xludf.DUMMYFUNCTION("GOOGLETRANSLATE(B12657,""id"",""en"")"),"['', 'Nailing', 'APK', 'Week', 'Try', 'Buy', 'Paketan', 'Credit', 'Failed', 'Reasons',' Network ',' Troubled ',' Haloooo ',' Network ',' wifi ',' stable ',' Mbps', 'used', 'person', 'Mbps',' download ',' stable ',' Mbps', 'Wait', 'pulse', 'Scorched', 'Cha"&amp;"nge', 'number', 'transaction', 'disappointing', '']")</f>
        <v>['', 'Nailing', 'APK', 'Week', 'Try', 'Buy', 'Paketan', 'Credit', 'Failed', 'Reasons',' Network ',' Troubled ',' Haloooo ',' Network ',' wifi ',' stable ',' Mbps', 'used', 'person', 'Mbps',' download ',' stable ',' Mbps', 'Wait', 'pulse', 'Scorched', 'Change', 'number', 'transaction', 'disappointing', '']</v>
      </c>
      <c r="D12657" s="3">
        <v>1.0</v>
      </c>
    </row>
    <row r="12658" ht="15.75" customHeight="1">
      <c r="A12658" s="1">
        <v>13661.0</v>
      </c>
      <c r="B12658" s="3" t="s">
        <v>11995</v>
      </c>
      <c r="C12658" s="3" t="str">
        <f>IFERROR(__xludf.DUMMYFUNCTION("GOOGLETRANSLATE(B12658,""id"",""en"")"),"['already', 'price', 'network', 'ugly', 'really', 'really', 'suggestion', 'replace', 'axis',' etc. ',' telkomtod ',' disgust ',' TelkomTod ',' prayer ',' Date ',' Nov ',' Change ',' card ',' AXIS ',' ']")</f>
        <v>['already', 'price', 'network', 'ugly', 'really', 'really', 'suggestion', 'replace', 'axis',' etc. ',' telkomtod ',' disgust ',' TelkomTod ',' prayer ',' Date ',' Nov ',' Change ',' card ',' AXIS ',' ']</v>
      </c>
      <c r="D12658" s="3">
        <v>1.0</v>
      </c>
    </row>
    <row r="12659" ht="15.75" customHeight="1">
      <c r="A12659" s="1">
        <v>13662.0</v>
      </c>
      <c r="B12659" s="3" t="s">
        <v>5952</v>
      </c>
      <c r="C12659" s="3" t="str">
        <f>IFERROR(__xludf.DUMMYFUNCTION("GOOGLETRANSLATE(B12659,""id"",""en"")"),"['Paketan', 'expensive', '']")</f>
        <v>['Paketan', 'expensive', '']</v>
      </c>
      <c r="D12659" s="3">
        <v>1.0</v>
      </c>
    </row>
    <row r="12660" ht="15.75" customHeight="1">
      <c r="A12660" s="1">
        <v>13663.0</v>
      </c>
      <c r="B12660" s="3" t="s">
        <v>11996</v>
      </c>
      <c r="C12660" s="3" t="str">
        <f>IFERROR(__xludf.DUMMYFUNCTION("GOOGLETRANSLATE(B12660,""id"",""en"")"),"['Please', 'Sorry', 'Application', 'Knapa', 'Buy', 'Package', 'Application', 'Credit', 'Hangus',' Package ',' Buy ',' Enter ',' Credit ',' Hangus', 'Paketan', 'Please', 'Confirmation', '']")</f>
        <v>['Please', 'Sorry', 'Application', 'Knapa', 'Buy', 'Package', 'Application', 'Credit', 'Hangus',' Package ',' Buy ',' Enter ',' Credit ',' Hangus', 'Paketan', 'Please', 'Confirmation', '']</v>
      </c>
      <c r="D12660" s="3">
        <v>1.0</v>
      </c>
    </row>
    <row r="12661" ht="15.75" customHeight="1">
      <c r="A12661" s="1">
        <v>13664.0</v>
      </c>
      <c r="B12661" s="3" t="s">
        <v>11997</v>
      </c>
      <c r="C12661" s="3" t="str">
        <f>IFERROR(__xludf.DUMMYFUNCTION("GOOGLETRANSLATE(B12661,""id"",""en"")"),"['Paketan', 'expensive', 'signal', 'zero', 'want', 'cave', 'waste', 'card', 'tlkmsel']")</f>
        <v>['Paketan', 'expensive', 'signal', 'zero', 'want', 'cave', 'waste', 'card', 'tlkmsel']</v>
      </c>
      <c r="D12661" s="3">
        <v>5.0</v>
      </c>
    </row>
    <row r="12662" ht="15.75" customHeight="1">
      <c r="A12662" s="1">
        <v>13665.0</v>
      </c>
      <c r="B12662" s="3" t="s">
        <v>9411</v>
      </c>
      <c r="C12662" s="3" t="str">
        <f>IFERROR(__xludf.DUMMYFUNCTION("GOOGLETRANSLATE(B12662,""id"",""en"")"),"['enter']")</f>
        <v>['enter']</v>
      </c>
      <c r="D12662" s="3">
        <v>3.0</v>
      </c>
    </row>
    <row r="12663" ht="15.75" customHeight="1">
      <c r="A12663" s="1">
        <v>13666.0</v>
      </c>
      <c r="B12663" s="3" t="s">
        <v>3276</v>
      </c>
      <c r="C12663" s="3" t="str">
        <f>IFERROR(__xludf.DUMMYFUNCTION("GOOGLETRANSLATE(B12663,""id"",""en"")"),"['Jaya', 'Telkomsel']")</f>
        <v>['Jaya', 'Telkomsel']</v>
      </c>
      <c r="D12663" s="3">
        <v>5.0</v>
      </c>
    </row>
    <row r="12664" ht="15.75" customHeight="1">
      <c r="A12664" s="1">
        <v>13667.0</v>
      </c>
      <c r="B12664" s="3" t="s">
        <v>11998</v>
      </c>
      <c r="C12664" s="3" t="str">
        <f>IFERROR(__xludf.DUMMYFUNCTION("GOOGLETRANSLATE(B12664,""id"",""en"")"),"['Helpful', 'price', 'cheap', 'in the future', 'hope', 'ngadin', 'promo', 'point']")</f>
        <v>['Helpful', 'price', 'cheap', 'in the future', 'hope', 'ngadin', 'promo', 'point']</v>
      </c>
      <c r="D12664" s="3">
        <v>5.0</v>
      </c>
    </row>
    <row r="12665" ht="15.75" customHeight="1">
      <c r="A12665" s="1">
        <v>13668.0</v>
      </c>
      <c r="B12665" s="3" t="s">
        <v>11999</v>
      </c>
      <c r="C12665" s="3" t="str">
        <f>IFERROR(__xludf.DUMMYFUNCTION("GOOGLETRANSLATE(B12665,""id"",""en"")"),"['asiiiik', 'Telkomsel', 'good', 'deh', 'likes',' telkomsel ',' already ',' package ',' expensive ',' signal ',' full ',' pehhh ',' dream ',' people ',' people ',' seekers', 'signal', 'muach', 'ngegame', 'tasty', 'game', 'mobile', 'legend', 'win', 'enemy'"&amp;" , 'right', 'play', 'Cape', 'Cape', 'stay', 'slammed', 'already', 'finished', 'maxh', 'Telkomnyet', 'thanks',' Telokmsel ',' change', '']")</f>
        <v>['asiiiik', 'Telkomsel', 'good', 'deh', 'likes',' telkomsel ',' already ',' package ',' expensive ',' signal ',' full ',' pehhh ',' dream ',' people ',' people ',' seekers', 'signal', 'muach', 'ngegame', 'tasty', 'game', 'mobile', 'legend', 'win', 'enemy' , 'right', 'play', 'Cape', 'Cape', 'stay', 'slammed', 'already', 'finished', 'maxh', 'Telkomnyet', 'thanks',' Telokmsel ',' change', '']</v>
      </c>
      <c r="D12665" s="3">
        <v>1.0</v>
      </c>
    </row>
    <row r="12666" ht="15.75" customHeight="1">
      <c r="A12666" s="1">
        <v>13669.0</v>
      </c>
      <c r="B12666" s="3" t="s">
        <v>12000</v>
      </c>
      <c r="C12666" s="3" t="str">
        <f>IFERROR(__xludf.DUMMYFUNCTION("GOOGLETRANSLATE(B12666,""id"",""en"")"),"['mantef', 'help']")</f>
        <v>['mantef', 'help']</v>
      </c>
      <c r="D12666" s="3">
        <v>5.0</v>
      </c>
    </row>
    <row r="12667" ht="15.75" customHeight="1">
      <c r="A12667" s="1">
        <v>13671.0</v>
      </c>
      <c r="B12667" s="3" t="s">
        <v>12001</v>
      </c>
      <c r="C12667" s="3" t="str">
        <f>IFERROR(__xludf.DUMMYFUNCTION("GOOGLETRANSLATE(B12667,""id"",""en"")"),"['Increases',' Quality ',' Signal ',' Telkomsel ',' Expensive ',' Price ',' Service ',' As', 'Quality', 'Signal', 'Telkomsel', 'Bad', ' The region ',' Hamlet ',' Sempur ',' Village ',' Pasirkaliki ',' Kecamatan ',' Rawamerta ',' Kabupaten ',' Karawang ','"&amp;" Many "", 'Report', 'complaints' , 'Change', 'please', 'send', 'team', 'investigation', 'check', 'direct', 'complaints',' fast ',' repaired ',' quality ',' Telkomsel ',' famous', 'signal', 'strong', 'tks']")</f>
        <v>['Increases',' Quality ',' Signal ',' Telkomsel ',' Expensive ',' Price ',' Service ',' As', 'Quality', 'Signal', 'Telkomsel', 'Bad', ' The region ',' Hamlet ',' Sempur ',' Village ',' Pasirkaliki ',' Kecamatan ',' Rawamerta ',' Kabupaten ',' Karawang ',' Many ", 'Report', 'complaints' , 'Change', 'please', 'send', 'team', 'investigation', 'check', 'direct', 'complaints',' fast ',' repaired ',' quality ',' Telkomsel ',' famous', 'signal', 'strong', 'tks']</v>
      </c>
      <c r="D12667" s="3">
        <v>5.0</v>
      </c>
    </row>
    <row r="12668" ht="15.75" customHeight="1">
      <c r="A12668" s="1">
        <v>13672.0</v>
      </c>
      <c r="B12668" s="3" t="s">
        <v>12002</v>
      </c>
      <c r="C12668" s="3" t="str">
        <f>IFERROR(__xludf.DUMMYFUNCTION("GOOGLETRANSLATE(B12668,""id"",""en"")"),"['Star', 'Krena', 'Aaya', 'Sngat', 'Satisfied']")</f>
        <v>['Star', 'Krena', 'Aaya', 'Sngat', 'Satisfied']</v>
      </c>
      <c r="D12668" s="3">
        <v>5.0</v>
      </c>
    </row>
    <row r="12669" ht="15.75" customHeight="1">
      <c r="A12669" s="1">
        <v>13673.0</v>
      </c>
      <c r="B12669" s="3" t="s">
        <v>12003</v>
      </c>
      <c r="C12669" s="3" t="str">
        <f>IFERROR(__xludf.DUMMYFUNCTION("GOOGLETRANSLATE(B12669,""id"",""en"")"),"['Application', 'BGS', 'Helpful', 'AHIR', 'Connection', 'Network', 'My Place', 'Weak']")</f>
        <v>['Application', 'BGS', 'Helpful', 'AHIR', 'Connection', 'Network', 'My Place', 'Weak']</v>
      </c>
      <c r="D12669" s="3">
        <v>4.0</v>
      </c>
    </row>
    <row r="12670" ht="15.75" customHeight="1">
      <c r="A12670" s="1">
        <v>13674.0</v>
      </c>
      <c r="B12670" s="3" t="s">
        <v>12004</v>
      </c>
      <c r="C12670" s="3" t="str">
        <f>IFERROR(__xludf.DUMMYFUNCTION("GOOGLETRANSLATE(B12670,""id"",""en"")"),"['easy', 'transact', 'save', 'choose', 'choice', 'package', 'according to', 'need']")</f>
        <v>['easy', 'transact', 'save', 'choose', 'choice', 'package', 'according to', 'need']</v>
      </c>
      <c r="D12670" s="3">
        <v>5.0</v>
      </c>
    </row>
    <row r="12671" ht="15.75" customHeight="1">
      <c r="A12671" s="1">
        <v>13675.0</v>
      </c>
      <c r="B12671" s="3" t="s">
        <v>12005</v>
      </c>
      <c r="C12671" s="3" t="str">
        <f>IFERROR(__xludf.DUMMYFUNCTION("GOOGLETRANSLATE(B12671,""id"",""en"")"),"['Santaplah', 'Telkomsel', 'Helpful', 'really', 'Paketan', 'Hopefully', 'Cheap', 'Memembekanya', ""]")</f>
        <v>['Santaplah', 'Telkomsel', 'Helpful', 'really', 'Paketan', 'Hopefully', 'Cheap', 'Memembekanya', "]</v>
      </c>
      <c r="D12671" s="3">
        <v>5.0</v>
      </c>
    </row>
    <row r="12672" ht="15.75" customHeight="1">
      <c r="A12672" s="1">
        <v>13676.0</v>
      </c>
      <c r="B12672" s="3" t="s">
        <v>12006</v>
      </c>
      <c r="C12672" s="3" t="str">
        <f>IFERROR(__xludf.DUMMYFUNCTION("GOOGLETRANSLATE(B12672,""id"",""en"")"),"['Current', 'use', 'sympathy']")</f>
        <v>['Current', 'use', 'sympathy']</v>
      </c>
      <c r="D12672" s="3">
        <v>5.0</v>
      </c>
    </row>
    <row r="12673" ht="15.75" customHeight="1">
      <c r="A12673" s="1">
        <v>13677.0</v>
      </c>
      <c r="B12673" s="3" t="s">
        <v>12007</v>
      </c>
      <c r="C12673" s="3" t="str">
        <f>IFERROR(__xludf.DUMMYFUNCTION("GOOGLETRANSLATE(B12673,""id"",""en"")"),"['Telkomsel', 'kayak', 'taik', 'sucked', 'pulse', 'package', 'Telkomsel', 'pig']")</f>
        <v>['Telkomsel', 'kayak', 'taik', 'sucked', 'pulse', 'package', 'Telkomsel', 'pig']</v>
      </c>
      <c r="D12673" s="3">
        <v>1.0</v>
      </c>
    </row>
    <row r="12674" ht="15.75" customHeight="1">
      <c r="A12674" s="1">
        <v>13678.0</v>
      </c>
      <c r="B12674" s="3" t="s">
        <v>12008</v>
      </c>
      <c r="C12674" s="3" t="str">
        <f>IFERROR(__xludf.DUMMYFUNCTION("GOOGLETRANSLATE(B12674,""id"",""en"")"),"['Buy', 'package', 'internet', 'disorder', 'please', 'solution']")</f>
        <v>['Buy', 'package', 'internet', 'disorder', 'please', 'solution']</v>
      </c>
      <c r="D12674" s="3">
        <v>1.0</v>
      </c>
    </row>
    <row r="12675" ht="15.75" customHeight="1">
      <c r="A12675" s="1">
        <v>13679.0</v>
      </c>
      <c r="B12675" s="3" t="s">
        <v>12009</v>
      </c>
      <c r="C12675" s="3" t="str">
        <f>IFERROR(__xludf.DUMMYFUNCTION("GOOGLETRANSLATE(B12675,""id"",""en"")"),"['Please', 'Package', 'Combo', 'Sakti', 'Detected', 'Cheap']")</f>
        <v>['Please', 'Package', 'Combo', 'Sakti', 'Detected', 'Cheap']</v>
      </c>
      <c r="D12675" s="3">
        <v>4.0</v>
      </c>
    </row>
    <row r="12676" ht="15.75" customHeight="1">
      <c r="A12676" s="1">
        <v>13681.0</v>
      </c>
      <c r="B12676" s="3" t="s">
        <v>12010</v>
      </c>
      <c r="C12676" s="3" t="str">
        <f>IFERROR(__xludf.DUMMYFUNCTION("GOOGLETRANSLATE(B12676,""id"",""en"")"),"['disappointing', 'thank', 'love', '']")</f>
        <v>['disappointing', 'thank', 'love', '']</v>
      </c>
      <c r="D12676" s="3">
        <v>5.0</v>
      </c>
    </row>
    <row r="12677" ht="15.75" customHeight="1">
      <c r="A12677" s="1">
        <v>13682.0</v>
      </c>
      <c r="B12677" s="3" t="s">
        <v>12011</v>
      </c>
      <c r="C12677" s="3" t="str">
        <f>IFERROR(__xludf.DUMMYFUNCTION("GOOGLETRANSLATE(B12677,""id"",""en"")"),"['Easy', 'easy', 'check', 'PULA', 'ATT', 'Etc.']")</f>
        <v>['Easy', 'easy', 'check', 'PULA', 'ATT', 'Etc.']</v>
      </c>
      <c r="D12677" s="3">
        <v>5.0</v>
      </c>
    </row>
    <row r="12678" ht="15.75" customHeight="1">
      <c r="A12678" s="1">
        <v>13683.0</v>
      </c>
      <c r="B12678" s="3" t="s">
        <v>12012</v>
      </c>
      <c r="C12678" s="3" t="str">
        <f>IFERROR(__xludf.DUMMYFUNCTION("GOOGLETRANSLATE(B12678,""id"",""en"")"),"['Severe', 'Telkomsel', 'mah']")</f>
        <v>['Severe', 'Telkomsel', 'mah']</v>
      </c>
      <c r="D12678" s="3">
        <v>1.0</v>
      </c>
    </row>
    <row r="12679" ht="15.75" customHeight="1">
      <c r="A12679" s="1">
        <v>13684.0</v>
      </c>
      <c r="B12679" s="3" t="s">
        <v>12013</v>
      </c>
      <c r="C12679" s="3" t="str">
        <f>IFERROR(__xludf.DUMMYFUNCTION("GOOGLETRANSLATE(B12679,""id"",""en"")"),"['service', 'bad', 'user', 'card', 'Hello', 'sorry', 'use', 'card', 'Hello', 'card', 'Hello', 'sorry', ' lifetime', '']")</f>
        <v>['service', 'bad', 'user', 'card', 'Hello', 'sorry', 'use', 'card', 'Hello', 'card', 'Hello', 'sorry', ' lifetime', '']</v>
      </c>
      <c r="D12679" s="3">
        <v>1.0</v>
      </c>
    </row>
    <row r="12680" ht="15.75" customHeight="1">
      <c r="A12680" s="1">
        <v>13685.0</v>
      </c>
      <c r="B12680" s="3" t="s">
        <v>12014</v>
      </c>
      <c r="C12680" s="3" t="str">
        <f>IFERROR(__xludf.DUMMYFUNCTION("GOOGLETRANSLATE(B12680,""id"",""en"")"),"['disorder', 'package', 'doang', 'expensive']")</f>
        <v>['disorder', 'package', 'doang', 'expensive']</v>
      </c>
      <c r="D12680" s="3">
        <v>1.0</v>
      </c>
    </row>
    <row r="12681" ht="15.75" customHeight="1">
      <c r="A12681" s="1">
        <v>13687.0</v>
      </c>
      <c r="B12681" s="3" t="s">
        <v>12015</v>
      </c>
      <c r="C12681" s="3" t="str">
        <f>IFERROR(__xludf.DUMMYFUNCTION("GOOGLETRANSLATE(B12681,""id"",""en"")"),"['Good', 'users', 'Telkomsel', 'want', 'buy', 'package', 'internet', 'cheap', 'internet', '']")</f>
        <v>['Good', 'users', 'Telkomsel', 'want', 'buy', 'package', 'internet', 'cheap', 'internet', '']</v>
      </c>
      <c r="D12681" s="3">
        <v>5.0</v>
      </c>
    </row>
    <row r="12682" ht="15.75" customHeight="1">
      <c r="A12682" s="1">
        <v>13688.0</v>
      </c>
      <c r="B12682" s="3" t="s">
        <v>12016</v>
      </c>
      <c r="C12682" s="3" t="str">
        <f>IFERROR(__xludf.DUMMYFUNCTION("GOOGLETRANSLATE(B12682,""id"",""en"")"),"['Telkomsel', 'Good', 'Ter', 'Superior', 'Operator']")</f>
        <v>['Telkomsel', 'Good', 'Ter', 'Superior', 'Operator']</v>
      </c>
      <c r="D12682" s="3">
        <v>5.0</v>
      </c>
    </row>
    <row r="12683" ht="15.75" customHeight="1">
      <c r="A12683" s="1">
        <v>13690.0</v>
      </c>
      <c r="B12683" s="3" t="s">
        <v>4830</v>
      </c>
      <c r="C12683" s="3" t="str">
        <f>IFERROR(__xludf.DUMMYFUNCTION("GOOGLETRANSLATE(B12683,""id"",""en"")"),"['beneficial', '']")</f>
        <v>['beneficial', '']</v>
      </c>
      <c r="D12683" s="3">
        <v>5.0</v>
      </c>
    </row>
    <row r="12684" ht="15.75" customHeight="1">
      <c r="A12684" s="1">
        <v>13691.0</v>
      </c>
      <c r="B12684" s="3" t="s">
        <v>12017</v>
      </c>
      <c r="C12684" s="3" t="str">
        <f>IFERROR(__xludf.DUMMYFUNCTION("GOOGLETRANSLATE(B12684,""id"",""en"")"),"['Telkomsel', 'Dipelek', 'Severe', '']")</f>
        <v>['Telkomsel', 'Dipelek', 'Severe', '']</v>
      </c>
      <c r="D12684" s="3">
        <v>1.0</v>
      </c>
    </row>
    <row r="12685" ht="15.75" customHeight="1">
      <c r="A12685" s="1">
        <v>13692.0</v>
      </c>
      <c r="B12685" s="3" t="s">
        <v>12018</v>
      </c>
      <c r="C12685" s="3" t="str">
        <f>IFERROR(__xludf.DUMMYFUNCTION("GOOGLETRANSLATE(B12685,""id"",""en"")"),"['Please', 'application', 'Telkomsel', 'product', 'package', 'data', 'unlimited', 'week', 'bored', 'product', 'package', 'data', ' change']")</f>
        <v>['Please', 'application', 'Telkomsel', 'product', 'package', 'data', 'unlimited', 'week', 'bored', 'product', 'package', 'data', ' change']</v>
      </c>
      <c r="D12685" s="3">
        <v>2.0</v>
      </c>
    </row>
    <row r="12686" ht="15.75" customHeight="1">
      <c r="A12686" s="1">
        <v>13693.0</v>
      </c>
      <c r="B12686" s="3" t="s">
        <v>12019</v>
      </c>
      <c r="C12686" s="3" t="str">
        <f>IFERROR(__xludf.DUMMYFUNCTION("GOOGLETRANSLATE(B12686,""id"",""en"")"),"['like', 'service', '']")</f>
        <v>['like', 'service', '']</v>
      </c>
      <c r="D12686" s="3">
        <v>5.0</v>
      </c>
    </row>
    <row r="12687" ht="15.75" customHeight="1">
      <c r="A12687" s="1">
        <v>13694.0</v>
      </c>
      <c r="B12687" s="3" t="s">
        <v>12020</v>
      </c>
      <c r="C12687" s="3" t="str">
        <f>IFERROR(__xludf.DUMMYFUNCTION("GOOGLETRANSLATE(B12687,""id"",""en"")"),"['Slow', 'Sometimes', 'Credit', 'Cut', 'Automatic']")</f>
        <v>['Slow', 'Sometimes', 'Credit', 'Cut', 'Automatic']</v>
      </c>
      <c r="D12687" s="3">
        <v>4.0</v>
      </c>
    </row>
    <row r="12688" ht="15.75" customHeight="1">
      <c r="A12688" s="1">
        <v>13695.0</v>
      </c>
      <c r="B12688" s="3" t="s">
        <v>12021</v>
      </c>
      <c r="C12688" s="3" t="str">
        <f>IFERROR(__xludf.DUMMYFUNCTION("GOOGLETRANSLATE(B12688,""id"",""en"")"),"['Increases', 'Quality', 'Service', 'Success', 'Telkomsel']")</f>
        <v>['Increases', 'Quality', 'Service', 'Success', 'Telkomsel']</v>
      </c>
      <c r="D12688" s="3">
        <v>5.0</v>
      </c>
    </row>
    <row r="12689" ht="15.75" customHeight="1">
      <c r="A12689" s="1">
        <v>13696.0</v>
      </c>
      <c r="B12689" s="3" t="s">
        <v>12022</v>
      </c>
      <c r="C12689" s="3" t="str">
        <f>IFERROR(__xludf.DUMMYFUNCTION("GOOGLETRANSLATE(B12689,""id"",""en"")"),"['Increase', 'Service', 'Satisfaction', 'Customer', '']")</f>
        <v>['Increase', 'Service', 'Satisfaction', 'Customer', '']</v>
      </c>
      <c r="D12689" s="3">
        <v>5.0</v>
      </c>
    </row>
    <row r="12690" ht="15.75" customHeight="1">
      <c r="A12690" s="1">
        <v>13697.0</v>
      </c>
      <c r="B12690" s="3" t="s">
        <v>12023</v>
      </c>
      <c r="C12690" s="3" t="str">
        <f>IFERROR(__xludf.DUMMYFUNCTION("GOOGLETRANSLATE(B12690,""id"",""en"")"),"['like', 'good']")</f>
        <v>['like', 'good']</v>
      </c>
      <c r="D12690" s="3">
        <v>5.0</v>
      </c>
    </row>
    <row r="12691" ht="15.75" customHeight="1">
      <c r="A12691" s="1">
        <v>13699.0</v>
      </c>
      <c r="B12691" s="3" t="s">
        <v>12024</v>
      </c>
      <c r="C12691" s="3" t="str">
        <f>IFERROR(__xludf.DUMMYFUNCTION("GOOGLETRANSLATE(B12691,""id"",""en"")"),"['Sangar', 'satisfying']")</f>
        <v>['Sangar', 'satisfying']</v>
      </c>
      <c r="D12691" s="3">
        <v>5.0</v>
      </c>
    </row>
    <row r="12692" ht="15.75" customHeight="1">
      <c r="A12692" s="1">
        <v>13700.0</v>
      </c>
      <c r="B12692" s="3" t="s">
        <v>12025</v>
      </c>
      <c r="C12692" s="3" t="str">
        <f>IFERROR(__xludf.DUMMYFUNCTION("GOOGLETRANSLATE(B12692,""id"",""en"")"),"['Pitur', 'Key', 'Credit', 'Buy', 'Package', 'Pulse', 'Already', 'Out', 'Eat', 'Telkomsel', 'Rich', 'Search', ' Advantages', 'Keyaya', 'customer']")</f>
        <v>['Pitur', 'Key', 'Credit', 'Buy', 'Package', 'Pulse', 'Already', 'Out', 'Eat', 'Telkomsel', 'Rich', 'Search', ' Advantages', 'Keyaya', 'customer']</v>
      </c>
      <c r="D12692" s="3">
        <v>1.0</v>
      </c>
    </row>
    <row r="12693" ht="15.75" customHeight="1">
      <c r="A12693" s="1">
        <v>13701.0</v>
      </c>
      <c r="B12693" s="3" t="s">
        <v>12026</v>
      </c>
      <c r="C12693" s="3" t="str">
        <f>IFERROR(__xludf.DUMMYFUNCTION("GOOGLETRANSLATE(B12693,""id"",""en"")"),"['signal', 'Jngn', 'expensive', 'Doang', 'good', 'network', 'buy', 'quota', 'money', 'leaves',' already ',' that's', ' Like ',' Cut ',' Fill ',' Pulse ',' Mimin ',' Sad ',' Try ',' Setting ',' Manual ',' Tetep ',' Complaint ',' Good ',' Fix ' , 'bad', '']")</f>
        <v>['signal', 'Jngn', 'expensive', 'Doang', 'good', 'network', 'buy', 'quota', 'money', 'leaves',' already ',' that's', ' Like ',' Cut ',' Fill ',' Pulse ',' Mimin ',' Sad ',' Try ',' Setting ',' Manual ',' Tetep ',' Complaint ',' Good ',' Fix ' , 'bad', '']</v>
      </c>
      <c r="D12693" s="3">
        <v>1.0</v>
      </c>
    </row>
    <row r="12694" ht="15.75" customHeight="1">
      <c r="A12694" s="1">
        <v>13702.0</v>
      </c>
      <c r="B12694" s="3" t="s">
        <v>12027</v>
      </c>
      <c r="C12694" s="3" t="str">
        <f>IFERROR(__xludf.DUMMYFUNCTION("GOOGLETRANSLATE(B12694,""id"",""en"")"),"['APK', 'Easy to']")</f>
        <v>['APK', 'Easy to']</v>
      </c>
      <c r="D12694" s="3">
        <v>5.0</v>
      </c>
    </row>
    <row r="12695" ht="15.75" customHeight="1">
      <c r="A12695" s="1">
        <v>13703.0</v>
      </c>
      <c r="B12695" s="3" t="s">
        <v>12028</v>
      </c>
      <c r="C12695" s="3" t="str">
        <f>IFERROR(__xludf.DUMMYFUNCTION("GOOGLETRANSLATE(B12695,""id"",""en"")"),"['application', 'makes it easy', 'package', 'murahh']")</f>
        <v>['application', 'makes it easy', 'package', 'murahh']</v>
      </c>
      <c r="D12695" s="3">
        <v>5.0</v>
      </c>
    </row>
    <row r="12696" ht="15.75" customHeight="1">
      <c r="A12696" s="1">
        <v>13704.0</v>
      </c>
      <c r="B12696" s="3" t="s">
        <v>12029</v>
      </c>
      <c r="C12696" s="3" t="str">
        <f>IFERROR(__xludf.DUMMYFUNCTION("GOOGLETRANSLATE(B12696,""id"",""en"")"),"['Nice', 'promo']")</f>
        <v>['Nice', 'promo']</v>
      </c>
      <c r="D12696" s="3">
        <v>5.0</v>
      </c>
    </row>
    <row r="12697" ht="15.75" customHeight="1">
      <c r="A12697" s="1">
        <v>13705.0</v>
      </c>
      <c r="B12697" s="3" t="s">
        <v>12030</v>
      </c>
      <c r="C12697" s="3" t="str">
        <f>IFERROR(__xludf.DUMMYFUNCTION("GOOGLETRANSLATE(B12697,""id"",""en"")"),"['Package', 'Forgot', 'Extend', 'Amsyong', 'Direct', 'Rb', 'Cut', '']")</f>
        <v>['Package', 'Forgot', 'Extend', 'Amsyong', 'Direct', 'Rb', 'Cut', '']</v>
      </c>
      <c r="D12697" s="3">
        <v>1.0</v>
      </c>
    </row>
    <row r="12698" ht="15.75" customHeight="1">
      <c r="A12698" s="1">
        <v>13706.0</v>
      </c>
      <c r="B12698" s="3" t="s">
        <v>12031</v>
      </c>
      <c r="C12698" s="3" t="str">
        <f>IFERROR(__xludf.DUMMYFUNCTION("GOOGLETRANSLATE(B12698,""id"",""en"")"),"['Credit', 'SLLU', 'Take', 'Pdhl', 'Paketan', 'Full', 'Ask', 'Sampe', 'Change', 'Card', 'Gara', 'Maling', ' Onlein ']")</f>
        <v>['Credit', 'SLLU', 'Take', 'Pdhl', 'Paketan', 'Full', 'Ask', 'Sampe', 'Change', 'Card', 'Gara', 'Maling', ' Onlein ']</v>
      </c>
      <c r="D12698" s="3">
        <v>1.0</v>
      </c>
    </row>
    <row r="12699" ht="15.75" customHeight="1">
      <c r="A12699" s="1">
        <v>13708.0</v>
      </c>
      <c r="B12699" s="3" t="s">
        <v>12032</v>
      </c>
      <c r="C12699" s="3" t="str">
        <f>IFERROR(__xludf.DUMMYFUNCTION("GOOGLETRANSLATE(B12699,""id"",""en"")"),"['Please', 'Fix', 'Network', 'Sanur', 'Deket', 'Beach', 'Mertasari', 'Sanur', 'Denpasar', 'Bali', 'users',' loyal ',' Telkomsel ',' connection ',' area ',' home ',' ugly ',' really ',' need ',' connection ',' smooth ',' because ',' child ',' education ','"&amp;" online ' , 'requires',' use ',' application ',' zoom ',' application ',' learn ',' smooth ',' already ',' slow ',' connection ',' sorry ',' thank ',' love']")</f>
        <v>['Please', 'Fix', 'Network', 'Sanur', 'Deket', 'Beach', 'Mertasari', 'Sanur', 'Denpasar', 'Bali', 'users',' loyal ',' Telkomsel ',' connection ',' area ',' home ',' ugly ',' really ',' need ',' connection ',' smooth ',' because ',' child ',' education ',' online ' , 'requires',' use ',' application ',' zoom ',' application ',' learn ',' smooth ',' already ',' slow ',' connection ',' sorry ',' thank ',' love']</v>
      </c>
      <c r="D12699" s="3">
        <v>3.0</v>
      </c>
    </row>
    <row r="12700" ht="15.75" customHeight="1">
      <c r="A12700" s="1">
        <v>13709.0</v>
      </c>
      <c r="B12700" s="3" t="s">
        <v>48</v>
      </c>
      <c r="C12700" s="3" t="str">
        <f>IFERROR(__xludf.DUMMYFUNCTION("GOOGLETRANSLATE(B12700,""id"",""en"")"),"['Cool', 'Good']")</f>
        <v>['Cool', 'Good']</v>
      </c>
      <c r="D12700" s="3">
        <v>5.0</v>
      </c>
    </row>
    <row r="12701" ht="15.75" customHeight="1">
      <c r="A12701" s="1">
        <v>13710.0</v>
      </c>
      <c r="B12701" s="3" t="s">
        <v>12033</v>
      </c>
      <c r="C12701" s="3" t="str">
        <f>IFERROR(__xludf.DUMMYFUNCTION("GOOGLETRANSLATE(B12701,""id"",""en"")"),"['knp', 'stlh', 'download', 'open', 'come on', 'telkomsel', 'play', 'rise', 'spirit']")</f>
        <v>['knp', 'stlh', 'download', 'open', 'come on', 'telkomsel', 'play', 'rise', 'spirit']</v>
      </c>
      <c r="D12701" s="3">
        <v>1.0</v>
      </c>
    </row>
    <row r="12702" ht="15.75" customHeight="1">
      <c r="A12702" s="1">
        <v>13711.0</v>
      </c>
      <c r="B12702" s="3" t="s">
        <v>7100</v>
      </c>
      <c r="C12702" s="3" t="str">
        <f>IFERROR(__xludf.DUMMYFUNCTION("GOOGLETRANSLATE(B12702,""id"",""en"")"),"['Steady', 'signal']")</f>
        <v>['Steady', 'signal']</v>
      </c>
      <c r="D12702" s="3">
        <v>5.0</v>
      </c>
    </row>
    <row r="12703" ht="15.75" customHeight="1">
      <c r="A12703" s="1">
        <v>13712.0</v>
      </c>
      <c r="B12703" s="3" t="s">
        <v>12034</v>
      </c>
      <c r="C12703" s="3" t="str">
        <f>IFERROR(__xludf.DUMMYFUNCTION("GOOGLETRANSLATE(B12703,""id"",""en"")"),"['admin', 'Please', 'Restore', 'Credit', 'Message', 'Telkomsel', 'Date', 'November', 'Get', 'Credit', 'Credit', 'Package', ' Kring ',' Kring ',' Clock ',' Tsel ',' MNT ',' OPR ',' IDR ',' Buy ',' Tsel ',' Kring ',' Info ',' Tsel ',' PBR ' , 'SKB', 'bought"&amp;"', 'pulse', 'Package', 'strange', 'pulse', 'search', 'info', 'number', 'program', 'implemented', 'period' August ',' October ',' strange ',' Message ',' Sekaran ']")</f>
        <v>['admin', 'Please', 'Restore', 'Credit', 'Message', 'Telkomsel', 'Date', 'November', 'Get', 'Credit', 'Credit', 'Package', ' Kring ',' Kring ',' Clock ',' Tsel ',' MNT ',' OPR ',' IDR ',' Buy ',' Tsel ',' Kring ',' Info ',' Tsel ',' PBR ' , 'SKB', 'bought', 'pulse', 'Package', 'strange', 'pulse', 'search', 'info', 'number', 'program', 'implemented', 'period' August ',' October ',' strange ',' Message ',' Sekaran ']</v>
      </c>
      <c r="D12703" s="3">
        <v>1.0</v>
      </c>
    </row>
    <row r="12704" ht="15.75" customHeight="1">
      <c r="A12704" s="1">
        <v>13713.0</v>
      </c>
      <c r="B12704" s="3" t="s">
        <v>12035</v>
      </c>
      <c r="C12704" s="3" t="str">
        <f>IFERROR(__xludf.DUMMYFUNCTION("GOOGLETRANSLATE(B12704,""id"",""en"")"),"['Telkomsel', 'Severe', 'stable', 'sudden', ""]")</f>
        <v>['Telkomsel', 'Severe', 'stable', 'sudden', "]</v>
      </c>
      <c r="D12704" s="3">
        <v>1.0</v>
      </c>
    </row>
    <row r="12705" ht="15.75" customHeight="1">
      <c r="A12705" s="1">
        <v>13715.0</v>
      </c>
      <c r="B12705" s="3" t="s">
        <v>12036</v>
      </c>
      <c r="C12705" s="3" t="str">
        <f>IFERROR(__xludf.DUMMYFUNCTION("GOOGLETRANSLATE(B12705,""id"",""en"")"),"['application', 'heavy', 'slow', 'open', ""]")</f>
        <v>['application', 'heavy', 'slow', 'open', "]</v>
      </c>
      <c r="D12705" s="3">
        <v>1.0</v>
      </c>
    </row>
    <row r="12706" ht="15.75" customHeight="1">
      <c r="A12706" s="1">
        <v>13716.0</v>
      </c>
      <c r="B12706" s="3" t="s">
        <v>677</v>
      </c>
      <c r="C12706" s="3" t="str">
        <f>IFERROR(__xludf.DUMMYFUNCTION("GOOGLETRANSLATE(B12706,""id"",""en"")"),"['Telkomsel']")</f>
        <v>['Telkomsel']</v>
      </c>
      <c r="D12706" s="3">
        <v>5.0</v>
      </c>
    </row>
    <row r="12707" ht="15.75" customHeight="1">
      <c r="A12707" s="1">
        <v>13717.0</v>
      </c>
      <c r="B12707" s="3" t="s">
        <v>12037</v>
      </c>
      <c r="C12707" s="3" t="str">
        <f>IFERROR(__xludf.DUMMYFUNCTION("GOOGLETRANSLATE(B12707,""id"",""en"")"),"['signal', 'internet', 'sympathy', 'stable', 'play', 'signal', 'ilang', 'eak', 'aaah', 'play', 'game', 'online' Lost ',' trs']")</f>
        <v>['signal', 'internet', 'sympathy', 'stable', 'play', 'signal', 'ilang', 'eak', 'aaah', 'play', 'game', 'online' Lost ',' trs']</v>
      </c>
      <c r="D12707" s="3">
        <v>1.0</v>
      </c>
    </row>
    <row r="12708" ht="15.75" customHeight="1">
      <c r="A12708" s="1">
        <v>13718.0</v>
      </c>
      <c r="B12708" s="3" t="s">
        <v>12038</v>
      </c>
      <c r="C12708" s="3" t="str">
        <f>IFERROR(__xludf.DUMMYFUNCTION("GOOGLETRANSLATE(B12708,""id"",""en"")"),"['sympathy', 'signal', 'here', 'bad', 'stay', 'bekasi', 'college', 'difficult', 'disappointed', 'really', 'oath', ""]")</f>
        <v>['sympathy', 'signal', 'here', 'bad', 'stay', 'bekasi', 'college', 'difficult', 'disappointed', 'really', 'oath', "]</v>
      </c>
      <c r="D12708" s="3">
        <v>1.0</v>
      </c>
    </row>
    <row r="12709" ht="15.75" customHeight="1">
      <c r="A12709" s="1">
        <v>13719.0</v>
      </c>
      <c r="B12709" s="3" t="s">
        <v>12039</v>
      </c>
      <c r="C12709" s="3" t="str">
        <f>IFERROR(__xludf.DUMMYFUNCTION("GOOGLETRANSLATE(B12709,""id"",""en"")"),"['Easy', 'Helpful']")</f>
        <v>['Easy', 'Helpful']</v>
      </c>
      <c r="D12709" s="3">
        <v>5.0</v>
      </c>
    </row>
    <row r="12710" ht="15.75" customHeight="1">
      <c r="A12710" s="1">
        <v>13720.0</v>
      </c>
      <c r="B12710" s="3" t="s">
        <v>12040</v>
      </c>
      <c r="C12710" s="3" t="str">
        <f>IFERROR(__xludf.DUMMYFUNCTION("GOOGLETRANSLATE(B12710,""id"",""en"")"),"['Hopefully', 'innovate', 'stop']")</f>
        <v>['Hopefully', 'innovate', 'stop']</v>
      </c>
      <c r="D12710" s="3">
        <v>5.0</v>
      </c>
    </row>
    <row r="12711" ht="15.75" customHeight="1">
      <c r="A12711" s="1">
        <v>13722.0</v>
      </c>
      <c r="B12711" s="3" t="s">
        <v>12041</v>
      </c>
      <c r="C12711" s="3" t="str">
        <f>IFERROR(__xludf.DUMMYFUNCTION("GOOGLETRANSLATE(B12711,""id"",""en"")"),"['expensive', 'signal', 'ugly', 'then', 'package', 'fast', 'run out']")</f>
        <v>['expensive', 'signal', 'ugly', 'then', 'package', 'fast', 'run out']</v>
      </c>
      <c r="D12711" s="3">
        <v>3.0</v>
      </c>
    </row>
    <row r="12712" ht="15.75" customHeight="1">
      <c r="A12712" s="1">
        <v>13723.0</v>
      </c>
      <c r="B12712" s="3" t="s">
        <v>734</v>
      </c>
      <c r="C12712" s="3" t="str">
        <f>IFERROR(__xludf.DUMMYFUNCTION("GOOGLETRANSLATE(B12712,""id"",""en"")"),"['bad']")</f>
        <v>['bad']</v>
      </c>
      <c r="D12712" s="3">
        <v>1.0</v>
      </c>
    </row>
    <row r="12713" ht="15.75" customHeight="1">
      <c r="A12713" s="1">
        <v>13724.0</v>
      </c>
      <c r="B12713" s="3" t="s">
        <v>12042</v>
      </c>
      <c r="C12713" s="3" t="str">
        <f>IFERROR(__xludf.DUMMYFUNCTION("GOOGLETRANSLATE(B12713,""id"",""en"")"),"['Karna', 'fun']")</f>
        <v>['Karna', 'fun']</v>
      </c>
      <c r="D12713" s="3">
        <v>2.0</v>
      </c>
    </row>
    <row r="12714" ht="15.75" customHeight="1">
      <c r="A12714" s="1">
        <v>13725.0</v>
      </c>
      <c r="B12714" s="3" t="s">
        <v>12043</v>
      </c>
      <c r="C12714" s="3" t="str">
        <f>IFERROR(__xludf.DUMMYFUNCTION("GOOGLETRANSLATE(B12714,""id"",""en"")"),"['Card', 'Unlimitid', 'Max', 'Severe', 'Bener', 'Taste', 'Child', 'Tiriin', 'Cave']")</f>
        <v>['Card', 'Unlimitid', 'Max', 'Severe', 'Bener', 'Taste', 'Child', 'Tiriin', 'Cave']</v>
      </c>
      <c r="D12714" s="3">
        <v>1.0</v>
      </c>
    </row>
    <row r="12715" ht="15.75" customHeight="1">
      <c r="A12715" s="1">
        <v>13726.0</v>
      </c>
      <c r="B12715" s="3" t="s">
        <v>12044</v>
      </c>
      <c r="C12715" s="3" t="str">
        <f>IFERROR(__xludf.DUMMYFUNCTION("GOOGLETRANSLATE(B12715,""id"",""en"")"),"['promo', 'manyin', 'again']")</f>
        <v>['promo', 'manyin', 'again']</v>
      </c>
      <c r="D12715" s="3">
        <v>5.0</v>
      </c>
    </row>
    <row r="12716" ht="15.75" customHeight="1">
      <c r="A12716" s="1">
        <v>13727.0</v>
      </c>
      <c r="B12716" s="3" t="s">
        <v>12045</v>
      </c>
      <c r="C12716" s="3" t="str">
        <f>IFERROR(__xludf.DUMMYFUNCTION("GOOGLETRANSLATE(B12716,""id"",""en"")"),"['Wrong', 'best']")</f>
        <v>['Wrong', 'best']</v>
      </c>
      <c r="D12716" s="3">
        <v>5.0</v>
      </c>
    </row>
    <row r="12717" ht="15.75" customHeight="1">
      <c r="A12717" s="1">
        <v>13728.0</v>
      </c>
      <c r="B12717" s="3" t="s">
        <v>12046</v>
      </c>
      <c r="C12717" s="3" t="str">
        <f>IFERROR(__xludf.DUMMYFUNCTION("GOOGLETRANSLATE(B12717,""id"",""en"")"),"['Application', 'MyTelkomsel', 'Tida', 'opened', 'failed', 'entered', 'keeps', 'please', 'help', 'related']")</f>
        <v>['Application', 'MyTelkomsel', 'Tida', 'opened', 'failed', 'entered', 'keeps', 'please', 'help', 'related']</v>
      </c>
      <c r="D12717" s="3">
        <v>3.0</v>
      </c>
    </row>
    <row r="12718" ht="15.75" customHeight="1">
      <c r="A12718" s="1">
        <v>13729.0</v>
      </c>
      <c r="B12718" s="3" t="s">
        <v>12047</v>
      </c>
      <c r="C12718" s="3" t="str">
        <f>IFERROR(__xludf.DUMMYFUNCTION("GOOGLETRANSLATE(B12718,""id"",""en"")"),"['Satisfied', 'Internet', 'Merkuk', 'Telkomsel']")</f>
        <v>['Satisfied', 'Internet', 'Merkuk', 'Telkomsel']</v>
      </c>
      <c r="D12718" s="3">
        <v>5.0</v>
      </c>
    </row>
    <row r="12719" ht="15.75" customHeight="1">
      <c r="A12719" s="1">
        <v>13730.0</v>
      </c>
      <c r="B12719" s="3" t="s">
        <v>12048</v>
      </c>
      <c r="C12719" s="3" t="str">
        <f>IFERROR(__xludf.DUMMYFUNCTION("GOOGLETRANSLATE(B12719,""id"",""en"")"),"['Promo', 'easy']")</f>
        <v>['Promo', 'easy']</v>
      </c>
      <c r="D12719" s="3">
        <v>4.0</v>
      </c>
    </row>
    <row r="12720" ht="15.75" customHeight="1">
      <c r="A12720" s="1">
        <v>13733.0</v>
      </c>
      <c r="B12720" s="3" t="s">
        <v>12049</v>
      </c>
      <c r="C12720" s="3" t="str">
        <f>IFERROR(__xludf.DUMMYFUNCTION("GOOGLETRANSLATE(B12720,""id"",""en"")"),"['fares', 'expensive', 'difficult', 'signal', 'download', 'app', 'difficult', 'signal', 'full', 'fix', 'quality', '']")</f>
        <v>['fares', 'expensive', 'difficult', 'signal', 'download', 'app', 'difficult', 'signal', 'full', 'fix', 'quality', '']</v>
      </c>
      <c r="D12720" s="3">
        <v>1.0</v>
      </c>
    </row>
    <row r="12721" ht="15.75" customHeight="1">
      <c r="A12721" s="1">
        <v>13734.0</v>
      </c>
      <c r="B12721" s="3" t="s">
        <v>12050</v>
      </c>
      <c r="C12721" s="3" t="str">
        <f>IFERROR(__xludf.DUMMYFUNCTION("GOOGLETRANSLATE(B12721,""id"",""en"")"),"['Sometimes', 'signal', 'internet', 'missing', 'quota', 'quota']")</f>
        <v>['Sometimes', 'signal', 'internet', 'missing', 'quota', 'quota']</v>
      </c>
      <c r="D12721" s="3">
        <v>3.0</v>
      </c>
    </row>
    <row r="12722" ht="15.75" customHeight="1">
      <c r="A12722" s="1">
        <v>13735.0</v>
      </c>
      <c r="B12722" s="3" t="s">
        <v>12051</v>
      </c>
      <c r="C12722" s="3" t="str">
        <f>IFERROR(__xludf.DUMMYFUNCTION("GOOGLETRANSLATE(B12722,""id"",""en"")"),"['Login', 'Network', 'Cikarang', 'South', 'ugly']")</f>
        <v>['Login', 'Network', 'Cikarang', 'South', 'ugly']</v>
      </c>
      <c r="D12722" s="3">
        <v>1.0</v>
      </c>
    </row>
    <row r="12723" ht="15.75" customHeight="1">
      <c r="A12723" s="1">
        <v>13736.0</v>
      </c>
      <c r="B12723" s="3" t="s">
        <v>12052</v>
      </c>
      <c r="C12723" s="3" t="str">
        <f>IFERROR(__xludf.DUMMYFUNCTION("GOOGLETRANSLATE(B12723,""id"",""en"")"),"['like', 'buy', 'package', 'internet', 'dumped', 'practical', 'fast', 'Thanks', 'Telkomsel']")</f>
        <v>['like', 'buy', 'package', 'internet', 'dumped', 'practical', 'fast', 'Thanks', 'Telkomsel']</v>
      </c>
      <c r="D12723" s="3">
        <v>5.0</v>
      </c>
    </row>
    <row r="12724" ht="15.75" customHeight="1">
      <c r="A12724" s="1">
        <v>13737.0</v>
      </c>
      <c r="B12724" s="3" t="s">
        <v>12053</v>
      </c>
      <c r="C12724" s="3" t="str">
        <f>IFERROR(__xludf.DUMMYFUNCTION("GOOGLETRANSLATE(B12724,""id"",""en"")"),"['installed', 'position', 'Android', '']")</f>
        <v>['installed', 'position', 'Android', '']</v>
      </c>
      <c r="D12724" s="3">
        <v>4.0</v>
      </c>
    </row>
    <row r="12725" ht="15.75" customHeight="1">
      <c r="A12725" s="1">
        <v>13738.0</v>
      </c>
      <c r="B12725" s="3" t="s">
        <v>12054</v>
      </c>
      <c r="C12725" s="3" t="str">
        <f>IFERROR(__xludf.DUMMYFUNCTION("GOOGLETRANSLATE(B12725,""id"",""en"")"),"['miscapeee', 'application']")</f>
        <v>['miscapeee', 'application']</v>
      </c>
      <c r="D12725" s="3">
        <v>1.0</v>
      </c>
    </row>
    <row r="12726" ht="15.75" customHeight="1">
      <c r="A12726" s="1">
        <v>13739.0</v>
      </c>
      <c r="B12726" s="3" t="s">
        <v>12055</v>
      </c>
      <c r="C12726" s="3" t="str">
        <f>IFERROR(__xludf.DUMMYFUNCTION("GOOGLETRANSLATE(B12726,""id"",""en"")"),"['Enhanced', 'simple', 'hope', 'rates', 'down']")</f>
        <v>['Enhanced', 'simple', 'hope', 'rates', 'down']</v>
      </c>
      <c r="D12726" s="3">
        <v>3.0</v>
      </c>
    </row>
    <row r="12727" ht="15.75" customHeight="1">
      <c r="A12727" s="1">
        <v>13740.0</v>
      </c>
      <c r="B12727" s="3" t="s">
        <v>12056</v>
      </c>
      <c r="C12727" s="3" t="str">
        <f>IFERROR(__xludf.DUMMYFUNCTION("GOOGLETRANSLATE(B12727,""id"",""en"")"),"['package', 'internet', 'expensive', 'according to', 'quality', 'network', 'internet', 'satisfying', 'thank you', 'disappointing']")</f>
        <v>['package', 'internet', 'expensive', 'according to', 'quality', 'network', 'internet', 'satisfying', 'thank you', 'disappointing']</v>
      </c>
      <c r="D12727" s="3">
        <v>1.0</v>
      </c>
    </row>
    <row r="12728" ht="15.75" customHeight="1">
      <c r="A12728" s="1">
        <v>13741.0</v>
      </c>
      <c r="B12728" s="3" t="s">
        <v>12057</v>
      </c>
      <c r="C12728" s="3" t="str">
        <f>IFERROR(__xludf.DUMMYFUNCTION("GOOGLETRANSLATE(B12728,""id"",""en"")"),"['Application', 'worn', 'buy', 'package', 'pulseku', 'pulseku', 'drained', 'please', 'yaa', 'repaired', 'kayak', 'updated', ' bad']")</f>
        <v>['Application', 'worn', 'buy', 'package', 'pulseku', 'pulseku', 'drained', 'please', 'yaa', 'repaired', 'kayak', 'updated', ' bad']</v>
      </c>
      <c r="D12728" s="3">
        <v>1.0</v>
      </c>
    </row>
    <row r="12729" ht="15.75" customHeight="1">
      <c r="A12729" s="1">
        <v>13745.0</v>
      </c>
      <c r="B12729" s="3" t="s">
        <v>12058</v>
      </c>
      <c r="C12729" s="3" t="str">
        <f>IFERROR(__xludf.DUMMYFUNCTION("GOOGLETRANSLATE(B12729,""id"",""en"")"),"['Sip', 'Network', 'Sampe', 'Down']")</f>
        <v>['Sip', 'Network', 'Sampe', 'Down']</v>
      </c>
      <c r="D12729" s="3">
        <v>5.0</v>
      </c>
    </row>
    <row r="12730" ht="15.75" customHeight="1">
      <c r="A12730" s="1">
        <v>13746.0</v>
      </c>
      <c r="B12730" s="3" t="s">
        <v>12059</v>
      </c>
      <c r="C12730" s="3" t="str">
        <f>IFERROR(__xludf.DUMMYFUNCTION("GOOGLETRANSLATE(B12730,""id"",""en"")"),"['application', 'good', 'help', 'makes it easy', 'customers', 'Telkomsel']")</f>
        <v>['application', 'good', 'help', 'makes it easy', 'customers', 'Telkomsel']</v>
      </c>
      <c r="D12730" s="3">
        <v>5.0</v>
      </c>
    </row>
    <row r="12731" ht="15.75" customHeight="1">
      <c r="A12731" s="1">
        <v>13747.0</v>
      </c>
      <c r="B12731" s="3" t="s">
        <v>12060</v>
      </c>
      <c r="C12731" s="3" t="str">
        <f>IFERROR(__xludf.DUMMYFUNCTION("GOOGLETRANSLATE(B12731,""id"",""en"")"),"['Lally', 'promo', '']")</f>
        <v>['Lally', 'promo', '']</v>
      </c>
      <c r="D12731" s="3">
        <v>5.0</v>
      </c>
    </row>
    <row r="12732" ht="15.75" customHeight="1">
      <c r="A12732" s="1">
        <v>13748.0</v>
      </c>
      <c r="B12732" s="3" t="s">
        <v>12061</v>
      </c>
      <c r="C12732" s="3" t="str">
        <f>IFERROR(__xludf.DUMMYFUNCTION("GOOGLETRANSLATE(B12732,""id"",""en"")"),"['Cool', 'steady']")</f>
        <v>['Cool', 'steady']</v>
      </c>
      <c r="D12732" s="3">
        <v>5.0</v>
      </c>
    </row>
    <row r="12733" ht="15.75" customHeight="1">
      <c r="A12733" s="1">
        <v>13749.0</v>
      </c>
      <c r="B12733" s="3" t="s">
        <v>12062</v>
      </c>
      <c r="C12733" s="3" t="str">
        <f>IFERROR(__xludf.DUMMYFUNCTION("GOOGLETRANSLATE(B12733,""id"",""en"")"),"['Knpa', 'defulses', 'coin', 'telephone', 'free', ""]")</f>
        <v>['Knpa', 'defulses', 'coin', 'telephone', 'free', "]</v>
      </c>
      <c r="D12733" s="3">
        <v>5.0</v>
      </c>
    </row>
    <row r="12734" ht="15.75" customHeight="1">
      <c r="A12734" s="1">
        <v>13751.0</v>
      </c>
      <c r="B12734" s="3" t="s">
        <v>11470</v>
      </c>
      <c r="C12734" s="3" t="str">
        <f>IFERROR(__xludf.DUMMYFUNCTION("GOOGLETRANSLATE(B12734,""id"",""en"")"),"['Hopefully', 'Good']")</f>
        <v>['Hopefully', 'Good']</v>
      </c>
      <c r="D12734" s="3">
        <v>5.0</v>
      </c>
    </row>
    <row r="12735" ht="15.75" customHeight="1">
      <c r="A12735" s="1">
        <v>13752.0</v>
      </c>
      <c r="B12735" s="3" t="s">
        <v>286</v>
      </c>
      <c r="C12735" s="3" t="str">
        <f>IFERROR(__xludf.DUMMYFUNCTION("GOOGLETRANSLATE(B12735,""id"",""en"")"),"['good']")</f>
        <v>['good']</v>
      </c>
      <c r="D12735" s="3">
        <v>5.0</v>
      </c>
    </row>
    <row r="12736" ht="15.75" customHeight="1">
      <c r="A12736" s="1">
        <v>13753.0</v>
      </c>
      <c r="B12736" s="3" t="s">
        <v>12063</v>
      </c>
      <c r="C12736" s="3" t="str">
        <f>IFERROR(__xludf.DUMMYFUNCTION("GOOGLETRANSLATE(B12736,""id"",""en"")"),"['buy', 'brp', 'giga', 'masi', 'lagging', 'pdhl', 'jakarta', '']")</f>
        <v>['buy', 'brp', 'giga', 'masi', 'lagging', 'pdhl', 'jakarta', '']</v>
      </c>
      <c r="D12736" s="3">
        <v>1.0</v>
      </c>
    </row>
    <row r="12737" ht="15.75" customHeight="1">
      <c r="A12737" s="1">
        <v>13754.0</v>
      </c>
      <c r="B12737" s="3" t="s">
        <v>12064</v>
      </c>
      <c r="C12737" s="3" t="str">
        <f>IFERROR(__xludf.DUMMYFUNCTION("GOOGLETRANSLATE(B12737,""id"",""en"")"),"['signal', 'ugly', 'internet', 'slow']")</f>
        <v>['signal', 'ugly', 'internet', 'slow']</v>
      </c>
      <c r="D12737" s="3">
        <v>2.0</v>
      </c>
    </row>
    <row r="12738" ht="15.75" customHeight="1">
      <c r="A12738" s="1">
        <v>13755.0</v>
      </c>
      <c r="B12738" s="3" t="s">
        <v>12065</v>
      </c>
      <c r="C12738" s="3" t="str">
        <f>IFERROR(__xludf.DUMMYFUNCTION("GOOGLETRANSLATE(B12738,""id"",""en"")"),"['The', 'Best', 'staple', 'love', 'cheap', 'cheap', '']")</f>
        <v>['The', 'Best', 'staple', 'love', 'cheap', 'cheap', '']</v>
      </c>
      <c r="D12738" s="3">
        <v>1.0</v>
      </c>
    </row>
    <row r="12739" ht="15.75" customHeight="1">
      <c r="A12739" s="1">
        <v>13756.0</v>
      </c>
      <c r="B12739" s="3" t="s">
        <v>12066</v>
      </c>
      <c r="C12739" s="3" t="str">
        <f>IFERROR(__xludf.DUMMYFUNCTION("GOOGLETRANSLATE(B12739,""id"",""en"")"),"['Santaplah', 'Anyway']")</f>
        <v>['Santaplah', 'Anyway']</v>
      </c>
      <c r="D12739" s="3">
        <v>5.0</v>
      </c>
    </row>
    <row r="12740" ht="15.75" customHeight="1">
      <c r="A12740" s="1">
        <v>13757.0</v>
      </c>
      <c r="B12740" s="3" t="s">
        <v>12067</v>
      </c>
      <c r="C12740" s="3" t="str">
        <f>IFERROR(__xludf.DUMMYFUNCTION("GOOGLETRANSLATE(B12740,""id"",""en"")"),"['Help', 'easy', 'understand', ""]")</f>
        <v>['Help', 'easy', 'understand', "]</v>
      </c>
      <c r="D12740" s="3">
        <v>5.0</v>
      </c>
    </row>
    <row r="12741" ht="15.75" customHeight="1">
      <c r="A12741" s="1">
        <v>13758.0</v>
      </c>
      <c r="B12741" s="3" t="s">
        <v>1855</v>
      </c>
      <c r="C12741" s="3" t="str">
        <f>IFERROR(__xludf.DUMMYFUNCTION("GOOGLETRANSLATE(B12741,""id"",""en"")"),"['star']")</f>
        <v>['star']</v>
      </c>
      <c r="D12741" s="3">
        <v>3.0</v>
      </c>
    </row>
    <row r="12742" ht="15.75" customHeight="1">
      <c r="A12742" s="1">
        <v>13759.0</v>
      </c>
      <c r="B12742" s="3" t="s">
        <v>12068</v>
      </c>
      <c r="C12742" s="3" t="str">
        <f>IFERROR(__xludf.DUMMYFUNCTION("GOOGLETRANSLATE(B12742,""id"",""en"")"),"['network', 'slow', 'bgs',' use ',' udh ',' that's', 'network', 'unlimited', 'gka', 'good', 'combo', 'max', ' unlimited ',' hold ',' quota ',' internet ',' main ',' suck ',' first ',' ']")</f>
        <v>['network', 'slow', 'bgs',' use ',' udh ',' that's', 'network', 'unlimited', 'gka', 'good', 'combo', 'max', ' unlimited ',' hold ',' quota ',' internet ',' main ',' suck ',' first ',' ']</v>
      </c>
      <c r="D12742" s="3">
        <v>2.0</v>
      </c>
    </row>
    <row r="12743" ht="15.75" customHeight="1">
      <c r="A12743" s="1">
        <v>13760.0</v>
      </c>
      <c r="B12743" s="3" t="s">
        <v>12069</v>
      </c>
      <c r="C12743" s="3" t="str">
        <f>IFERROR(__xludf.DUMMYFUNCTION("GOOGLETRANSLATE(B12743,""id"",""en"")"),"['Telkomsel', 'slow', 'use', 'card', 'Hello', 'please', 'repair']")</f>
        <v>['Telkomsel', 'slow', 'use', 'card', 'Hello', 'please', 'repair']</v>
      </c>
      <c r="D12743" s="3">
        <v>3.0</v>
      </c>
    </row>
    <row r="12744" ht="15.75" customHeight="1">
      <c r="A12744" s="1">
        <v>13761.0</v>
      </c>
      <c r="B12744" s="3" t="s">
        <v>12070</v>
      </c>
      <c r="C12744" s="3" t="str">
        <f>IFERROR(__xludf.DUMMYFUNCTION("GOOGLETRANSLATE(B12744,""id"",""en"")"),"['Good', 'Service', 'Tsel']")</f>
        <v>['Good', 'Service', 'Tsel']</v>
      </c>
      <c r="D12744" s="3">
        <v>5.0</v>
      </c>
    </row>
    <row r="12745" ht="15.75" customHeight="1">
      <c r="A12745" s="1">
        <v>13762.0</v>
      </c>
      <c r="B12745" s="3" t="s">
        <v>7714</v>
      </c>
      <c r="C12745" s="3" t="str">
        <f>IFERROR(__xludf.DUMMYFUNCTION("GOOGLETRANSLATE(B12745,""id"",""en"")"),"['', 'good']")</f>
        <v>['', 'good']</v>
      </c>
      <c r="D12745" s="3">
        <v>3.0</v>
      </c>
    </row>
    <row r="12746" ht="15.75" customHeight="1">
      <c r="A12746" s="1">
        <v>13764.0</v>
      </c>
      <c r="B12746" s="3" t="s">
        <v>12071</v>
      </c>
      <c r="C12746" s="3" t="str">
        <f>IFERROR(__xludf.DUMMYFUNCTION("GOOGLETRANSLATE(B12746,""id"",""en"")"),"['easy', 'use']")</f>
        <v>['easy', 'use']</v>
      </c>
      <c r="D12746" s="3">
        <v>3.0</v>
      </c>
    </row>
    <row r="12747" ht="15.75" customHeight="1">
      <c r="A12747" s="1">
        <v>13765.0</v>
      </c>
      <c r="B12747" s="3" t="s">
        <v>12072</v>
      </c>
      <c r="C12747" s="3" t="str">
        <f>IFERROR(__xludf.DUMMYFUNCTION("GOOGLETRANSLATE(B12747,""id"",""en"")"),"['Sorry', 'pulse', 'sucked', 'buy', 'pulse', 'sucked', 'knp']")</f>
        <v>['Sorry', 'pulse', 'sucked', 'buy', 'pulse', 'sucked', 'knp']</v>
      </c>
      <c r="D12747" s="3">
        <v>1.0</v>
      </c>
    </row>
    <row r="12748" ht="15.75" customHeight="1">
      <c r="A12748" s="1">
        <v>13766.0</v>
      </c>
      <c r="B12748" s="3" t="s">
        <v>12073</v>
      </c>
      <c r="C12748" s="3" t="str">
        <f>IFERROR(__xludf.DUMMYFUNCTION("GOOGLETRANSLATE(B12748,""id"",""en"")"),"['application', 'gift']")</f>
        <v>['application', 'gift']</v>
      </c>
      <c r="D12748" s="3">
        <v>5.0</v>
      </c>
    </row>
    <row r="12749" ht="15.75" customHeight="1">
      <c r="A12749" s="1">
        <v>13767.0</v>
      </c>
      <c r="B12749" s="3" t="s">
        <v>12074</v>
      </c>
      <c r="C12749" s="3" t="str">
        <f>IFERROR(__xludf.DUMMYFUNCTION("GOOGLETRANSLATE(B12749,""id"",""en"")"),"['enter', 'application', 'easy', 'signal', 'kel', 'lubuk', 'kelik', 'weak', ""]")</f>
        <v>['enter', 'application', 'easy', 'signal', 'kel', 'lubuk', 'kelik', 'weak', "]</v>
      </c>
      <c r="D12749" s="3">
        <v>5.0</v>
      </c>
    </row>
    <row r="12750" ht="15.75" customHeight="1">
      <c r="A12750" s="1">
        <v>13769.0</v>
      </c>
      <c r="B12750" s="3" t="s">
        <v>12075</v>
      </c>
      <c r="C12750" s="3" t="str">
        <f>IFERROR(__xludf.DUMMYFUNCTION("GOOGLETRANSLATE(B12750,""id"",""en"")"),"['Application', 'rotten', 'Hina', 'price', 'connection', 'low', 'sometimes',' drop ',' cunning ',' basically ',' Telkomsel ',' extortion ',' Discard ',' money ',' network ',' red ',' then ',' usually ',' download ',' delete it ']")</f>
        <v>['Application', 'rotten', 'Hina', 'price', 'connection', 'low', 'sometimes',' drop ',' cunning ',' basically ',' Telkomsel ',' extortion ',' Discard ',' money ',' network ',' red ',' then ',' usually ',' download ',' delete it ']</v>
      </c>
      <c r="D12750" s="3">
        <v>1.0</v>
      </c>
    </row>
    <row r="12751" ht="15.75" customHeight="1">
      <c r="A12751" s="1">
        <v>13770.0</v>
      </c>
      <c r="B12751" s="3" t="s">
        <v>12076</v>
      </c>
      <c r="C12751" s="3" t="str">
        <f>IFERROR(__xludf.DUMMYFUNCTION("GOOGLETRANSLATE(B12751,""id"",""en"")"),"['Satisfied', 'Feature', 'Dlm']")</f>
        <v>['Satisfied', 'Feature', 'Dlm']</v>
      </c>
      <c r="D12751" s="3">
        <v>4.0</v>
      </c>
    </row>
    <row r="12752" ht="15.75" customHeight="1">
      <c r="A12752" s="1">
        <v>13771.0</v>
      </c>
      <c r="B12752" s="3" t="s">
        <v>3616</v>
      </c>
      <c r="C12752" s="3" t="str">
        <f>IFERROR(__xludf.DUMMYFUNCTION("GOOGLETRANSLATE(B12752,""id"",""en"")"),"['application', 'good']")</f>
        <v>['application', 'good']</v>
      </c>
      <c r="D12752" s="3">
        <v>5.0</v>
      </c>
    </row>
    <row r="12753" ht="15.75" customHeight="1">
      <c r="A12753" s="1">
        <v>13772.0</v>
      </c>
      <c r="B12753" s="3" t="s">
        <v>12077</v>
      </c>
      <c r="C12753" s="3" t="str">
        <f>IFERROR(__xludf.DUMMYFUNCTION("GOOGLETRANSLATE(B12753,""id"",""en"")"),"['Good', 'Jos', 'Ganjos']")</f>
        <v>['Good', 'Jos', 'Ganjos']</v>
      </c>
      <c r="D12753" s="3">
        <v>4.0</v>
      </c>
    </row>
    <row r="12754" ht="15.75" customHeight="1">
      <c r="A12754" s="1">
        <v>13773.0</v>
      </c>
      <c r="B12754" s="3" t="s">
        <v>12078</v>
      </c>
      <c r="C12754" s="3" t="str">
        <f>IFERROR(__xludf.DUMMYFUNCTION("GOOGLETRANSLATE(B12754,""id"",""en"")"),"['Sya', 'Satisfied']")</f>
        <v>['Sya', 'Satisfied']</v>
      </c>
      <c r="D12754" s="3">
        <v>5.0</v>
      </c>
    </row>
    <row r="12755" ht="15.75" customHeight="1">
      <c r="A12755" s="1">
        <v>13775.0</v>
      </c>
      <c r="B12755" s="3" t="s">
        <v>12079</v>
      </c>
      <c r="C12755" s="3" t="str">
        <f>IFERROR(__xludf.DUMMYFUNCTION("GOOGLETRANSLATE(B12755,""id"",""en"")"),"['transaction', 'package', 'buy', 'right', 'click', 'disorder', 'system']")</f>
        <v>['transaction', 'package', 'buy', 'right', 'click', 'disorder', 'system']</v>
      </c>
      <c r="D12755" s="3">
        <v>3.0</v>
      </c>
    </row>
    <row r="12756" ht="15.75" customHeight="1">
      <c r="A12756" s="1">
        <v>13776.0</v>
      </c>
      <c r="B12756" s="3" t="s">
        <v>12080</v>
      </c>
      <c r="C12756" s="3" t="str">
        <f>IFERROR(__xludf.DUMMYFUNCTION("GOOGLETRANSLATE(B12756,""id"",""en"")"),"['Confused', 'Price', 'Different', 'Customer', '']")</f>
        <v>['Confused', 'Price', 'Different', 'Customer', '']</v>
      </c>
      <c r="D12756" s="3">
        <v>5.0</v>
      </c>
    </row>
    <row r="12757" ht="15.75" customHeight="1">
      <c r="A12757" s="1">
        <v>13777.0</v>
      </c>
      <c r="B12757" s="3" t="s">
        <v>12081</v>
      </c>
      <c r="C12757" s="3" t="str">
        <f>IFERROR(__xludf.DUMMYFUNCTION("GOOGLETRANSLATE(B12757,""id"",""en"")"),"['Telkomsel', 'Signal', 'Bad', 'Notabene', 'Stay', 'Association', 'City', 'Jakarta', 'TPI', 'KNP', 'Sinyal', 'Bad', ' Examples', 'Main', 'Games',' Online ',' Lagg ',' ']")</f>
        <v>['Telkomsel', 'Signal', 'Bad', 'Notabene', 'Stay', 'Association', 'City', 'Jakarta', 'TPI', 'KNP', 'Sinyal', 'Bad', ' Examples', 'Main', 'Games',' Online ',' Lagg ',' ']</v>
      </c>
      <c r="D12757" s="3">
        <v>1.0</v>
      </c>
    </row>
    <row r="12758" ht="15.75" customHeight="1">
      <c r="A12758" s="1">
        <v>13778.0</v>
      </c>
      <c r="B12758" s="3" t="s">
        <v>12082</v>
      </c>
      <c r="C12758" s="3" t="str">
        <f>IFERROR(__xludf.DUMMYFUNCTION("GOOGLETRANSLATE(B12758,""id"",""en"")"),"['Try', 'Application', 'Telkomsel', 'Easy', 'Rates', 'Compete', '']")</f>
        <v>['Try', 'Application', 'Telkomsel', 'Easy', 'Rates', 'Compete', '']</v>
      </c>
      <c r="D12758" s="3">
        <v>3.0</v>
      </c>
    </row>
    <row r="12759" ht="15.75" customHeight="1">
      <c r="A12759" s="1">
        <v>13779.0</v>
      </c>
      <c r="B12759" s="3" t="s">
        <v>12083</v>
      </c>
      <c r="C12759" s="3" t="str">
        <f>IFERROR(__xludf.DUMMYFUNCTION("GOOGLETRANSLATE(B12759,""id"",""en"")"),"['Please', 'Update', 'API', 'Android', 'Install']")</f>
        <v>['Please', 'Update', 'API', 'Android', 'Install']</v>
      </c>
      <c r="D12759" s="3">
        <v>4.0</v>
      </c>
    </row>
    <row r="12760" ht="15.75" customHeight="1">
      <c r="A12760" s="1">
        <v>13780.0</v>
      </c>
      <c r="B12760" s="3" t="s">
        <v>6817</v>
      </c>
      <c r="C12760" s="3" t="str">
        <f>IFERROR(__xludf.DUMMYFUNCTION("GOOGLETRANSLATE(B12760,""id"",""en"")"),"['Good', 'satisfied']")</f>
        <v>['Good', 'satisfied']</v>
      </c>
      <c r="D12760" s="3">
        <v>5.0</v>
      </c>
    </row>
    <row r="12761" ht="15.75" customHeight="1">
      <c r="A12761" s="1">
        <v>13781.0</v>
      </c>
      <c r="B12761" s="3" t="s">
        <v>12084</v>
      </c>
      <c r="C12761" s="3" t="str">
        <f>IFERROR(__xludf.DUMMYFUNCTION("GOOGLETRANSLATE(B12761,""id"",""en"")"),"['Digubabab', 'wherever', 'network', 'widest', 'DIINDESIA', '']")</f>
        <v>['Digubabab', 'wherever', 'network', 'widest', 'DIINDESIA', '']</v>
      </c>
      <c r="D12761" s="3">
        <v>5.0</v>
      </c>
    </row>
    <row r="12762" ht="15.75" customHeight="1">
      <c r="A12762" s="1">
        <v>13782.0</v>
      </c>
      <c r="B12762" s="3" t="s">
        <v>12085</v>
      </c>
      <c r="C12762" s="3" t="str">
        <f>IFERROR(__xludf.DUMMYFUNCTION("GOOGLETRANSLATE(B12762,""id"",""en"")"),"['Lack of', 'response', 'promo', 'rare', 'customer', 'overwhelmed', 'bonus', ""]")</f>
        <v>['Lack of', 'response', 'promo', 'rare', 'customer', 'overwhelmed', 'bonus', "]</v>
      </c>
      <c r="D12762" s="3">
        <v>3.0</v>
      </c>
    </row>
    <row r="12763" ht="15.75" customHeight="1">
      <c r="A12763" s="1">
        <v>13783.0</v>
      </c>
      <c r="B12763" s="3" t="s">
        <v>12086</v>
      </c>
      <c r="C12763" s="3" t="str">
        <f>IFERROR(__xludf.DUMMYFUNCTION("GOOGLETRANSLATE(B12763,""id"",""en"")"),"['buy', 'pulse', 'connects', 'ovo', 'gopay', 'friend', 'friend', 'yesterday', 'already', 'consistent', ""]")</f>
        <v>['buy', 'pulse', 'connects', 'ovo', 'gopay', 'friend', 'friend', 'yesterday', 'already', 'consistent', "]</v>
      </c>
      <c r="D12763" s="3">
        <v>1.0</v>
      </c>
    </row>
    <row r="12764" ht="15.75" customHeight="1">
      <c r="A12764" s="1">
        <v>13785.0</v>
      </c>
      <c r="B12764" s="3" t="s">
        <v>12087</v>
      </c>
      <c r="C12764" s="3" t="str">
        <f>IFERROR(__xludf.DUMMYFUNCTION("GOOGLETRANSLATE(B12764,""id"",""en"")"),"['Help', 'signal', 'lose', 'product', 'please', 'fix']")</f>
        <v>['Help', 'signal', 'lose', 'product', 'please', 'fix']</v>
      </c>
      <c r="D12764" s="3">
        <v>4.0</v>
      </c>
    </row>
    <row r="12765" ht="15.75" customHeight="1">
      <c r="A12765" s="1">
        <v>13786.0</v>
      </c>
      <c r="B12765" s="3" t="s">
        <v>12088</v>
      </c>
      <c r="C12765" s="3" t="str">
        <f>IFERROR(__xludf.DUMMYFUNCTION("GOOGLETRANSLATE(B12765,""id"",""en"")"),"['already', 'good', 'darling', 'buy', 'quota', 'pay', 'wallet', 'pulse', 'updated', 'min', 'complicated', 'fill', ' pulse']")</f>
        <v>['already', 'good', 'darling', 'buy', 'quota', 'pay', 'wallet', 'pulse', 'updated', 'min', 'complicated', 'fill', ' pulse']</v>
      </c>
      <c r="D12765" s="3">
        <v>4.0</v>
      </c>
    </row>
    <row r="12766" ht="15.75" customHeight="1">
      <c r="A12766" s="1">
        <v>13787.0</v>
      </c>
      <c r="B12766" s="3" t="s">
        <v>12089</v>
      </c>
      <c r="C12766" s="3" t="str">
        <f>IFERROR(__xludf.DUMMYFUNCTION("GOOGLETRANSLATE(B12766,""id"",""en"")"),"['package', 'internet', 'expensive', 'love', 'star', '']")</f>
        <v>['package', 'internet', 'expensive', 'love', 'star', '']</v>
      </c>
      <c r="D12766" s="3">
        <v>4.0</v>
      </c>
    </row>
    <row r="12767" ht="15.75" customHeight="1">
      <c r="A12767" s="1">
        <v>13788.0</v>
      </c>
      <c r="B12767" s="3" t="s">
        <v>12090</v>
      </c>
      <c r="C12767" s="3" t="str">
        <f>IFERROR(__xludf.DUMMYFUNCTION("GOOGLETRANSLATE(B12767,""id"",""en"")"),"['Applikasih', 'Good']")</f>
        <v>['Applikasih', 'Good']</v>
      </c>
      <c r="D12767" s="3">
        <v>5.0</v>
      </c>
    </row>
    <row r="12768" ht="15.75" customHeight="1">
      <c r="A12768" s="1">
        <v>13789.0</v>
      </c>
      <c r="B12768" s="3" t="s">
        <v>12091</v>
      </c>
      <c r="C12768" s="3" t="str">
        <f>IFERROR(__xludf.DUMMYFUNCTION("GOOGLETRANSLATE(B12768,""id"",""en"")"),"['Thank you', 'making it easier', 'in', 'transact']")</f>
        <v>['Thank you', 'making it easier', 'in', 'transact']</v>
      </c>
      <c r="D12768" s="3">
        <v>5.0</v>
      </c>
    </row>
    <row r="12769" ht="15.75" customHeight="1">
      <c r="A12769" s="1">
        <v>13790.0</v>
      </c>
      <c r="B12769" s="3" t="s">
        <v>12092</v>
      </c>
      <c r="C12769" s="3" t="str">
        <f>IFERROR(__xludf.DUMMYFUNCTION("GOOGLETRANSLATE(B12769,""id"",""en"")"),"['like', 'really', 'quota', 'combo', 'Sakti', 'max', ""]")</f>
        <v>['like', 'really', 'quota', 'combo', 'Sakti', 'max', "]</v>
      </c>
      <c r="D12769" s="3">
        <v>5.0</v>
      </c>
    </row>
    <row r="12770" ht="15.75" customHeight="1">
      <c r="A12770" s="1">
        <v>13791.0</v>
      </c>
      <c r="B12770" s="3" t="s">
        <v>12093</v>
      </c>
      <c r="C12770" s="3" t="str">
        <f>IFERROR(__xludf.DUMMYFUNCTION("GOOGLETRANSLATE(B12770,""id"",""en"")"),"['Yuk', 'Dapetin', 'Promi', 'Telkomsel']")</f>
        <v>['Yuk', 'Dapetin', 'Promi', 'Telkomsel']</v>
      </c>
      <c r="D12770" s="3">
        <v>5.0</v>
      </c>
    </row>
    <row r="12771" ht="15.75" customHeight="1">
      <c r="A12771" s="1">
        <v>13792.0</v>
      </c>
      <c r="B12771" s="3" t="s">
        <v>9769</v>
      </c>
      <c r="C12771" s="3" t="str">
        <f>IFERROR(__xludf.DUMMYFUNCTION("GOOGLETRANSLATE(B12771,""id"",""en"")"),"['It's easy', '']")</f>
        <v>['It's easy', '']</v>
      </c>
      <c r="D12771" s="3">
        <v>5.0</v>
      </c>
    </row>
    <row r="12772" ht="15.75" customHeight="1">
      <c r="A12772" s="1">
        <v>13793.0</v>
      </c>
      <c r="B12772" s="3" t="s">
        <v>12094</v>
      </c>
      <c r="C12772" s="3" t="str">
        <f>IFERROR(__xludf.DUMMYFUNCTION("GOOGLETRANSLATE(B12772,""id"",""en"")"),"['Easy', 'Eat', 'Ram', '']")</f>
        <v>['Easy', 'Eat', 'Ram', '']</v>
      </c>
      <c r="D12772" s="3">
        <v>5.0</v>
      </c>
    </row>
    <row r="12773" ht="15.75" customHeight="1">
      <c r="A12773" s="1">
        <v>13795.0</v>
      </c>
      <c r="B12773" s="3" t="s">
        <v>12095</v>
      </c>
      <c r="C12773" s="3" t="str">
        <f>IFERROR(__xludf.DUMMYFUNCTION("GOOGLETRANSLATE(B12773,""id"",""en"")"),"['Price', 'Package', 'Monthly', 'expensive']")</f>
        <v>['Price', 'Package', 'Monthly', 'expensive']</v>
      </c>
      <c r="D12773" s="3">
        <v>5.0</v>
      </c>
    </row>
    <row r="12774" ht="15.75" customHeight="1">
      <c r="A12774" s="1">
        <v>13798.0</v>
      </c>
      <c r="B12774" s="3" t="s">
        <v>12096</v>
      </c>
      <c r="C12774" s="3" t="str">
        <f>IFERROR(__xludf.DUMMYFUNCTION("GOOGLETRANSLATE(B12774,""id"",""en"")"),"['It's easy', 'Peguna', 'Telkomsel']")</f>
        <v>['It's easy', 'Peguna', 'Telkomsel']</v>
      </c>
      <c r="D12774" s="3">
        <v>5.0</v>
      </c>
    </row>
    <row r="12775" ht="15.75" customHeight="1">
      <c r="A12775" s="1">
        <v>13799.0</v>
      </c>
      <c r="B12775" s="3" t="s">
        <v>12097</v>
      </c>
      <c r="C12775" s="3" t="str">
        <f>IFERROR(__xludf.DUMMYFUNCTION("GOOGLETRANSLATE(B12775,""id"",""en"")"),"['The application', 'good', 'easy']")</f>
        <v>['The application', 'good', 'easy']</v>
      </c>
      <c r="D12775" s="3">
        <v>5.0</v>
      </c>
    </row>
    <row r="12776" ht="15.75" customHeight="1">
      <c r="A12776" s="1">
        <v>13800.0</v>
      </c>
      <c r="B12776" s="3" t="s">
        <v>12098</v>
      </c>
      <c r="C12776" s="3" t="str">
        <f>IFERROR(__xludf.DUMMYFUNCTION("GOOGLETRANSLATE(B12776,""id"",""en"")"),"['', 'Telkomsel', 'satisfying']")</f>
        <v>['', 'Telkomsel', 'satisfying']</v>
      </c>
      <c r="D12776" s="3">
        <v>5.0</v>
      </c>
    </row>
    <row r="12777" ht="15.75" customHeight="1">
      <c r="A12777" s="1">
        <v>13801.0</v>
      </c>
      <c r="B12777" s="3" t="s">
        <v>12099</v>
      </c>
      <c r="C12777" s="3" t="str">
        <f>IFERROR(__xludf.DUMMYFUNCTION("GOOGLETRANSLATE(B12777,""id"",""en"")"),"['AQU', 'like', 'buy', 'package', 'application', 'fast', 'easy', 'cheap', 'hopefully', 'cheap', 'Telkomsel']")</f>
        <v>['AQU', 'like', 'buy', 'package', 'application', 'fast', 'easy', 'cheap', 'hopefully', 'cheap', 'Telkomsel']</v>
      </c>
      <c r="D12777" s="3">
        <v>5.0</v>
      </c>
    </row>
    <row r="12778" ht="15.75" customHeight="1">
      <c r="A12778" s="1">
        <v>13802.0</v>
      </c>
      <c r="B12778" s="3" t="s">
        <v>6439</v>
      </c>
      <c r="C12778" s="3" t="str">
        <f>IFERROR(__xludf.DUMMYFUNCTION("GOOGLETRANSLATE(B12778,""id"",""en"")"),"['hope', 'network', 'stable']")</f>
        <v>['hope', 'network', 'stable']</v>
      </c>
      <c r="D12778" s="3">
        <v>5.0</v>
      </c>
    </row>
    <row r="12779" ht="15.75" customHeight="1">
      <c r="A12779" s="1">
        <v>13803.0</v>
      </c>
      <c r="B12779" s="3" t="s">
        <v>5903</v>
      </c>
      <c r="C12779" s="3" t="str">
        <f>IFERROR(__xludf.DUMMYFUNCTION("GOOGLETRANSLATE(B12779,""id"",""en"")"),"['Application', 'Bags']")</f>
        <v>['Application', 'Bags']</v>
      </c>
      <c r="D12779" s="3">
        <v>5.0</v>
      </c>
    </row>
    <row r="12780" ht="15.75" customHeight="1">
      <c r="A12780" s="1">
        <v>13804.0</v>
      </c>
      <c r="B12780" s="3" t="s">
        <v>10280</v>
      </c>
      <c r="C12780" s="3" t="str">
        <f>IFERROR(__xludf.DUMMYFUNCTION("GOOGLETRANSLATE(B12780,""id"",""en"")"),"['Telkomsel', 'Best', ""]")</f>
        <v>['Telkomsel', 'Best', "]</v>
      </c>
      <c r="D12780" s="3">
        <v>5.0</v>
      </c>
    </row>
    <row r="12781" ht="15.75" customHeight="1">
      <c r="A12781" s="1">
        <v>13805.0</v>
      </c>
      <c r="B12781" s="3" t="s">
        <v>12100</v>
      </c>
      <c r="C12781" s="3" t="str">
        <f>IFERROR(__xludf.DUMMYFUNCTION("GOOGLETRANSLATE(B12781,""id"",""en"")"),"['message', 'package', 'telephone', 'dikasi', 'confused', 'count', 'day', 'what', 'according to', '']")</f>
        <v>['message', 'package', 'telephone', 'dikasi', 'confused', 'count', 'day', 'what', 'according to', '']</v>
      </c>
      <c r="D12781" s="3">
        <v>1.0</v>
      </c>
    </row>
    <row r="12782" ht="15.75" customHeight="1">
      <c r="A12782" s="1">
        <v>13806.0</v>
      </c>
      <c r="B12782" s="3" t="s">
        <v>12101</v>
      </c>
      <c r="C12782" s="3" t="str">
        <f>IFERROR(__xludf.DUMMYFUNCTION("GOOGLETRANSLATE(B12782,""id"",""en"")"),"['expensive', 'internet', '']")</f>
        <v>['expensive', 'internet', '']</v>
      </c>
      <c r="D12782" s="3">
        <v>3.0</v>
      </c>
    </row>
    <row r="12783" ht="15.75" customHeight="1">
      <c r="A12783" s="1">
        <v>13807.0</v>
      </c>
      <c r="B12783" s="3" t="s">
        <v>12102</v>
      </c>
      <c r="C12783" s="3" t="str">
        <f>IFERROR(__xludf.DUMMYFUNCTION("GOOGLETRANSLATE(B12783,""id"",""en"")"),"['Application', 'Helpful', 'Skli', 'Hopefully', 'In the future', 'Application', 'Developing', 'User', 'Wear', 'Application', 'Comfort', 'Thank you', ' ']")</f>
        <v>['Application', 'Helpful', 'Skli', 'Hopefully', 'In the future', 'Application', 'Developing', 'User', 'Wear', 'Application', 'Comfort', 'Thank you', ' ']</v>
      </c>
      <c r="D12783" s="3">
        <v>5.0</v>
      </c>
    </row>
    <row r="12784" ht="15.75" customHeight="1">
      <c r="A12784" s="1">
        <v>13808.0</v>
      </c>
      <c r="B12784" s="3" t="s">
        <v>1017</v>
      </c>
      <c r="C12784" s="3" t="str">
        <f>IFERROR(__xludf.DUMMYFUNCTION("GOOGLETRANSLATE(B12784,""id"",""en"")"),"['application']")</f>
        <v>['application']</v>
      </c>
      <c r="D12784" s="3">
        <v>5.0</v>
      </c>
    </row>
    <row r="12785" ht="15.75" customHeight="1">
      <c r="A12785" s="1">
        <v>13809.0</v>
      </c>
      <c r="B12785" s="3" t="s">
        <v>12103</v>
      </c>
      <c r="C12785" s="3" t="str">
        <f>IFERROR(__xludf.DUMMYFUNCTION("GOOGLETRANSLATE(B12785,""id"",""en"")"),"['Msih', 'cheap']")</f>
        <v>['Msih', 'cheap']</v>
      </c>
      <c r="D12785" s="3">
        <v>5.0</v>
      </c>
    </row>
    <row r="12786" ht="15.75" customHeight="1">
      <c r="A12786" s="1">
        <v>13811.0</v>
      </c>
      <c r="B12786" s="3" t="s">
        <v>12104</v>
      </c>
      <c r="C12786" s="3" t="str">
        <f>IFERROR(__xludf.DUMMYFUNCTION("GOOGLETRANSLATE(B12786,""id"",""en"")"),"['difficult', 'entry', 'already', 'no', 'login', 'login', 'difficult', 'no', 'rich']")</f>
        <v>['difficult', 'entry', 'already', 'no', 'login', 'login', 'difficult', 'no', 'rich']</v>
      </c>
      <c r="D12786" s="3">
        <v>5.0</v>
      </c>
    </row>
    <row r="12787" ht="15.75" customHeight="1">
      <c r="A12787" s="1">
        <v>13812.0</v>
      </c>
      <c r="B12787" s="3" t="s">
        <v>12105</v>
      </c>
      <c r="C12787" s="3" t="str">
        <f>IFERROR(__xludf.DUMMYFUNCTION("GOOGLETRANSLATE(B12787,""id"",""en"")"),"['Satisfied', 'Service']")</f>
        <v>['Satisfied', 'Service']</v>
      </c>
      <c r="D12787" s="3">
        <v>5.0</v>
      </c>
    </row>
    <row r="12788" ht="15.75" customHeight="1">
      <c r="A12788" s="1">
        <v>13813.0</v>
      </c>
      <c r="B12788" s="3" t="s">
        <v>12106</v>
      </c>
      <c r="C12788" s="3" t="str">
        <f>IFERROR(__xludf.DUMMYFUNCTION("GOOGLETRANSLATE(B12788,""id"",""en"")"),"['Anyway', 'Telkomsel', 'sip']")</f>
        <v>['Anyway', 'Telkomsel', 'sip']</v>
      </c>
      <c r="D12788" s="3">
        <v>5.0</v>
      </c>
    </row>
    <row r="12789" ht="15.75" customHeight="1">
      <c r="A12789" s="1">
        <v>13814.0</v>
      </c>
      <c r="B12789" s="3" t="s">
        <v>12107</v>
      </c>
      <c r="C12789" s="3" t="str">
        <f>IFERROR(__xludf.DUMMYFUNCTION("GOOGLETRANSLATE(B12789,""id"",""en"")"),"['point', 'tlkmsl', 'no', 'nggk', 'pulse', 'nggk', 'exchange', 'data', 'internet', 'no', 'kyak', 'exchange', ' Data ',' Internet ',' Additional ',' Biyaya ',' ']")</f>
        <v>['point', 'tlkmsl', 'no', 'nggk', 'pulse', 'nggk', 'exchange', 'data', 'internet', 'no', 'kyak', 'exchange', ' Data ',' Internet ',' Additional ',' Biyaya ',' ']</v>
      </c>
      <c r="D12789" s="3">
        <v>1.0</v>
      </c>
    </row>
    <row r="12790" ht="15.75" customHeight="1">
      <c r="A12790" s="1">
        <v>13815.0</v>
      </c>
      <c r="B12790" s="3" t="s">
        <v>12108</v>
      </c>
      <c r="C12790" s="3" t="str">
        <f>IFERROR(__xludf.DUMMYFUNCTION("GOOGLETRANSLATE(B12790,""id"",""en"")"),"['Hopefully', 'In the future', 'promo']")</f>
        <v>['Hopefully', 'In the future', 'promo']</v>
      </c>
      <c r="D12790" s="3">
        <v>5.0</v>
      </c>
    </row>
    <row r="12791" ht="15.75" customHeight="1">
      <c r="A12791" s="1">
        <v>13816.0</v>
      </c>
      <c r="B12791" s="3" t="s">
        <v>12109</v>
      </c>
      <c r="C12791" s="3" t="str">
        <f>IFERROR(__xludf.DUMMYFUNCTION("GOOGLETRANSLATE(B12791,""id"",""en"")"),"['Ajai', 'Applikasih', 'Mantap']")</f>
        <v>['Ajai', 'Applikasih', 'Mantap']</v>
      </c>
      <c r="D12791" s="3">
        <v>5.0</v>
      </c>
    </row>
    <row r="12792" ht="15.75" customHeight="1">
      <c r="A12792" s="1">
        <v>13818.0</v>
      </c>
      <c r="B12792" s="3" t="s">
        <v>12110</v>
      </c>
      <c r="C12792" s="3" t="str">
        <f>IFERROR(__xludf.DUMMYFUNCTION("GOOGLETRANSLATE(B12792,""id"",""en"")"),"['Network', 'synchy', 'ugly', 'quality', 'price', 'expensive', 'cook', 'lose', 'operator', 'its network', 'strong', 'good', ' cheap price', '']")</f>
        <v>['Network', 'synchy', 'ugly', 'quality', 'price', 'expensive', 'cook', 'lose', 'operator', 'its network', 'strong', 'good', ' cheap price', '']</v>
      </c>
      <c r="D12792" s="3">
        <v>1.0</v>
      </c>
    </row>
    <row r="12793" ht="15.75" customHeight="1">
      <c r="A12793" s="1">
        <v>13820.0</v>
      </c>
      <c r="B12793" s="3" t="s">
        <v>12111</v>
      </c>
      <c r="C12793" s="3" t="str">
        <f>IFERROR(__xludf.DUMMYFUNCTION("GOOGLETRANSLATE(B12793,""id"",""en"")"),"['Package', 'Data', 'expensive']")</f>
        <v>['Package', 'Data', 'expensive']</v>
      </c>
      <c r="D12793" s="3">
        <v>3.0</v>
      </c>
    </row>
    <row r="12794" ht="15.75" customHeight="1">
      <c r="A12794" s="1">
        <v>13822.0</v>
      </c>
      <c r="B12794" s="3" t="s">
        <v>12112</v>
      </c>
      <c r="C12794" s="3" t="str">
        <f>IFERROR(__xludf.DUMMYFUNCTION("GOOGLETRANSLATE(B12794,""id"",""en"")"),"['Network', 'ugly', 'severe', 'really', 'kya', 'dlu', 'network', 'fast', 'stable', ""]")</f>
        <v>['Network', 'ugly', 'severe', 'really', 'kya', 'dlu', 'network', 'fast', 'stable', "]</v>
      </c>
      <c r="D12794" s="3">
        <v>1.0</v>
      </c>
    </row>
    <row r="12795" ht="15.75" customHeight="1">
      <c r="A12795" s="1">
        <v>13823.0</v>
      </c>
      <c r="B12795" s="3" t="s">
        <v>12113</v>
      </c>
      <c r="C12795" s="3" t="str">
        <f>IFERROR(__xludf.DUMMYFUNCTION("GOOGLETRANSLATE(B12795,""id"",""en"")"),"['notice', 'Sahah', 'quota', 'like', 'slow', 'pulses', 'abis', 'sumps', 'pulses', ""]")</f>
        <v>['notice', 'Sahah', 'quota', 'like', 'slow', 'pulses', 'abis', 'sumps', 'pulses', "]</v>
      </c>
      <c r="D12795" s="3">
        <v>1.0</v>
      </c>
    </row>
    <row r="12796" ht="15.75" customHeight="1">
      <c r="A12796" s="1">
        <v>13824.0</v>
      </c>
      <c r="B12796" s="3" t="s">
        <v>12114</v>
      </c>
      <c r="C12796" s="3" t="str">
        <f>IFERROR(__xludf.DUMMYFUNCTION("GOOGLETRANSLATE(B12796,""id"",""en"")"),"['expensive', 'doang', 'slow', 'forgiveness', '']")</f>
        <v>['expensive', 'doang', 'slow', 'forgiveness', '']</v>
      </c>
      <c r="D12796" s="3">
        <v>1.0</v>
      </c>
    </row>
    <row r="12797" ht="15.75" customHeight="1">
      <c r="A12797" s="1">
        <v>13825.0</v>
      </c>
      <c r="B12797" s="3" t="s">
        <v>12115</v>
      </c>
      <c r="C12797" s="3" t="str">
        <f>IFERROR(__xludf.DUMMYFUNCTION("GOOGLETRANSLATE(B12797,""id"",""en"")"),"['network', 'internet', 'fix', 'work', 'mess', 'already', 'complain', 'tetep', 'kayak', 'gini', 'please', 'solution']")</f>
        <v>['network', 'internet', 'fix', 'work', 'mess', 'already', 'complain', 'tetep', 'kayak', 'gini', 'please', 'solution']</v>
      </c>
      <c r="D12797" s="3">
        <v>3.0</v>
      </c>
    </row>
    <row r="12798" ht="15.75" customHeight="1">
      <c r="A12798" s="1">
        <v>13826.0</v>
      </c>
      <c r="B12798" s="3" t="s">
        <v>12116</v>
      </c>
      <c r="C12798" s="3" t="str">
        <f>IFERROR(__xludf.DUMMYFUNCTION("GOOGLETRANSLATE(B12798,""id"",""en"")"),"['Points',' run out ',' Undi ',' Undi ',' Prizes', 'Win', 'Exchange', 'Points',' MUCH ',' WIN ',' Original ',' just ',' Nipu ',' Disappointed ',' Please ',' Customer ',' Telkomsel ',' Please ', ""]")</f>
        <v>['Points',' run out ',' Undi ',' Undi ',' Prizes', 'Win', 'Exchange', 'Points',' MUCH ',' WIN ',' Original ',' just ',' Nipu ',' Disappointed ',' Please ',' Customer ',' Telkomsel ',' Please ', "]</v>
      </c>
      <c r="D12798" s="3">
        <v>1.0</v>
      </c>
    </row>
    <row r="12799" ht="15.75" customHeight="1">
      <c r="A12799" s="1">
        <v>13827.0</v>
      </c>
      <c r="B12799" s="3" t="s">
        <v>12117</v>
      </c>
      <c r="C12799" s="3" t="str">
        <f>IFERROR(__xludf.DUMMYFUNCTION("GOOGLETRANSLATE(B12799,""id"",""en"")"),"['satisfied', 'recommended', 'buotit']")</f>
        <v>['satisfied', 'recommended', 'buotit']</v>
      </c>
      <c r="D12799" s="3">
        <v>5.0</v>
      </c>
    </row>
    <row r="12800" ht="15.75" customHeight="1">
      <c r="A12800" s="1">
        <v>13828.0</v>
      </c>
      <c r="B12800" s="3" t="s">
        <v>12118</v>
      </c>
      <c r="C12800" s="3" t="str">
        <f>IFERROR(__xludf.DUMMYFUNCTION("GOOGLETRANSLATE(B12800,""id"",""en"")"),"['Expensive', 'lag', 'Najis']")</f>
        <v>['Expensive', 'lag', 'Najis']</v>
      </c>
      <c r="D12800" s="3">
        <v>1.0</v>
      </c>
    </row>
    <row r="12801" ht="15.75" customHeight="1">
      <c r="A12801" s="1">
        <v>13829.0</v>
      </c>
      <c r="B12801" s="3" t="s">
        <v>12119</v>
      </c>
      <c r="C12801" s="3" t="str">
        <f>IFERROR(__xludf.DUMMYFUNCTION("GOOGLETRANSLATE(B12801,""id"",""en"")"),"['here', 'network', 'Telkomsel', 'slow', 'signal', 'ngilani', 'mulu', 'hot', 'cellphone', 'the network', 'seizure', 'mulu', ' Wonder ',' Deh ',' Segeek ',' main ',' active ',' already ',' Males', 'actually', 'fill', 'reset', 'package', ""]")</f>
        <v>['here', 'network', 'Telkomsel', 'slow', 'signal', 'ngilani', 'mulu', 'hot', 'cellphone', 'the network', 'seizure', 'mulu', ' Wonder ',' Deh ',' Segeek ',' main ',' active ',' already ',' Males', 'actually', 'fill', 'reset', 'package', "]</v>
      </c>
      <c r="D12801" s="3">
        <v>3.0</v>
      </c>
    </row>
    <row r="12802" ht="15.75" customHeight="1">
      <c r="A12802" s="1">
        <v>13830.0</v>
      </c>
      <c r="B12802" s="3" t="s">
        <v>12120</v>
      </c>
      <c r="C12802" s="3" t="str">
        <f>IFERROR(__xludf.DUMMYFUNCTION("GOOGLETRANSLATE(B12802,""id"",""en"")"),"['APK', 'good', 'really', 'Telkomsel']")</f>
        <v>['APK', 'good', 'really', 'Telkomsel']</v>
      </c>
      <c r="D12802" s="3">
        <v>5.0</v>
      </c>
    </row>
    <row r="12803" ht="15.75" customHeight="1">
      <c r="A12803" s="1">
        <v>13831.0</v>
      </c>
      <c r="B12803" s="3" t="s">
        <v>12121</v>
      </c>
      <c r="C12803" s="3" t="str">
        <f>IFERROR(__xludf.DUMMYFUNCTION("GOOGLETRANSLATE(B12803,""id"",""en"")"),"['love', 'promo', 'package', 'internet', 'cheap']")</f>
        <v>['love', 'promo', 'package', 'internet', 'cheap']</v>
      </c>
      <c r="D12803" s="3">
        <v>1.0</v>
      </c>
    </row>
    <row r="12804" ht="15.75" customHeight="1">
      <c r="A12804" s="1">
        <v>13832.0</v>
      </c>
      <c r="B12804" s="3" t="s">
        <v>12122</v>
      </c>
      <c r="C12804" s="3" t="str">
        <f>IFERROR(__xludf.DUMMYFUNCTION("GOOGLETRANSLATE(B12804,""id"",""en"")"),"['Telkomsel', 'how', 'troble', 'mulu', 'signal', 'clock', 'cave', 'wait', 'until', 'clock', 'tight', 'the difference', ' Bi ']")</f>
        <v>['Telkomsel', 'how', 'troble', 'mulu', 'signal', 'clock', 'cave', 'wait', 'until', 'clock', 'tight', 'the difference', ' Bi ']</v>
      </c>
      <c r="D12804" s="3">
        <v>1.0</v>
      </c>
    </row>
    <row r="12805" ht="15.75" customHeight="1">
      <c r="A12805" s="1">
        <v>13834.0</v>
      </c>
      <c r="B12805" s="3" t="s">
        <v>12123</v>
      </c>
      <c r="C12805" s="3" t="str">
        <f>IFERROR(__xludf.DUMMYFUNCTION("GOOGLETRANSLATE(B12805,""id"",""en"")"),"['Reach', 'broad']")</f>
        <v>['Reach', 'broad']</v>
      </c>
      <c r="D12805" s="3">
        <v>5.0</v>
      </c>
    </row>
    <row r="12806" ht="15.75" customHeight="1">
      <c r="A12806" s="1">
        <v>13835.0</v>
      </c>
      <c r="B12806" s="3" t="s">
        <v>12124</v>
      </c>
      <c r="C12806" s="3" t="str">
        <f>IFERROR(__xludf.DUMMYFUNCTION("GOOGLETRANSLATE(B12806,""id"",""en"")"),"['Telkomsel', 'damn', 'contents',' pulses', 'thousand', 'run out', 'subscribe', 'anything', 'package', 'internet', 'savage', 'times',' Fill ',' pulse ',' run out ',' suck ',' Telkomsel ']")</f>
        <v>['Telkomsel', 'damn', 'contents',' pulses', 'thousand', 'run out', 'subscribe', 'anything', 'package', 'internet', 'savage', 'times',' Fill ',' pulse ',' run out ',' suck ',' Telkomsel ']</v>
      </c>
      <c r="D12806" s="3">
        <v>1.0</v>
      </c>
    </row>
    <row r="12807" ht="15.75" customHeight="1">
      <c r="A12807" s="1">
        <v>13836.0</v>
      </c>
      <c r="B12807" s="3" t="s">
        <v>12125</v>
      </c>
      <c r="C12807" s="3" t="str">
        <f>IFERROR(__xludf.DUMMYFUNCTION("GOOGLETRANSLATE(B12807,""id"",""en"")"),"['Gabisa', 'Open', 'Telkomsel', 'This is']")</f>
        <v>['Gabisa', 'Open', 'Telkomsel', 'This is']</v>
      </c>
      <c r="D12807" s="3">
        <v>1.0</v>
      </c>
    </row>
    <row r="12808" ht="15.75" customHeight="1">
      <c r="A12808" s="1">
        <v>13837.0</v>
      </c>
      <c r="B12808" s="3" t="s">
        <v>12126</v>
      </c>
      <c r="C12808" s="3" t="str">
        <f>IFERROR(__xludf.DUMMYFUNCTION("GOOGLETRANSLATE(B12808,""id"",""en"")"),"['Network', 'Telkomsel', 'Sekrang', 'Udh', 'Slow', 'Season', 'Please', 'Repaired', 'The Line']")</f>
        <v>['Network', 'Telkomsel', 'Sekrang', 'Udh', 'Slow', 'Season', 'Please', 'Repaired', 'The Line']</v>
      </c>
      <c r="D12808" s="3">
        <v>1.0</v>
      </c>
    </row>
    <row r="12809" ht="15.75" customHeight="1">
      <c r="A12809" s="1">
        <v>13838.0</v>
      </c>
      <c r="B12809" s="3" t="s">
        <v>12127</v>
      </c>
      <c r="C12809" s="3" t="str">
        <f>IFERROR(__xludf.DUMMYFUNCTION("GOOGLETRANSLATE(B12809,""id"",""en"")"),"['Severe', 'Bngt', 'Network', 'Sympathy', 'Sampe', 'Leg', 'Severe']")</f>
        <v>['Severe', 'Bngt', 'Network', 'Sympathy', 'Sampe', 'Leg', 'Severe']</v>
      </c>
      <c r="D12809" s="3">
        <v>5.0</v>
      </c>
    </row>
    <row r="12810" ht="15.75" customHeight="1">
      <c r="A12810" s="1">
        <v>13839.0</v>
      </c>
      <c r="B12810" s="3" t="s">
        <v>12128</v>
      </c>
      <c r="C12810" s="3" t="str">
        <f>IFERROR(__xludf.DUMMYFUNCTION("GOOGLETRANSLATE(B12810,""id"",""en"")"),"['Please', 'Sinyal', 'Fix', 'UDH', 'Signal', 'Lemoth', 'Very', 'Package', 'Expensive', 'Sousal', 'Ngelag', 'Severe', ' Clay ',' Story ',' Clock ',' Please ',' Fix ',' Thanks']")</f>
        <v>['Please', 'Sinyal', 'Fix', 'UDH', 'Signal', 'Lemoth', 'Very', 'Package', 'Expensive', 'Sousal', 'Ngelag', 'Severe', ' Clay ',' Story ',' Clock ',' Please ',' Fix ',' Thanks']</v>
      </c>
      <c r="D12810" s="3">
        <v>1.0</v>
      </c>
    </row>
    <row r="12811" ht="15.75" customHeight="1">
      <c r="A12811" s="1">
        <v>13840.0</v>
      </c>
      <c r="B12811" s="3" t="s">
        <v>12129</v>
      </c>
      <c r="C12811" s="3" t="str">
        <f>IFERROR(__xludf.DUMMYFUNCTION("GOOGLETRANSLATE(B12811,""id"",""en"")"),"['APK', 'good', 'really', 'UDH', 'comment', 'that's',' APK ',' shortcomings', 'advantages',' separate ',' cheap ',' a little ',' Prices', 'JAGN', 'expensive', 'expensive', 'Ank', 'lessons',' COMS ',' COMS ',' DUWE ',' DUIT ',' Thank you ']")</f>
        <v>['APK', 'good', 'really', 'UDH', 'comment', 'that's',' APK ',' shortcomings', 'advantages',' separate ',' cheap ',' a little ',' Prices', 'JAGN', 'expensive', 'expensive', 'Ank', 'lessons',' COMS ',' COMS ',' DUWE ',' DUIT ',' Thank you ']</v>
      </c>
      <c r="D12811" s="3">
        <v>4.0</v>
      </c>
    </row>
    <row r="12812" ht="15.75" customHeight="1">
      <c r="A12812" s="1">
        <v>13841.0</v>
      </c>
      <c r="B12812" s="3" t="s">
        <v>12130</v>
      </c>
      <c r="C12812" s="3" t="str">
        <f>IFERROR(__xludf.DUMMYFUNCTION("GOOGLETRANSLATE(B12812,""id"",""en"")"),"['launch', ""]")</f>
        <v>['launch', "]</v>
      </c>
      <c r="D12812" s="3">
        <v>5.0</v>
      </c>
    </row>
    <row r="12813" ht="15.75" customHeight="1">
      <c r="A12813" s="1">
        <v>13842.0</v>
      </c>
      <c r="B12813" s="3" t="s">
        <v>12131</v>
      </c>
      <c r="C12813" s="3" t="str">
        <f>IFERROR(__xludf.DUMMYFUNCTION("GOOGLETRANSLATE(B12813,""id"",""en"")"),"['signal', 'bad', 'area', 'Parung', 'pamegarsari', 'info', 'call', 'center', 'change', 'already', 'kaga', 'shocked', ' Nikmatin ',' ']")</f>
        <v>['signal', 'bad', 'area', 'Parung', 'pamegarsari', 'info', 'call', 'center', 'change', 'already', 'kaga', 'shocked', ' Nikmatin ',' ']</v>
      </c>
      <c r="D12813" s="3">
        <v>2.0</v>
      </c>
    </row>
    <row r="12814" ht="15.75" customHeight="1">
      <c r="A12814" s="1">
        <v>13843.0</v>
      </c>
      <c r="B12814" s="3" t="s">
        <v>12132</v>
      </c>
      <c r="C12814" s="3" t="str">
        <f>IFERROR(__xludf.DUMMYFUNCTION("GOOGLETRANSLATE(B12814,""id"",""en"")"),"['recommended', 'promo', 'tricked', 'njing']")</f>
        <v>['recommended', 'promo', 'tricked', 'njing']</v>
      </c>
      <c r="D12814" s="3">
        <v>1.0</v>
      </c>
    </row>
    <row r="12815" ht="15.75" customHeight="1">
      <c r="A12815" s="1">
        <v>13844.0</v>
      </c>
      <c r="B12815" s="3" t="s">
        <v>12133</v>
      </c>
      <c r="C12815" s="3" t="str">
        <f>IFERROR(__xludf.DUMMYFUNCTION("GOOGLETRANSLATE(B12815,""id"",""en"")"),"['waiting']")</f>
        <v>['waiting']</v>
      </c>
      <c r="D12815" s="3">
        <v>5.0</v>
      </c>
    </row>
    <row r="12816" ht="15.75" customHeight="1">
      <c r="A12816" s="1">
        <v>13845.0</v>
      </c>
      <c r="B12816" s="3" t="s">
        <v>12134</v>
      </c>
      <c r="C12816" s="3" t="str">
        <f>IFERROR(__xludf.DUMMYFUNCTION("GOOGLETRANSLATE(B12816,""id"",""en"")"),"['Disinyal']")</f>
        <v>['Disinyal']</v>
      </c>
      <c r="D12816" s="3">
        <v>4.0</v>
      </c>
    </row>
    <row r="12817" ht="15.75" customHeight="1">
      <c r="A12817" s="1">
        <v>13846.0</v>
      </c>
      <c r="B12817" s="3" t="s">
        <v>4422</v>
      </c>
      <c r="C12817" s="3" t="str">
        <f>IFERROR(__xludf.DUMMYFUNCTION("GOOGLETRANSLATE(B12817,""id"",""en"")"),"['Forward', 'Telkomsel']")</f>
        <v>['Forward', 'Telkomsel']</v>
      </c>
      <c r="D12817" s="3">
        <v>4.0</v>
      </c>
    </row>
    <row r="12818" ht="15.75" customHeight="1">
      <c r="A12818" s="1">
        <v>13847.0</v>
      </c>
      <c r="B12818" s="3" t="s">
        <v>12135</v>
      </c>
      <c r="C12818" s="3" t="str">
        <f>IFERROR(__xludf.DUMMYFUNCTION("GOOGLETRANSLATE(B12818,""id"",""en"")"),"['signal', 'ugly', 'Tangerang', 'Termsuk', 'City']")</f>
        <v>['signal', 'ugly', 'Tangerang', 'Termsuk', 'City']</v>
      </c>
      <c r="D12818" s="3">
        <v>1.0</v>
      </c>
    </row>
    <row r="12819" ht="15.75" customHeight="1">
      <c r="A12819" s="1">
        <v>13848.0</v>
      </c>
      <c r="B12819" s="3" t="s">
        <v>12136</v>
      </c>
      <c r="C12819" s="3" t="str">
        <f>IFERROR(__xludf.DUMMYFUNCTION("GOOGLETRANSLATE(B12819,""id"",""en"")"),"['Package', 'Combo', 'Sakti', 'expensive', 'right', 'buy', 'card', 'promo']")</f>
        <v>['Package', 'Combo', 'Sakti', 'expensive', 'right', 'buy', 'card', 'promo']</v>
      </c>
      <c r="D12819" s="3">
        <v>2.0</v>
      </c>
    </row>
    <row r="12820" ht="15.75" customHeight="1">
      <c r="A12820" s="1">
        <v>13849.0</v>
      </c>
      <c r="B12820" s="3" t="s">
        <v>12137</v>
      </c>
      <c r="C12820" s="3" t="str">
        <f>IFERROR(__xludf.DUMMYFUNCTION("GOOGLETRANSLATE(B12820,""id"",""en"")"),"['rotten', 'application', 'complain', 'pulse', 'entry', 'told', 'Wait', 'hour', 'told', 'Wait', 'work', ""]")</f>
        <v>['rotten', 'application', 'complain', 'pulse', 'entry', 'told', 'Wait', 'hour', 'told', 'Wait', 'work', "]</v>
      </c>
      <c r="D12820" s="3">
        <v>1.0</v>
      </c>
    </row>
    <row r="12821" ht="15.75" customHeight="1">
      <c r="A12821" s="1">
        <v>13850.0</v>
      </c>
      <c r="B12821" s="3" t="s">
        <v>12138</v>
      </c>
      <c r="C12821" s="3" t="str">
        <f>IFERROR(__xludf.DUMMYFUNCTION("GOOGLETRANSLATE(B12821,""id"",""en"")"),"['Telkomsel', 'kmi', 'need', 'quota', 'inflix', 'max', 'stream', 'bner', 'kmi', 'need', 'gmna', 'quota', ' Internet ',' Internet ',' Please ',' Understand ',' Customer ',' Telkomsel ',' Loss', 'Bgini', 'Bgini', 'Nambahin', 'Star', 'Except', 'comment' , 'D"&amp;"iscuss', 'Operator', 'Love', 'Star', 'Telkomsel', 'Kya', 'Kan', ""]")</f>
        <v>['Telkomsel', 'kmi', 'need', 'quota', 'inflix', 'max', 'stream', 'bner', 'kmi', 'need', 'gmna', 'quota', ' Internet ',' Internet ',' Please ',' Understand ',' Customer ',' Telkomsel ',' Loss', 'Bgini', 'Bgini', 'Nambahin', 'Star', 'Except', 'comment' , 'Discuss', 'Operator', 'Love', 'Star', 'Telkomsel', 'Kya', 'Kan', "]</v>
      </c>
      <c r="D12821" s="3">
        <v>1.0</v>
      </c>
    </row>
    <row r="12822" ht="15.75" customHeight="1">
      <c r="A12822" s="1">
        <v>13851.0</v>
      </c>
      <c r="B12822" s="3" t="s">
        <v>12139</v>
      </c>
      <c r="C12822" s="3" t="str">
        <f>IFERROR(__xludf.DUMMYFUNCTION("GOOGLETRANSLATE(B12822,""id"",""en"")"),"['communication', 'Lebimudah', 'durable']")</f>
        <v>['communication', 'Lebimudah', 'durable']</v>
      </c>
      <c r="D12822" s="3">
        <v>5.0</v>
      </c>
    </row>
    <row r="12823" ht="15.75" customHeight="1">
      <c r="A12823" s="1">
        <v>13852.0</v>
      </c>
      <c r="B12823" s="3" t="s">
        <v>12140</v>
      </c>
      <c r="C12823" s="3" t="str">
        <f>IFERROR(__xludf.DUMMYFUNCTION("GOOGLETRANSLATE(B12823,""id"",""en"")"),"['APK', 'great', 'makes it easy', 'thank', 'love']")</f>
        <v>['APK', 'great', 'makes it easy', 'thank', 'love']</v>
      </c>
      <c r="D12823" s="3">
        <v>5.0</v>
      </c>
    </row>
    <row r="12824" ht="15.75" customHeight="1">
      <c r="A12824" s="1">
        <v>13853.0</v>
      </c>
      <c r="B12824" s="3" t="s">
        <v>12141</v>
      </c>
      <c r="C12824" s="3" t="str">
        <f>IFERROR(__xludf.DUMMYFUNCTION("GOOGLETRANSLATE(B12824,""id"",""en"")"),"['send', 'message', 'slow', 'network', 'down', 'weak', 'message', 'operator', 'interrupted', 'play', 'game']")</f>
        <v>['send', 'message', 'slow', 'network', 'down', 'weak', 'message', 'operator', 'interrupted', 'play', 'game']</v>
      </c>
      <c r="D12824" s="3">
        <v>1.0</v>
      </c>
    </row>
    <row r="12825" ht="15.75" customHeight="1">
      <c r="A12825" s="1">
        <v>13854.0</v>
      </c>
      <c r="B12825" s="3" t="s">
        <v>12142</v>
      </c>
      <c r="C12825" s="3" t="str">
        <f>IFERROR(__xludf.DUMMYFUNCTION("GOOGLETRANSLATE(B12825,""id"",""en"")"),"['', 'try']")</f>
        <v>['', 'try']</v>
      </c>
      <c r="D12825" s="3">
        <v>3.0</v>
      </c>
    </row>
    <row r="12826" ht="15.75" customHeight="1">
      <c r="A12826" s="1">
        <v>13855.0</v>
      </c>
      <c r="B12826" s="3" t="s">
        <v>12143</v>
      </c>
      <c r="C12826" s="3" t="str">
        <f>IFERROR(__xludf.DUMMYFUNCTION("GOOGLETRANSLATE(B12826,""id"",""en"")"),"['best', 'network', 'broad', 'where']")</f>
        <v>['best', 'network', 'broad', 'where']</v>
      </c>
      <c r="D12826" s="3">
        <v>5.0</v>
      </c>
    </row>
    <row r="12827" ht="15.75" customHeight="1">
      <c r="A12827" s="1">
        <v>13856.0</v>
      </c>
      <c r="B12827" s="3" t="s">
        <v>7599</v>
      </c>
      <c r="C12827" s="3" t="str">
        <f>IFERROR(__xludf.DUMMYFUNCTION("GOOGLETRANSLATE(B12827,""id"",""en"")"),"['package', 'expensive', 'expensive']")</f>
        <v>['package', 'expensive', 'expensive']</v>
      </c>
      <c r="D12827" s="3">
        <v>5.0</v>
      </c>
    </row>
    <row r="12828" ht="15.75" customHeight="1">
      <c r="A12828" s="1">
        <v>13857.0</v>
      </c>
      <c r="B12828" s="3" t="s">
        <v>12144</v>
      </c>
      <c r="C12828" s="3" t="str">
        <f>IFERROR(__xludf.DUMMYFUNCTION("GOOGLETRANSLATE(B12828,""id"",""en"")"),"['Please', 'Fix', 'Network', 'Signal', 'Area', 'Kapok', 'Kebon', 'Ginger', 'RW', 'Kec', 'Cengkareng', 'Jakbar', ' Area ',' Kapok ',' Swamp ',' Cork ',' RW ',' Kec ',' Cengkareng ',' Jakbar ',' Please ',' Increase ',' Signal ',' Area ',' Comfort ' , 'Custo"&amp;"mers', 'loyal', 'Telkomsel', '']")</f>
        <v>['Please', 'Fix', 'Network', 'Signal', 'Area', 'Kapok', 'Kebon', 'Ginger', 'RW', 'Kec', 'Cengkareng', 'Jakbar', ' Area ',' Kapok ',' Swamp ',' Cork ',' RW ',' Kec ',' Cengkareng ',' Jakbar ',' Please ',' Increase ',' Signal ',' Area ',' Comfort ' , 'Customers', 'loyal', 'Telkomsel', '']</v>
      </c>
      <c r="D12828" s="3">
        <v>1.0</v>
      </c>
    </row>
    <row r="12829" ht="15.75" customHeight="1">
      <c r="A12829" s="1">
        <v>13858.0</v>
      </c>
      <c r="B12829" s="3" t="s">
        <v>12145</v>
      </c>
      <c r="C12829" s="3" t="str">
        <f>IFERROR(__xludf.DUMMYFUNCTION("GOOGLETRANSLATE(B12829,""id"",""en"")"),"['Improvement', 'Quality', 'Signal', 'Region', 'Perum', 'Jatisari', 'Mijen', 'City', 'Semarang']")</f>
        <v>['Improvement', 'Quality', 'Signal', 'Region', 'Perum', 'Jatisari', 'Mijen', 'City', 'Semarang']</v>
      </c>
      <c r="D12829" s="3">
        <v>5.0</v>
      </c>
    </row>
    <row r="12830" ht="15.75" customHeight="1">
      <c r="A12830" s="1">
        <v>13859.0</v>
      </c>
      <c r="B12830" s="3" t="s">
        <v>12146</v>
      </c>
      <c r="C12830" s="3" t="str">
        <f>IFERROR(__xludf.DUMMYFUNCTION("GOOGLETRANSLATE(B12830,""id"",""en"")"),"['School', 'Online']")</f>
        <v>['School', 'Online']</v>
      </c>
      <c r="D12830" s="3">
        <v>5.0</v>
      </c>
    </row>
    <row r="12831" ht="15.75" customHeight="1">
      <c r="A12831" s="1">
        <v>13860.0</v>
      </c>
      <c r="B12831" s="3" t="s">
        <v>12147</v>
      </c>
      <c r="C12831" s="3" t="str">
        <f>IFERROR(__xludf.DUMMYFUNCTION("GOOGLETRANSLATE(B12831,""id"",""en"")"),"['signal', 'super', 'ugly', 'price', 'super', 'expensive', 'maen', 'game', 'lost', 'mulu', 'gegara', 'signal', ' ']")</f>
        <v>['signal', 'super', 'ugly', 'price', 'super', 'expensive', 'maen', 'game', 'lost', 'mulu', 'gegara', 'signal', ' ']</v>
      </c>
      <c r="D12831" s="3">
        <v>1.0</v>
      </c>
    </row>
    <row r="12832" ht="15.75" customHeight="1">
      <c r="A12832" s="1">
        <v>13861.0</v>
      </c>
      <c r="B12832" s="3" t="s">
        <v>12148</v>
      </c>
      <c r="C12832" s="3" t="str">
        <f>IFERROR(__xludf.DUMMYFUNCTION("GOOGLETRANSLATE(B12832,""id"",""en"")"),"['', 'perman', 'boss']")</f>
        <v>['', 'perman', 'boss']</v>
      </c>
      <c r="D12832" s="3">
        <v>4.0</v>
      </c>
    </row>
    <row r="12833" ht="15.75" customHeight="1">
      <c r="A12833" s="1">
        <v>13862.0</v>
      </c>
      <c r="B12833" s="3" t="s">
        <v>12149</v>
      </c>
      <c r="C12833" s="3" t="str">
        <f>IFERROR(__xludf.DUMMYFUNCTION("GOOGLETRANSLATE(B12833,""id"",""en"")"),"['Telkomsel', 'Taik', 'Network', 'Benerin', 'Eat', 'Salary', 'blind', 'kntle']")</f>
        <v>['Telkomsel', 'Taik', 'Network', 'Benerin', 'Eat', 'Salary', 'blind', 'kntle']</v>
      </c>
      <c r="D12833" s="3">
        <v>1.0</v>
      </c>
    </row>
    <row r="12834" ht="15.75" customHeight="1">
      <c r="A12834" s="1">
        <v>13863.0</v>
      </c>
      <c r="B12834" s="3" t="s">
        <v>12150</v>
      </c>
      <c r="C12834" s="3" t="str">
        <f>IFERROR(__xludf.DUMMYFUNCTION("GOOGLETRANSLATE(B12834,""id"",""en"")"),"['Head', 'Office', 'Telkomsel', 'Dear', 'Kanapa', 'Network', 'Yng', 'Cave', 'Bad', 'Emotion', 'Telkomsel', 'appreciate', ' Consumers', '']")</f>
        <v>['Head', 'Office', 'Telkomsel', 'Dear', 'Kanapa', 'Network', 'Yng', 'Cave', 'Bad', 'Emotion', 'Telkomsel', 'appreciate', ' Consumers', '']</v>
      </c>
      <c r="D12834" s="3">
        <v>1.0</v>
      </c>
    </row>
    <row r="12835" ht="15.75" customHeight="1">
      <c r="A12835" s="1">
        <v>13864.0</v>
      </c>
      <c r="B12835" s="3" t="s">
        <v>12151</v>
      </c>
      <c r="C12835" s="3" t="str">
        <f>IFERROR(__xludf.DUMMYFUNCTION("GOOGLETRANSLATE(B12835,""id"",""en"")"),"['Telkomsel', 'good', 'like']")</f>
        <v>['Telkomsel', 'good', 'like']</v>
      </c>
      <c r="D12835" s="3">
        <v>3.0</v>
      </c>
    </row>
    <row r="12836" ht="15.75" customHeight="1">
      <c r="A12836" s="1">
        <v>13865.0</v>
      </c>
      <c r="B12836" s="3" t="s">
        <v>12152</v>
      </c>
      <c r="C12836" s="3" t="str">
        <f>IFERROR(__xludf.DUMMYFUNCTION("GOOGLETRANSLATE(B12836,""id"",""en"")"),"['update', 'signal', 'like', 'hazos', 'signal', 'customer', 'use', 'Telkomsel']")</f>
        <v>['update', 'signal', 'like', 'hazos', 'signal', 'customer', 'use', 'Telkomsel']</v>
      </c>
      <c r="D12836" s="3">
        <v>5.0</v>
      </c>
    </row>
    <row r="12837" ht="15.75" customHeight="1">
      <c r="A12837" s="1">
        <v>13866.0</v>
      </c>
      <c r="B12837" s="3" t="s">
        <v>12153</v>
      </c>
      <c r="C12837" s="3" t="str">
        <f>IFERROR(__xludf.DUMMYFUNCTION("GOOGLETRANSLATE(B12837,""id"",""en"")"),"['signal', 'severe', 'ugly', 'really', 'ugly', 'card', 'cheapest', 'price', 'expensive', 'sinynya', 'cheap', 'mending', ' Cave ',' card ',' ']")</f>
        <v>['signal', 'severe', 'ugly', 'really', 'ugly', 'card', 'cheapest', 'price', 'expensive', 'sinynya', 'cheap', 'mending', ' Cave ',' card ',' ']</v>
      </c>
      <c r="D12837" s="3">
        <v>1.0</v>
      </c>
    </row>
    <row r="12838" ht="15.75" customHeight="1">
      <c r="A12838" s="1">
        <v>13867.0</v>
      </c>
      <c r="B12838" s="3" t="s">
        <v>12154</v>
      </c>
      <c r="C12838" s="3" t="str">
        <f>IFERROR(__xludf.DUMMYFUNCTION("GOOGLETRANSLATE(B12838,""id"",""en"")"),"['Error', 'rather than', 'smooth', 'use it', 'please', 'fix', 'need', 'promo', 'leftover', 'pulse', 'quota', 'internet', ' SMS ',' Phone ',' Please ',' Enhanced ',' Signal ',' Telkomsel ',' Region ',' Remote ',' ']")</f>
        <v>['Error', 'rather than', 'smooth', 'use it', 'please', 'fix', 'need', 'promo', 'leftover', 'pulse', 'quota', 'internet', ' SMS ',' Phone ',' Please ',' Enhanced ',' Signal ',' Telkomsel ',' Region ',' Remote ',' ']</v>
      </c>
      <c r="D12838" s="3">
        <v>1.0</v>
      </c>
    </row>
    <row r="12839" ht="15.75" customHeight="1">
      <c r="A12839" s="1">
        <v>13868.0</v>
      </c>
      <c r="B12839" s="3" t="s">
        <v>12155</v>
      </c>
      <c r="C12839" s="3" t="str">
        <f>IFERROR(__xludf.DUMMYFUNCTION("GOOGLETRANSLATE(B12839,""id"",""en"")"),"['touching']")</f>
        <v>['touching']</v>
      </c>
      <c r="D12839" s="3">
        <v>5.0</v>
      </c>
    </row>
    <row r="12840" ht="15.75" customHeight="1">
      <c r="A12840" s="1">
        <v>13869.0</v>
      </c>
      <c r="B12840" s="3" t="s">
        <v>4086</v>
      </c>
      <c r="C12840" s="3" t="str">
        <f>IFERROR(__xludf.DUMMYFUNCTION("GOOGLETRANSLATE(B12840,""id"",""en"")"),"['Application', 'interesting']")</f>
        <v>['Application', 'interesting']</v>
      </c>
      <c r="D12840" s="3">
        <v>5.0</v>
      </c>
    </row>
    <row r="12841" ht="15.75" customHeight="1">
      <c r="A12841" s="1">
        <v>13870.0</v>
      </c>
      <c r="B12841" s="3" t="s">
        <v>12156</v>
      </c>
      <c r="C12841" s="3" t="str">
        <f>IFERROR(__xludf.DUMMYFUNCTION("GOOGLETRANSLATE(B12841,""id"",""en"")"),"['blush', 'shy', 'card', 'Sakti', 'rare', 'promo', 'quota', 'cheap', ""]")</f>
        <v>['blush', 'shy', 'card', 'Sakti', 'rare', 'promo', 'quota', 'cheap', "]</v>
      </c>
      <c r="D12841" s="3">
        <v>1.0</v>
      </c>
    </row>
    <row r="12842" ht="15.75" customHeight="1">
      <c r="A12842" s="1">
        <v>13871.0</v>
      </c>
      <c r="B12842" s="3" t="s">
        <v>12157</v>
      </c>
      <c r="C12842" s="3" t="str">
        <f>IFERROR(__xludf.DUMMYFUNCTION("GOOGLETRANSLATE(B12842,""id"",""en"")"),"['Open', 'Application', 'Review', '']")</f>
        <v>['Open', 'Application', 'Review', '']</v>
      </c>
      <c r="D12842" s="3">
        <v>1.0</v>
      </c>
    </row>
    <row r="12843" ht="15.75" customHeight="1">
      <c r="A12843" s="1">
        <v>13872.0</v>
      </c>
      <c r="B12843" s="3" t="s">
        <v>12158</v>
      </c>
      <c r="C12843" s="3" t="str">
        <f>IFERROR(__xludf.DUMMYFUNCTION("GOOGLETRANSLATE(B12843,""id"",""en"")"),"['Wear', 'application', 'MyTelkomsel', 'unfortunately', 'plz', 'zya', 'shopping', 'package', 'internet', 'registered', 'skali', 'jdi', ' Sya ',' forced ',' Delete ',' Application ',' MyTelkomsel ',' Over ',' Thank you ']")</f>
        <v>['Wear', 'application', 'MyTelkomsel', 'unfortunately', 'plz', 'zya', 'shopping', 'package', 'internet', 'registered', 'skali', 'jdi', ' Sya ',' forced ',' Delete ',' Application ',' MyTelkomsel ',' Over ',' Thank you ']</v>
      </c>
      <c r="D12843" s="3">
        <v>3.0</v>
      </c>
    </row>
    <row r="12844" ht="15.75" customHeight="1">
      <c r="A12844" s="1">
        <v>13873.0</v>
      </c>
      <c r="B12844" s="3" t="s">
        <v>704</v>
      </c>
      <c r="C12844" s="3" t="str">
        <f>IFERROR(__xludf.DUMMYFUNCTION("GOOGLETRANSLATE(B12844,""id"",""en"")"),"['Help', 'steady']")</f>
        <v>['Help', 'steady']</v>
      </c>
      <c r="D12844" s="3">
        <v>5.0</v>
      </c>
    </row>
    <row r="12845" ht="15.75" customHeight="1">
      <c r="A12845" s="1">
        <v>13874.0</v>
      </c>
      <c r="B12845" s="3" t="s">
        <v>12159</v>
      </c>
      <c r="C12845" s="3" t="str">
        <f>IFERROR(__xludf.DUMMYFUNCTION("GOOGLETRANSLATE(B12845,""id"",""en"")"),"['Bagus', 'Package']")</f>
        <v>['Bagus', 'Package']</v>
      </c>
      <c r="D12845" s="3">
        <v>5.0</v>
      </c>
    </row>
    <row r="12846" ht="15.75" customHeight="1">
      <c r="A12846" s="1">
        <v>13875.0</v>
      </c>
      <c r="B12846" s="3" t="s">
        <v>12160</v>
      </c>
      <c r="C12846" s="3" t="str">
        <f>IFERROR(__xludf.DUMMYFUNCTION("GOOGLETRANSLATE(B12846,""id"",""en"")"),"['Satisfied', 'service', 'Telkomsel']")</f>
        <v>['Satisfied', 'service', 'Telkomsel']</v>
      </c>
      <c r="D12846" s="3">
        <v>5.0</v>
      </c>
    </row>
    <row r="12847" ht="15.75" customHeight="1">
      <c r="A12847" s="1">
        <v>13876.0</v>
      </c>
      <c r="B12847" s="3" t="s">
        <v>12161</v>
      </c>
      <c r="C12847" s="3" t="str">
        <f>IFERROR(__xludf.DUMMYFUNCTION("GOOGLETRANSLATE(B12847,""id"",""en"")"),"['Kereeen', 'help']")</f>
        <v>['Kereeen', 'help']</v>
      </c>
      <c r="D12847" s="3">
        <v>5.0</v>
      </c>
    </row>
    <row r="12848" ht="15.75" customHeight="1">
      <c r="A12848" s="1">
        <v>13877.0</v>
      </c>
      <c r="B12848" s="3" t="s">
        <v>12162</v>
      </c>
      <c r="C12848" s="3" t="str">
        <f>IFERROR(__xludf.DUMMYFUNCTION("GOOGLETRANSLATE(B12848,""id"",""en"")"),"['application', 'useful', 'user', 'card', 'hello']")</f>
        <v>['application', 'useful', 'user', 'card', 'hello']</v>
      </c>
      <c r="D12848" s="3">
        <v>5.0</v>
      </c>
    </row>
    <row r="12849" ht="15.75" customHeight="1">
      <c r="A12849" s="1">
        <v>13878.0</v>
      </c>
      <c r="B12849" s="3" t="s">
        <v>12163</v>
      </c>
      <c r="C12849" s="3" t="str">
        <f>IFERROR(__xludf.DUMMYFUNCTION("GOOGLETRANSLATE(B12849,""id"",""en"")"),"['Telkomsel', 'mony', 'price', 'package', 'quota', 'expensive', 'speed', 'network', 'internet', 'provider', 'signal', 'Telkomnyetttt', ' Living ',' Environment ',' Pemda ',' County ',' Mesuji ',' Lampung ',' Environment ',' Local Government ',' Signal ','"&amp;" Parahhhhh ', ""]")</f>
        <v>['Telkomsel', 'mony', 'price', 'package', 'quota', 'expensive', 'speed', 'network', 'internet', 'provider', 'signal', 'Telkomnyetttt', ' Living ',' Environment ',' Pemda ',' County ',' Mesuji ',' Lampung ',' Environment ',' Local Government ',' Signal ',' Parahhhhh ', "]</v>
      </c>
      <c r="D12849" s="3">
        <v>1.0</v>
      </c>
    </row>
    <row r="12850" ht="15.75" customHeight="1">
      <c r="A12850" s="1">
        <v>13879.0</v>
      </c>
      <c r="B12850" s="3" t="s">
        <v>12164</v>
      </c>
      <c r="C12850" s="3" t="str">
        <f>IFERROR(__xludf.DUMMYFUNCTION("GOOGLETRANSLATE(B12850,""id"",""en"")"),"['Telkomsel', 'internet', 'expensive', 'network', 'ilang', 'mending', 'slow', 'please', 'fix', 'connection', 'setabill', 'interrupted', ' ']")</f>
        <v>['Telkomsel', 'internet', 'expensive', 'network', 'ilang', 'mending', 'slow', 'please', 'fix', 'connection', 'setabill', 'interrupted', ' ']</v>
      </c>
      <c r="D12850" s="3">
        <v>1.0</v>
      </c>
    </row>
    <row r="12851" ht="15.75" customHeight="1">
      <c r="A12851" s="1">
        <v>13880.0</v>
      </c>
      <c r="B12851" s="3" t="s">
        <v>12165</v>
      </c>
      <c r="C12851" s="3" t="str">
        <f>IFERROR(__xludf.DUMMYFUNCTION("GOOGLETRANSLATE(B12851,""id"",""en"")"),"['Severe', 'confirmation', 'well', 'lose', 'sophisticated', 'ama', 'operator', 'number', 'already', 'annual', 'Dipake', ""]")</f>
        <v>['Severe', 'confirmation', 'well', 'lose', 'sophisticated', 'ama', 'operator', 'number', 'already', 'annual', 'Dipake', "]</v>
      </c>
      <c r="D12851" s="3">
        <v>1.0</v>
      </c>
    </row>
    <row r="12852" ht="15.75" customHeight="1">
      <c r="A12852" s="1">
        <v>13882.0</v>
      </c>
      <c r="B12852" s="3" t="s">
        <v>12166</v>
      </c>
      <c r="C12852" s="3" t="str">
        <f>IFERROR(__xludf.DUMMYFUNCTION("GOOGLETRANSLATE(B12852,""id"",""en"")"),"['Help', 'Shi', 'enthahlh', 'slow', 'kli']")</f>
        <v>['Help', 'Shi', 'enthahlh', 'slow', 'kli']</v>
      </c>
      <c r="D12852" s="3">
        <v>3.0</v>
      </c>
    </row>
    <row r="12853" ht="15.75" customHeight="1">
      <c r="A12853" s="1">
        <v>13883.0</v>
      </c>
      <c r="B12853" s="3" t="s">
        <v>12167</v>
      </c>
      <c r="C12853" s="3" t="str">
        <f>IFERROR(__xludf.DUMMYFUNCTION("GOOGLETRANSLATE(B12853,""id"",""en"")"),"['Activate', 'Package', 'On', 'Minutes', 'Wear', 'Credit', 'Rp', 'Access', 'Internet', 'Non', 'Package', 'Balek']")</f>
        <v>['Activate', 'Package', 'On', 'Minutes', 'Wear', 'Credit', 'Rp', 'Access', 'Internet', 'Non', 'Package', 'Balek']</v>
      </c>
      <c r="D12853" s="3">
        <v>1.0</v>
      </c>
    </row>
    <row r="12854" ht="15.75" customHeight="1">
      <c r="A12854" s="1">
        <v>13884.0</v>
      </c>
      <c r="B12854" s="3" t="s">
        <v>12168</v>
      </c>
      <c r="C12854" s="3" t="str">
        <f>IFERROR(__xludf.DUMMYFUNCTION("GOOGLETRANSLATE(B12854,""id"",""en"")"),"['Telkomsel', 'emang', 'okay']")</f>
        <v>['Telkomsel', 'emang', 'okay']</v>
      </c>
      <c r="D12854" s="3">
        <v>5.0</v>
      </c>
    </row>
    <row r="12855" ht="15.75" customHeight="1">
      <c r="A12855" s="1">
        <v>13886.0</v>
      </c>
      <c r="B12855" s="3" t="s">
        <v>12169</v>
      </c>
      <c r="C12855" s="3" t="str">
        <f>IFERROR(__xludf.DUMMYFUNCTION("GOOGLETRANSLATE(B12855,""id"",""en"")"),"['stingy', 'apply', 'Android', 'version', 'down', 'consumer', 'king']")</f>
        <v>['stingy', 'apply', 'Android', 'version', 'down', 'consumer', 'king']</v>
      </c>
      <c r="D12855" s="3">
        <v>1.0</v>
      </c>
    </row>
    <row r="12856" ht="15.75" customHeight="1">
      <c r="A12856" s="1">
        <v>13887.0</v>
      </c>
      <c r="B12856" s="3" t="s">
        <v>12170</v>
      </c>
      <c r="C12856" s="3" t="str">
        <f>IFERROR(__xludf.DUMMYFUNCTION("GOOGLETRANSLATE(B12856,""id"",""en"")"),"['Network', 'Full', 'Ngojek']")</f>
        <v>['Network', 'Full', 'Ngojek']</v>
      </c>
      <c r="D12856" s="3">
        <v>5.0</v>
      </c>
    </row>
    <row r="12857" ht="15.75" customHeight="1">
      <c r="A12857" s="1">
        <v>13888.0</v>
      </c>
      <c r="B12857" s="3" t="s">
        <v>12171</v>
      </c>
      <c r="C12857" s="3" t="str">
        <f>IFERROR(__xludf.DUMMYFUNCTION("GOOGLETRANSLATE(B12857,""id"",""en"")"),"['Easy', 'find']")</f>
        <v>['Easy', 'find']</v>
      </c>
      <c r="D12857" s="3">
        <v>5.0</v>
      </c>
    </row>
    <row r="12858" ht="15.75" customHeight="1">
      <c r="A12858" s="1">
        <v>13889.0</v>
      </c>
      <c r="B12858" s="3" t="s">
        <v>12172</v>
      </c>
      <c r="C12858" s="3" t="str">
        <f>IFERROR(__xludf.DUMMYFUNCTION("GOOGLETRANSLATE(B12858,""id"",""en"")"),"['capital', 'Telkomsel', 'missing', 'Siyala']")</f>
        <v>['capital', 'Telkomsel', 'missing', 'Siyala']</v>
      </c>
      <c r="D12858" s="3">
        <v>1.0</v>
      </c>
    </row>
    <row r="12859" ht="15.75" customHeight="1">
      <c r="A12859" s="1">
        <v>13890.0</v>
      </c>
      <c r="B12859" s="3" t="s">
        <v>541</v>
      </c>
      <c r="C12859" s="3" t="str">
        <f>IFERROR(__xludf.DUMMYFUNCTION("GOOGLETRANSLATE(B12859,""id"",""en"")"),"['hopefully']")</f>
        <v>['hopefully']</v>
      </c>
      <c r="D12859" s="3">
        <v>5.0</v>
      </c>
    </row>
    <row r="12860" ht="15.75" customHeight="1">
      <c r="A12860" s="1">
        <v>13891.0</v>
      </c>
      <c r="B12860" s="3" t="s">
        <v>12173</v>
      </c>
      <c r="C12860" s="3" t="str">
        <f>IFERROR(__xludf.DUMMYFUNCTION("GOOGLETRANSLATE(B12860,""id"",""en"")"),"['convenience']")</f>
        <v>['convenience']</v>
      </c>
      <c r="D12860" s="3">
        <v>5.0</v>
      </c>
    </row>
    <row r="12861" ht="15.75" customHeight="1">
      <c r="A12861" s="1">
        <v>13892.0</v>
      </c>
      <c r="B12861" s="3" t="s">
        <v>12174</v>
      </c>
      <c r="C12861" s="3" t="str">
        <f>IFERROR(__xludf.DUMMYFUNCTION("GOOGLETRANSLATE(B12861,""id"",""en"")"),"['Lemot', 'Telkomsel', 'Provider', 'Good', 'Ask by', 'please', 'repaired']")</f>
        <v>['Lemot', 'Telkomsel', 'Provider', 'Good', 'Ask by', 'please', 'repaired']</v>
      </c>
      <c r="D12861" s="3">
        <v>3.0</v>
      </c>
    </row>
    <row r="12862" ht="15.75" customHeight="1">
      <c r="A12862" s="1">
        <v>13894.0</v>
      </c>
      <c r="B12862" s="3" t="s">
        <v>12175</v>
      </c>
      <c r="C12862" s="3" t="str">
        <f>IFERROR(__xludf.DUMMYFUNCTION("GOOGLETRANSLATE(B12862,""id"",""en"")"),"['Tsel', 'monkey', 'slow', 'buy', 'package', 'screen', 'white', 'option', 'turn', 'jancokk']")</f>
        <v>['Tsel', 'monkey', 'slow', 'buy', 'package', 'screen', 'white', 'option', 'turn', 'jancokk']</v>
      </c>
      <c r="D12862" s="3">
        <v>1.0</v>
      </c>
    </row>
    <row r="12863" ht="15.75" customHeight="1">
      <c r="A12863" s="1">
        <v>13895.0</v>
      </c>
      <c r="B12863" s="3" t="s">
        <v>409</v>
      </c>
      <c r="C12863" s="3" t="str">
        <f>IFERROR(__xludf.DUMMYFUNCTION("GOOGLETRANSLATE(B12863,""id"",""en"")"),"['easy']")</f>
        <v>['easy']</v>
      </c>
      <c r="D12863" s="3">
        <v>5.0</v>
      </c>
    </row>
    <row r="12864" ht="15.75" customHeight="1">
      <c r="A12864" s="1">
        <v>13896.0</v>
      </c>
      <c r="B12864" s="3" t="s">
        <v>286</v>
      </c>
      <c r="C12864" s="3" t="str">
        <f>IFERROR(__xludf.DUMMYFUNCTION("GOOGLETRANSLATE(B12864,""id"",""en"")"),"['good']")</f>
        <v>['good']</v>
      </c>
      <c r="D12864" s="3">
        <v>5.0</v>
      </c>
    </row>
    <row r="12865" ht="15.75" customHeight="1">
      <c r="A12865" s="1">
        <v>13897.0</v>
      </c>
      <c r="B12865" s="3" t="s">
        <v>12176</v>
      </c>
      <c r="C12865" s="3" t="str">
        <f>IFERROR(__xludf.DUMMYFUNCTION("GOOGLETRANSLATE(B12865,""id"",""en"")"),"['Good', 'price', 'package', 'dumped']")</f>
        <v>['Good', 'price', 'package', 'dumped']</v>
      </c>
      <c r="D12865" s="3">
        <v>5.0</v>
      </c>
    </row>
    <row r="12866" ht="15.75" customHeight="1">
      <c r="A12866" s="1">
        <v>13898.0</v>
      </c>
      <c r="B12866" s="3" t="s">
        <v>12177</v>
      </c>
      <c r="C12866" s="3" t="str">
        <f>IFERROR(__xludf.DUMMYFUNCTION("GOOGLETRANSLATE(B12866,""id"",""en"")"),"['Telkomsel', 'expensive', 'price', 'package', 'internet']")</f>
        <v>['Telkomsel', 'expensive', 'price', 'package', 'internet']</v>
      </c>
      <c r="D12866" s="3">
        <v>2.0</v>
      </c>
    </row>
    <row r="12867" ht="15.75" customHeight="1">
      <c r="A12867" s="1">
        <v>13899.0</v>
      </c>
      <c r="B12867" s="3" t="s">
        <v>12178</v>
      </c>
      <c r="C12867" s="3" t="str">
        <f>IFERROR(__xludf.DUMMYFUNCTION("GOOGLETRANSLATE(B12867,""id"",""en"")"),"['Meleless', 'the application', 'for a while', 'update', 'heighted', 'check', 'quota', 'slow', 'my apk', '']")</f>
        <v>['Meleless', 'the application', 'for a while', 'update', 'heighted', 'check', 'quota', 'slow', 'my apk', '']</v>
      </c>
      <c r="D12867" s="3">
        <v>1.0</v>
      </c>
    </row>
    <row r="12868" ht="15.75" customHeight="1">
      <c r="A12868" s="1">
        <v>13900.0</v>
      </c>
      <c r="B12868" s="3" t="s">
        <v>12179</v>
      </c>
      <c r="C12868" s="3" t="str">
        <f>IFERROR(__xludf.DUMMYFUNCTION("GOOGLETRANSLATE(B12868,""id"",""en"")"),"['Not bad', 'interesting']")</f>
        <v>['Not bad', 'interesting']</v>
      </c>
      <c r="D12868" s="3">
        <v>4.0</v>
      </c>
    </row>
    <row r="12869" ht="15.75" customHeight="1">
      <c r="A12869" s="1">
        <v>13901.0</v>
      </c>
      <c r="B12869" s="3" t="s">
        <v>12180</v>
      </c>
      <c r="C12869" s="3" t="str">
        <f>IFERROR(__xludf.DUMMYFUNCTION("GOOGLETRANSLATE(B12869,""id"",""en"")"),"['ugly', 'euy', 'signal', 'right', 'rain']")</f>
        <v>['ugly', 'euy', 'signal', 'right', 'rain']</v>
      </c>
      <c r="D12869" s="3">
        <v>2.0</v>
      </c>
    </row>
    <row r="12870" ht="15.75" customHeight="1">
      <c r="A12870" s="1">
        <v>13902.0</v>
      </c>
      <c r="B12870" s="3" t="s">
        <v>12181</v>
      </c>
      <c r="C12870" s="3" t="str">
        <f>IFERROR(__xludf.DUMMYFUNCTION("GOOGLETRANSLATE(B12870,""id"",""en"")"),"['Telkomsel', 'recommendation', 'kenpa', 'buy', 'pulse', 'no', 'data', 'Telkomsel', 'TPI', 'pulses', 'reduce', 'taaaiiiii']")</f>
        <v>['Telkomsel', 'recommendation', 'kenpa', 'buy', 'pulse', 'no', 'data', 'Telkomsel', 'TPI', 'pulses', 'reduce', 'taaaiiiii']</v>
      </c>
      <c r="D12870" s="3">
        <v>2.0</v>
      </c>
    </row>
    <row r="12871" ht="15.75" customHeight="1">
      <c r="A12871" s="1">
        <v>13903.0</v>
      </c>
      <c r="B12871" s="3" t="s">
        <v>12182</v>
      </c>
      <c r="C12871" s="3" t="str">
        <f>IFERROR(__xludf.DUMMYFUNCTION("GOOGLETRANSLATE(B12871,""id"",""en"")"),"['Network', 'pulp', 'life', 'city', 'taste', 'inland', 'times',' already ',' many ',' times', 'Disabarin', 'Tetep', ' SAFE ',' package ',' expensive ',' network ',' slow ',' pulp ']")</f>
        <v>['Network', 'pulp', 'life', 'city', 'taste', 'inland', 'times',' already ',' many ',' times', 'Disabarin', 'Tetep', ' SAFE ',' package ',' expensive ',' network ',' slow ',' pulp ']</v>
      </c>
      <c r="D12871" s="3">
        <v>1.0</v>
      </c>
    </row>
    <row r="12872" ht="15.75" customHeight="1">
      <c r="A12872" s="1">
        <v>13904.0</v>
      </c>
      <c r="B12872" s="3" t="s">
        <v>12183</v>
      </c>
      <c r="C12872" s="3" t="str">
        <f>IFERROR(__xludf.DUMMYFUNCTION("GOOGLETRANSLATE(B12872,""id"",""en"")"),"['Please', 'Tekomsel', 'Package', 'Main', 'Game']")</f>
        <v>['Please', 'Tekomsel', 'Package', 'Main', 'Game']</v>
      </c>
      <c r="D12872" s="3">
        <v>2.0</v>
      </c>
    </row>
    <row r="12873" ht="15.75" customHeight="1">
      <c r="A12873" s="1">
        <v>13905.0</v>
      </c>
      <c r="B12873" s="3" t="s">
        <v>12184</v>
      </c>
      <c r="C12873" s="3" t="str">
        <f>IFERROR(__xludf.DUMMYFUNCTION("GOOGLETRANSLATE(B12873,""id"",""en"")"),"['application', 'good', 'bintnlang']")</f>
        <v>['application', 'good', 'bintnlang']</v>
      </c>
      <c r="D12873" s="3">
        <v>5.0</v>
      </c>
    </row>
    <row r="12874" ht="15.75" customHeight="1">
      <c r="A12874" s="1">
        <v>13906.0</v>
      </c>
      <c r="B12874" s="3" t="s">
        <v>12185</v>
      </c>
      <c r="C12874" s="3" t="str">
        <f>IFERROR(__xludf.DUMMYFUNCTION("GOOGLETRANSLATE(B12874,""id"",""en"")"),"['users',' Telkomsel ',' Make ',' Card ',' Telkomsel ',' Package ',' Hallo ',' Expensive ',' Signal ',' Package ',' Telkomsel ',' Severe ',' Since ',' data ',' data ',' card ',' software ',' already ',' broken ',' Patahin ',' burn ',' card ',' loss ',' be"&amp;"cause 'package' , 'expensive', 'signal', 'gotolol', 'mending', 'card', 'smatfren', 'tree', 'repay', 'signal', 'sorry', 'mulu']")</f>
        <v>['users',' Telkomsel ',' Make ',' Card ',' Telkomsel ',' Package ',' Hallo ',' Expensive ',' Signal ',' Package ',' Telkomsel ',' Severe ',' Since ',' data ',' data ',' card ',' software ',' already ',' broken ',' Patahin ',' burn ',' card ',' loss ',' because 'package' , 'expensive', 'signal', 'gotolol', 'mending', 'card', 'smatfren', 'tree', 'repay', 'signal', 'sorry', 'mulu']</v>
      </c>
      <c r="D12874" s="3">
        <v>1.0</v>
      </c>
    </row>
    <row r="12875" ht="15.75" customHeight="1">
      <c r="A12875" s="1">
        <v>13907.0</v>
      </c>
      <c r="B12875" s="3" t="s">
        <v>12186</v>
      </c>
      <c r="C12875" s="3" t="str">
        <f>IFERROR(__xludf.DUMMYFUNCTION("GOOGLETRANSLATE(B12875,""id"",""en"")"),"['Network', 'Leet', 'Mending', 'Indosat', '']")</f>
        <v>['Network', 'Leet', 'Mending', 'Indosat', '']</v>
      </c>
      <c r="D12875" s="3">
        <v>1.0</v>
      </c>
    </row>
    <row r="12876" ht="15.75" customHeight="1">
      <c r="A12876" s="1">
        <v>13908.0</v>
      </c>
      <c r="B12876" s="3" t="s">
        <v>12187</v>
      </c>
      <c r="C12876" s="3" t="str">
        <f>IFERROR(__xludf.DUMMYFUNCTION("GOOGLETRANSLATE(B12876,""id"",""en"")"),"['APSII', 'Telkomsel', 'Emotion', 'Closed', 'Telkomsel', 'Mending', 'Merkuk', ""]")</f>
        <v>['APSII', 'Telkomsel', 'Emotion', 'Closed', 'Telkomsel', 'Mending', 'Merkuk', "]</v>
      </c>
      <c r="D12876" s="3">
        <v>1.0</v>
      </c>
    </row>
    <row r="12877" ht="15.75" customHeight="1">
      <c r="A12877" s="1">
        <v>13909.0</v>
      </c>
      <c r="B12877" s="3" t="s">
        <v>6737</v>
      </c>
      <c r="C12877" s="3" t="str">
        <f>IFERROR(__xludf.DUMMYFUNCTION("GOOGLETRANSLATE(B12877,""id"",""en"")"),"['love', '']")</f>
        <v>['love', '']</v>
      </c>
      <c r="D12877" s="3">
        <v>3.0</v>
      </c>
    </row>
    <row r="12878" ht="15.75" customHeight="1">
      <c r="A12878" s="1">
        <v>13910.0</v>
      </c>
      <c r="B12878" s="3" t="s">
        <v>12188</v>
      </c>
      <c r="C12878" s="3" t="str">
        <f>IFERROR(__xludf.DUMMYFUNCTION("GOOGLETRANSLATE(B12878,""id"",""en"")"),"['here', 'network', 'Telkomsel', 'MSKIN', 'bad', 'price', 'quota', 'pleated', 'signal', 'internet', 'bad', 'slow', ' ']")</f>
        <v>['here', 'network', 'Telkomsel', 'MSKIN', 'bad', 'price', 'quota', 'pleated', 'signal', 'internet', 'bad', 'slow', ' ']</v>
      </c>
      <c r="D12878" s="3">
        <v>1.0</v>
      </c>
    </row>
    <row r="12879" ht="15.75" customHeight="1">
      <c r="A12879" s="1">
        <v>13911.0</v>
      </c>
      <c r="B12879" s="3" t="s">
        <v>12189</v>
      </c>
      <c r="C12879" s="3" t="str">
        <f>IFERROR(__xludf.DUMMYFUNCTION("GOOGLETRANSLATE(B12879,""id"",""en"")"),"['MyTelkomsel', 'help', 'fill out', 'credit', 'the development', 'agent', 'credit', 'leech', 'land', 'MyTelkomsel', 'savior', 'Didikte', ' Agents', 'pulses',' abal ',' abal ',' ']")</f>
        <v>['MyTelkomsel', 'help', 'fill out', 'credit', 'the development', 'agent', 'credit', 'leech', 'land', 'MyTelkomsel', 'savior', 'Didikte', ' Agents', 'pulses',' abal ',' abal ',' ']</v>
      </c>
      <c r="D12879" s="3">
        <v>5.0</v>
      </c>
    </row>
    <row r="12880" ht="15.75" customHeight="1">
      <c r="A12880" s="1">
        <v>13912.0</v>
      </c>
      <c r="B12880" s="3" t="s">
        <v>12190</v>
      </c>
      <c r="C12880" s="3" t="str">
        <f>IFERROR(__xludf.DUMMYFUNCTION("GOOGLETRANSLATE(B12880,""id"",""en"")"),"['Useful', 'Price', 'Package', '']")</f>
        <v>['Useful', 'Price', 'Package', '']</v>
      </c>
      <c r="D12880" s="3">
        <v>1.0</v>
      </c>
    </row>
    <row r="12881" ht="15.75" customHeight="1">
      <c r="A12881" s="1">
        <v>13914.0</v>
      </c>
      <c r="B12881" s="3" t="s">
        <v>12191</v>
      </c>
      <c r="C12881" s="3" t="str">
        <f>IFERROR(__xludf.DUMMYFUNCTION("GOOGLETRANSLATE(B12881,""id"",""en"")"),"['easy', 'simple']")</f>
        <v>['easy', 'simple']</v>
      </c>
      <c r="D12881" s="3">
        <v>3.0</v>
      </c>
    </row>
    <row r="12882" ht="15.75" customHeight="1">
      <c r="A12882" s="1">
        <v>13915.0</v>
      </c>
      <c r="B12882" s="3" t="s">
        <v>12192</v>
      </c>
      <c r="C12882" s="3" t="str">
        <f>IFERROR(__xludf.DUMMYFUNCTION("GOOGLETRANSLATE(B12882,""id"",""en"")"),"['Promo', 'Hoak']")</f>
        <v>['Promo', 'Hoak']</v>
      </c>
      <c r="D12882" s="3">
        <v>1.0</v>
      </c>
    </row>
    <row r="12883" ht="15.75" customHeight="1">
      <c r="A12883" s="1">
        <v>13916.0</v>
      </c>
      <c r="B12883" s="3" t="s">
        <v>12193</v>
      </c>
      <c r="C12883" s="3" t="str">
        <f>IFERROR(__xludf.DUMMYFUNCTION("GOOGLETRANSLATE(B12883,""id"",""en"")"),"['Hopefully', 'satisfying']")</f>
        <v>['Hopefully', 'satisfying']</v>
      </c>
      <c r="D12883" s="3">
        <v>5.0</v>
      </c>
    </row>
    <row r="12884" ht="15.75" customHeight="1">
      <c r="A12884" s="1">
        <v>13917.0</v>
      </c>
      <c r="B12884" s="3" t="s">
        <v>12194</v>
      </c>
      <c r="C12884" s="3" t="str">
        <f>IFERROR(__xludf.DUMMYFUNCTION("GOOGLETRANSLATE(B12884,""id"",""en"")"),"['application', 'heavy', 'impression', 'slow', 'display', 'confusing', '']")</f>
        <v>['application', 'heavy', 'impression', 'slow', 'display', 'confusing', '']</v>
      </c>
      <c r="D12884" s="3">
        <v>3.0</v>
      </c>
    </row>
    <row r="12885" ht="15.75" customHeight="1">
      <c r="A12885" s="1">
        <v>13918.0</v>
      </c>
      <c r="B12885" s="3" t="s">
        <v>12195</v>
      </c>
      <c r="C12885" s="3" t="str">
        <f>IFERROR(__xludf.DUMMYFUNCTION("GOOGLETRANSLATE(B12885,""id"",""en"")"),"['Maintain', 'Increase', 'Promo', 'Quality', 'Network', 'Please', 'Increase', 'Network', 'Internet', 'Leet', 'Bener', ""]")</f>
        <v>['Maintain', 'Increase', 'Promo', 'Quality', 'Network', 'Please', 'Increase', 'Network', 'Internet', 'Leet', 'Bener', "]</v>
      </c>
      <c r="D12885" s="3">
        <v>4.0</v>
      </c>
    </row>
    <row r="12886" ht="15.75" customHeight="1">
      <c r="A12886" s="1">
        <v>13919.0</v>
      </c>
      <c r="B12886" s="3" t="s">
        <v>12196</v>
      </c>
      <c r="C12886" s="3" t="str">
        <f>IFERROR(__xludf.DUMMYFUNCTION("GOOGLETRANSLATE(B12886,""id"",""en"")"),"['Win', 'Give']")</f>
        <v>['Win', 'Give']</v>
      </c>
      <c r="D12886" s="3">
        <v>5.0</v>
      </c>
    </row>
    <row r="12887" ht="15.75" customHeight="1">
      <c r="A12887" s="1">
        <v>13920.0</v>
      </c>
      <c r="B12887" s="3" t="s">
        <v>12197</v>
      </c>
      <c r="C12887" s="3" t="str">
        <f>IFERROR(__xludf.DUMMYFUNCTION("GOOGLETRANSLATE(B12887,""id"",""en"")"),"['Star', 'because', 'try', 'Sorry', 'Wrong']")</f>
        <v>['Star', 'because', 'try', 'Sorry', 'Wrong']</v>
      </c>
      <c r="D12887" s="3">
        <v>1.0</v>
      </c>
    </row>
    <row r="12888" ht="15.75" customHeight="1">
      <c r="A12888" s="1">
        <v>13921.0</v>
      </c>
      <c r="B12888" s="3" t="s">
        <v>12198</v>
      </c>
      <c r="C12888" s="3" t="str">
        <f>IFERROR(__xludf.DUMMYFUNCTION("GOOGLETRANSLATE(B12888,""id"",""en"")"),"['The network', 'ugly', 'severe', '']")</f>
        <v>['The network', 'ugly', 'severe', '']</v>
      </c>
      <c r="D12888" s="3">
        <v>1.0</v>
      </c>
    </row>
    <row r="12889" ht="15.75" customHeight="1">
      <c r="A12889" s="1">
        <v>13922.0</v>
      </c>
      <c r="B12889" s="3" t="s">
        <v>1435</v>
      </c>
      <c r="C12889" s="3" t="str">
        <f>IFERROR(__xludf.DUMMYFUNCTION("GOOGLETRANSLATE(B12889,""id"",""en"")"),"['help', '']")</f>
        <v>['help', '']</v>
      </c>
      <c r="D12889" s="3">
        <v>5.0</v>
      </c>
    </row>
    <row r="12890" ht="15.75" customHeight="1">
      <c r="A12890" s="1">
        <v>13923.0</v>
      </c>
      <c r="B12890" s="3" t="s">
        <v>12199</v>
      </c>
      <c r="C12890" s="3" t="str">
        <f>IFERROR(__xludf.DUMMYFUNCTION("GOOGLETRANSLATE(B12890,""id"",""en"")"),"['Telkomsel', 'network', 'difficult', 'area', 'already', 'a month', 'network', 'bad', 'moved', 'oprator']")</f>
        <v>['Telkomsel', 'network', 'difficult', 'area', 'already', 'a month', 'network', 'bad', 'moved', 'oprator']</v>
      </c>
      <c r="D12890" s="3">
        <v>1.0</v>
      </c>
    </row>
    <row r="12891" ht="15.75" customHeight="1">
      <c r="A12891" s="1">
        <v>13925.0</v>
      </c>
      <c r="B12891" s="3" t="s">
        <v>1294</v>
      </c>
      <c r="C12891" s="3" t="str">
        <f>IFERROR(__xludf.DUMMYFUNCTION("GOOGLETRANSLATE(B12891,""id"",""en"")"),"['Signal', 'Severe']")</f>
        <v>['Signal', 'Severe']</v>
      </c>
      <c r="D12891" s="3">
        <v>1.0</v>
      </c>
    </row>
    <row r="12892" ht="15.75" customHeight="1">
      <c r="A12892" s="1">
        <v>13926.0</v>
      </c>
      <c r="B12892" s="3" t="s">
        <v>12200</v>
      </c>
      <c r="C12892" s="3" t="str">
        <f>IFERROR(__xludf.DUMMYFUNCTION("GOOGLETRANSLATE(B12892,""id"",""en"")"),"['Credit', 'billed', 'payment', 'purchase', 'GB', 'Package', 'Emergency', 'Live', 'Cut', 'Pulse', 'Ribet']")</f>
        <v>['Credit', 'billed', 'payment', 'purchase', 'GB', 'Package', 'Emergency', 'Live', 'Cut', 'Pulse', 'Ribet']</v>
      </c>
      <c r="D12892" s="3">
        <v>2.0</v>
      </c>
    </row>
    <row r="12893" ht="15.75" customHeight="1">
      <c r="A12893" s="1">
        <v>13929.0</v>
      </c>
      <c r="B12893" s="3" t="s">
        <v>12201</v>
      </c>
      <c r="C12893" s="3" t="str">
        <f>IFERROR(__xludf.DUMMYFUNCTION("GOOGLETRANSLATE(B12893,""id"",""en"")"),"['promo', 'cheap', 'affordable', 'people', 'medium', 'down']")</f>
        <v>['promo', 'cheap', 'affordable', 'people', 'medium', 'down']</v>
      </c>
      <c r="D12893" s="3">
        <v>5.0</v>
      </c>
    </row>
    <row r="12894" ht="15.75" customHeight="1">
      <c r="A12894" s="1">
        <v>13930.0</v>
      </c>
      <c r="B12894" s="3" t="s">
        <v>12202</v>
      </c>
      <c r="C12894" s="3" t="str">
        <f>IFERROR(__xludf.DUMMYFUNCTION("GOOGLETRANSLATE(B12894,""id"",""en"")"),"['Not bad', 'good', 'Telkomsel', 'discount', 'please', 'signal', 'repaired', '']")</f>
        <v>['Not bad', 'good', 'Telkomsel', 'discount', 'please', 'signal', 'repaired', '']</v>
      </c>
      <c r="D12894" s="3">
        <v>5.0</v>
      </c>
    </row>
    <row r="12895" ht="15.75" customHeight="1">
      <c r="A12895" s="1">
        <v>13931.0</v>
      </c>
      <c r="B12895" s="3" t="s">
        <v>12203</v>
      </c>
      <c r="C12895" s="3" t="str">
        <f>IFERROR(__xludf.DUMMYFUNCTION("GOOGLETRANSLATE(B12895,""id"",""en"")"),"['Kebaru', 'Download', 'APK', 'Telkomsel', 'Login', 'Because', 'Oernah', 'Balesan', 'SMS', 'Verphnesses',' already ',' repeated ',' send ',' sms', 'link', 'try', 'help']")</f>
        <v>['Kebaru', 'Download', 'APK', 'Telkomsel', 'Login', 'Because', 'Oernah', 'Balesan', 'SMS', 'Verphnesses',' already ',' repeated ',' send ',' sms', 'link', 'try', 'help']</v>
      </c>
      <c r="D12895" s="3">
        <v>4.0</v>
      </c>
    </row>
    <row r="12896" ht="15.75" customHeight="1">
      <c r="A12896" s="1">
        <v>13932.0</v>
      </c>
      <c r="B12896" s="3" t="s">
        <v>12204</v>
      </c>
      <c r="C12896" s="3" t="str">
        <f>IFERROR(__xludf.DUMMYFUNCTION("GOOGLETRANSLATE(B12896,""id"",""en"")"),"['Star', 'good', 'kasi']")</f>
        <v>['Star', 'good', 'kasi']</v>
      </c>
      <c r="D12896" s="3">
        <v>3.0</v>
      </c>
    </row>
    <row r="12897" ht="15.75" customHeight="1">
      <c r="A12897" s="1">
        <v>13933.0</v>
      </c>
      <c r="B12897" s="3" t="s">
        <v>12205</v>
      </c>
      <c r="C12897" s="3" t="str">
        <f>IFERROR(__xludf.DUMMYFUNCTION("GOOGLETRANSLATE(B12897,""id"",""en"")"),"['funny', 'application', 'list', 'package', 'check', 'package', 'login', 'access', 'file', 'media', 'photo', 'kagak' Alias', 'Download', '']")</f>
        <v>['funny', 'application', 'list', 'package', 'check', 'package', 'login', 'access', 'file', 'media', 'photo', 'kagak' Alias', 'Download', '']</v>
      </c>
      <c r="D12897" s="3">
        <v>1.0</v>
      </c>
    </row>
    <row r="12898" ht="15.75" customHeight="1">
      <c r="A12898" s="1">
        <v>13934.0</v>
      </c>
      <c r="B12898" s="3" t="s">
        <v>12206</v>
      </c>
      <c r="C12898" s="3" t="str">
        <f>IFERROR(__xludf.DUMMYFUNCTION("GOOGLETRANSLATE(B12898,""id"",""en"")"),"['person', 'people', 'stupid', 'use', 'Telkomsel', 'package', 'expensive', 'network', 'slow', 'mending', 'use', 'operator', ' Cheap ',' festive ',' network ',' safe ']")</f>
        <v>['person', 'people', 'stupid', 'use', 'Telkomsel', 'package', 'expensive', 'network', 'slow', 'mending', 'use', 'operator', ' Cheap ',' festive ',' network ',' safe ']</v>
      </c>
      <c r="D12898" s="3">
        <v>1.0</v>
      </c>
    </row>
    <row r="12899" ht="15.75" customHeight="1">
      <c r="A12899" s="1">
        <v>13936.0</v>
      </c>
      <c r="B12899" s="3" t="s">
        <v>1435</v>
      </c>
      <c r="C12899" s="3" t="str">
        <f>IFERROR(__xludf.DUMMYFUNCTION("GOOGLETRANSLATE(B12899,""id"",""en"")"),"['help', '']")</f>
        <v>['help', '']</v>
      </c>
      <c r="D12899" s="3">
        <v>5.0</v>
      </c>
    </row>
    <row r="12900" ht="15.75" customHeight="1">
      <c r="A12900" s="1">
        <v>13938.0</v>
      </c>
      <c r="B12900" s="3" t="s">
        <v>12207</v>
      </c>
      <c r="C12900" s="3" t="str">
        <f>IFERROR(__xludf.DUMMYFUNCTION("GOOGLETRANSLATE(B12900,""id"",""en"")"),"['Please', 'Sorry', 'Wear', 'Login']")</f>
        <v>['Please', 'Sorry', 'Wear', 'Login']</v>
      </c>
      <c r="D12900" s="3">
        <v>1.0</v>
      </c>
    </row>
    <row r="12901" ht="15.75" customHeight="1">
      <c r="A12901" s="1">
        <v>13939.0</v>
      </c>
      <c r="B12901" s="3" t="s">
        <v>3014</v>
      </c>
      <c r="C12901" s="3" t="str">
        <f>IFERROR(__xludf.DUMMYFUNCTION("GOOGLETRANSLATE(B12901,""id"",""en"")"),"['Convenience']")</f>
        <v>['Convenience']</v>
      </c>
      <c r="D12901" s="3">
        <v>5.0</v>
      </c>
    </row>
    <row r="12902" ht="15.75" customHeight="1">
      <c r="A12902" s="1">
        <v>13940.0</v>
      </c>
      <c r="B12902" s="3" t="s">
        <v>12208</v>
      </c>
      <c r="C12902" s="3" t="str">
        <f>IFERROR(__xludf.DUMMYFUNCTION("GOOGLETRANSLATE(B12902,""id"",""en"")"),"['Severe', 'Update', 'Update', 'Open', 'Unstall']")</f>
        <v>['Severe', 'Update', 'Update', 'Open', 'Unstall']</v>
      </c>
      <c r="D12902" s="3">
        <v>1.0</v>
      </c>
    </row>
    <row r="12903" ht="15.75" customHeight="1">
      <c r="A12903" s="1">
        <v>13941.0</v>
      </c>
      <c r="B12903" s="3" t="s">
        <v>12209</v>
      </c>
      <c r="C12903" s="3" t="str">
        <f>IFERROR(__xludf.DUMMYFUNCTION("GOOGLETRANSLATE(B12903,""id"",""en"")"),"['Scruss', 'lag', 'missing', 'network', 'Telkomsel', 'area', 'home', 'tower', 'please', 'fix', 'network', 'Telkomsel']")</f>
        <v>['Scruss', 'lag', 'missing', 'network', 'Telkomsel', 'area', 'home', 'tower', 'please', 'fix', 'network', 'Telkomsel']</v>
      </c>
      <c r="D12903" s="3">
        <v>2.0</v>
      </c>
    </row>
    <row r="12904" ht="15.75" customHeight="1">
      <c r="A12904" s="1">
        <v>13942.0</v>
      </c>
      <c r="B12904" s="3" t="s">
        <v>12210</v>
      </c>
      <c r="C12904" s="3" t="str">
        <f>IFERROR(__xludf.DUMMYFUNCTION("GOOGLETRANSLATE(B12904,""id"",""en"")"),"['Telkom', 'cell', 'hopefully', 'sllu', 'promo', ""]")</f>
        <v>['Telkom', 'cell', 'hopefully', 'sllu', 'promo', "]</v>
      </c>
      <c r="D12904" s="3">
        <v>3.0</v>
      </c>
    </row>
    <row r="12905" ht="15.75" customHeight="1">
      <c r="A12905" s="1">
        <v>13943.0</v>
      </c>
      <c r="B12905" s="3" t="s">
        <v>12211</v>
      </c>
      <c r="C12905" s="3" t="str">
        <f>IFERROR(__xludf.DUMMYFUNCTION("GOOGLETRANSLATE(B12905,""id"",""en"")"),"['Download', 'area', 'Depok', 'slow', 'really', 'Telkomsel', 'please', 'fix', 'servicenya']")</f>
        <v>['Download', 'area', 'Depok', 'slow', 'really', 'Telkomsel', 'please', 'fix', 'servicenya']</v>
      </c>
      <c r="D12905" s="3">
        <v>1.0</v>
      </c>
    </row>
    <row r="12906" ht="15.75" customHeight="1">
      <c r="A12906" s="1">
        <v>13944.0</v>
      </c>
      <c r="B12906" s="3" t="s">
        <v>12212</v>
      </c>
      <c r="C12906" s="3" t="str">
        <f>IFERROR(__xludf.DUMMYFUNCTION("GOOGLETRANSLATE(B12906,""id"",""en"")"),"['Gift', 'Kasi', '']")</f>
        <v>['Gift', 'Kasi', '']</v>
      </c>
      <c r="D12906" s="3">
        <v>5.0</v>
      </c>
    </row>
    <row r="12907" ht="15.75" customHeight="1">
      <c r="A12907" s="1">
        <v>13945.0</v>
      </c>
      <c r="B12907" s="3" t="s">
        <v>12213</v>
      </c>
      <c r="C12907" s="3" t="str">
        <f>IFERROR(__xludf.DUMMYFUNCTION("GOOGLETRANSLATE(B12907,""id"",""en"")"),"['Android', 'Application', 'Error', 'Uninstall', 'installed', 'reset']")</f>
        <v>['Android', 'Application', 'Error', 'Uninstall', 'installed', 'reset']</v>
      </c>
      <c r="D12907" s="3">
        <v>1.0</v>
      </c>
    </row>
    <row r="12908" ht="15.75" customHeight="1">
      <c r="A12908" s="1">
        <v>13946.0</v>
      </c>
      <c r="B12908" s="3" t="s">
        <v>12214</v>
      </c>
      <c r="C12908" s="3" t="str">
        <f>IFERROR(__xludf.DUMMYFUNCTION("GOOGLETRANSLATE(B12908,""id"",""en"")"),"['Skali', 'Satisfied', 'really', 'Telkomsel', ""]")</f>
        <v>['Skali', 'Satisfied', 'really', 'Telkomsel', "]</v>
      </c>
      <c r="D12908" s="3">
        <v>5.0</v>
      </c>
    </row>
    <row r="12909" ht="15.75" customHeight="1">
      <c r="A12909" s="1">
        <v>13947.0</v>
      </c>
      <c r="B12909" s="3" t="s">
        <v>12215</v>
      </c>
      <c r="C12909" s="3" t="str">
        <f>IFERROR(__xludf.DUMMYFUNCTION("GOOGLETRANSLATE(B12909,""id"",""en"")"),"['Please', 'Fix', 'here', 'Good', 'Sousal', 'JLEK', 'User', 'Telkomsel', 'Change', 'Card', 'Perdana', ""]")</f>
        <v>['Please', 'Fix', 'here', 'Good', 'Sousal', 'JLEK', 'User', 'Telkomsel', 'Change', 'Card', 'Perdana', "]</v>
      </c>
      <c r="D12909" s="3">
        <v>1.0</v>
      </c>
    </row>
    <row r="12910" ht="15.75" customHeight="1">
      <c r="A12910" s="1">
        <v>13948.0</v>
      </c>
      <c r="B12910" s="3" t="s">
        <v>12216</v>
      </c>
      <c r="C12910" s="3" t="str">
        <f>IFERROR(__xludf.DUMMYFUNCTION("GOOGLETRANSLATE(B12910,""id"",""en"")"),"['Telkomsel', 'Maling', 'pulse']")</f>
        <v>['Telkomsel', 'Maling', 'pulse']</v>
      </c>
      <c r="D12910" s="3">
        <v>1.0</v>
      </c>
    </row>
    <row r="12911" ht="15.75" customHeight="1">
      <c r="A12911" s="1">
        <v>13949.0</v>
      </c>
      <c r="B12911" s="3" t="s">
        <v>12217</v>
      </c>
      <c r="C12911" s="3" t="str">
        <f>IFERROR(__xludf.DUMMYFUNCTION("GOOGLETRANSLATE(B12911,""id"",""en"")"),"['happy', 'Telkomsel', 'Where']")</f>
        <v>['happy', 'Telkomsel', 'Where']</v>
      </c>
      <c r="D12911" s="3">
        <v>5.0</v>
      </c>
    </row>
    <row r="12912" ht="15.75" customHeight="1">
      <c r="A12912" s="1">
        <v>13950.0</v>
      </c>
      <c r="B12912" s="3" t="s">
        <v>12218</v>
      </c>
      <c r="C12912" s="3" t="str">
        <f>IFERROR(__xludf.DUMMYFUNCTION("GOOGLETRANSLATE(B12912,""id"",""en"")"),"['Thank "",' Love ',' Telkomsel ',' Application ',' Help ',' Increase ',' Function ']")</f>
        <v>['Thank ",' Love ',' Telkomsel ',' Application ',' Help ',' Increase ',' Function ']</v>
      </c>
      <c r="D12912" s="3">
        <v>5.0</v>
      </c>
    </row>
    <row r="12913" ht="15.75" customHeight="1">
      <c r="A12913" s="1">
        <v>13951.0</v>
      </c>
      <c r="B12913" s="3" t="s">
        <v>12219</v>
      </c>
      <c r="C12913" s="3" t="str">
        <f>IFERROR(__xludf.DUMMYFUNCTION("GOOGLETRANSLATE(B12913,""id"",""en"")"),"['APK', 'brain', 'buy', 'quota', 'pulses', 'told', 'buy']")</f>
        <v>['APK', 'brain', 'buy', 'quota', 'pulses', 'told', 'buy']</v>
      </c>
      <c r="D12913" s="3">
        <v>1.0</v>
      </c>
    </row>
    <row r="12914" ht="15.75" customHeight="1">
      <c r="A12914" s="1">
        <v>13952.0</v>
      </c>
      <c r="B12914" s="3" t="s">
        <v>7555</v>
      </c>
      <c r="C12914" s="3" t="str">
        <f>IFERROR(__xludf.DUMMYFUNCTION("GOOGLETRANSLATE(B12914,""id"",""en"")"),"['expensive', 'package']")</f>
        <v>['expensive', 'package']</v>
      </c>
      <c r="D12914" s="3">
        <v>3.0</v>
      </c>
    </row>
    <row r="12915" ht="15.75" customHeight="1">
      <c r="A12915" s="1">
        <v>13953.0</v>
      </c>
      <c r="B12915" s="3" t="s">
        <v>12220</v>
      </c>
      <c r="C12915" s="3" t="str">
        <f>IFERROR(__xludf.DUMMYFUNCTION("GOOGLETRANSLATE(B12915,""id"",""en"")"),"['The network', 'It's hard', 'Gnya', 'easy', 'released', 'missing', 'changed', 'honest', 'operator', 'gnya', 'easy', 'released', ' Promo ',' already ',' good ',' edit ',' ugly ',' its network ']")</f>
        <v>['The network', 'It's hard', 'Gnya', 'easy', 'released', 'missing', 'changed', 'honest', 'operator', 'gnya', 'easy', 'released', ' Promo ',' already ',' good ',' edit ',' ugly ',' its network ']</v>
      </c>
      <c r="D12915" s="3">
        <v>1.0</v>
      </c>
    </row>
    <row r="12916" ht="15.75" customHeight="1">
      <c r="A12916" s="1">
        <v>13954.0</v>
      </c>
      <c r="B12916" s="3" t="s">
        <v>12221</v>
      </c>
      <c r="C12916" s="3" t="str">
        <f>IFERROR(__xludf.DUMMYFUNCTION("GOOGLETRANSLATE(B12916,""id"",""en"")"),"['week', 'signal', 'stable', 'replace', 'keep', 'fakkk', 'bner', 'buy', 'expensive', 'signal', 'then', 'fakkk', ' You ',' suck ']")</f>
        <v>['week', 'signal', 'stable', 'replace', 'keep', 'fakkk', 'bner', 'buy', 'expensive', 'signal', 'then', 'fakkk', ' You ',' suck ']</v>
      </c>
      <c r="D12916" s="3">
        <v>1.0</v>
      </c>
    </row>
    <row r="12917" ht="15.75" customHeight="1">
      <c r="A12917" s="1">
        <v>13955.0</v>
      </c>
      <c r="B12917" s="3" t="s">
        <v>12222</v>
      </c>
      <c r="C12917" s="3" t="str">
        <f>IFERROR(__xludf.DUMMYFUNCTION("GOOGLETRANSLATE(B12917,""id"",""en"")"),"['Telkomsel', 'promo', 'GB', 'thousand', 'slow', 'really', 'disappointing', '']")</f>
        <v>['Telkomsel', 'promo', 'GB', 'thousand', 'slow', 'really', 'disappointing', '']</v>
      </c>
      <c r="D12917" s="3">
        <v>1.0</v>
      </c>
    </row>
    <row r="12918" ht="15.75" customHeight="1">
      <c r="A12918" s="1">
        <v>13957.0</v>
      </c>
      <c r="B12918" s="3" t="s">
        <v>12223</v>
      </c>
      <c r="C12918" s="3" t="str">
        <f>IFERROR(__xludf.DUMMYFUNCTION("GOOGLETRANSLATE(B12918,""id"",""en"")"),"['', 'Bintang', 'Good', '']")</f>
        <v>['', 'Bintang', 'Good', '']</v>
      </c>
      <c r="D12918" s="3">
        <v>3.0</v>
      </c>
    </row>
    <row r="12919" ht="15.75" customHeight="1">
      <c r="A12919" s="1">
        <v>13958.0</v>
      </c>
      <c r="B12919" s="3" t="s">
        <v>12224</v>
      </c>
      <c r="C12919" s="3" t="str">
        <f>IFERROR(__xludf.DUMMYFUNCTION("GOOGLETRANSLATE(B12919,""id"",""en"")"),"['Bgus', 'Skali', 'Thanks', 'Telkomsel']")</f>
        <v>['Bgus', 'Skali', 'Thanks', 'Telkomsel']</v>
      </c>
      <c r="D12919" s="3">
        <v>5.0</v>
      </c>
    </row>
    <row r="12920" ht="15.75" customHeight="1">
      <c r="A12920" s="1">
        <v>13959.0</v>
      </c>
      <c r="B12920" s="3" t="s">
        <v>12225</v>
      </c>
      <c r="C12920" s="3" t="str">
        <f>IFERROR(__xludf.DUMMYFUNCTION("GOOGLETRANSLATE(B12920,""id"",""en"")"),"['Bgus', 'Hrga', 'Down']")</f>
        <v>['Bgus', 'Hrga', 'Down']</v>
      </c>
      <c r="D12920" s="3">
        <v>4.0</v>
      </c>
    </row>
    <row r="12921" ht="15.75" customHeight="1">
      <c r="A12921" s="1">
        <v>13960.0</v>
      </c>
      <c r="B12921" s="3" t="s">
        <v>12226</v>
      </c>
      <c r="C12921" s="3" t="str">
        <f>IFERROR(__xludf.DUMMYFUNCTION("GOOGLETRANSLATE(B12921,""id"",""en"")"),"['Telkomsel', 'Benerin', 'Problems', 'Network', 'Sell', 'Services', 'Gini', 'Service', 'Most', 'Features', 'Pay', 'Harmed']")</f>
        <v>['Telkomsel', 'Benerin', 'Problems', 'Network', 'Sell', 'Services', 'Gini', 'Service', 'Most', 'Features', 'Pay', 'Harmed']</v>
      </c>
      <c r="D12921" s="3">
        <v>1.0</v>
      </c>
    </row>
    <row r="12922" ht="15.75" customHeight="1">
      <c r="A12922" s="1">
        <v>13961.0</v>
      </c>
      <c r="B12922" s="3" t="s">
        <v>12227</v>
      </c>
      <c r="C12922" s="3" t="str">
        <f>IFERROR(__xludf.DUMMYFUNCTION("GOOGLETRANSLATE(B12922,""id"",""en"")"),"['application', 'sgt', 'useful', 'check', 'quota', 'telephone', 'quota', 'internet', 'buy', 'package', 'cheap', 'recommended', ' Mandatory 'download']")</f>
        <v>['application', 'sgt', 'useful', 'check', 'quota', 'telephone', 'quota', 'internet', 'buy', 'package', 'cheap', 'recommended', ' Mandatory 'download']</v>
      </c>
      <c r="D12922" s="3">
        <v>5.0</v>
      </c>
    </row>
    <row r="12923" ht="15.75" customHeight="1">
      <c r="A12923" s="1">
        <v>13962.0</v>
      </c>
      <c r="B12923" s="3" t="s">
        <v>12228</v>
      </c>
      <c r="C12923" s="3" t="str">
        <f>IFERROR(__xludf.DUMMYFUNCTION("GOOGLETRANSLATE(B12923,""id"",""en"")"),"['Thank you', 'Ease', 'Telkomsel', 'Hopefully', 'Strength', 'Signal', 'In the future', 'Success', ""]")</f>
        <v>['Thank you', 'Ease', 'Telkomsel', 'Hopefully', 'Strength', 'Signal', 'In the future', 'Success', "]</v>
      </c>
      <c r="D12923" s="3">
        <v>5.0</v>
      </c>
    </row>
    <row r="12924" ht="15.75" customHeight="1">
      <c r="A12924" s="1">
        <v>13963.0</v>
      </c>
      <c r="B12924" s="3" t="s">
        <v>12229</v>
      </c>
      <c r="C12924" s="3" t="str">
        <f>IFERROR(__xludf.DUMMYFUNCTION("GOOGLETRANSLATE(B12924,""id"",""en"")"),"['promo', 'quota', 'signal', 'slalu', 'okay', 'mantaaaap', '']")</f>
        <v>['promo', 'quota', 'signal', 'slalu', 'okay', 'mantaaaap', '']</v>
      </c>
      <c r="D12924" s="3">
        <v>5.0</v>
      </c>
    </row>
    <row r="12925" ht="15.75" customHeight="1">
      <c r="A12925" s="1">
        <v>13964.0</v>
      </c>
      <c r="B12925" s="3" t="s">
        <v>12230</v>
      </c>
      <c r="C12925" s="3" t="str">
        <f>IFERROR(__xludf.DUMMYFUNCTION("GOOGLETRANSLATE(B12925,""id"",""en"")"),"['Network', 'Available', 'Extensive']")</f>
        <v>['Network', 'Available', 'Extensive']</v>
      </c>
      <c r="D12925" s="3">
        <v>5.0</v>
      </c>
    </row>
    <row r="12926" ht="15.75" customHeight="1">
      <c r="A12926" s="1">
        <v>13965.0</v>
      </c>
      <c r="B12926" s="3" t="s">
        <v>12231</v>
      </c>
      <c r="C12926" s="3" t="str">
        <f>IFERROR(__xludf.DUMMYFUNCTION("GOOGLETRANSLATE(B12926,""id"",""en"")"),"['Sorry', 'love', 'star', 'network', 'bad', 'package', 'data', 'expensive', '']")</f>
        <v>['Sorry', 'love', 'star', 'network', 'bad', 'package', 'data', 'expensive', '']</v>
      </c>
      <c r="D12926" s="3">
        <v>1.0</v>
      </c>
    </row>
    <row r="12927" ht="15.75" customHeight="1">
      <c r="A12927" s="1">
        <v>13966.0</v>
      </c>
      <c r="B12927" s="3" t="s">
        <v>12232</v>
      </c>
      <c r="C12927" s="3" t="str">
        <f>IFERROR(__xludf.DUMMYFUNCTION("GOOGLETRANSLATE(B12927,""id"",""en"")"),"['Sorry', 'love', 'star', 'already', 'list', 'enter', 'sorry', 'error', 'system', 'moho', 'fix', 'mimin', ' Nnti ',' star ',' ']")</f>
        <v>['Sorry', 'love', 'star', 'already', 'list', 'enter', 'sorry', 'error', 'system', 'moho', 'fix', 'mimin', ' Nnti ',' star ',' ']</v>
      </c>
      <c r="D12927" s="3">
        <v>1.0</v>
      </c>
    </row>
    <row r="12928" ht="15.75" customHeight="1">
      <c r="A12928" s="1">
        <v>13967.0</v>
      </c>
      <c r="B12928" s="3" t="s">
        <v>12233</v>
      </c>
      <c r="C12928" s="3" t="str">
        <f>IFERROR(__xludf.DUMMYFUNCTION("GOOGLETRANSLATE(B12928,""id"",""en"")"),"['Sorry', 'star', 'use', 'signal', 'stagnant', 'pulse', 'package', 'unlimited', 'use', 'jump', 'drastic', 'karuan', ' MAYAL ']")</f>
        <v>['Sorry', 'star', 'use', 'signal', 'stagnant', 'pulse', 'package', 'unlimited', 'use', 'jump', 'drastic', 'karuan', ' MAYAL ']</v>
      </c>
      <c r="D12928" s="3">
        <v>1.0</v>
      </c>
    </row>
    <row r="12929" ht="15.75" customHeight="1">
      <c r="A12929" s="1">
        <v>13969.0</v>
      </c>
      <c r="B12929" s="3" t="s">
        <v>12234</v>
      </c>
      <c r="C12929" s="3" t="str">
        <f>IFERROR(__xludf.DUMMYFUNCTION("GOOGLETRANSLATE(B12929,""id"",""en"")"),"['Network', 'Telkomsel', 'Rich', 'Babby', 'Lemot']")</f>
        <v>['Network', 'Telkomsel', 'Rich', 'Babby', 'Lemot']</v>
      </c>
      <c r="D12929" s="3">
        <v>1.0</v>
      </c>
    </row>
    <row r="12930" ht="15.75" customHeight="1">
      <c r="A12930" s="1">
        <v>13970.0</v>
      </c>
      <c r="B12930" s="3" t="s">
        <v>12235</v>
      </c>
      <c r="C12930" s="3" t="str">
        <f>IFERROR(__xludf.DUMMYFUNCTION("GOOGLETRANSLATE(B12930,""id"",""en"")"),"['Network', 'ngeedown']")</f>
        <v>['Network', 'ngeedown']</v>
      </c>
      <c r="D12930" s="3">
        <v>1.0</v>
      </c>
    </row>
    <row r="12931" ht="15.75" customHeight="1">
      <c r="A12931" s="1">
        <v>13971.0</v>
      </c>
      <c r="B12931" s="3" t="s">
        <v>12236</v>
      </c>
      <c r="C12931" s="3" t="str">
        <f>IFERROR(__xludf.DUMMYFUNCTION("GOOGLETRANSLATE(B12931,""id"",""en"")"),"['network', 'strengthen', 'sometimes', 'good', 'sometimes', 'slow']")</f>
        <v>['network', 'strengthen', 'sometimes', 'good', 'sometimes', 'slow']</v>
      </c>
      <c r="D12931" s="3">
        <v>4.0</v>
      </c>
    </row>
    <row r="12932" ht="15.75" customHeight="1">
      <c r="A12932" s="1">
        <v>13972.0</v>
      </c>
      <c r="B12932" s="3" t="s">
        <v>12237</v>
      </c>
      <c r="C12932" s="3" t="str">
        <f>IFERROR(__xludf.DUMMYFUNCTION("GOOGLETRANSLATE(B12932,""id"",""en"")"),"['Telkomsel', 'signal', 'severe', 'bekasi']")</f>
        <v>['Telkomsel', 'signal', 'severe', 'bekasi']</v>
      </c>
      <c r="D12932" s="3">
        <v>1.0</v>
      </c>
    </row>
    <row r="12933" ht="15.75" customHeight="1">
      <c r="A12933" s="1">
        <v>13973.0</v>
      </c>
      <c r="B12933" s="3" t="s">
        <v>12238</v>
      </c>
      <c r="C12933" s="3" t="str">
        <f>IFERROR(__xludf.DUMMYFUNCTION("GOOGLETRANSLATE(B12933,""id"",""en"")"),"['Package', 'cheap', 'expensive']")</f>
        <v>['Package', 'cheap', 'expensive']</v>
      </c>
      <c r="D12933" s="3">
        <v>3.0</v>
      </c>
    </row>
    <row r="12934" ht="15.75" customHeight="1">
      <c r="A12934" s="1">
        <v>13974.0</v>
      </c>
      <c r="B12934" s="3" t="s">
        <v>12239</v>
      </c>
      <c r="C12934" s="3" t="str">
        <f>IFERROR(__xludf.DUMMYFUNCTION("GOOGLETRANSLATE(B12934,""id"",""en"")"),"['Good', 'just', 'feature', 'key', 'axisnet', 'lock', 'balance', 'pulse', 'balance', 'pulse', 'interested', 'automatic', ' Please ',' Help ',' Telkomsel ', ""]")</f>
        <v>['Good', 'just', 'feature', 'key', 'axisnet', 'lock', 'balance', 'pulse', 'balance', 'pulse', 'interested', 'automatic', ' Please ',' Help ',' Telkomsel ', "]</v>
      </c>
      <c r="D12934" s="3">
        <v>5.0</v>
      </c>
    </row>
    <row r="12935" ht="15.75" customHeight="1">
      <c r="A12935" s="1">
        <v>13975.0</v>
      </c>
      <c r="B12935" s="3" t="s">
        <v>12240</v>
      </c>
      <c r="C12935" s="3" t="str">
        <f>IFERROR(__xludf.DUMMYFUNCTION("GOOGLETRANSLATE(B12935,""id"",""en"")"),"['Hopefully', 'Lawas']")</f>
        <v>['Hopefully', 'Lawas']</v>
      </c>
      <c r="D12935" s="3">
        <v>5.0</v>
      </c>
    </row>
    <row r="12936" ht="15.75" customHeight="1">
      <c r="A12936" s="1">
        <v>13976.0</v>
      </c>
      <c r="B12936" s="3" t="s">
        <v>12241</v>
      </c>
      <c r="C12936" s="3" t="str">
        <f>IFERROR(__xludf.DUMMYFUNCTION("GOOGLETRANSLATE(B12936,""id"",""en"")"),"['The application', 'heavy', 'bangett', 'dann', 'quota', 'uda', 'hbis',' turn on ',' data ',' pulse ',' reduced ',' hbis', ' After ',' no ',' MOTH ',' Credit ', ""]")</f>
        <v>['The application', 'heavy', 'bangett', 'dann', 'quota', 'uda', 'hbis',' turn on ',' data ',' pulse ',' reduced ',' hbis', ' After ',' no ',' MOTH ',' Credit ', "]</v>
      </c>
      <c r="D12936" s="3">
        <v>1.0</v>
      </c>
    </row>
    <row r="12937" ht="15.75" customHeight="1">
      <c r="A12937" s="1">
        <v>13977.0</v>
      </c>
      <c r="B12937" s="3" t="s">
        <v>409</v>
      </c>
      <c r="C12937" s="3" t="str">
        <f>IFERROR(__xludf.DUMMYFUNCTION("GOOGLETRANSLATE(B12937,""id"",""en"")"),"['easy']")</f>
        <v>['easy']</v>
      </c>
      <c r="D12937" s="3">
        <v>5.0</v>
      </c>
    </row>
    <row r="12938" ht="15.75" customHeight="1">
      <c r="A12938" s="1">
        <v>13978.0</v>
      </c>
      <c r="B12938" s="3" t="s">
        <v>12242</v>
      </c>
      <c r="C12938" s="3" t="str">
        <f>IFERROR(__xludf.DUMMYFUNCTION("GOOGLETRANSLATE(B12938,""id"",""en"")"),"['difficult', 'Login', 'Telkomsel', 'number', 'Registered', 'Login', 'reset', ""]")</f>
        <v>['difficult', 'Login', 'Telkomsel', 'number', 'Registered', 'Login', 'reset', "]</v>
      </c>
      <c r="D12938" s="3">
        <v>5.0</v>
      </c>
    </row>
    <row r="12939" ht="15.75" customHeight="1">
      <c r="A12939" s="1">
        <v>13979.0</v>
      </c>
      <c r="B12939" s="3" t="s">
        <v>12243</v>
      </c>
      <c r="C12939" s="3" t="str">
        <f>IFERROR(__xludf.DUMMYFUNCTION("GOOGLETRANSLATE(B12939,""id"",""en"")"),"['Took']")</f>
        <v>['Took']</v>
      </c>
      <c r="D12939" s="3">
        <v>5.0</v>
      </c>
    </row>
    <row r="12940" ht="15.75" customHeight="1">
      <c r="A12940" s="1">
        <v>13980.0</v>
      </c>
      <c r="B12940" s="3" t="s">
        <v>12244</v>
      </c>
      <c r="C12940" s="3" t="str">
        <f>IFERROR(__xludf.DUMMYFUNCTION("GOOGLETRANSLATE(B12940,""id"",""en"")"),"['Pliss',' Please ',' Adin ',' Lock ',' Lock ',' Credit ',' Rich ',' Axis', 'Net', 'Careless',' Suck ',' Credit ',' Data ',' on ',' because ',' buy ',' Package ',' Telkomsel ',' Out ',' Please ',' Adin ',' Really ',' Disright ', ""]")</f>
        <v>['Pliss',' Please ',' Adin ',' Lock ',' Lock ',' Credit ',' Rich ',' Axis', 'Net', 'Careless',' Suck ',' Credit ',' Data ',' on ',' because ',' buy ',' Package ',' Telkomsel ',' Out ',' Please ',' Adin ',' Really ',' Disright ', "]</v>
      </c>
      <c r="D12940" s="3">
        <v>1.0</v>
      </c>
    </row>
    <row r="12941" ht="15.75" customHeight="1">
      <c r="A12941" s="1">
        <v>13981.0</v>
      </c>
      <c r="B12941" s="3" t="s">
        <v>12245</v>
      </c>
      <c r="C12941" s="3" t="str">
        <f>IFERROR(__xludf.DUMMYFUNCTION("GOOGLETRANSLATE(B12941,""id"",""en"")"),"['send', 'pulse', 'data']")</f>
        <v>['send', 'pulse', 'data']</v>
      </c>
      <c r="D12941" s="3">
        <v>5.0</v>
      </c>
    </row>
    <row r="12942" ht="15.75" customHeight="1">
      <c r="A12942" s="1">
        <v>13982.0</v>
      </c>
      <c r="B12942" s="3" t="s">
        <v>3935</v>
      </c>
      <c r="C12942" s="3" t="str">
        <f>IFERROR(__xludf.DUMMYFUNCTION("GOOGLETRANSLATE(B12942,""id"",""en"")"),"['Application', 'like']")</f>
        <v>['Application', 'like']</v>
      </c>
      <c r="D12942" s="3">
        <v>5.0</v>
      </c>
    </row>
    <row r="12943" ht="15.75" customHeight="1">
      <c r="A12943" s="1">
        <v>13983.0</v>
      </c>
      <c r="B12943" s="3" t="s">
        <v>12246</v>
      </c>
      <c r="C12943" s="3" t="str">
        <f>IFERROR(__xludf.DUMMYFUNCTION("GOOGLETRANSLATE(B12943,""id"",""en"")"),"['It is easy']")</f>
        <v>['It is easy']</v>
      </c>
      <c r="D12943" s="3">
        <v>5.0</v>
      </c>
    </row>
    <row r="12944" ht="15.75" customHeight="1">
      <c r="A12944" s="1">
        <v>13984.0</v>
      </c>
      <c r="B12944" s="3" t="s">
        <v>12247</v>
      </c>
      <c r="C12944" s="3" t="str">
        <f>IFERROR(__xludf.DUMMYFUNCTION("GOOGLETRANSLATE(B12944,""id"",""en"")"),"['Gaes', 'Buy', 'Package', 'Gamemax', 'Gaes', 'Cheating', 'Smooth', 'APK', 'GBLOK', '']")</f>
        <v>['Gaes', 'Buy', 'Package', 'Gamemax', 'Gaes', 'Cheating', 'Smooth', 'APK', 'GBLOK', '']</v>
      </c>
      <c r="D12944" s="3">
        <v>1.0</v>
      </c>
    </row>
    <row r="12945" ht="15.75" customHeight="1">
      <c r="A12945" s="1">
        <v>13985.0</v>
      </c>
      <c r="B12945" s="3" t="s">
        <v>12248</v>
      </c>
      <c r="C12945" s="3" t="str">
        <f>IFERROR(__xludf.DUMMYFUNCTION("GOOGLETRANSLATE(B12945,""id"",""en"")"),"['yahhh', 'easy', 'buy', 'package']")</f>
        <v>['yahhh', 'easy', 'buy', 'package']</v>
      </c>
      <c r="D12945" s="3">
        <v>5.0</v>
      </c>
    </row>
    <row r="12946" ht="15.75" customHeight="1">
      <c r="A12946" s="1">
        <v>13986.0</v>
      </c>
      <c r="B12946" s="3" t="s">
        <v>12249</v>
      </c>
      <c r="C12946" s="3" t="str">
        <f>IFERROR(__xludf.DUMMYFUNCTION("GOOGLETRANSLATE(B12946,""id"",""en"")"),"['', 'light', 'application', 'easy', 'understood', 'promo']")</f>
        <v>['', 'light', 'application', 'easy', 'understood', 'promo']</v>
      </c>
      <c r="D12946" s="3">
        <v>5.0</v>
      </c>
    </row>
    <row r="12947" ht="15.75" customHeight="1">
      <c r="A12947" s="1">
        <v>13988.0</v>
      </c>
      <c r="B12947" s="3" t="s">
        <v>12250</v>
      </c>
      <c r="C12947" s="3" t="str">
        <f>IFERROR(__xludf.DUMMYFUNCTION("GOOGLETRANSLATE(B12947,""id"",""en"")"),"['signal', 'okay', 'staple', 'delicious', 'Telkomsel']")</f>
        <v>['signal', 'okay', 'staple', 'delicious', 'Telkomsel']</v>
      </c>
      <c r="D12947" s="3">
        <v>5.0</v>
      </c>
    </row>
    <row r="12948" ht="15.75" customHeight="1">
      <c r="A12948" s="1">
        <v>13989.0</v>
      </c>
      <c r="B12948" s="3" t="s">
        <v>12251</v>
      </c>
      <c r="C12948" s="3" t="str">
        <f>IFERROR(__xludf.DUMMYFUNCTION("GOOGLETRANSLATE(B12948,""id"",""en"")"),"['Weakness', 'Doank', 'expensive', 'Brooh', ""]")</f>
        <v>['Weakness', 'Doank', 'expensive', 'Brooh', "]</v>
      </c>
      <c r="D12948" s="3">
        <v>3.0</v>
      </c>
    </row>
    <row r="12949" ht="15.75" customHeight="1">
      <c r="A12949" s="1">
        <v>13990.0</v>
      </c>
      <c r="B12949" s="3" t="s">
        <v>12252</v>
      </c>
      <c r="C12949" s="3" t="str">
        <f>IFERROR(__xludf.DUMMYFUNCTION("GOOGLETRANSLATE(B12949,""id"",""en"")"),"['Come', 'Disappointed', 'City', 'Network', 'Leet', 'Ngapa', 'Hard', 'Rich', 'Gini', 'Disappointed', 'Deh']")</f>
        <v>['Come', 'Disappointed', 'City', 'Network', 'Leet', 'Ngapa', 'Hard', 'Rich', 'Gini', 'Disappointed', 'Deh']</v>
      </c>
      <c r="D12949" s="3">
        <v>1.0</v>
      </c>
    </row>
    <row r="12950" ht="15.75" customHeight="1">
      <c r="A12950" s="1">
        <v>13991.0</v>
      </c>
      <c r="B12950" s="3" t="s">
        <v>12253</v>
      </c>
      <c r="C12950" s="3" t="str">
        <f>IFERROR(__xludf.DUMMYFUNCTION("GOOGLETRANSLATE(B12950,""id"",""en"")"),"['signal', 'area', 'Rumpin', 'Bogor', 'ugly', 'Severe', 'Gara', 'Tower', 'Sinyal', 'turned off', 'Please', 'coordination', ' Min ',' Telkom ',' Region ',' Gini ',' users', 'Telkom', 'Region', 'Switch']")</f>
        <v>['signal', 'area', 'Rumpin', 'Bogor', 'ugly', 'Severe', 'Gara', 'Tower', 'Sinyal', 'turned off', 'Please', 'coordination', ' Min ',' Telkom ',' Region ',' Gini ',' users', 'Telkom', 'Region', 'Switch']</v>
      </c>
      <c r="D12950" s="3">
        <v>1.0</v>
      </c>
    </row>
    <row r="12951" ht="15.75" customHeight="1">
      <c r="A12951" s="1">
        <v>13992.0</v>
      </c>
      <c r="B12951" s="3" t="s">
        <v>12254</v>
      </c>
      <c r="C12951" s="3" t="str">
        <f>IFERROR(__xludf.DUMMYFUNCTION("GOOGLETRANSLATE(B12951,""id"",""en"")"),"['Telkomsel', 'signal', 'good', 'smpe', 'sya', 'many years',' subscribe ',' gantry ',' replace ',' card ',' Telkomsel ',' TPI ',' ugly ',' exceed ',' card ',' knapa ',' jgan ',' cma ',' boyar ',' doang ',' expensive ',' TPI ',' fix ',' dlu ',' signal ' , "&amp;"'please', 'lbih', 'note', 'customer', '']")</f>
        <v>['Telkomsel', 'signal', 'good', 'smpe', 'sya', 'many years',' subscribe ',' gantry ',' replace ',' card ',' Telkomsel ',' TPI ',' ugly ',' exceed ',' card ',' knapa ',' jgan ',' cma ',' boyar ',' doang ',' expensive ',' TPI ',' fix ',' dlu ',' signal ' , 'please', 'lbih', 'note', 'customer', '']</v>
      </c>
      <c r="D12951" s="3">
        <v>1.0</v>
      </c>
    </row>
    <row r="12952" ht="15.75" customHeight="1">
      <c r="A12952" s="1">
        <v>13993.0</v>
      </c>
      <c r="B12952" s="3" t="s">
        <v>12255</v>
      </c>
      <c r="C12952" s="3" t="str">
        <f>IFERROR(__xludf.DUMMYFUNCTION("GOOGLETRANSLATE(B12952,""id"",""en"")"),"['installed', 'opened', 'deleted', 'Install', 'reset', 'Cman', 'opened', 'then opened', 'disappointed', 'package', 'expensive', ' Combo ',' Sakti ',' cheap ',' eliminated ',' Please ',' updated ',' lbh ',' service ',' ']")</f>
        <v>['installed', 'opened', 'deleted', 'Install', 'reset', 'Cman', 'opened', 'then opened', 'disappointed', 'package', 'expensive', ' Combo ',' Sakti ',' cheap ',' eliminated ',' Please ',' updated ',' lbh ',' service ',' ']</v>
      </c>
      <c r="D12952" s="3">
        <v>1.0</v>
      </c>
    </row>
    <row r="12953" ht="15.75" customHeight="1">
      <c r="A12953" s="1">
        <v>13994.0</v>
      </c>
      <c r="B12953" s="3" t="s">
        <v>12256</v>
      </c>
      <c r="C12953" s="3" t="str">
        <f>IFERROR(__xludf.DUMMYFUNCTION("GOOGLETRANSLATE(B12953,""id"",""en"")"),"['Buy', 'Kouta', 'unlimited', 'buy', 'right', 'what', 'explanation', 'min', 'disappointed', 'application']")</f>
        <v>['Buy', 'Kouta', 'unlimited', 'buy', 'right', 'what', 'explanation', 'min', 'disappointed', 'application']</v>
      </c>
      <c r="D12953" s="3">
        <v>1.0</v>
      </c>
    </row>
    <row r="12954" ht="15.75" customHeight="1">
      <c r="A12954" s="1">
        <v>13995.0</v>
      </c>
      <c r="B12954" s="3" t="s">
        <v>12257</v>
      </c>
      <c r="C12954" s="3" t="str">
        <f>IFERROR(__xludf.DUMMYFUNCTION("GOOGLETRANSLATE(B12954,""id"",""en"")"),"['Cheap', 'quota', 'customers', 'cell', 'happy']")</f>
        <v>['Cheap', 'quota', 'customers', 'cell', 'happy']</v>
      </c>
      <c r="D12954" s="3">
        <v>4.0</v>
      </c>
    </row>
    <row r="12955" ht="15.75" customHeight="1">
      <c r="A12955" s="1">
        <v>13997.0</v>
      </c>
      <c r="B12955" s="3" t="s">
        <v>12258</v>
      </c>
      <c r="C12955" s="3" t="str">
        <f>IFERROR(__xludf.DUMMYFUNCTION("GOOGLETRANSLATE(B12955,""id"",""en"")"),"['pulse', 'application', 'printed', 'check', 'manual', 'network', 'slow', 'package', 'sad', 'package', 'offered', 'price', ' exorbitant ',' package ',' economical ',' lost ']")</f>
        <v>['pulse', 'application', 'printed', 'check', 'manual', 'network', 'slow', 'package', 'sad', 'package', 'offered', 'price', ' exorbitant ',' package ',' economical ',' lost ']</v>
      </c>
      <c r="D12955" s="3">
        <v>1.0</v>
      </c>
    </row>
    <row r="12956" ht="15.75" customHeight="1">
      <c r="A12956" s="1">
        <v>13998.0</v>
      </c>
      <c r="B12956" s="3" t="s">
        <v>2264</v>
      </c>
      <c r="C12956" s="3" t="str">
        <f>IFERROR(__xludf.DUMMYFUNCTION("GOOGLETRANSLATE(B12956,""id"",""en"")"),"['APK', 'good']")</f>
        <v>['APK', 'good']</v>
      </c>
      <c r="D12956" s="3">
        <v>5.0</v>
      </c>
    </row>
    <row r="12957" ht="15.75" customHeight="1">
      <c r="A12957" s="1">
        <v>14000.0</v>
      </c>
      <c r="B12957" s="3" t="s">
        <v>12259</v>
      </c>
      <c r="C12957" s="3" t="str">
        <f>IFERROR(__xludf.DUMMYFUNCTION("GOOGLETRANSLATE(B12957,""id"",""en"")"),"['Hello', 'friend', 'friend', 'love', 'Telkomsel', 'Increases',' wkwkkwkwkwkwk ',' provider ',' Ter ',' weird ',' number ',' huhh ',' goats', 'gedein', 'brain', 'small', 'stupid', 'forgiveness',' network ',' telkomsel ',' application ',' network ',' do ',"&amp;"' responsibility ', ""]")</f>
        <v>['Hello', 'friend', 'friend', 'love', 'Telkomsel', 'Increases',' wkwkkwkwkwkwk ',' provider ',' Ter ',' weird ',' number ',' huhh ',' goats', 'gedein', 'brain', 'small', 'stupid', 'forgiveness',' network ',' telkomsel ',' application ',' network ',' do ',' responsibility ', "]</v>
      </c>
      <c r="D12957" s="3">
        <v>1.0</v>
      </c>
    </row>
    <row r="12958" ht="15.75" customHeight="1">
      <c r="A12958" s="1">
        <v>14001.0</v>
      </c>
      <c r="B12958" s="3" t="s">
        <v>1022</v>
      </c>
      <c r="C12958" s="3" t="str">
        <f>IFERROR(__xludf.DUMMYFUNCTION("GOOGLETRANSLATE(B12958,""id"",""en"")"),"['thank', 'love', 'help']")</f>
        <v>['thank', 'love', 'help']</v>
      </c>
      <c r="D12958" s="3">
        <v>5.0</v>
      </c>
    </row>
    <row r="12959" ht="15.75" customHeight="1">
      <c r="A12959" s="1">
        <v>14002.0</v>
      </c>
      <c r="B12959" s="3" t="s">
        <v>12260</v>
      </c>
      <c r="C12959" s="3" t="str">
        <f>IFERROR(__xludf.DUMMYFUNCTION("GOOGLETRANSLATE(B12959,""id"",""en"")"),"['', 'mercy', 'play', 'game', 'tasty', 'bet', 'signal', 'good']")</f>
        <v>['', 'mercy', 'play', 'game', 'tasty', 'bet', 'signal', 'good']</v>
      </c>
      <c r="D12959" s="3">
        <v>1.0</v>
      </c>
    </row>
    <row r="12960" ht="15.75" customHeight="1">
      <c r="A12960" s="1">
        <v>14003.0</v>
      </c>
      <c r="B12960" s="3" t="s">
        <v>12261</v>
      </c>
      <c r="C12960" s="3" t="str">
        <f>IFERROR(__xludf.DUMMYFUNCTION("GOOGLETRANSLATE(B12960,""id"",""en"")"),"['borrow', 'package', 'emergency', 'enter', 'contents',' pulse ',' cheek ',' pay ',' package ',' emergency ',' please ',' information ',' thank you']")</f>
        <v>['borrow', 'package', 'emergency', 'enter', 'contents',' pulse ',' cheek ',' pay ',' package ',' emergency ',' please ',' information ',' thank you']</v>
      </c>
      <c r="D12960" s="3">
        <v>5.0</v>
      </c>
    </row>
    <row r="12961" ht="15.75" customHeight="1">
      <c r="A12961" s="1">
        <v>14004.0</v>
      </c>
      <c r="B12961" s="3" t="s">
        <v>12262</v>
      </c>
      <c r="C12961" s="3" t="str">
        <f>IFERROR(__xludf.DUMMYFUNCTION("GOOGLETRANSLATE(B12961,""id"",""en"")"),"['confusing', 'Search', 'package', 'internet', 'complete']")</f>
        <v>['confusing', 'Search', 'package', 'internet', 'complete']</v>
      </c>
      <c r="D12961" s="3">
        <v>3.0</v>
      </c>
    </row>
    <row r="12962" ht="15.75" customHeight="1">
      <c r="A12962" s="1">
        <v>14005.0</v>
      </c>
      <c r="B12962" s="3" t="s">
        <v>4117</v>
      </c>
      <c r="C12962" s="3" t="str">
        <f>IFERROR(__xludf.DUMMYFUNCTION("GOOGLETRANSLATE(B12962,""id"",""en"")"),"['okay']")</f>
        <v>['okay']</v>
      </c>
      <c r="D12962" s="3">
        <v>4.0</v>
      </c>
    </row>
    <row r="12963" ht="15.75" customHeight="1">
      <c r="A12963" s="1">
        <v>14006.0</v>
      </c>
      <c r="B12963" s="3" t="s">
        <v>12263</v>
      </c>
      <c r="C12963" s="3" t="str">
        <f>IFERROR(__xludf.DUMMYFUNCTION("GOOGLETRANSLATE(B12963,""id"",""en"")"),"['Star', 'times',' users', 'Tsel', 'disappointing', 'network', 'pay', 'expensive', 'network', 'good', 'disappointing', 'lgi', ' pulses', 'tension', 'error', 'fill in', 'pulse', 'tomorrow', 'already', 'run out', 'kah', 'declare', 'network', 'good', 'indone"&amp;"sia' , 'Please', 'fix', 'lgi', 'network', 'user', 'comfortable', 'wear it', '']")</f>
        <v>['Star', 'times',' users', 'Tsel', 'disappointing', 'network', 'pay', 'expensive', 'network', 'good', 'disappointing', 'lgi', ' pulses', 'tension', 'error', 'fill in', 'pulse', 'tomorrow', 'already', 'run out', 'kah', 'declare', 'network', 'good', 'indonesia' , 'Please', 'fix', 'lgi', 'network', 'user', 'comfortable', 'wear it', '']</v>
      </c>
      <c r="D12963" s="3">
        <v>1.0</v>
      </c>
    </row>
    <row r="12964" ht="15.75" customHeight="1">
      <c r="A12964" s="1">
        <v>14007.0</v>
      </c>
      <c r="B12964" s="3" t="s">
        <v>12264</v>
      </c>
      <c r="C12964" s="3" t="str">
        <f>IFERROR(__xludf.DUMMYFUNCTION("GOOGLETRANSLATE(B12964,""id"",""en"")"),"['klw', 'quota', 'love', 'cheap', 'use it', 'learn', '']")</f>
        <v>['klw', 'quota', 'love', 'cheap', 'use it', 'learn', '']</v>
      </c>
      <c r="D12964" s="3">
        <v>5.0</v>
      </c>
    </row>
    <row r="12965" ht="15.75" customHeight="1">
      <c r="A12965" s="1">
        <v>14008.0</v>
      </c>
      <c r="B12965" s="3" t="s">
        <v>12265</v>
      </c>
      <c r="C12965" s="3" t="str">
        <f>IFERROR(__xludf.DUMMYFUNCTION("GOOGLETRANSLATE(B12965,""id"",""en"")"),"['Like', 'application', 'buy', 'quota', 'easy', 'babngat']")</f>
        <v>['Like', 'application', 'buy', 'quota', 'easy', 'babngat']</v>
      </c>
      <c r="D12965" s="3">
        <v>5.0</v>
      </c>
    </row>
    <row r="12966" ht="15.75" customHeight="1">
      <c r="A12966" s="1">
        <v>14009.0</v>
      </c>
      <c r="B12966" s="3" t="s">
        <v>12266</v>
      </c>
      <c r="C12966" s="3" t="str">
        <f>IFERROR(__xludf.DUMMYFUNCTION("GOOGLETRANSLATE(B12966,""id"",""en"")"),"['Update', 'opened']")</f>
        <v>['Update', 'opened']</v>
      </c>
      <c r="D12966" s="3">
        <v>1.0</v>
      </c>
    </row>
    <row r="12967" ht="15.75" customHeight="1">
      <c r="A12967" s="1">
        <v>14010.0</v>
      </c>
      <c r="B12967" s="3" t="s">
        <v>12267</v>
      </c>
      <c r="C12967" s="3" t="str">
        <f>IFERROR(__xludf.DUMMYFUNCTION("GOOGLETRANSLATE(B12967,""id"",""en"")"),"['makes it easier', 'buy', 'Package', 'Telkomsel', 'Info', 'Telkomsel']")</f>
        <v>['makes it easier', 'buy', 'Package', 'Telkomsel', 'Info', 'Telkomsel']</v>
      </c>
      <c r="D12967" s="3">
        <v>4.0</v>
      </c>
    </row>
    <row r="12968" ht="15.75" customHeight="1">
      <c r="A12968" s="1">
        <v>14012.0</v>
      </c>
      <c r="B12968" s="3" t="s">
        <v>12268</v>
      </c>
      <c r="C12968" s="3" t="str">
        <f>IFERROR(__xludf.DUMMYFUNCTION("GOOGLETRANSLATE(B12968,""id"",""en"")"),"['love', 'star', 'network', 'strong']")</f>
        <v>['love', 'star', 'network', 'strong']</v>
      </c>
      <c r="D12968" s="3">
        <v>5.0</v>
      </c>
    </row>
    <row r="12969" ht="15.75" customHeight="1">
      <c r="A12969" s="1">
        <v>14013.0</v>
      </c>
      <c r="B12969" s="3" t="s">
        <v>12269</v>
      </c>
      <c r="C12969" s="3" t="str">
        <f>IFERROR(__xludf.DUMMYFUNCTION("GOOGLETRANSLATE(B12969,""id"",""en"")"),"['Star', 'Create', 'Telkomsel', 'SLLU', 'Best', 'the easiest', 'Learn', 'Nya', '']")</f>
        <v>['Star', 'Create', 'Telkomsel', 'SLLU', 'Best', 'the easiest', 'Learn', 'Nya', '']</v>
      </c>
      <c r="D12969" s="3">
        <v>5.0</v>
      </c>
    </row>
    <row r="12970" ht="15.75" customHeight="1">
      <c r="A12970" s="1">
        <v>14014.0</v>
      </c>
      <c r="B12970" s="3" t="s">
        <v>181</v>
      </c>
      <c r="C12970" s="3" t="str">
        <f>IFERROR(__xludf.DUMMYFUNCTION("GOOGLETRANSLATE(B12970,""id"",""en"")"),"['help']")</f>
        <v>['help']</v>
      </c>
      <c r="D12970" s="3">
        <v>5.0</v>
      </c>
    </row>
    <row r="12971" ht="15.75" customHeight="1">
      <c r="A12971" s="1">
        <v>14015.0</v>
      </c>
      <c r="B12971" s="3" t="s">
        <v>12270</v>
      </c>
      <c r="C12971" s="3" t="str">
        <f>IFERROR(__xludf.DUMMYFUNCTION("GOOGLETRANSLATE(B12971,""id"",""en"")"),"['Cost', 'Internet', 'expensive', 'network', 'full', 'slow', 'disappointed']")</f>
        <v>['Cost', 'Internet', 'expensive', 'network', 'full', 'slow', 'disappointed']</v>
      </c>
      <c r="D12971" s="3">
        <v>1.0</v>
      </c>
    </row>
    <row r="12972" ht="15.75" customHeight="1">
      <c r="A12972" s="1">
        <v>14016.0</v>
      </c>
      <c r="B12972" s="3" t="s">
        <v>12271</v>
      </c>
      <c r="C12972" s="3" t="str">
        <f>IFERROR(__xludf.DUMMYFUNCTION("GOOGLETRANSLATE(B12972,""id"",""en"")"),"['Kapok', 'use', 'Telkomsel', 'internet', 'right', 'pay', 'use', 'emoney', 'in the shop', 'slow', 'forgiveness',' network ',' Shame ',' Disconnect ',' Connect ',' really ',' Hadehhh ', ""]")</f>
        <v>['Kapok', 'use', 'Telkomsel', 'internet', 'right', 'pay', 'use', 'emoney', 'in the shop', 'slow', 'forgiveness',' network ',' Shame ',' Disconnect ',' Connect ',' really ',' Hadehhh ', "]</v>
      </c>
      <c r="D12972" s="3">
        <v>1.0</v>
      </c>
    </row>
    <row r="12973" ht="15.75" customHeight="1">
      <c r="A12973" s="1">
        <v>14018.0</v>
      </c>
      <c r="B12973" s="3" t="s">
        <v>12272</v>
      </c>
      <c r="C12973" s="3" t="str">
        <f>IFERROR(__xludf.DUMMYFUNCTION("GOOGLETRANSLATE(B12973,""id"",""en"")"),"['Reduce', 'price', 'quota']")</f>
        <v>['Reduce', 'price', 'quota']</v>
      </c>
      <c r="D12973" s="3">
        <v>5.0</v>
      </c>
    </row>
    <row r="12974" ht="15.75" customHeight="1">
      <c r="A12974" s="1">
        <v>14019.0</v>
      </c>
      <c r="B12974" s="3" t="s">
        <v>12273</v>
      </c>
      <c r="C12974" s="3" t="str">
        <f>IFERROR(__xludf.DUMMYFUNCTION("GOOGLETRANSLATE(B12974,""id"",""en"")"),"['', 'Tipi', 'Sales',' card ',' Hello ',' said ',' unlimitid ',' promo ',' direct ',' Aktvn ',' card ',' hello ',' folding ',' PORORITY ',' Priority ',' UNLI ',' Multimedia ',' Network ',' Ancur ',' Appeal ',' Regular ',' ilang ',' Ajah ',' LGI ']")</f>
        <v>['', 'Tipi', 'Sales',' card ',' Hello ',' said ',' unlimitid ',' promo ',' direct ',' Aktvn ',' card ',' hello ',' folding ',' PORORITY ',' Priority ',' UNLI ',' Multimedia ',' Network ',' Ancur ',' Appeal ',' Regular ',' ilang ',' Ajah ',' LGI ']</v>
      </c>
      <c r="D12974" s="3">
        <v>1.0</v>
      </c>
    </row>
    <row r="12975" ht="15.75" customHeight="1">
      <c r="A12975" s="1">
        <v>14020.0</v>
      </c>
      <c r="B12975" s="3" t="s">
        <v>12274</v>
      </c>
      <c r="C12975" s="3" t="str">
        <f>IFERROR(__xludf.DUMMYFUNCTION("GOOGLETRANSLATE(B12975,""id"",""en"")"),"['area', 'bandongan', 'magelang', 'star', 'shortcomings',' min ',' please ',' ping ',' quota ',' game ',' mobile ',' legends', ' thank ',' love ',' service ',' satisfying ',' lacking ',' ']")</f>
        <v>['area', 'bandongan', 'magelang', 'star', 'shortcomings',' min ',' please ',' ping ',' quota ',' game ',' mobile ',' legends', ' thank ',' love ',' service ',' satisfying ',' lacking ',' ']</v>
      </c>
      <c r="D12975" s="3">
        <v>5.0</v>
      </c>
    </row>
    <row r="12976" ht="15.75" customHeight="1">
      <c r="A12976" s="1">
        <v>14021.0</v>
      </c>
      <c r="B12976" s="3" t="s">
        <v>12275</v>
      </c>
      <c r="C12976" s="3" t="str">
        <f>IFERROR(__xludf.DUMMYFUNCTION("GOOGLETRANSLATE(B12976,""id"",""en"")"),"['', 'Package', 'Package', 'YouTube', 'Package', 'Ngegame']")</f>
        <v>['', 'Package', 'Package', 'YouTube', 'Package', 'Ngegame']</v>
      </c>
      <c r="D12976" s="3">
        <v>1.0</v>
      </c>
    </row>
    <row r="12977" ht="15.75" customHeight="1">
      <c r="A12977" s="1">
        <v>14022.0</v>
      </c>
      <c r="B12977" s="3" t="s">
        <v>12276</v>
      </c>
      <c r="C12977" s="3" t="str">
        <f>IFERROR(__xludf.DUMMYFUNCTION("GOOGLETRANSLATE(B12977,""id"",""en"")"),"['Help', 'thank', 'love']")</f>
        <v>['Help', 'thank', 'love']</v>
      </c>
      <c r="D12977" s="3">
        <v>5.0</v>
      </c>
    </row>
    <row r="12978" ht="15.75" customHeight="1">
      <c r="A12978" s="1">
        <v>14024.0</v>
      </c>
      <c r="B12978" s="3" t="s">
        <v>12277</v>
      </c>
      <c r="C12978" s="3" t="str">
        <f>IFERROR(__xludf.DUMMYFUNCTION("GOOGLETRANSLATE(B12978,""id"",""en"")"),"['APL', 'Cool', '']")</f>
        <v>['APL', 'Cool', '']</v>
      </c>
      <c r="D12978" s="3">
        <v>5.0</v>
      </c>
    </row>
    <row r="12979" ht="15.75" customHeight="1">
      <c r="A12979" s="1">
        <v>14025.0</v>
      </c>
      <c r="B12979" s="3" t="s">
        <v>12278</v>
      </c>
      <c r="C12979" s="3" t="str">
        <f>IFERROR(__xludf.DUMMYFUNCTION("GOOGLETRANSLATE(B12979,""id"",""en"")"),"['', 'Sometimes', 'problematic']")</f>
        <v>['', 'Sometimes', 'problematic']</v>
      </c>
      <c r="D12979" s="3">
        <v>3.0</v>
      </c>
    </row>
    <row r="12980" ht="15.75" customHeight="1">
      <c r="A12980" s="1">
        <v>14026.0</v>
      </c>
      <c r="B12980" s="3" t="s">
        <v>12279</v>
      </c>
      <c r="C12980" s="3" t="str">
        <f>IFERROR(__xludf.DUMMYFUNCTION("GOOGLETRANSLATE(B12980,""id"",""en"")"),"['Towards',' Hour ',' WIB ',' Lemot ',' PKL ',' WIB ',' My Area ',' Kec ',' Bagelen ',' Kab ',' Purworejo ',' Please ',' Note ',' Boss', '']")</f>
        <v>['Towards',' Hour ',' WIB ',' Lemot ',' PKL ',' WIB ',' My Area ',' Kec ',' Bagelen ',' Kab ',' Purworejo ',' Please ',' Note ',' Boss', '']</v>
      </c>
      <c r="D12980" s="3">
        <v>4.0</v>
      </c>
    </row>
    <row r="12981" ht="15.75" customHeight="1">
      <c r="A12981" s="1">
        <v>14027.0</v>
      </c>
      <c r="B12981" s="3" t="s">
        <v>12280</v>
      </c>
      <c r="C12981" s="3" t="str">
        <f>IFERROR(__xludf.DUMMYFUNCTION("GOOGLETRANSLATE(B12981,""id"",""en"")"),"['hope', 'promo']")</f>
        <v>['hope', 'promo']</v>
      </c>
      <c r="D12981" s="3">
        <v>5.0</v>
      </c>
    </row>
    <row r="12982" ht="15.75" customHeight="1">
      <c r="A12982" s="1">
        <v>14028.0</v>
      </c>
      <c r="B12982" s="3" t="s">
        <v>12281</v>
      </c>
      <c r="C12982" s="3" t="str">
        <f>IFERROR(__xludf.DUMMYFUNCTION("GOOGLETRANSLATE(B12982,""id"",""en"")"),"['Sinya', 'good']")</f>
        <v>['Sinya', 'good']</v>
      </c>
      <c r="D12982" s="3">
        <v>5.0</v>
      </c>
    </row>
    <row r="12983" ht="15.75" customHeight="1">
      <c r="A12983" s="1">
        <v>14029.0</v>
      </c>
      <c r="B12983" s="3" t="s">
        <v>12282</v>
      </c>
      <c r="C12983" s="3" t="str">
        <f>IFERROR(__xludf.DUMMYFUNCTION("GOOGLETRANSLATE(B12983,""id"",""en"")"),"['Cashback', 'enter']")</f>
        <v>['Cashback', 'enter']</v>
      </c>
      <c r="D12983" s="3">
        <v>1.0</v>
      </c>
    </row>
    <row r="12984" ht="15.75" customHeight="1">
      <c r="A12984" s="1">
        <v>14030.0</v>
      </c>
      <c r="B12984" s="3" t="s">
        <v>12283</v>
      </c>
      <c r="C12984" s="3" t="str">
        <f>IFERROR(__xludf.DUMMYFUNCTION("GOOGLETRANSLATE(B12984,""id"",""en"")"),"['steady', 'free', 'GB']")</f>
        <v>['steady', 'free', 'GB']</v>
      </c>
      <c r="D12984" s="3">
        <v>5.0</v>
      </c>
    </row>
    <row r="12985" ht="15.75" customHeight="1">
      <c r="A12985" s="1">
        <v>14031.0</v>
      </c>
      <c r="B12985" s="3" t="s">
        <v>12284</v>
      </c>
      <c r="C12985" s="3" t="str">
        <f>IFERROR(__xludf.DUMMYFUNCTION("GOOGLETRANSLATE(B12985,""id"",""en"")"),"['Application', 'opened', 'Delete', 'Install', 'reset', 'ber', 'times', 'times']")</f>
        <v>['Application', 'opened', 'Delete', 'Install', 'reset', 'ber', 'times', 'times']</v>
      </c>
      <c r="D12985" s="3">
        <v>1.0</v>
      </c>
    </row>
    <row r="12986" ht="15.75" customHeight="1">
      <c r="A12986" s="1">
        <v>14032.0</v>
      </c>
      <c r="B12986" s="3" t="s">
        <v>12285</v>
      </c>
      <c r="C12986" s="3" t="str">
        <f>IFERROR(__xludf.DUMMYFUNCTION("GOOGLETRANSLATE(B12986,""id"",""en"")"),"['my apk', 'already', 'good', 'please', 'daily', 'check', 'kalim', 'quota', 'told', 'pay', 'point', 'exchange', ' quota ',' daily ',' check ',' please ',' makein ',' promo ',' quota ',' cheap ',' area ',' banjarnegara ',' please ',' min ',' try ' , 'make "&amp;"itin', 'promo', 'price', 'plis', 'make it', ""]")</f>
        <v>['my apk', 'already', 'good', 'please', 'daily', 'check', 'kalim', 'quota', 'told', 'pay', 'point', 'exchange', ' quota ',' daily ',' check ',' please ',' makein ',' promo ',' quota ',' cheap ',' area ',' banjarnegara ',' please ',' min ',' try ' , 'make itin', 'promo', 'price', 'plis', 'make it', "]</v>
      </c>
      <c r="D12986" s="3">
        <v>5.0</v>
      </c>
    </row>
    <row r="12987" ht="15.75" customHeight="1">
      <c r="A12987" s="1">
        <v>14033.0</v>
      </c>
      <c r="B12987" s="3" t="s">
        <v>12286</v>
      </c>
      <c r="C12987" s="3" t="str">
        <f>IFERROR(__xludf.DUMMYFUNCTION("GOOGLETRANSLATE(B12987,""id"",""en"")"),"['Telkomsel', 'Seneng', 'really', 'quota', 'cheap', 'network', 'stable', 'sickness',' heart ',' network ',' lost ',' task ',' play ',' etc. ',' always', 'moment', 'signal', 'bad', 'as bad as',' bad ',' and then ',' network ',' normal ',' hope ',' signal '"&amp;" , 'Telkomsel', 'repaired', 'stable', 'area', 'Balikpapan', '']")</f>
        <v>['Telkomsel', 'Seneng', 'really', 'quota', 'cheap', 'network', 'stable', 'sickness',' heart ',' network ',' lost ',' task ',' play ',' etc. ',' always', 'moment', 'signal', 'bad', 'as bad as',' bad ',' and then ',' network ',' normal ',' hope ',' signal ' , 'Telkomsel', 'repaired', 'stable', 'area', 'Balikpapan', '']</v>
      </c>
      <c r="D12987" s="3">
        <v>1.0</v>
      </c>
    </row>
    <row r="12988" ht="15.75" customHeight="1">
      <c r="A12988" s="1">
        <v>14034.0</v>
      </c>
      <c r="B12988" s="3" t="s">
        <v>12287</v>
      </c>
      <c r="C12988" s="3" t="str">
        <f>IFERROR(__xludf.DUMMYFUNCTION("GOOGLETRANSLATE(B12988,""id"",""en"")"),"['price', 'package', 'internet', 'expensive', 'please', 'barengin', 'network', 'internet', 'good', 'slow']")</f>
        <v>['price', 'package', 'internet', 'expensive', 'please', 'barengin', 'network', 'internet', 'good', 'slow']</v>
      </c>
      <c r="D12988" s="3">
        <v>1.0</v>
      </c>
    </row>
    <row r="12989" ht="15.75" customHeight="1">
      <c r="A12989" s="1">
        <v>14035.0</v>
      </c>
      <c r="B12989" s="3" t="s">
        <v>12288</v>
      </c>
      <c r="C12989" s="3" t="str">
        <f>IFERROR(__xludf.DUMMYFUNCTION("GOOGLETRANSLATE(B12989,""id"",""en"")"),"['Good', 'steady', 'customer', 'loyal', 'Telkomsel']")</f>
        <v>['Good', 'steady', 'customer', 'loyal', 'Telkomsel']</v>
      </c>
      <c r="D12989" s="3">
        <v>5.0</v>
      </c>
    </row>
    <row r="12990" ht="15.75" customHeight="1">
      <c r="A12990" s="1">
        <v>14036.0</v>
      </c>
      <c r="B12990" s="3" t="s">
        <v>12289</v>
      </c>
      <c r="C12990" s="3" t="str">
        <f>IFERROR(__xludf.DUMMYFUNCTION("GOOGLETRANSLATE(B12990,""id"",""en"")"),"['Thank you', 'Accompany']")</f>
        <v>['Thank you', 'Accompany']</v>
      </c>
      <c r="D12990" s="3">
        <v>5.0</v>
      </c>
    </row>
    <row r="12991" ht="15.75" customHeight="1">
      <c r="A12991" s="1">
        <v>14037.0</v>
      </c>
      <c r="B12991" s="3" t="s">
        <v>12290</v>
      </c>
      <c r="C12991" s="3" t="str">
        <f>IFERROR(__xludf.DUMMYFUNCTION("GOOGLETRANSLATE(B12991,""id"",""en"")"),"['Bismillah', 'hope', 'get', 'giveway']")</f>
        <v>['Bismillah', 'hope', 'get', 'giveway']</v>
      </c>
      <c r="D12991" s="3">
        <v>5.0</v>
      </c>
    </row>
    <row r="12992" ht="15.75" customHeight="1">
      <c r="A12992" s="1">
        <v>14038.0</v>
      </c>
      <c r="B12992" s="3" t="s">
        <v>12291</v>
      </c>
      <c r="C12992" s="3" t="str">
        <f>IFERROR(__xludf.DUMMYFUNCTION("GOOGLETRANSLATE(B12992,""id"",""en"")"),"['pulse', 'Abis',' Ludes', 'Gataau', 'Play', 'Match', 'Direct', 'Ludes',' Multimedia ',' Game ',' Buy ',' Yesterday ',' The rest of ',' GB ',' sucked ',' pulses', '']")</f>
        <v>['pulse', 'Abis',' Ludes', 'Gataau', 'Play', 'Match', 'Direct', 'Ludes',' Multimedia ',' Game ',' Buy ',' Yesterday ',' The rest of ',' GB ',' sucked ',' pulses', '']</v>
      </c>
      <c r="D12992" s="3">
        <v>1.0</v>
      </c>
    </row>
    <row r="12993" ht="15.75" customHeight="1">
      <c r="A12993" s="1">
        <v>14040.0</v>
      </c>
      <c r="B12993" s="3" t="s">
        <v>12292</v>
      </c>
      <c r="C12993" s="3" t="str">
        <f>IFERROR(__xludf.DUMMYFUNCTION("GOOGLETRANSLATE(B12993,""id"",""en"")"),"['Hoy', 'Telkomsel', 'please', 'bug', 'quota', 'fill', 'suck', 'pulse', 'gatau', 'wind', 'abis',' notif ',' Use ',' pulse ',' quota ',' buy ',' woy ', ""]")</f>
        <v>['Hoy', 'Telkomsel', 'please', 'bug', 'quota', 'fill', 'suck', 'pulse', 'gatau', 'wind', 'abis',' notif ',' Use ',' pulse ',' quota ',' buy ',' woy ', "]</v>
      </c>
      <c r="D12993" s="3">
        <v>1.0</v>
      </c>
    </row>
    <row r="12994" ht="15.75" customHeight="1">
      <c r="A12994" s="1">
        <v>14041.0</v>
      </c>
      <c r="B12994" s="3" t="s">
        <v>12293</v>
      </c>
      <c r="C12994" s="3" t="str">
        <f>IFERROR(__xludf.DUMMYFUNCTION("GOOGLETRANSLATE(B12994,""id"",""en"")"),"['CKP', 'EASY', 'Untk', 'BLI', 'Package']")</f>
        <v>['CKP', 'EASY', 'Untk', 'BLI', 'Package']</v>
      </c>
      <c r="D12994" s="3">
        <v>3.0</v>
      </c>
    </row>
    <row r="12995" ht="15.75" customHeight="1">
      <c r="A12995" s="1">
        <v>14042.0</v>
      </c>
      <c r="B12995" s="3" t="s">
        <v>12294</v>
      </c>
      <c r="C12995" s="3" t="str">
        <f>IFERROR(__xludf.DUMMYFUNCTION("GOOGLETRANSLATE(B12995,""id"",""en"")"),"['Telkomsel', 'error', 'buy', 'package', 'internet', 'ugly', 'pulses',' emang ',' active ',' package ',' love ',' notification ',' paid ',' pulse ',' take ',' activation ',' package ',' active ',' ']")</f>
        <v>['Telkomsel', 'error', 'buy', 'package', 'internet', 'ugly', 'pulses',' emang ',' active ',' package ',' love ',' notification ',' paid ',' pulse ',' take ',' activation ',' package ',' active ',' ']</v>
      </c>
      <c r="D12995" s="3">
        <v>1.0</v>
      </c>
    </row>
    <row r="12996" ht="15.75" customHeight="1">
      <c r="A12996" s="1">
        <v>14043.0</v>
      </c>
      <c r="B12996" s="3" t="s">
        <v>12295</v>
      </c>
      <c r="C12996" s="3" t="str">
        <f>IFERROR(__xludf.DUMMYFUNCTION("GOOGLETRANSLATE(B12996,""id"",""en"")"),"['Good', 'really', 'applikasih']")</f>
        <v>['Good', 'really', 'applikasih']</v>
      </c>
      <c r="D12996" s="3">
        <v>5.0</v>
      </c>
    </row>
    <row r="12997" ht="15.75" customHeight="1">
      <c r="A12997" s="1">
        <v>14045.0</v>
      </c>
      <c r="B12997" s="3" t="s">
        <v>12296</v>
      </c>
      <c r="C12997" s="3" t="str">
        <f>IFERROR(__xludf.DUMMYFUNCTION("GOOGLETRANSLATE(B12997,""id"",""en"")"),"['Signal', 'Tsel', 'ugly', '']")</f>
        <v>['Signal', 'Tsel', 'ugly', '']</v>
      </c>
      <c r="D12997" s="3">
        <v>1.0</v>
      </c>
    </row>
    <row r="12998" ht="15.75" customHeight="1">
      <c r="A12998" s="1">
        <v>14047.0</v>
      </c>
      <c r="B12998" s="3" t="s">
        <v>12297</v>
      </c>
      <c r="C12998" s="3" t="str">
        <f>IFERROR(__xludf.DUMMYFUNCTION("GOOGLETRANSLATE(B12998,""id"",""en"")"),"['Knpa', 'slow', 'bget']")</f>
        <v>['Knpa', 'slow', 'bget']</v>
      </c>
      <c r="D12998" s="3">
        <v>2.0</v>
      </c>
    </row>
    <row r="12999" ht="15.75" customHeight="1">
      <c r="A12999" s="1">
        <v>14048.0</v>
      </c>
      <c r="B12999" s="3" t="s">
        <v>12298</v>
      </c>
      <c r="C12999" s="3" t="str">
        <f>IFERROR(__xludf.DUMMYFUNCTION("GOOGLETRANSLATE(B12999,""id"",""en"")"),"['easy', 'happy', 'complete', 'interesting', 'bbrp', 'signal', 'hopefully', 'quick', 'quality', 'thank you', '']")</f>
        <v>['easy', 'happy', 'complete', 'interesting', 'bbrp', 'signal', 'hopefully', 'quick', 'quality', 'thank you', '']</v>
      </c>
      <c r="D12999" s="3">
        <v>5.0</v>
      </c>
    </row>
    <row r="13000" ht="15.75" customHeight="1">
      <c r="A13000" s="1">
        <v>14049.0</v>
      </c>
      <c r="B13000" s="3" t="s">
        <v>12299</v>
      </c>
      <c r="C13000" s="3" t="str">
        <f>IFERROR(__xludf.DUMMYFUNCTION("GOOGLETRANSLATE(B13000,""id"",""en"")"),"['Star', 'fox', 'pulse', 'cut out', 'data', 'cellular', 'turn off', 'strange', 'piece', 'rupiah', 'use', 'internet', ' Data ',' cellular ',' dead ',' ghost ',' kah ',' use ',' internet ',' name ',' theft ',' little ',' stomach ',' distended ',' Telkomsel "&amp;"' , '']")</f>
        <v>['Star', 'fox', 'pulse', 'cut out', 'data', 'cellular', 'turn off', 'strange', 'piece', 'rupiah', 'use', 'internet', ' Data ',' cellular ',' dead ',' ghost ',' kah ',' use ',' internet ',' name ',' theft ',' little ',' stomach ',' distended ',' Telkomsel ' , '']</v>
      </c>
      <c r="D13000" s="3">
        <v>1.0</v>
      </c>
    </row>
    <row r="13001" ht="15.75" customHeight="1">
      <c r="A13001" s="1">
        <v>14051.0</v>
      </c>
      <c r="B13001" s="3" t="s">
        <v>12300</v>
      </c>
      <c r="C13001" s="3" t="str">
        <f>IFERROR(__xludf.DUMMYFUNCTION("GOOGLETRANSLATE(B13001,""id"",""en"")"),"['buy', 'package', 'promo', 'quota', 'unlimited', 'work', 'quota', 'internet', 'sucked', 'loss',' please ',' fix ',' Like ',' quota ',' multimedia ',' used ',' reduced ',' quota ',' main ',' please ',' fix ',' loss', 'sick', 'please', 'Telkomsel' , 'repai"&amp;"r', '']")</f>
        <v>['buy', 'package', 'promo', 'quota', 'unlimited', 'work', 'quota', 'internet', 'sucked', 'loss',' please ',' fix ',' Like ',' quota ',' multimedia ',' used ',' reduced ',' quota ',' main ',' please ',' fix ',' loss', 'sick', 'please', 'Telkomsel' , 'repair', '']</v>
      </c>
      <c r="D13001" s="3">
        <v>5.0</v>
      </c>
    </row>
    <row r="13002" ht="15.75" customHeight="1">
      <c r="A13002" s="1">
        <v>14052.0</v>
      </c>
      <c r="B13002" s="3" t="s">
        <v>12301</v>
      </c>
      <c r="C13002" s="3" t="str">
        <f>IFERROR(__xludf.DUMMYFUNCTION("GOOGLETRANSLATE(B13002,""id"",""en"")"),"['Network', 'KNTL', 'Benerin', 'Ngen', 'Tot']")</f>
        <v>['Network', 'KNTL', 'Benerin', 'Ngen', 'Tot']</v>
      </c>
      <c r="D13002" s="3">
        <v>1.0</v>
      </c>
    </row>
    <row r="13003" ht="15.75" customHeight="1">
      <c r="A13003" s="1">
        <v>14053.0</v>
      </c>
      <c r="B13003" s="3" t="s">
        <v>12302</v>
      </c>
      <c r="C13003" s="3" t="str">
        <f>IFERROR(__xludf.DUMMYFUNCTION("GOOGLETRANSLATE(B13003,""id"",""en"")"),"['card', 'area', 'package', 'kouta', 'package', 'kouta']")</f>
        <v>['card', 'area', 'package', 'kouta', 'package', 'kouta']</v>
      </c>
      <c r="D13003" s="3">
        <v>4.0</v>
      </c>
    </row>
    <row r="13004" ht="15.75" customHeight="1">
      <c r="A13004" s="1">
        <v>14054.0</v>
      </c>
      <c r="B13004" s="3" t="s">
        <v>12303</v>
      </c>
      <c r="C13004" s="3" t="str">
        <f>IFERROR(__xludf.DUMMYFUNCTION("GOOGLETRANSLATE(B13004,""id"",""en"")"),"['already', 'expensive', 'network', 'Telkomsel', 'rotten', 'pulp', 'decent', 'use', 'family', 'circle', 'friend', 'already', ' Moving ',' Indosat ',' Sinyal ',' LBH ',' Okay ',' Cheap ',' Kampungan ',' Sprti ',' Telkomsel ', ""]")</f>
        <v>['already', 'expensive', 'network', 'Telkomsel', 'rotten', 'pulp', 'decent', 'use', 'family', 'circle', 'friend', 'already', ' Moving ',' Indosat ',' Sinyal ',' LBH ',' Okay ',' Cheap ',' Kampungan ',' Sprti ',' Telkomsel ', "]</v>
      </c>
      <c r="D13004" s="3">
        <v>1.0</v>
      </c>
    </row>
    <row r="13005" ht="15.75" customHeight="1">
      <c r="A13005" s="1">
        <v>14055.0</v>
      </c>
      <c r="B13005" s="3" t="s">
        <v>11877</v>
      </c>
      <c r="C13005" s="3" t="str">
        <f>IFERROR(__xludf.DUMMYFUNCTION("GOOGLETRANSLATE(B13005,""id"",""en"")"),"['', 'Telkomsel', 'Cool']")</f>
        <v>['', 'Telkomsel', 'Cool']</v>
      </c>
      <c r="D13005" s="3">
        <v>5.0</v>
      </c>
    </row>
    <row r="13006" ht="15.75" customHeight="1">
      <c r="A13006" s="1">
        <v>14056.0</v>
      </c>
      <c r="B13006" s="3" t="s">
        <v>12304</v>
      </c>
      <c r="C13006" s="3" t="str">
        <f>IFERROR(__xludf.DUMMYFUNCTION("GOOGLETRANSLATE(B13006,""id"",""en"")"),"['signal', 'down', 'suck']")</f>
        <v>['signal', 'down', 'suck']</v>
      </c>
      <c r="D13006" s="3">
        <v>1.0</v>
      </c>
    </row>
    <row r="13007" ht="15.75" customHeight="1">
      <c r="A13007" s="1">
        <v>14057.0</v>
      </c>
      <c r="B13007" s="3" t="s">
        <v>12305</v>
      </c>
      <c r="C13007" s="3" t="str">
        <f>IFERROR(__xludf.DUMMYFUNCTION("GOOGLETRANSLATE(B13007,""id"",""en"")"),"['User', 'Card', 'Telkomsel', 'Region', 'Kelurahan', 'Tanete', 'District', 'Bulukumpa', 'County', 'Bulukumba', 'Sulawesi', 'South', ' counted ',' because ',' network ',' internet ',' lalod ',' use ',' card ',' data ',' profider ',' please ',' fix ',' the "&amp;"network ',' darling ' , 'card', 'card', 'Sakti', 'TPI', 'kagak', 'used', 'hehehe', 'thank', 'love']")</f>
        <v>['User', 'Card', 'Telkomsel', 'Region', 'Kelurahan', 'Tanete', 'District', 'Bulukumpa', 'County', 'Bulukumba', 'Sulawesi', 'South', ' counted ',' because ',' network ',' internet ',' lalod ',' use ',' card ',' data ',' profider ',' please ',' fix ',' the network ',' darling ' , 'card', 'card', 'Sakti', 'TPI', 'kagak', 'used', 'hehehe', 'thank', 'love']</v>
      </c>
      <c r="D13007" s="3">
        <v>3.0</v>
      </c>
    </row>
    <row r="13008" ht="15.75" customHeight="1">
      <c r="A13008" s="1">
        <v>14058.0</v>
      </c>
      <c r="B13008" s="3" t="s">
        <v>12306</v>
      </c>
      <c r="C13008" s="3" t="str">
        <f>IFERROR(__xludf.DUMMYFUNCTION("GOOGLETRANSLATE(B13008,""id"",""en"")"),"['buy', 'pulse', 'Where', 'sit']")</f>
        <v>['buy', 'pulse', 'Where', 'sit']</v>
      </c>
      <c r="D13008" s="3">
        <v>5.0</v>
      </c>
    </row>
    <row r="13009" ht="15.75" customHeight="1">
      <c r="A13009" s="1">
        <v>14059.0</v>
      </c>
      <c r="B13009" s="3" t="s">
        <v>12307</v>
      </c>
      <c r="C13009" s="3" t="str">
        <f>IFERROR(__xludf.DUMMYFUNCTION("GOOGLETRANSLATE(B13009,""id"",""en"")"),"['Telkom', 'signal', 'Please', 'fix', 'play', 'game', 'signal', 'missing', ""]")</f>
        <v>['Telkom', 'signal', 'Please', 'fix', 'play', 'game', 'signal', 'missing', "]</v>
      </c>
      <c r="D13009" s="3">
        <v>1.0</v>
      </c>
    </row>
    <row r="13010" ht="15.75" customHeight="1">
      <c r="A13010" s="1">
        <v>14060.0</v>
      </c>
      <c r="B13010" s="3" t="s">
        <v>12308</v>
      </c>
      <c r="C13010" s="3" t="str">
        <f>IFERROR(__xludf.DUMMYFUNCTION("GOOGLETRANSLATE(B13010,""id"",""en"")"),"['package', 'run out', 'buy', 'run out', 'kayak', 'already', 'kasi', 'bonus', 'package']")</f>
        <v>['package', 'run out', 'buy', 'run out', 'kayak', 'already', 'kasi', 'bonus', 'package']</v>
      </c>
      <c r="D13010" s="3">
        <v>1.0</v>
      </c>
    </row>
    <row r="13011" ht="15.75" customHeight="1">
      <c r="A13011" s="1">
        <v>14061.0</v>
      </c>
      <c r="B13011" s="3" t="s">
        <v>9742</v>
      </c>
      <c r="C13011" s="3" t="str">
        <f>IFERROR(__xludf.DUMMYFUNCTION("GOOGLETRANSLATE(B13011,""id"",""en"")"),"['Help', 'thank you']")</f>
        <v>['Help', 'thank you']</v>
      </c>
      <c r="D13011" s="3">
        <v>5.0</v>
      </c>
    </row>
    <row r="13012" ht="15.75" customHeight="1">
      <c r="A13012" s="1">
        <v>14062.0</v>
      </c>
      <c r="B13012" s="3" t="s">
        <v>12309</v>
      </c>
      <c r="C13012" s="3" t="str">
        <f>IFERROR(__xludf.DUMMYFUNCTION("GOOGLETRANSLATE(B13012,""id"",""en"")"),"['Cave', 'Combo', 'Sakti']")</f>
        <v>['Cave', 'Combo', 'Sakti']</v>
      </c>
      <c r="D13012" s="3">
        <v>1.0</v>
      </c>
    </row>
    <row r="13013" ht="15.75" customHeight="1">
      <c r="A13013" s="1">
        <v>14063.0</v>
      </c>
      <c r="B13013" s="3" t="s">
        <v>12310</v>
      </c>
      <c r="C13013" s="3" t="str">
        <f>IFERROR(__xludf.DUMMYFUNCTION("GOOGLETRANSLATE(B13013,""id"",""en"")"),"['Learning', 'Open', 'Application']")</f>
        <v>['Learning', 'Open', 'Application']</v>
      </c>
      <c r="D13013" s="3">
        <v>5.0</v>
      </c>
    </row>
    <row r="13014" ht="15.75" customHeight="1">
      <c r="A13014" s="1">
        <v>14065.0</v>
      </c>
      <c r="B13014" s="3" t="s">
        <v>12311</v>
      </c>
      <c r="C13014" s="3" t="str">
        <f>IFERROR(__xludf.DUMMYFUNCTION("GOOGLETRANSLATE(B13014,""id"",""en"")"),"['Inshaallah', 'winner', 'already', 'repeat', 'times', 'lottery', 'tapu', 'win']")</f>
        <v>['Inshaallah', 'winner', 'already', 'repeat', 'times', 'lottery', 'tapu', 'win']</v>
      </c>
      <c r="D13014" s="3">
        <v>5.0</v>
      </c>
    </row>
    <row r="13015" ht="15.75" customHeight="1">
      <c r="A13015" s="1">
        <v>14066.0</v>
      </c>
      <c r="B13015" s="3" t="s">
        <v>12312</v>
      </c>
      <c r="C13015" s="3" t="str">
        <f>IFERROR(__xludf.DUMMYFUNCTION("GOOGLETRANSLATE(B13015,""id"",""en"")"),"['Speed', 'transaction', '']")</f>
        <v>['Speed', 'transaction', '']</v>
      </c>
      <c r="D13015" s="3">
        <v>5.0</v>
      </c>
    </row>
    <row r="13016" ht="15.75" customHeight="1">
      <c r="A13016" s="1">
        <v>14067.0</v>
      </c>
      <c r="B13016" s="3" t="s">
        <v>12313</v>
      </c>
      <c r="C13016" s="3" t="str">
        <f>IFERROR(__xludf.DUMMYFUNCTION("GOOGLETRANSLATE(B13016,""id"",""en"")"),"['buy', 'package', 'Sakti', 'error', 'then', 'already', 'week', 'bgsat']")</f>
        <v>['buy', 'package', 'Sakti', 'error', 'then', 'already', 'week', 'bgsat']</v>
      </c>
      <c r="D13016" s="3">
        <v>2.0</v>
      </c>
    </row>
    <row r="13017" ht="15.75" customHeight="1">
      <c r="A13017" s="1">
        <v>14068.0</v>
      </c>
      <c r="B13017" s="3" t="s">
        <v>10241</v>
      </c>
      <c r="C13017" s="3" t="str">
        <f>IFERROR(__xludf.DUMMYFUNCTION("GOOGLETRANSLATE(B13017,""id"",""en"")"),"['service', '']")</f>
        <v>['service', '']</v>
      </c>
      <c r="D13017" s="3">
        <v>4.0</v>
      </c>
    </row>
    <row r="13018" ht="15.75" customHeight="1">
      <c r="A13018" s="1">
        <v>14069.0</v>
      </c>
      <c r="B13018" s="3" t="s">
        <v>12314</v>
      </c>
      <c r="C13018" s="3" t="str">
        <f>IFERROR(__xludf.DUMMYFUNCTION("GOOGLETRANSLATE(B13018,""id"",""en"")"),"['expensive', 'doang', 'network', 'kek', 'snail']")</f>
        <v>['expensive', 'doang', 'network', 'kek', 'snail']</v>
      </c>
      <c r="D13018" s="3">
        <v>3.0</v>
      </c>
    </row>
    <row r="13019" ht="15.75" customHeight="1">
      <c r="A13019" s="1">
        <v>14070.0</v>
      </c>
      <c r="B13019" s="3" t="s">
        <v>12315</v>
      </c>
      <c r="C13019" s="3" t="str">
        <f>IFERROR(__xludf.DUMMYFUNCTION("GOOGLETRANSLATE(B13019,""id"",""en"")"),"['Help', 'Terbimaksih']")</f>
        <v>['Help', 'Terbimaksih']</v>
      </c>
      <c r="D13019" s="3">
        <v>5.0</v>
      </c>
    </row>
    <row r="13020" ht="15.75" customHeight="1">
      <c r="A13020" s="1">
        <v>14071.0</v>
      </c>
      <c r="B13020" s="3" t="s">
        <v>12316</v>
      </c>
      <c r="C13020" s="3" t="str">
        <f>IFERROR(__xludf.DUMMYFUNCTION("GOOGLETRANSLATE(B13020,""id"",""en"")"),"['Actually', 'Good', 'App', 'already', 'times',' Genesis', 'Credit', 'Cut', 'Sampe', 'Pas',' Kebablasan ',' Package ',' Already ',' run out ',' Lock ',' pulses', 'Nggk', 'Telkomsel', ""]")</f>
        <v>['Actually', 'Good', 'App', 'already', 'times',' Genesis', 'Credit', 'Cut', 'Sampe', 'Pas',' Kebablasan ',' Package ',' Already ',' run out ',' Lock ',' pulses', 'Nggk', 'Telkomsel', "]</v>
      </c>
      <c r="D13020" s="3">
        <v>2.0</v>
      </c>
    </row>
    <row r="13021" ht="15.75" customHeight="1">
      <c r="A13021" s="1">
        <v>14072.0</v>
      </c>
      <c r="B13021" s="3" t="s">
        <v>409</v>
      </c>
      <c r="C13021" s="3" t="str">
        <f>IFERROR(__xludf.DUMMYFUNCTION("GOOGLETRANSLATE(B13021,""id"",""en"")"),"['easy']")</f>
        <v>['easy']</v>
      </c>
      <c r="D13021" s="3">
        <v>4.0</v>
      </c>
    </row>
    <row r="13022" ht="15.75" customHeight="1">
      <c r="A13022" s="1">
        <v>14073.0</v>
      </c>
      <c r="B13022" s="3" t="s">
        <v>12317</v>
      </c>
      <c r="C13022" s="3" t="str">
        <f>IFERROR(__xludf.DUMMYFUNCTION("GOOGLETRANSLATE(B13022,""id"",""en"")"),"['expensive', 'GB', 'GB', 'Kaga', 'buy', 'Mending', 'Move', 'Operator', 'Network', 'Good', 'Good', 'Price', ' expensive ',' Telkomsel ',' clown ',' ']")</f>
        <v>['expensive', 'GB', 'GB', 'Kaga', 'buy', 'Mending', 'Move', 'Operator', 'Network', 'Good', 'Good', 'Price', ' expensive ',' Telkomsel ',' clown ',' ']</v>
      </c>
      <c r="D13022" s="3">
        <v>1.0</v>
      </c>
    </row>
    <row r="13023" ht="15.75" customHeight="1">
      <c r="A13023" s="1">
        <v>14074.0</v>
      </c>
      <c r="B13023" s="3" t="s">
        <v>12318</v>
      </c>
      <c r="C13023" s="3" t="str">
        <f>IFERROR(__xludf.DUMMYFUNCTION("GOOGLETRANSLATE(B13023,""id"",""en"")"),"['Anyway', 'The', 'Best', 'Easy', 'Practical', 'Difficult', 'Thank you', 'Telkomsel']")</f>
        <v>['Anyway', 'The', 'Best', 'Easy', 'Practical', 'Difficult', 'Thank you', 'Telkomsel']</v>
      </c>
      <c r="D13023" s="3">
        <v>5.0</v>
      </c>
    </row>
    <row r="13024" ht="15.75" customHeight="1">
      <c r="A13024" s="1">
        <v>14075.0</v>
      </c>
      <c r="B13024" s="3" t="s">
        <v>12319</v>
      </c>
      <c r="C13024" s="3" t="str">
        <f>IFERROR(__xludf.DUMMYFUNCTION("GOOGLETRANSLATE(B13024,""id"",""en"")"),"['Dised', 'check', 'right', 'already', 'Ful', 'a week', 'repeated', 'fried']")</f>
        <v>['Dised', 'check', 'right', 'already', 'Ful', 'a week', 'repeated', 'fried']</v>
      </c>
      <c r="D13024" s="3">
        <v>1.0</v>
      </c>
    </row>
    <row r="13025" ht="15.75" customHeight="1">
      <c r="A13025" s="1">
        <v>14076.0</v>
      </c>
      <c r="B13025" s="3" t="s">
        <v>12320</v>
      </c>
      <c r="C13025" s="3" t="str">
        <f>IFERROR(__xludf.DUMMYFUNCTION("GOOGLETRANSLATE(B13025,""id"",""en"")"),"['Telkomsel', 'Severe', 'Credit', 'Cut', 'WiFi', 'Card', 'SIM', 'Card', 'Telkomsel', 'Disable', 'Cut', 'Credit', ' Report ',' BERES ',' appears', 'Severe', 'Kapok', 'sympathy']")</f>
        <v>['Telkomsel', 'Severe', 'Credit', 'Cut', 'WiFi', 'Card', 'SIM', 'Card', 'Telkomsel', 'Disable', 'Cut', 'Credit', ' Report ',' BERES ',' appears', 'Severe', 'Kapok', 'sympathy']</v>
      </c>
      <c r="D13025" s="3">
        <v>1.0</v>
      </c>
    </row>
    <row r="13026" ht="15.75" customHeight="1">
      <c r="A13026" s="1">
        <v>14077.0</v>
      </c>
      <c r="B13026" s="3" t="s">
        <v>12321</v>
      </c>
      <c r="C13026" s="3" t="str">
        <f>IFERROR(__xludf.DUMMYFUNCTION("GOOGLETRANSLATE(B13026,""id"",""en"")"),"['reward', 'check', 'continuous',' Often ',' nyampe ',' reward ',' eehhh ',' reward ',' waiting ',' reward ',' good ',' reward ',' quota ',' data ',' voucher ',' discount ',' shopping ',' input ',' overal ',' application ',' good ',' success', '']")</f>
        <v>['reward', 'check', 'continuous',' Often ',' nyampe ',' reward ',' eehhh ',' reward ',' waiting ',' reward ',' good ',' reward ',' quota ',' data ',' voucher ',' discount ',' shopping ',' input ',' overal ',' application ',' good ',' success', '']</v>
      </c>
      <c r="D13026" s="3">
        <v>5.0</v>
      </c>
    </row>
    <row r="13027" ht="15.75" customHeight="1">
      <c r="A13027" s="1">
        <v>14078.0</v>
      </c>
      <c r="B13027" s="3" t="s">
        <v>12322</v>
      </c>
      <c r="C13027" s="3" t="str">
        <f>IFERROR(__xludf.DUMMYFUNCTION("GOOGLETRANSLATE(B13027,""id"",""en"")"),"['Telkomsel', 'Bawel', '']")</f>
        <v>['Telkomsel', 'Bawel', '']</v>
      </c>
      <c r="D13027" s="3">
        <v>5.0</v>
      </c>
    </row>
    <row r="13028" ht="15.75" customHeight="1">
      <c r="A13028" s="1">
        <v>14079.0</v>
      </c>
      <c r="B13028" s="3" t="s">
        <v>12323</v>
      </c>
      <c r="C13028" s="3" t="str">
        <f>IFERROR(__xludf.DUMMYFUNCTION("GOOGLETRANSLATE(B13028,""id"",""en"")"),"['Announcement', 'Winner', 'Lucky', 'Draw', 'Where', '']")</f>
        <v>['Announcement', 'Winner', 'Lucky', 'Draw', 'Where', '']</v>
      </c>
      <c r="D13028" s="3">
        <v>1.0</v>
      </c>
    </row>
    <row r="13029" ht="15.75" customHeight="1">
      <c r="A13029" s="1">
        <v>14082.0</v>
      </c>
      <c r="B13029" s="3" t="s">
        <v>12324</v>
      </c>
      <c r="C13029" s="3" t="str">
        <f>IFERROR(__xludf.DUMMYFUNCTION("GOOGLETRANSLATE(B13029,""id"",""en"")"),"['Signal', 'Square', 'Already', 'Lost', 'Yesterday', 'Clock', 'Until', 'Improvement', 'How', 'Boss',' Please ',' Thinking ',' rich ',' gini ',' told ',' contact ',' account ',' Telkomsel ',' tweter ',' telegram ',' really ',' tekomsel ',' signal ',' rot '"&amp;",' see ' , 'Story', 'waiting', 'Thinking', 'Boss', 'Thinking', '']")</f>
        <v>['Signal', 'Square', 'Already', 'Lost', 'Yesterday', 'Clock', 'Until', 'Improvement', 'How', 'Boss',' Please ',' Thinking ',' rich ',' gini ',' told ',' contact ',' account ',' Telkomsel ',' tweter ',' telegram ',' really ',' tekomsel ',' signal ',' rot ',' see ' , 'Story', 'waiting', 'Thinking', 'Boss', 'Thinking', '']</v>
      </c>
      <c r="D13029" s="3">
        <v>1.0</v>
      </c>
    </row>
    <row r="13030" ht="15.75" customHeight="1">
      <c r="A13030" s="1">
        <v>14083.0</v>
      </c>
      <c r="B13030" s="3" t="s">
        <v>12325</v>
      </c>
      <c r="C13030" s="3" t="str">
        <f>IFERROR(__xludf.DUMMYFUNCTION("GOOGLETRANSLATE(B13030,""id"",""en"")"),"['Login', 'Application', 'Telkomsel', 'Login', 'Appears',' Update ',' Application ',' Already ',' Update ',' YAPI ',' Login ',' Please ',' his help', '']")</f>
        <v>['Login', 'Application', 'Telkomsel', 'Login', 'Appears',' Update ',' Application ',' Already ',' Update ',' YAPI ',' Login ',' Please ',' his help', '']</v>
      </c>
      <c r="D13030" s="3">
        <v>1.0</v>
      </c>
    </row>
    <row r="13031" ht="15.75" customHeight="1">
      <c r="A13031" s="1">
        <v>14084.0</v>
      </c>
      <c r="B13031" s="3" t="s">
        <v>12326</v>
      </c>
      <c r="C13031" s="3" t="str">
        <f>IFERROR(__xludf.DUMMYFUNCTION("GOOGLETRANSLATE(B13031,""id"",""en"")"),"['Good', 'makes it easy', 'transaction']")</f>
        <v>['Good', 'makes it easy', 'transaction']</v>
      </c>
      <c r="D13031" s="3">
        <v>5.0</v>
      </c>
    </row>
    <row r="13032" ht="15.75" customHeight="1">
      <c r="A13032" s="1">
        <v>14085.0</v>
      </c>
      <c r="B13032" s="3" t="s">
        <v>12327</v>
      </c>
      <c r="C13032" s="3" t="str">
        <f>IFERROR(__xludf.DUMMYFUNCTION("GOOGLETRANSLATE(B13032,""id"",""en"")"),"['Network', 'Internet', 'Macem', 'Case', 'SMS', 'Masok', 'Game', 'Ngelag', 'Different', 'Next to', 'second', 'SMS', ' Masok ',' game ',' affected ',' Please ',' fix ',' ']")</f>
        <v>['Network', 'Internet', 'Macem', 'Case', 'SMS', 'Masok', 'Game', 'Ngelag', 'Different', 'Next to', 'second', 'SMS', ' Masok ',' game ',' affected ',' Please ',' fix ',' ']</v>
      </c>
      <c r="D13032" s="3">
        <v>1.0</v>
      </c>
    </row>
    <row r="13033" ht="15.75" customHeight="1">
      <c r="A13033" s="1">
        <v>14086.0</v>
      </c>
      <c r="B13033" s="3" t="s">
        <v>6436</v>
      </c>
      <c r="C13033" s="3" t="str">
        <f>IFERROR(__xludf.DUMMYFUNCTION("GOOGLETRANSLATE(B13033,""id"",""en"")"),"['satisfying']")</f>
        <v>['satisfying']</v>
      </c>
      <c r="D13033" s="3">
        <v>5.0</v>
      </c>
    </row>
    <row r="13034" ht="15.75" customHeight="1">
      <c r="A13034" s="1">
        <v>14087.0</v>
      </c>
      <c r="B13034" s="3" t="s">
        <v>12328</v>
      </c>
      <c r="C13034" s="3" t="str">
        <f>IFERROR(__xludf.DUMMYFUNCTION("GOOGLETRANSLATE(B13034,""id"",""en"")"),"['useful', 'steady', 'telmomsel', '']")</f>
        <v>['useful', 'steady', 'telmomsel', '']</v>
      </c>
      <c r="D13034" s="3">
        <v>5.0</v>
      </c>
    </row>
    <row r="13035" ht="15.75" customHeight="1">
      <c r="A13035" s="1">
        <v>14088.0</v>
      </c>
      <c r="B13035" s="3" t="s">
        <v>12329</v>
      </c>
      <c r="C13035" s="3" t="str">
        <f>IFERROR(__xludf.DUMMYFUNCTION("GOOGLETRANSLATE(B13035,""id"",""en"")"),"['application', 'package', 'expensive', 'fast', 'hot', 'battery', 'wasteful', 'application', 'slow', 'buy', 'package', 'difficult', ' Many ',' failure ',' quality ',' where ',' shame ',' high school ',' provider ',' next door ',' ']")</f>
        <v>['application', 'package', 'expensive', 'fast', 'hot', 'battery', 'wasteful', 'application', 'slow', 'buy', 'package', 'difficult', ' Many ',' failure ',' quality ',' where ',' shame ',' high school ',' provider ',' next door ',' ']</v>
      </c>
      <c r="D13035" s="3">
        <v>1.0</v>
      </c>
    </row>
    <row r="13036" ht="15.75" customHeight="1">
      <c r="A13036" s="1">
        <v>14089.0</v>
      </c>
      <c r="B13036" s="3" t="s">
        <v>12330</v>
      </c>
      <c r="C13036" s="3" t="str">
        <f>IFERROR(__xludf.DUMMYFUNCTION("GOOGLETRANSLATE(B13036,""id"",""en"")"),"['like', 'application', '']")</f>
        <v>['like', 'application', '']</v>
      </c>
      <c r="D13036" s="3">
        <v>5.0</v>
      </c>
    </row>
    <row r="13037" ht="15.75" customHeight="1">
      <c r="A13037" s="1">
        <v>14090.0</v>
      </c>
      <c r="B13037" s="3" t="s">
        <v>12331</v>
      </c>
      <c r="C13037" s="3" t="str">
        <f>IFERROR(__xludf.DUMMYFUNCTION("GOOGLETRANSLATE(B13037,""id"",""en"")"),"['Sampe', 'skrg', 'Telkomsel', 'Always', ""]")</f>
        <v>['Sampe', 'skrg', 'Telkomsel', 'Always', "]</v>
      </c>
      <c r="D13037" s="3">
        <v>5.0</v>
      </c>
    </row>
    <row r="13038" ht="15.75" customHeight="1">
      <c r="A13038" s="1">
        <v>14091.0</v>
      </c>
      <c r="B13038" s="3" t="s">
        <v>12332</v>
      </c>
      <c r="C13038" s="3" t="str">
        <f>IFERROR(__xludf.DUMMYFUNCTION("GOOGLETRANSLATE(B13038,""id"",""en"")"),"['Ribet', 'difficult', 'find', 'looked', 'good', 'buy', 'quota', 'easy', 'according to', 'applied']")</f>
        <v>['Ribet', 'difficult', 'find', 'looked', 'good', 'buy', 'quota', 'easy', 'according to', 'applied']</v>
      </c>
      <c r="D13038" s="3">
        <v>1.0</v>
      </c>
    </row>
    <row r="13039" ht="15.75" customHeight="1">
      <c r="A13039" s="1">
        <v>14094.0</v>
      </c>
      <c r="B13039" s="3" t="s">
        <v>12333</v>
      </c>
      <c r="C13039" s="3" t="str">
        <f>IFERROR(__xludf.DUMMYFUNCTION("GOOGLETRANSLATE(B13039,""id"",""en"")"),"['BYK', 'Choice', 'Purchase', 'Slalu', 'Telkomsel']")</f>
        <v>['BYK', 'Choice', 'Purchase', 'Slalu', 'Telkomsel']</v>
      </c>
      <c r="D13039" s="3">
        <v>5.0</v>
      </c>
    </row>
    <row r="13040" ht="15.75" customHeight="1">
      <c r="A13040" s="1">
        <v>14095.0</v>
      </c>
      <c r="B13040" s="3" t="s">
        <v>12334</v>
      </c>
      <c r="C13040" s="3" t="str">
        <f>IFERROR(__xludf.DUMMYFUNCTION("GOOGLETRANSLATE(B13040,""id"",""en"")"),"['garbage', 'signal', 'ugly', 'expensive', 'employee', 'corruption', 'times',' signal ',' good ',' kek ',' garbage ',' signal ',' Clay ',' signal ',' Telkomsel ',' trash ',' really ',' signal ', ""]")</f>
        <v>['garbage', 'signal', 'ugly', 'expensive', 'employee', 'corruption', 'times',' signal ',' good ',' kek ',' garbage ',' signal ',' Clay ',' signal ',' Telkomsel ',' trash ',' really ',' signal ', "]</v>
      </c>
      <c r="D13040" s="3">
        <v>1.0</v>
      </c>
    </row>
    <row r="13041" ht="15.75" customHeight="1">
      <c r="A13041" s="1">
        <v>14096.0</v>
      </c>
      <c r="B13041" s="3" t="s">
        <v>12335</v>
      </c>
      <c r="C13041" s="3" t="str">
        <f>IFERROR(__xludf.DUMMYFUNCTION("GOOGLETRANSLATE(B13041,""id"",""en"")"),"['Bonus']")</f>
        <v>['Bonus']</v>
      </c>
      <c r="D13041" s="3">
        <v>4.0</v>
      </c>
    </row>
    <row r="13042" ht="15.75" customHeight="1">
      <c r="A13042" s="1">
        <v>14097.0</v>
      </c>
      <c r="B13042" s="3" t="s">
        <v>12336</v>
      </c>
      <c r="C13042" s="3" t="str">
        <f>IFERROR(__xludf.DUMMYFUNCTION("GOOGLETRANSLATE(B13042,""id"",""en"")"),"['Please', 'Dung', 'Special', 'Region', 'Muara', 'Jakrta', 'Center', 'STBIL', ""]")</f>
        <v>['Please', 'Dung', 'Special', 'Region', 'Muara', 'Jakrta', 'Center', 'STBIL', "]</v>
      </c>
      <c r="D13042" s="3">
        <v>2.0</v>
      </c>
    </row>
    <row r="13043" ht="15.75" customHeight="1">
      <c r="A13043" s="1">
        <v>14098.0</v>
      </c>
      <c r="B13043" s="3" t="s">
        <v>12337</v>
      </c>
      <c r="C13043" s="3" t="str">
        <f>IFERROR(__xludf.DUMMYFUNCTION("GOOGLETRANSLATE(B13043,""id"",""en"")"),"['network', 'internet', 'ganguan', 'signal', 'missing', 'sngat', 'location', 'village', 'mountain', 'raya', 'sub-district', 'Warkuk', ' Ranau ',' South ',' County ',' Okus', 'Sumsel', 'repairs',' Sunday ',' ']")</f>
        <v>['network', 'internet', 'ganguan', 'signal', 'missing', 'sngat', 'location', 'village', 'mountain', 'raya', 'sub-district', 'Warkuk', ' Ranau ',' South ',' County ',' Okus', 'Sumsel', 'repairs',' Sunday ',' ']</v>
      </c>
      <c r="D13043" s="3">
        <v>1.0</v>
      </c>
    </row>
    <row r="13044" ht="15.75" customHeight="1">
      <c r="A13044" s="1">
        <v>14100.0</v>
      </c>
      <c r="B13044" s="3" t="s">
        <v>12338</v>
      </c>
      <c r="C13044" s="3" t="str">
        <f>IFERROR(__xludf.DUMMYFUNCTION("GOOGLETRANSLATE(B13044,""id"",""en"")"),"['signal', 'worst', 'number', 'skrg', 'threat', 'buy', 'package', 'rb', 'used', 'aka', 'slow', 'cloud', ' parahhhh ',' th ',' loyal ',' Telkomsel ',' skrg ',' signal ',' threat ',' mode ',' network ',' change ',' manual ',' influence ', ""]")</f>
        <v>['signal', 'worst', 'number', 'skrg', 'threat', 'buy', 'package', 'rb', 'used', 'aka', 'slow', 'cloud', ' parahhhh ',' th ',' loyal ',' Telkomsel ',' skrg ',' signal ',' threat ',' mode ',' network ',' change ',' manual ',' influence ', "]</v>
      </c>
      <c r="D13044" s="3">
        <v>1.0</v>
      </c>
    </row>
    <row r="13045" ht="15.75" customHeight="1">
      <c r="A13045" s="1">
        <v>14101.0</v>
      </c>
      <c r="B13045" s="3" t="s">
        <v>12339</v>
      </c>
      <c r="C13045" s="3" t="str">
        <f>IFERROR(__xludf.DUMMYFUNCTION("GOOGLETRANSLATE(B13045,""id"",""en"")"),"['Improvement', 'hopefully', 'in full', 'maintained']")</f>
        <v>['Improvement', 'hopefully', 'in full', 'maintained']</v>
      </c>
      <c r="D13045" s="3">
        <v>5.0</v>
      </c>
    </row>
    <row r="13046" ht="15.75" customHeight="1">
      <c r="A13046" s="1">
        <v>14102.0</v>
      </c>
      <c r="B13046" s="3" t="s">
        <v>12340</v>
      </c>
      <c r="C13046" s="3" t="str">
        <f>IFERROR(__xludf.DUMMYFUNCTION("GOOGLETRANSLATE(B13046,""id"",""en"")"),"['', 'coment', 'try', ""]")</f>
        <v>['', 'coment', 'try', "]</v>
      </c>
      <c r="D13046" s="3">
        <v>3.0</v>
      </c>
    </row>
    <row r="13047" ht="15.75" customHeight="1">
      <c r="A13047" s="1">
        <v>14103.0</v>
      </c>
      <c r="B13047" s="3" t="s">
        <v>12341</v>
      </c>
      <c r="C13047" s="3" t="str">
        <f>IFERROR(__xludf.DUMMYFUNCTION("GOOGLETRANSLATE(B13047,""id"",""en"")"),"['Good', 'good', 'purchase', 'package', 'data', 'complete', 'expensive', 'expensive', '']")</f>
        <v>['Good', 'good', 'purchase', 'package', 'data', 'complete', 'expensive', 'expensive', '']</v>
      </c>
      <c r="D13047" s="3">
        <v>4.0</v>
      </c>
    </row>
    <row r="13048" ht="15.75" customHeight="1">
      <c r="A13048" s="1">
        <v>14104.0</v>
      </c>
      <c r="B13048" s="3" t="s">
        <v>12342</v>
      </c>
      <c r="C13048" s="3" t="str">
        <f>IFERROR(__xludf.DUMMYFUNCTION("GOOGLETRANSLATE(B13048,""id"",""en"")"),"['buy', 'quota', 'GB', 'already', 'buy', 'payment', 'managed', 'awaited', 'forging', 'clock', 'right', 'check', ' Fill ',' no ',' pulses', 'sumps',' yes', 'strange', ""]")</f>
        <v>['buy', 'quota', 'GB', 'already', 'buy', 'payment', 'managed', 'awaited', 'forging', 'clock', 'right', 'check', ' Fill ',' no ',' pulses', 'sumps',' yes', 'strange', "]</v>
      </c>
      <c r="D13048" s="3">
        <v>1.0</v>
      </c>
    </row>
    <row r="13049" ht="15.75" customHeight="1">
      <c r="A13049" s="1">
        <v>14105.0</v>
      </c>
      <c r="B13049" s="3" t="s">
        <v>12343</v>
      </c>
      <c r="C13049" s="3" t="str">
        <f>IFERROR(__xludf.DUMMYFUNCTION("GOOGLETRANSLATE(B13049,""id"",""en"")"),"['expensive', 'dkit', '']")</f>
        <v>['expensive', 'dkit', '']</v>
      </c>
      <c r="D13049" s="3">
        <v>3.0</v>
      </c>
    </row>
    <row r="13050" ht="15.75" customHeight="1">
      <c r="A13050" s="1">
        <v>14106.0</v>
      </c>
      <c r="B13050" s="3" t="s">
        <v>12344</v>
      </c>
      <c r="C13050" s="3" t="str">
        <f>IFERROR(__xludf.DUMMYFUNCTION("GOOGLETRANSLATE(B13050,""id"",""en"")"),"['ugly', 'the application', 'high school', 'skali', 'tdak', 'marginalized', 'skrang', 'times',' entry ',' login ',' lgi ',' loading ',' DLU ',' fast ',' login ',' verification ',' lgi ',' skrang ',' udh ',' lma ',' loding ',' veipry ',' login ',' web ',' "&amp;"udh ' , 'MLES', 'use', 'APL', 'Telkmsel', 'Unistal', 'Sorry']")</f>
        <v>['ugly', 'the application', 'high school', 'skali', 'tdak', 'marginalized', 'skrang', 'times',' entry ',' login ',' lgi ',' loading ',' DLU ',' fast ',' login ',' verification ',' lgi ',' skrang ',' udh ',' lma ',' loding ',' veipry ',' login ',' web ',' udh ' , 'MLES', 'use', 'APL', 'Telkmsel', 'Unistal', 'Sorry']</v>
      </c>
      <c r="D13050" s="3">
        <v>1.0</v>
      </c>
    </row>
    <row r="13051" ht="15.75" customHeight="1">
      <c r="A13051" s="1">
        <v>14107.0</v>
      </c>
      <c r="B13051" s="3" t="s">
        <v>1855</v>
      </c>
      <c r="C13051" s="3" t="str">
        <f>IFERROR(__xludf.DUMMYFUNCTION("GOOGLETRANSLATE(B13051,""id"",""en"")"),"['star']")</f>
        <v>['star']</v>
      </c>
      <c r="D13051" s="3">
        <v>2.0</v>
      </c>
    </row>
    <row r="13052" ht="15.75" customHeight="1">
      <c r="A13052" s="1">
        <v>14109.0</v>
      </c>
      <c r="B13052" s="3" t="s">
        <v>12345</v>
      </c>
      <c r="C13052" s="3" t="str">
        <f>IFERROR(__xludf.DUMMYFUNCTION("GOOGLETRANSLATE(B13052,""id"",""en"")"),"['thank', 'love', 'package', 'RbU', 'help', 'child', 'learn', 'home', 'apalgi', 'pandemic', 'husband', 'work', ' "", 'price', 'affordable', 'child', 'study', 'home']")</f>
        <v>['thank', 'love', 'package', 'RbU', 'help', 'child', 'learn', 'home', 'apalgi', 'pandemic', 'husband', 'work', ' ", 'price', 'affordable', 'child', 'study', 'home']</v>
      </c>
      <c r="D13052" s="3">
        <v>5.0</v>
      </c>
    </row>
    <row r="13053" ht="15.75" customHeight="1">
      <c r="A13053" s="1">
        <v>14110.0</v>
      </c>
      <c r="B13053" s="3" t="s">
        <v>12346</v>
      </c>
      <c r="C13053" s="3" t="str">
        <f>IFERROR(__xludf.DUMMYFUNCTION("GOOGLETRANSLATE(B13053,""id"",""en"")"),"['', 'pls',' checked ',' leftover ',' kmna ',' used ',' package ',' complete ',' Telkomsel ',' notification ',' ilang ',' that's', 'dawn ',' Sampe ',' skrg ',' DFTAR ',' Package ',' Difficult ',' Open ',' App ',' System ',' Busy ',' Disruption ',' Apply '"&amp;",' all ',' all ', 'Gaje', 'App', '']")</f>
        <v>['', 'pls',' checked ',' leftover ',' kmna ',' used ',' package ',' complete ',' Telkomsel ',' notification ',' ilang ',' that's', 'dawn ',' Sampe ',' skrg ',' DFTAR ',' Package ',' Difficult ',' Open ',' App ',' System ',' Busy ',' Disruption ',' Apply ',' all ',' all ', 'Gaje', 'App', '']</v>
      </c>
      <c r="D13053" s="3">
        <v>1.0</v>
      </c>
    </row>
    <row r="13054" ht="15.75" customHeight="1">
      <c r="A13054" s="1">
        <v>14111.0</v>
      </c>
      <c r="B13054" s="3" t="s">
        <v>12347</v>
      </c>
      <c r="C13054" s="3" t="str">
        <f>IFERROR(__xludf.DUMMYFUNCTION("GOOGLETRANSLATE(B13054,""id"",""en"")"),"['Application', 'Tholol', 'fooling', 'public', 'Corruption', 'Main', 'Play', 'Credit', 'Cutting']")</f>
        <v>['Application', 'Tholol', 'fooling', 'public', 'Corruption', 'Main', 'Play', 'Credit', 'Cutting']</v>
      </c>
      <c r="D13054" s="3">
        <v>1.0</v>
      </c>
    </row>
    <row r="13055" ht="15.75" customHeight="1">
      <c r="A13055" s="1">
        <v>14112.0</v>
      </c>
      <c r="B13055" s="3" t="s">
        <v>12348</v>
      </c>
      <c r="C13055" s="3" t="str">
        <f>IFERROR(__xludf.DUMMYFUNCTION("GOOGLETRANSLATE(B13055,""id"",""en"")"),"['Application', 'MyTelkomsel', 'Useful', 'User', 'Telkomsel']")</f>
        <v>['Application', 'MyTelkomsel', 'Useful', 'User', 'Telkomsel']</v>
      </c>
      <c r="D13055" s="3">
        <v>5.0</v>
      </c>
    </row>
    <row r="13056" ht="15.75" customHeight="1">
      <c r="A13056" s="1">
        <v>14113.0</v>
      </c>
      <c r="B13056" s="3" t="s">
        <v>12349</v>
      </c>
      <c r="C13056" s="3" t="str">
        <f>IFERROR(__xludf.DUMMYFUNCTION("GOOGLETRANSLATE(B13056,""id"",""en"")"),"['just', 'choice', 'package', 'internet', 'maximum']")</f>
        <v>['just', 'choice', 'package', 'internet', 'maximum']</v>
      </c>
      <c r="D13056" s="3">
        <v>4.0</v>
      </c>
    </row>
    <row r="13057" ht="15.75" customHeight="1">
      <c r="A13057" s="1">
        <v>14114.0</v>
      </c>
      <c r="B13057" s="3" t="s">
        <v>12350</v>
      </c>
      <c r="C13057" s="3" t="str">
        <f>IFERROR(__xludf.DUMMYFUNCTION("GOOGLETRANSLATE(B13057,""id"",""en"")"),"['', 'Changed', 'Changed', 'Network', 'Potatoes', '']")</f>
        <v>['', 'Changed', 'Changed', 'Network', 'Potatoes', '']</v>
      </c>
      <c r="D13057" s="3">
        <v>1.0</v>
      </c>
    </row>
    <row r="13058" ht="15.75" customHeight="1">
      <c r="A13058" s="1">
        <v>14115.0</v>
      </c>
      <c r="B13058" s="3" t="s">
        <v>12351</v>
      </c>
      <c r="C13058" s="3" t="str">
        <f>IFERROR(__xludf.DUMMYFUNCTION("GOOGLETRANSLATE(B13058,""id"",""en"")"),"['Bagus', 'application', 'makes it easier', 'Oembelian', 'package']")</f>
        <v>['Bagus', 'application', 'makes it easier', 'Oembelian', 'package']</v>
      </c>
      <c r="D13058" s="3">
        <v>5.0</v>
      </c>
    </row>
    <row r="13059" ht="15.75" customHeight="1">
      <c r="A13059" s="1">
        <v>14116.0</v>
      </c>
      <c r="B13059" s="3" t="s">
        <v>12352</v>
      </c>
      <c r="C13059" s="3" t="str">
        <f>IFERROR(__xludf.DUMMYFUNCTION("GOOGLETRANSLATE(B13059,""id"",""en"")"),"['Tngkan', 'quality']")</f>
        <v>['Tngkan', 'quality']</v>
      </c>
      <c r="D13059" s="3">
        <v>5.0</v>
      </c>
    </row>
    <row r="13060" ht="15.75" customHeight="1">
      <c r="A13060" s="1">
        <v>14117.0</v>
      </c>
      <c r="B13060" s="3" t="s">
        <v>12353</v>
      </c>
      <c r="C13060" s="3" t="str">
        <f>IFERROR(__xludf.DUMMYFUNCTION("GOOGLETRANSLATE(B13060,""id"",""en"")"),"['Network', 'strong', 'matched', 'where', 'network']")</f>
        <v>['Network', 'strong', 'matched', 'where', 'network']</v>
      </c>
      <c r="D13060" s="3">
        <v>5.0</v>
      </c>
    </row>
    <row r="13061" ht="15.75" customHeight="1">
      <c r="A13061" s="1">
        <v>14118.0</v>
      </c>
      <c r="B13061" s="3" t="s">
        <v>12354</v>
      </c>
      <c r="C13061" s="3" t="str">
        <f>IFERROR(__xludf.DUMMYFUNCTION("GOOGLETRANSLATE(B13061,""id"",""en"")"),"['signal', 'telkomsial', 'knpa', 'njink', 'bad', 'tabok', 'already', 'expensive', 'bad', 'card', 'telkomsel', 'garbage']")</f>
        <v>['signal', 'telkomsial', 'knpa', 'njink', 'bad', 'tabok', 'already', 'expensive', 'bad', 'card', 'telkomsel', 'garbage']</v>
      </c>
      <c r="D13061" s="3">
        <v>1.0</v>
      </c>
    </row>
    <row r="13062" ht="15.75" customHeight="1">
      <c r="A13062" s="1">
        <v>14119.0</v>
      </c>
      <c r="B13062" s="3" t="s">
        <v>12355</v>
      </c>
      <c r="C13062" s="3" t="str">
        <f>IFERROR(__xludf.DUMMYFUNCTION("GOOGLETRANSLATE(B13062,""id"",""en"")"),"['Help', 'Information', 'card', 'SIM', 'Lay', 'Undi', 'Hepi', 'run', 'hope', 'lucky', '']")</f>
        <v>['Help', 'Information', 'card', 'SIM', 'Lay', 'Undi', 'Hepi', 'run', 'hope', 'lucky', '']</v>
      </c>
      <c r="D13062" s="3">
        <v>5.0</v>
      </c>
    </row>
    <row r="13063" ht="15.75" customHeight="1">
      <c r="A13063" s="1">
        <v>14120.0</v>
      </c>
      <c r="B13063" s="3" t="s">
        <v>12356</v>
      </c>
      <c r="C13063" s="3" t="str">
        <f>IFERROR(__xludf.DUMMYFUNCTION("GOOGLETRANSLATE(B13063,""id"",""en"")"),"['Help', 'Pride', 'Good', 'Price', 'Lower', 'Quality', 'Increase']")</f>
        <v>['Help', 'Pride', 'Good', 'Price', 'Lower', 'Quality', 'Increase']</v>
      </c>
      <c r="D13063" s="3">
        <v>5.0</v>
      </c>
    </row>
    <row r="13064" ht="15.75" customHeight="1">
      <c r="A13064" s="1">
        <v>14121.0</v>
      </c>
      <c r="B13064" s="3" t="s">
        <v>3963</v>
      </c>
      <c r="C13064" s="3" t="str">
        <f>IFERROR(__xludf.DUMMYFUNCTION("GOOGLETRANSLATE(B13064,""id"",""en"")"),"['APK', 'Help']")</f>
        <v>['APK', 'Help']</v>
      </c>
      <c r="D13064" s="3">
        <v>5.0</v>
      </c>
    </row>
    <row r="13065" ht="15.75" customHeight="1">
      <c r="A13065" s="1">
        <v>14122.0</v>
      </c>
      <c r="B13065" s="3" t="s">
        <v>12357</v>
      </c>
      <c r="C13065" s="3" t="str">
        <f>IFERROR(__xludf.DUMMYFUNCTION("GOOGLETRANSLATE(B13065,""id"",""en"")"),"['', 'APL', 'Good']")</f>
        <v>['', 'APL', 'Good']</v>
      </c>
      <c r="D13065" s="3">
        <v>5.0</v>
      </c>
    </row>
    <row r="13066" ht="15.75" customHeight="1">
      <c r="A13066" s="1">
        <v>14123.0</v>
      </c>
      <c r="B13066" s="3" t="s">
        <v>286</v>
      </c>
      <c r="C13066" s="3" t="str">
        <f>IFERROR(__xludf.DUMMYFUNCTION("GOOGLETRANSLATE(B13066,""id"",""en"")"),"['good']")</f>
        <v>['good']</v>
      </c>
      <c r="D13066" s="3">
        <v>5.0</v>
      </c>
    </row>
    <row r="13067" ht="15.75" customHeight="1">
      <c r="A13067" s="1">
        <v>14124.0</v>
      </c>
      <c r="B13067" s="3" t="s">
        <v>12358</v>
      </c>
      <c r="C13067" s="3" t="str">
        <f>IFERROR(__xludf.DUMMYFUNCTION("GOOGLETRANSLATE(B13067,""id"",""en"")"),"['Install', 'application', 'contents', 'pulse', 'application', 'ugly', 'application']")</f>
        <v>['Install', 'application', 'contents', 'pulse', 'application', 'ugly', 'application']</v>
      </c>
      <c r="D13067" s="3">
        <v>1.0</v>
      </c>
    </row>
    <row r="13068" ht="15.75" customHeight="1">
      <c r="A13068" s="1">
        <v>14125.0</v>
      </c>
      <c r="B13068" s="3" t="s">
        <v>12359</v>
      </c>
      <c r="C13068" s="3" t="str">
        <f>IFERROR(__xludf.DUMMYFUNCTION("GOOGLETRANSLATE(B13068,""id"",""en"")"),"['Signal', 'Bad', 'County', 'Karanganyar', 'Province', 'Java']")</f>
        <v>['Signal', 'Bad', 'County', 'Karanganyar', 'Province', 'Java']</v>
      </c>
      <c r="D13068" s="3">
        <v>1.0</v>
      </c>
    </row>
    <row r="13069" ht="15.75" customHeight="1">
      <c r="A13069" s="1">
        <v>14126.0</v>
      </c>
      <c r="B13069" s="3" t="s">
        <v>12360</v>
      </c>
      <c r="C13069" s="3" t="str">
        <f>IFERROR(__xludf.DUMMYFUNCTION("GOOGLETRANSLATE(B13069,""id"",""en"")"),"['Okeh', 'really', 'help']")</f>
        <v>['Okeh', 'really', 'help']</v>
      </c>
      <c r="D13069" s="3">
        <v>5.0</v>
      </c>
    </row>
    <row r="13070" ht="15.75" customHeight="1">
      <c r="A13070" s="1">
        <v>14127.0</v>
      </c>
      <c r="B13070" s="3" t="s">
        <v>181</v>
      </c>
      <c r="C13070" s="3" t="str">
        <f>IFERROR(__xludf.DUMMYFUNCTION("GOOGLETRANSLATE(B13070,""id"",""en"")"),"['help']")</f>
        <v>['help']</v>
      </c>
      <c r="D13070" s="3">
        <v>5.0</v>
      </c>
    </row>
    <row r="13071" ht="15.75" customHeight="1">
      <c r="A13071" s="1">
        <v>14128.0</v>
      </c>
      <c r="B13071" s="3" t="s">
        <v>12361</v>
      </c>
      <c r="C13071" s="3" t="str">
        <f>IFERROR(__xludf.DUMMYFUNCTION("GOOGLETRANSLATE(B13071,""id"",""en"")"),"['Good', 'really', 'lock', 'pulses', 'quota', 'abis', 'eat', 'pulse']")</f>
        <v>['Good', 'really', 'lock', 'pulses', 'quota', 'abis', 'eat', 'pulse']</v>
      </c>
      <c r="D13071" s="3">
        <v>5.0</v>
      </c>
    </row>
    <row r="13072" ht="15.75" customHeight="1">
      <c r="A13072" s="1">
        <v>14130.0</v>
      </c>
      <c r="B13072" s="3" t="s">
        <v>12362</v>
      </c>
      <c r="C13072" s="3" t="str">
        <f>IFERROR(__xludf.DUMMYFUNCTION("GOOGLETRANSLATE(B13072,""id"",""en"")"),"['easy', 'buy', 'package', 'data', 'application', 'Telkomsel', 'dpat', 'offer', 'interesting']")</f>
        <v>['easy', 'buy', 'package', 'data', 'application', 'Telkomsel', 'dpat', 'offer', 'interesting']</v>
      </c>
      <c r="D13072" s="3">
        <v>5.0</v>
      </c>
    </row>
    <row r="13073" ht="15.75" customHeight="1">
      <c r="A13073" s="1">
        <v>14131.0</v>
      </c>
      <c r="B13073" s="3" t="s">
        <v>12363</v>
      </c>
      <c r="C13073" s="3" t="str">
        <f>IFERROR(__xludf.DUMMYFUNCTION("GOOGLETRANSLATE(B13073,""id"",""en"")"),"['purchase', 'quota', 'local', 'strange', 'quota', 'limited', 'night', 'masok', 'sense', 'ajh', 'internet', 'limit', ' all ',' users', 'NXA', 'forced', 'Delete', 'application']")</f>
        <v>['purchase', 'quota', 'local', 'strange', 'quota', 'limited', 'night', 'masok', 'sense', 'ajh', 'internet', 'limit', ' all ',' users', 'NXA', 'forced', 'Delete', 'application']</v>
      </c>
      <c r="D13073" s="3">
        <v>1.0</v>
      </c>
    </row>
    <row r="13074" ht="15.75" customHeight="1">
      <c r="A13074" s="1">
        <v>14132.0</v>
      </c>
      <c r="B13074" s="3" t="s">
        <v>12364</v>
      </c>
      <c r="C13074" s="3" t="str">
        <f>IFERROR(__xludf.DUMMYFUNCTION("GOOGLETRANSLATE(B13074,""id"",""en"")"),"['Good', 'Easy to', 'Research', 'Getting to', 'Features', 'Features', 'Updated', 'Telkomsel']")</f>
        <v>['Good', 'Easy to', 'Research', 'Getting to', 'Features', 'Features', 'Updated', 'Telkomsel']</v>
      </c>
      <c r="D13074" s="3">
        <v>5.0</v>
      </c>
    </row>
    <row r="13075" ht="15.75" customHeight="1">
      <c r="A13075" s="1">
        <v>14133.0</v>
      </c>
      <c r="B13075" s="3" t="s">
        <v>12365</v>
      </c>
      <c r="C13075" s="3" t="str">
        <f>IFERROR(__xludf.DUMMYFUNCTION("GOOGLETRANSLATE(B13075,""id"",""en"")"),"['', 'Type', 'Install', 'Apasih', 'The difference', 'old school', 'Install', 'Uklum', 'poor']")</f>
        <v>['', 'Type', 'Install', 'Apasih', 'The difference', 'old school', 'Install', 'Uklum', 'poor']</v>
      </c>
      <c r="D13075" s="3">
        <v>1.0</v>
      </c>
    </row>
    <row r="13076" ht="15.75" customHeight="1">
      <c r="A13076" s="1">
        <v>14134.0</v>
      </c>
      <c r="B13076" s="3" t="s">
        <v>12366</v>
      </c>
      <c r="C13076" s="3" t="str">
        <f>IFERROR(__xludf.DUMMYFUNCTION("GOOGLETRANSLATE(B13076,""id"",""en"")"),"['Network', 'like', 'missing', 'play', 'game', 'like', 'problematic', 'net', 'the application', ""]")</f>
        <v>['Network', 'like', 'missing', 'play', 'game', 'like', 'problematic', 'net', 'the application', "]</v>
      </c>
      <c r="D13076" s="3">
        <v>3.0</v>
      </c>
    </row>
    <row r="13077" ht="15.75" customHeight="1">
      <c r="A13077" s="1">
        <v>14135.0</v>
      </c>
      <c r="B13077" s="3" t="s">
        <v>12367</v>
      </c>
      <c r="C13077" s="3" t="str">
        <f>IFERROR(__xludf.DUMMYFUNCTION("GOOGLETRANSLATE(B13077,""id"",""en"")"),"['Ngaco', 'Package', 'Data', 'Cook', 'Credit', 'Cut', 'Jga', 'Karna', 'Internet']")</f>
        <v>['Ngaco', 'Package', 'Data', 'Cook', 'Credit', 'Cut', 'Jga', 'Karna', 'Internet']</v>
      </c>
      <c r="D13077" s="3">
        <v>1.0</v>
      </c>
    </row>
    <row r="13078" ht="15.75" customHeight="1">
      <c r="A13078" s="1">
        <v>14136.0</v>
      </c>
      <c r="B13078" s="3" t="s">
        <v>12368</v>
      </c>
      <c r="C13078" s="3" t="str">
        <f>IFERROR(__xludf.DUMMYFUNCTION("GOOGLETRANSLATE(B13078,""id"",""en"")"),"['Knp', 'buy', 'Package', 'Please', 'Notice', '']")</f>
        <v>['Knp', 'buy', 'Package', 'Please', 'Notice', '']</v>
      </c>
      <c r="D13078" s="3">
        <v>5.0</v>
      </c>
    </row>
    <row r="13079" ht="15.75" customHeight="1">
      <c r="A13079" s="1">
        <v>14137.0</v>
      </c>
      <c r="B13079" s="3" t="s">
        <v>12369</v>
      </c>
      <c r="C13079" s="3" t="str">
        <f>IFERROR(__xludf.DUMMYFUNCTION("GOOGLETRANSLATE(B13079,""id"",""en"")"),"['easy', 'easy']")</f>
        <v>['easy', 'easy']</v>
      </c>
      <c r="D13079" s="3">
        <v>3.0</v>
      </c>
    </row>
    <row r="13080" ht="15.75" customHeight="1">
      <c r="A13080" s="1">
        <v>14138.0</v>
      </c>
      <c r="B13080" s="3" t="s">
        <v>12370</v>
      </c>
      <c r="C13080" s="3" t="str">
        <f>IFERROR(__xludf.DUMMYFUNCTION("GOOGLETRANSLATE(B13080,""id"",""en"")"),"['network', 'price', 'package', 'msh', 'star', 'dlu', 'hehehee']")</f>
        <v>['network', 'price', 'package', 'msh', 'star', 'dlu', 'hehehee']</v>
      </c>
      <c r="D13080" s="3">
        <v>2.0</v>
      </c>
    </row>
    <row r="13081" ht="15.75" customHeight="1">
      <c r="A13081" s="1">
        <v>14139.0</v>
      </c>
      <c r="B13081" s="3" t="s">
        <v>12371</v>
      </c>
      <c r="C13081" s="3" t="str">
        <f>IFERROR(__xludf.DUMMYFUNCTION("GOOGLETRANSLATE(B13081,""id"",""en"")"),"['here', 'bad', 'signal', 'after', 'rain', 'bad']")</f>
        <v>['here', 'bad', 'signal', 'after', 'rain', 'bad']</v>
      </c>
      <c r="D13081" s="3">
        <v>1.0</v>
      </c>
    </row>
    <row r="13082" ht="15.75" customHeight="1">
      <c r="A13082" s="1">
        <v>14140.0</v>
      </c>
      <c r="B13082" s="3" t="s">
        <v>12372</v>
      </c>
      <c r="C13082" s="3" t="str">
        <f>IFERROR(__xludf.DUMMYFUNCTION("GOOGLETRANSLATE(B13082,""id"",""en"")"),"['Package', 'special', 'number', 'card', 'comfortable', 'package', 'delete', 'package', 'consistant', 'produce', 'product', 'different', ' price ',' normal ',' discount ',' production ',' product ']")</f>
        <v>['Package', 'special', 'number', 'card', 'comfortable', 'package', 'delete', 'package', 'consistant', 'produce', 'product', 'different', ' price ',' normal ',' discount ',' production ',' product ']</v>
      </c>
      <c r="D13082" s="3">
        <v>1.0</v>
      </c>
    </row>
    <row r="13083" ht="15.75" customHeight="1">
      <c r="A13083" s="1">
        <v>14142.0</v>
      </c>
      <c r="B13083" s="3" t="s">
        <v>12373</v>
      </c>
      <c r="C13083" s="3" t="str">
        <f>IFERROR(__xludf.DUMMYFUNCTION("GOOGLETRANSLATE(B13083,""id"",""en"")"),"['Thank you', 'Help', 'Telkomsel']")</f>
        <v>['Thank you', 'Help', 'Telkomsel']</v>
      </c>
      <c r="D13083" s="3">
        <v>5.0</v>
      </c>
    </row>
    <row r="13084" ht="15.75" customHeight="1">
      <c r="A13084" s="1">
        <v>14143.0</v>
      </c>
      <c r="B13084" s="3" t="s">
        <v>12374</v>
      </c>
      <c r="C13084" s="3" t="str">
        <f>IFERROR(__xludf.DUMMYFUNCTION("GOOGLETRANSLATE(B13084,""id"",""en"")"),"['', 'Increase', 'Quality', 'Network', 'Dead', 'Electricity', 'Network', 'Internet', 'Nombled', 'Ngilan', 'Tower', ""]")</f>
        <v>['', 'Increase', 'Quality', 'Network', 'Dead', 'Electricity', 'Network', 'Internet', 'Nombled', 'Ngilan', 'Tower', "]</v>
      </c>
      <c r="D13084" s="3">
        <v>1.0</v>
      </c>
    </row>
    <row r="13085" ht="15.75" customHeight="1">
      <c r="A13085" s="1">
        <v>14145.0</v>
      </c>
      <c r="B13085" s="3" t="s">
        <v>12375</v>
      </c>
      <c r="C13085" s="3" t="str">
        <f>IFERROR(__xludf.DUMMYFUNCTION("GOOGLETRANSLATE(B13085,""id"",""en"")"),"['Update', 'Stiap', 'Open', 'APLKSI', 'LNGSUNG', 'Network', 'Lost']")</f>
        <v>['Update', 'Stiap', 'Open', 'APLKSI', 'LNGSUNG', 'Network', 'Lost']</v>
      </c>
      <c r="D13085" s="3">
        <v>1.0</v>
      </c>
    </row>
    <row r="13086" ht="15.75" customHeight="1">
      <c r="A13086" s="1">
        <v>14146.0</v>
      </c>
      <c r="B13086" s="3" t="s">
        <v>12376</v>
      </c>
      <c r="C13086" s="3" t="str">
        <f>IFERROR(__xludf.DUMMYFUNCTION("GOOGLETRANSLATE(B13086,""id"",""en"")"),"['application', 'goood']")</f>
        <v>['application', 'goood']</v>
      </c>
      <c r="D13086" s="3">
        <v>5.0</v>
      </c>
    </row>
    <row r="13087" ht="15.75" customHeight="1">
      <c r="A13087" s="1">
        <v>14147.0</v>
      </c>
      <c r="B13087" s="3" t="s">
        <v>12377</v>
      </c>
      <c r="C13087" s="3" t="str">
        <f>IFERROR(__xludf.DUMMYFUNCTION("GOOGLETRANSLATE(B13087,""id"",""en"")"),"['Feature', 'Pay', 'Pakek', 'Shopepay', 'BRI', 'Mandiri', 'Bank']")</f>
        <v>['Feature', 'Pay', 'Pakek', 'Shopepay', 'BRI', 'Mandiri', 'Bank']</v>
      </c>
      <c r="D13087" s="3">
        <v>5.0</v>
      </c>
    </row>
    <row r="13088" ht="15.75" customHeight="1">
      <c r="A13088" s="1">
        <v>14148.0</v>
      </c>
      <c r="B13088" s="3" t="s">
        <v>12378</v>
      </c>
      <c r="C13088" s="3" t="str">
        <f>IFERROR(__xludf.DUMMYFUNCTION("GOOGLETRANSLATE(B13088,""id"",""en"")"),"['sich', 'steady', 'signal', 'TPI', 'system', 'package', 'call', 'lost', 'use', 'package', 'call', 'package', ' special ',' assisted ',' karna ',' consistent ']")</f>
        <v>['sich', 'steady', 'signal', 'TPI', 'system', 'package', 'call', 'lost', 'use', 'package', 'call', 'package', ' special ',' assisted ',' karna ',' consistent ']</v>
      </c>
      <c r="D13088" s="3">
        <v>3.0</v>
      </c>
    </row>
    <row r="13089" ht="15.75" customHeight="1">
      <c r="A13089" s="1">
        <v>14149.0</v>
      </c>
      <c r="B13089" s="3" t="s">
        <v>12379</v>
      </c>
      <c r="C13089" s="3" t="str">
        <f>IFERROR(__xludf.DUMMYFUNCTION("GOOGLETRANSLATE(B13089,""id"",""en"")"),"['Hallo', 'Telkomsel', 'Please', 'at the level', 'network', 'payment', 'kouta', 'internet', 'dcrust', 'expensive', 'play', 'game', ' Sileg ',' disappointing ',' star ',' waste ',' please ',' repaired ']")</f>
        <v>['Hallo', 'Telkomsel', 'Please', 'at the level', 'network', 'payment', 'kouta', 'internet', 'dcrust', 'expensive', 'play', 'game', ' Sileg ',' disappointing ',' star ',' waste ',' please ',' repaired ']</v>
      </c>
      <c r="D13089" s="3">
        <v>5.0</v>
      </c>
    </row>
    <row r="13090" ht="15.75" customHeight="1">
      <c r="A13090" s="1">
        <v>14150.0</v>
      </c>
      <c r="B13090" s="3" t="s">
        <v>12380</v>
      </c>
      <c r="C13090" s="3" t="str">
        <f>IFERROR(__xludf.DUMMYFUNCTION("GOOGLETRANSLATE(B13090,""id"",""en"")"),"['', 'promo', 'cook', 'lose', 'card', 'package', 'internet', 'bely', 'cheap']")</f>
        <v>['', 'promo', 'cook', 'lose', 'card', 'package', 'internet', 'bely', 'cheap']</v>
      </c>
      <c r="D13090" s="3">
        <v>5.0</v>
      </c>
    </row>
    <row r="13091" ht="15.75" customHeight="1">
      <c r="A13091" s="1">
        <v>14151.0</v>
      </c>
      <c r="B13091" s="3" t="s">
        <v>12381</v>
      </c>
      <c r="C13091" s="3" t="str">
        <f>IFERROR(__xludf.DUMMYFUNCTION("GOOGLETRANSLATE(B13091,""id"",""en"")"),"['ebill', 'jammed', 'promise', 'doang']")</f>
        <v>['ebill', 'jammed', 'promise', 'doang']</v>
      </c>
      <c r="D13091" s="3">
        <v>3.0</v>
      </c>
    </row>
    <row r="13092" ht="15.75" customHeight="1">
      <c r="A13092" s="1">
        <v>14152.0</v>
      </c>
      <c r="B13092" s="3" t="s">
        <v>12382</v>
      </c>
      <c r="C13092" s="3" t="str">
        <f>IFERROR(__xludf.DUMMYFUNCTION("GOOGLETRANSLATE(B13092,""id"",""en"")"),"['service']")</f>
        <v>['service']</v>
      </c>
      <c r="D13092" s="3">
        <v>5.0</v>
      </c>
    </row>
    <row r="13093" ht="15.75" customHeight="1">
      <c r="A13093" s="1">
        <v>14153.0</v>
      </c>
      <c r="B13093" s="3" t="s">
        <v>12383</v>
      </c>
      <c r="C13093" s="3" t="str">
        <f>IFERROR(__xludf.DUMMYFUNCTION("GOOGLETRANSLATE(B13093,""id"",""en"")"),"['data', 'pulse', 'access',' package ',' data ',' suck ',' pulse ',' menu ',' product ',' displayed ',' accessible ',' customer ',' special ',' appears', 'application', 'accessed', 'bought', '']")</f>
        <v>['data', 'pulse', 'access',' package ',' data ',' suck ',' pulse ',' menu ',' product ',' displayed ',' accessible ',' customer ',' special ',' appears', 'application', 'accessed', 'bought', '']</v>
      </c>
      <c r="D13093" s="3">
        <v>1.0</v>
      </c>
    </row>
    <row r="13094" ht="15.75" customHeight="1">
      <c r="A13094" s="1">
        <v>14154.0</v>
      </c>
      <c r="B13094" s="3" t="s">
        <v>12384</v>
      </c>
      <c r="C13094" s="3" t="str">
        <f>IFERROR(__xludf.DUMMYFUNCTION("GOOGLETRANSLATE(B13094,""id"",""en"")"),"['tap', 'tannyah', 'tannyah', ""]")</f>
        <v>['tap', 'tannyah', 'tannyah', "]</v>
      </c>
      <c r="D13094" s="3">
        <v>5.0</v>
      </c>
    </row>
    <row r="13095" ht="15.75" customHeight="1">
      <c r="A13095" s="1">
        <v>14155.0</v>
      </c>
      <c r="B13095" s="3" t="s">
        <v>12385</v>
      </c>
      <c r="C13095" s="3" t="str">
        <f>IFERROR(__xludf.DUMMYFUNCTION("GOOGLETRANSLATE(B13095,""id"",""en"")"),"['Package', 'data', 'expensive', 'expensive', 'Telkomsel', 'UDH', 'cheap', 'telkosel', 'biggest', 'network', 'lose', 'axis']")</f>
        <v>['Package', 'data', 'expensive', 'expensive', 'Telkomsel', 'UDH', 'cheap', 'telkosel', 'biggest', 'network', 'lose', 'axis']</v>
      </c>
      <c r="D13095" s="3">
        <v>2.0</v>
      </c>
    </row>
    <row r="13096" ht="15.75" customHeight="1">
      <c r="A13096" s="1">
        <v>14156.0</v>
      </c>
      <c r="B13096" s="3" t="s">
        <v>12386</v>
      </c>
      <c r="C13096" s="3" t="str">
        <f>IFERROR(__xludf.DUMMYFUNCTION("GOOGLETRANSLATE(B13096,""id"",""en"")"),"['network', 'Telkomsel', 'ugly', 'really', 'like', 'red', 'play', 'game', 'online', 'safe', 'TKP', 'Centraleng', ' Kab ',' Cilacap ',' Please ',' Fix ',' Sis']")</f>
        <v>['network', 'Telkomsel', 'ugly', 'really', 'like', 'red', 'play', 'game', 'online', 'safe', 'TKP', 'Centraleng', ' Kab ',' Cilacap ',' Please ',' Fix ',' Sis']</v>
      </c>
      <c r="D13096" s="3">
        <v>1.0</v>
      </c>
    </row>
    <row r="13097" ht="15.75" customHeight="1">
      <c r="A13097" s="1">
        <v>14157.0</v>
      </c>
      <c r="B13097" s="3" t="s">
        <v>12387</v>
      </c>
      <c r="C13097" s="3" t="str">
        <f>IFERROR(__xludf.DUMMYFUNCTION("GOOGLETRANSLATE(B13097,""id"",""en"")"),"['APK', 'Mantullll']")</f>
        <v>['APK', 'Mantullll']</v>
      </c>
      <c r="D13097" s="3">
        <v>5.0</v>
      </c>
    </row>
    <row r="13098" ht="15.75" customHeight="1">
      <c r="A13098" s="1">
        <v>14159.0</v>
      </c>
      <c r="B13098" s="3" t="s">
        <v>12388</v>
      </c>
      <c r="C13098" s="3" t="str">
        <f>IFERROR(__xludf.DUMMYFUNCTION("GOOGLETRANSLATE(B13098,""id"",""en"")"),"['Star', 'internet', 'good', 'quotes',' sahaya ',' just ',' buy ',' pulse ',' chopped ',' stay ',' as a result ',' buy ',' LGI ',' Credit ',' Easy ',' Tenempat ',' Good ',' Telkomsel ', ""]")</f>
        <v>['Star', 'internet', 'good', 'quotes',' sahaya ',' just ',' buy ',' pulse ',' chopped ',' stay ',' as a result ',' buy ',' LGI ',' Credit ',' Easy ',' Tenempat ',' Good ',' Telkomsel ', "]</v>
      </c>
      <c r="D13098" s="3">
        <v>3.0</v>
      </c>
    </row>
    <row r="13099" ht="15.75" customHeight="1">
      <c r="A13099" s="1">
        <v>14160.0</v>
      </c>
      <c r="B13099" s="3" t="s">
        <v>12389</v>
      </c>
      <c r="C13099" s="3" t="str">
        <f>IFERROR(__xludf.DUMMYFUNCTION("GOOGLETRANSLATE(B13099,""id"",""en"")"),"['Service', 'Best', 'Customer']")</f>
        <v>['Service', 'Best', 'Customer']</v>
      </c>
      <c r="D13099" s="3">
        <v>5.0</v>
      </c>
    </row>
    <row r="13100" ht="15.75" customHeight="1">
      <c r="A13100" s="1">
        <v>14161.0</v>
      </c>
      <c r="B13100" s="3" t="s">
        <v>12390</v>
      </c>
      <c r="C13100" s="3" t="str">
        <f>IFERROR(__xludf.DUMMYFUNCTION("GOOGLETRANSLATE(B13100,""id"",""en"")"),"['Love', 'App', 'Bid', 'Package', 'Combo', 'Sakti', '']")</f>
        <v>['Love', 'App', 'Bid', 'Package', 'Combo', 'Sakti', '']</v>
      </c>
      <c r="D13100" s="3">
        <v>2.0</v>
      </c>
    </row>
    <row r="13101" ht="15.75" customHeight="1">
      <c r="A13101" s="1">
        <v>14162.0</v>
      </c>
      <c r="B13101" s="3" t="s">
        <v>12391</v>
      </c>
      <c r="C13101" s="3" t="str">
        <f>IFERROR(__xludf.DUMMYFUNCTION("GOOGLETRANSLATE(B13101,""id"",""en"")"),"['application', 'troublesome', 'service', 'bad', 'signal', 'ugly']")</f>
        <v>['application', 'troublesome', 'service', 'bad', 'signal', 'ugly']</v>
      </c>
      <c r="D13101" s="3">
        <v>1.0</v>
      </c>
    </row>
    <row r="13102" ht="15.75" customHeight="1">
      <c r="A13102" s="1">
        <v>14163.0</v>
      </c>
      <c r="B13102" s="3" t="s">
        <v>12392</v>
      </c>
      <c r="C13102" s="3" t="str">
        <f>IFERROR(__xludf.DUMMYFUNCTION("GOOGLETRANSLATE(B13102,""id"",""en"")"),"['quota', 'expensive', 'njr']")</f>
        <v>['quota', 'expensive', 'njr']</v>
      </c>
      <c r="D13102" s="3">
        <v>1.0</v>
      </c>
    </row>
    <row r="13103" ht="15.75" customHeight="1">
      <c r="A13103" s="1">
        <v>14164.0</v>
      </c>
      <c r="B13103" s="3" t="s">
        <v>12393</v>
      </c>
      <c r="C13103" s="3" t="str">
        <f>IFERROR(__xludf.DUMMYFUNCTION("GOOGLETRANSLATE(B13103,""id"",""en"")"),"['MHN', 'level', 'The network', 'slow']")</f>
        <v>['MHN', 'level', 'The network', 'slow']</v>
      </c>
      <c r="D13103" s="3">
        <v>5.0</v>
      </c>
    </row>
    <row r="13104" ht="15.75" customHeight="1">
      <c r="A13104" s="1">
        <v>14165.0</v>
      </c>
      <c r="B13104" s="3" t="s">
        <v>12394</v>
      </c>
      <c r="C13104" s="3" t="str">
        <f>IFERROR(__xludf.DUMMYFUNCTION("GOOGLETRANSLATE(B13104,""id"",""en"")"),"['Mantab', 'service']")</f>
        <v>['Mantab', 'service']</v>
      </c>
      <c r="D13104" s="3">
        <v>5.0</v>
      </c>
    </row>
    <row r="13105" ht="15.75" customHeight="1">
      <c r="A13105" s="1">
        <v>14166.0</v>
      </c>
      <c r="B13105" s="3" t="s">
        <v>12395</v>
      </c>
      <c r="C13105" s="3" t="str">
        <f>IFERROR(__xludf.DUMMYFUNCTION("GOOGLETRANSLATE(B13105,""id"",""en"")"),"['signal', 'ugly', 'Where', 'think', ""]")</f>
        <v>['signal', 'ugly', 'Where', 'think', "]</v>
      </c>
      <c r="D13105" s="3">
        <v>1.0</v>
      </c>
    </row>
    <row r="13106" ht="15.75" customHeight="1">
      <c r="A13106" s="1">
        <v>14167.0</v>
      </c>
      <c r="B13106" s="3" t="s">
        <v>12396</v>
      </c>
      <c r="C13106" s="3" t="str">
        <f>IFERROR(__xludf.DUMMYFUNCTION("GOOGLETRANSLATE(B13106,""id"",""en"")"),"['SAGAT', 'good', 'applicationx', 'TPI', 'Darling', 'Network', 'Telkomsel', 'Lady', '']")</f>
        <v>['SAGAT', 'good', 'applicationx', 'TPI', 'Darling', 'Network', 'Telkomsel', 'Lady', '']</v>
      </c>
      <c r="D13106" s="3">
        <v>5.0</v>
      </c>
    </row>
    <row r="13107" ht="15.75" customHeight="1">
      <c r="A13107" s="1">
        <v>14168.0</v>
      </c>
      <c r="B13107" s="3" t="s">
        <v>12397</v>
      </c>
      <c r="C13107" s="3" t="str">
        <f>IFERROR(__xludf.DUMMYFUNCTION("GOOGLETRANSLATE(B13107,""id"",""en"")"),"['Network', 'kayak', 'snails',' fast ',' world ',' slow ',' kayak ',' snail ',' improve ',' sleep ',' rugilahni ',' package ',' Use ',' Please ',' Sorry ',' Sis', 'Complaints',' Network ',' Mimin ',' Help ',' Please ',' Confirm ',' Twitter ',' Telegram ',"&amp;"' Official ' , 'bot', 'Facebook', 'Messenger', 'Telkomsel', 'Line', 'WhatsApp', 'Telkomsel', 'Virtual', 'Assistant', 'Thanks', 'Moon']")</f>
        <v>['Network', 'kayak', 'snails',' fast ',' world ',' slow ',' kayak ',' snail ',' improve ',' sleep ',' rugilahni ',' package ',' Use ',' Please ',' Sorry ',' Sis', 'Complaints',' Network ',' Mimin ',' Help ',' Please ',' Confirm ',' Twitter ',' Telegram ',' Official ' , 'bot', 'Facebook', 'Messenger', 'Telkomsel', 'Line', 'WhatsApp', 'Telkomsel', 'Virtual', 'Assistant', 'Thanks', 'Moon']</v>
      </c>
      <c r="D13107" s="3">
        <v>1.0</v>
      </c>
    </row>
    <row r="13108" ht="15.75" customHeight="1">
      <c r="A13108" s="1">
        <v>14169.0</v>
      </c>
      <c r="B13108" s="3" t="s">
        <v>12398</v>
      </c>
      <c r="C13108" s="3" t="str">
        <f>IFERROR(__xludf.DUMMYFUNCTION("GOOGLETRANSLATE(B13108,""id"",""en"")"),"['already', 'expensive', 'signal', 'weak', 'signal', 'down', ""]")</f>
        <v>['already', 'expensive', 'signal', 'weak', 'signal', 'down', "]</v>
      </c>
      <c r="D13108" s="3">
        <v>1.0</v>
      </c>
    </row>
    <row r="13109" ht="15.75" customHeight="1">
      <c r="A13109" s="1">
        <v>14170.0</v>
      </c>
      <c r="B13109" s="3" t="s">
        <v>12399</v>
      </c>
      <c r="C13109" s="3" t="str">
        <f>IFERROR(__xludf.DUMMYFUNCTION("GOOGLETRANSLATE(B13109,""id"",""en"")"),"['Please', 'price', 'quota', 'down', 'price', 'according to', 'student', 'Please', 'Attention']")</f>
        <v>['Please', 'price', 'quota', 'down', 'price', 'according to', 'student', 'Please', 'Attention']</v>
      </c>
      <c r="D13109" s="3">
        <v>1.0</v>
      </c>
    </row>
    <row r="13110" ht="15.75" customHeight="1">
      <c r="A13110" s="1">
        <v>14171.0</v>
      </c>
      <c r="B13110" s="3" t="s">
        <v>12400</v>
      </c>
      <c r="C13110" s="3" t="str">
        <f>IFERROR(__xludf.DUMMYFUNCTION("GOOGLETRANSLATE(B13110,""id"",""en"")"),"['Price', 'expensive', 'quality', 'signal', 'ugly', 'najiss', 'nyesel', 'oath', 'buy', 'card', 'ginian']")</f>
        <v>['Price', 'expensive', 'quality', 'signal', 'ugly', 'najiss', 'nyesel', 'oath', 'buy', 'card', 'ginian']</v>
      </c>
      <c r="D13110" s="3">
        <v>1.0</v>
      </c>
    </row>
    <row r="13111" ht="15.75" customHeight="1">
      <c r="A13111" s="1">
        <v>14172.0</v>
      </c>
      <c r="B13111" s="3" t="s">
        <v>12401</v>
      </c>
      <c r="C13111" s="3" t="str">
        <f>IFERROR(__xludf.DUMMYFUNCTION("GOOGLETRANSLATE(B13111,""id"",""en"")"),"['oath', 'ugly', 'really', 'signal', 'Telkomsel', 'like', 'please', 'Telkomsel', 'conscious',' users', 'gave', 'star', ' ']")</f>
        <v>['oath', 'ugly', 'really', 'signal', 'Telkomsel', 'like', 'please', 'Telkomsel', 'conscious',' users', 'gave', 'star', ' ']</v>
      </c>
      <c r="D13111" s="3">
        <v>1.0</v>
      </c>
    </row>
    <row r="13112" ht="15.75" customHeight="1">
      <c r="A13112" s="1">
        <v>14173.0</v>
      </c>
      <c r="B13112" s="3" t="s">
        <v>12402</v>
      </c>
      <c r="C13112" s="3" t="str">
        <f>IFERROR(__xludf.DUMMYFUNCTION("GOOGLETRANSLATE(B13112,""id"",""en"")"),"['', 'Increase', 'complaints', 'pulse', 'suck', 'data', 'internet', 'run out', 'quota', ""]")</f>
        <v>['', 'Increase', 'complaints', 'pulse', 'suck', 'data', 'internet', 'run out', 'quota', "]</v>
      </c>
      <c r="D13112" s="3">
        <v>5.0</v>
      </c>
    </row>
    <row r="13113" ht="15.75" customHeight="1">
      <c r="A13113" s="1">
        <v>14174.0</v>
      </c>
      <c r="B13113" s="3" t="s">
        <v>12403</v>
      </c>
      <c r="C13113" s="3" t="str">
        <f>IFERROR(__xludf.DUMMYFUNCTION("GOOGLETRANSLATE(B13113,""id"",""en"")"),"['Please', 'Include', 'Features',' Lock ',' Credit ',' Cutting ',' Use ',' Internet ',' Non ',' Package ',' Subscription ',' SMS ',' Services', 'application', 'thank', 'love', ""]")</f>
        <v>['Please', 'Include', 'Features',' Lock ',' Credit ',' Cutting ',' Use ',' Internet ',' Non ',' Package ',' Subscription ',' SMS ',' Services', 'application', 'thank', 'love', "]</v>
      </c>
      <c r="D13113" s="3">
        <v>2.0</v>
      </c>
    </row>
    <row r="13114" ht="15.75" customHeight="1">
      <c r="A13114" s="1">
        <v>14175.0</v>
      </c>
      <c r="B13114" s="3" t="s">
        <v>12404</v>
      </c>
      <c r="C13114" s="3" t="str">
        <f>IFERROR(__xludf.DUMMYFUNCTION("GOOGLETRANSLATE(B13114,""id"",""en"")"),"['Telkomsel', 'emang', 'TOP']")</f>
        <v>['Telkomsel', 'emang', 'TOP']</v>
      </c>
      <c r="D13114" s="3">
        <v>5.0</v>
      </c>
    </row>
    <row r="13115" ht="15.75" customHeight="1">
      <c r="A13115" s="1">
        <v>14176.0</v>
      </c>
      <c r="B13115" s="3" t="s">
        <v>12405</v>
      </c>
      <c r="C13115" s="3" t="str">
        <f>IFERROR(__xludf.DUMMYFUNCTION("GOOGLETRANSLATE(B13115,""id"",""en"")"),"['lure', 'bonus',' pulse ',' contents', 'reset', 'mending', 'use', 'proven', 'quota', 'unlimited', 'slow', 'maximum', ' then ',' discont ',' shoppe ',' maxdny ',' fair ']")</f>
        <v>['lure', 'bonus',' pulse ',' contents', 'reset', 'mending', 'use', 'proven', 'quota', 'unlimited', 'slow', 'maximum', ' then ',' discont ',' shoppe ',' maxdny ',' fair ']</v>
      </c>
      <c r="D13115" s="3">
        <v>3.0</v>
      </c>
    </row>
    <row r="13116" ht="15.75" customHeight="1">
      <c r="A13116" s="1">
        <v>14177.0</v>
      </c>
      <c r="B13116" s="3" t="s">
        <v>12406</v>
      </c>
      <c r="C13116" s="3" t="str">
        <f>IFERROR(__xludf.DUMMYFUNCTION("GOOGLETRANSLATE(B13116,""id"",""en"")"),"['', 'Telkomsel', 'Network', 'island', 'please', 'minimized', 'noticed', 'weather', 'bad', ""]")</f>
        <v>['', 'Telkomsel', 'Network', 'island', 'please', 'minimized', 'noticed', 'weather', 'bad', "]</v>
      </c>
      <c r="D13116" s="3">
        <v>5.0</v>
      </c>
    </row>
    <row r="13117" ht="15.75" customHeight="1">
      <c r="A13117" s="1">
        <v>14178.0</v>
      </c>
      <c r="B13117" s="3" t="s">
        <v>12407</v>
      </c>
      <c r="C13117" s="3" t="str">
        <f>IFERROR(__xludf.DUMMYFUNCTION("GOOGLETRANSLATE(B13117,""id"",""en"")"),"['signal', 'rich', 'tia']")</f>
        <v>['signal', 'rich', 'tia']</v>
      </c>
      <c r="D13117" s="3">
        <v>5.0</v>
      </c>
    </row>
    <row r="13118" ht="15.75" customHeight="1">
      <c r="A13118" s="1">
        <v>14179.0</v>
      </c>
      <c r="B13118" s="3" t="s">
        <v>12408</v>
      </c>
      <c r="C13118" s="3" t="str">
        <f>IFERROR(__xludf.DUMMYFUNCTION("GOOGLETRANSLATE(B13118,""id"",""en"")"),"['Kayak', 'Taik', 'Network', 'Internet', 'Telkomsel', 'Morning', 'Disruption', 'Rain', 'Ganguan', 'Maghrib', 'Huajn', 'Huajn', ' storms', 'network', 'customers',' Telkomsel ',' already ',' yent ',' disappointed ',' network ',' Telkomsel ',' region ',' ben"&amp;"gkulu ',' city ',' ']")</f>
        <v>['Kayak', 'Taik', 'Network', 'Internet', 'Telkomsel', 'Morning', 'Disruption', 'Rain', 'Ganguan', 'Maghrib', 'Huajn', 'Huajn', ' storms', 'network', 'customers',' Telkomsel ',' already ',' yent ',' disappointed ',' network ',' Telkomsel ',' region ',' bengkulu ',' city ',' ']</v>
      </c>
      <c r="D13118" s="3">
        <v>1.0</v>
      </c>
    </row>
    <row r="13119" ht="15.75" customHeight="1">
      <c r="A13119" s="1">
        <v>14180.0</v>
      </c>
      <c r="B13119" s="3" t="s">
        <v>12409</v>
      </c>
      <c r="C13119" s="3" t="str">
        <f>IFERROR(__xludf.DUMMYFUNCTION("GOOGLETRANSLATE(B13119,""id"",""en"")"),"['permission', 'user', 'credit', 'truncated', '']")</f>
        <v>['permission', 'user', 'credit', 'truncated', '']</v>
      </c>
      <c r="D13119" s="3">
        <v>1.0</v>
      </c>
    </row>
    <row r="13120" ht="15.75" customHeight="1">
      <c r="A13120" s="1">
        <v>14181.0</v>
      </c>
      <c r="B13120" s="3" t="s">
        <v>12410</v>
      </c>
      <c r="C13120" s="3" t="str">
        <f>IFERROR(__xludf.DUMMYFUNCTION("GOOGLETRANSLATE(B13120,""id"",""en"")"),"['', 'Credit', 'used', 'Sumpot', 'Mulu', 'chaotic']")</f>
        <v>['', 'Credit', 'used', 'Sumpot', 'Mulu', 'chaotic']</v>
      </c>
      <c r="D13120" s="3">
        <v>4.0</v>
      </c>
    </row>
    <row r="13121" ht="15.75" customHeight="1">
      <c r="A13121" s="1">
        <v>14182.0</v>
      </c>
      <c r="B13121" s="3" t="s">
        <v>2670</v>
      </c>
      <c r="C13121" s="3" t="str">
        <f>IFERROR(__xludf.DUMMYFUNCTION("GOOGLETRANSLATE(B13121,""id"",""en"")"),"['Good', 'promo']")</f>
        <v>['Good', 'promo']</v>
      </c>
      <c r="D13121" s="3">
        <v>5.0</v>
      </c>
    </row>
    <row r="13122" ht="15.75" customHeight="1">
      <c r="A13122" s="1">
        <v>14183.0</v>
      </c>
      <c r="B13122" s="3" t="s">
        <v>12411</v>
      </c>
      <c r="C13122" s="3" t="str">
        <f>IFERROR(__xludf.DUMMYFUNCTION("GOOGLETRANSLATE(B13122,""id"",""en"")"),"['BISMILLAHIRRAHMANIRRAHIM', 'Hopefully', 'Win', 'Undial']")</f>
        <v>['BISMILLAHIRRAHMANIRRAHIM', 'Hopefully', 'Win', 'Undial']</v>
      </c>
      <c r="D13122" s="3">
        <v>5.0</v>
      </c>
    </row>
    <row r="13123" ht="15.75" customHeight="1">
      <c r="A13123" s="1">
        <v>14184.0</v>
      </c>
      <c r="B13123" s="3" t="s">
        <v>12412</v>
      </c>
      <c r="C13123" s="3" t="str">
        <f>IFERROR(__xludf.DUMMYFUNCTION("GOOGLETRANSLATE(B13123,""id"",""en"")"),"['Steady', 'uuuiiih', 'lucky', '']")</f>
        <v>['Steady', 'uuuiiih', 'lucky', '']</v>
      </c>
      <c r="D13123" s="3">
        <v>5.0</v>
      </c>
    </row>
    <row r="13124" ht="15.75" customHeight="1">
      <c r="A13124" s="1">
        <v>14185.0</v>
      </c>
      <c r="B13124" s="3" t="s">
        <v>12413</v>
      </c>
      <c r="C13124" s="3" t="str">
        <f>IFERROR(__xludf.DUMMYFUNCTION("GOOGLETRANSLATE(B13124,""id"",""en"")"),"['The application', 'Telkomsel', 'contents',' pulse ',' enter ',' sms', 'notification', 'enter', 'use', 'open', 'application', 'connected', ' Internet ',' right ',' contents', 'pulse', 'nominal', 'application', 'medsos',' walk ',' background ',' ']")</f>
        <v>['The application', 'Telkomsel', 'contents',' pulse ',' enter ',' sms', 'notification', 'enter', 'use', 'open', 'application', 'connected', ' Internet ',' right ',' contents', 'pulse', 'nominal', 'application', 'medsos',' walk ',' background ',' ']</v>
      </c>
      <c r="D13124" s="3">
        <v>1.0</v>
      </c>
    </row>
    <row r="13125" ht="15.75" customHeight="1">
      <c r="A13125" s="1">
        <v>14186.0</v>
      </c>
      <c r="B13125" s="3" t="s">
        <v>12414</v>
      </c>
      <c r="C13125" s="3" t="str">
        <f>IFERROR(__xludf.DUMMYFUNCTION("GOOGLETRANSLATE(B13125,""id"",""en"")"),"['decreases',' Performance ',' Telkomsel ',' signal ',' bad ',' play ',' game ',' signal ',' red ',' buy ',' quota ',' game ',' Max ']")</f>
        <v>['decreases',' Performance ',' Telkomsel ',' signal ',' bad ',' play ',' game ',' signal ',' red ',' buy ',' quota ',' game ',' Max ']</v>
      </c>
      <c r="D13125" s="3">
        <v>1.0</v>
      </c>
    </row>
    <row r="13126" ht="15.75" customHeight="1">
      <c r="A13126" s="1">
        <v>14188.0</v>
      </c>
      <c r="B13126" s="3" t="s">
        <v>12415</v>
      </c>
      <c r="C13126" s="3" t="str">
        <f>IFERROR(__xludf.DUMMYFUNCTION("GOOGLETRANSLATE(B13126,""id"",""en"")"),"['Hary', 'Jhosa', 'son', 'Smart', 'People']")</f>
        <v>['Hary', 'Jhosa', 'son', 'Smart', 'People']</v>
      </c>
      <c r="D13126" s="3">
        <v>5.0</v>
      </c>
    </row>
    <row r="13127" ht="15.75" customHeight="1">
      <c r="A13127" s="1">
        <v>14189.0</v>
      </c>
      <c r="B13127" s="3" t="s">
        <v>12416</v>
      </c>
      <c r="C13127" s="3" t="str">
        <f>IFERROR(__xludf.DUMMYFUNCTION("GOOGLETRANSLATE(B13127,""id"",""en"")"),"['Region', 'County', 'Magelang', 'Telkomsel', 'Sousal', 'Good', 'Pulses', 'Expensive', 'Sousal', 'Lemot', ""]")</f>
        <v>['Region', 'County', 'Magelang', 'Telkomsel', 'Sousal', 'Good', 'Pulses', 'Expensive', 'Sousal', 'Lemot', "]</v>
      </c>
      <c r="D13127" s="3">
        <v>1.0</v>
      </c>
    </row>
    <row r="13128" ht="15.75" customHeight="1">
      <c r="A13128" s="1">
        <v>14190.0</v>
      </c>
      <c r="B13128" s="3" t="s">
        <v>12417</v>
      </c>
      <c r="C13128" s="3" t="str">
        <f>IFERROR(__xludf.DUMMYFUNCTION("GOOGLETRANSLATE(B13128,""id"",""en"")"),"['Sorry', 'Telkomsel', 'use', 'Telkomsel', 'ugly', 'signal', 'Please', 'Telkomsel', 'fix', 'quality', 'best']")</f>
        <v>['Sorry', 'Telkomsel', 'use', 'Telkomsel', 'ugly', 'signal', 'Please', 'Telkomsel', 'fix', 'quality', 'best']</v>
      </c>
      <c r="D13128" s="3">
        <v>2.0</v>
      </c>
    </row>
    <row r="13129" ht="15.75" customHeight="1">
      <c r="A13129" s="1">
        <v>14191.0</v>
      </c>
      <c r="B13129" s="3" t="s">
        <v>12418</v>
      </c>
      <c r="C13129" s="3" t="str">
        <f>IFERROR(__xludf.DUMMYFUNCTION("GOOGLETRANSLATE(B13129,""id"",""en"")"),"['It's easy', 'really', 'user', 'Lawas',' Telkomsel ',' Pesen ',' Signal ',' developed ',' Most expensive ',' card ',' Perdana ',' it seems', ' Signal ',' disappointing ',' Thanks']")</f>
        <v>['It's easy', 'really', 'user', 'Lawas',' Telkomsel ',' Pesen ',' Signal ',' developed ',' Most expensive ',' card ',' Perdana ',' it seems', ' Signal ',' disappointing ',' Thanks']</v>
      </c>
      <c r="D13129" s="3">
        <v>5.0</v>
      </c>
    </row>
    <row r="13130" ht="15.75" customHeight="1">
      <c r="A13130" s="1">
        <v>14192.0</v>
      </c>
      <c r="B13130" s="3" t="s">
        <v>12419</v>
      </c>
      <c r="C13130" s="3" t="str">
        <f>IFERROR(__xludf.DUMMYFUNCTION("GOOGLETRANSLATE(B13130,""id"",""en"")"),"['improve', 'promo', 'promo', 'interesting']")</f>
        <v>['improve', 'promo', 'promo', 'interesting']</v>
      </c>
      <c r="D13130" s="3">
        <v>5.0</v>
      </c>
    </row>
    <row r="13131" ht="15.75" customHeight="1">
      <c r="A13131" s="1">
        <v>14193.0</v>
      </c>
      <c r="B13131" s="3" t="s">
        <v>12420</v>
      </c>
      <c r="C13131" s="3" t="str">
        <f>IFERROR(__xludf.DUMMYFUNCTION("GOOGLETRANSLATE(B13131,""id"",""en"")"),"['Funny', 'pisan']")</f>
        <v>['Funny', 'pisan']</v>
      </c>
      <c r="D13131" s="3">
        <v>1.0</v>
      </c>
    </row>
    <row r="13132" ht="15.75" customHeight="1">
      <c r="A13132" s="1">
        <v>14194.0</v>
      </c>
      <c r="B13132" s="3" t="s">
        <v>12421</v>
      </c>
      <c r="C13132" s="3" t="str">
        <f>IFERROR(__xludf.DUMMYFUNCTION("GOOGLETRANSLATE(B13132,""id"",""en"")"),"['Telkomsel', 'signal', 'good', '']")</f>
        <v>['Telkomsel', 'signal', 'good', '']</v>
      </c>
      <c r="D13132" s="3">
        <v>2.0</v>
      </c>
    </row>
    <row r="13133" ht="15.75" customHeight="1">
      <c r="A13133" s="1">
        <v>14195.0</v>
      </c>
      <c r="B13133" s="3" t="s">
        <v>12422</v>
      </c>
      <c r="C13133" s="3" t="str">
        <f>IFERROR(__xludf.DUMMYFUNCTION("GOOGLETRANSLATE(B13133,""id"",""en"")"),"['Kasi', 'bintanggggggggg', 'kasi', 'star', 'lebitau', 'Junga', 'ingn', 'mku', 'mura', 'trimakasi', 'Maytelkomsel']")</f>
        <v>['Kasi', 'bintanggggggggg', 'kasi', 'star', 'lebitau', 'Junga', 'ingn', 'mku', 'mura', 'trimakasi', 'Maytelkomsel']</v>
      </c>
      <c r="D13133" s="3">
        <v>5.0</v>
      </c>
    </row>
    <row r="13134" ht="15.75" customHeight="1">
      <c r="A13134" s="1">
        <v>14196.0</v>
      </c>
      <c r="B13134" s="3" t="s">
        <v>12423</v>
      </c>
      <c r="C13134" s="3" t="str">
        <f>IFERROR(__xludf.DUMMYFUNCTION("GOOGLETRANSLATE(B13134,""id"",""en"")"),"['principal', '']")</f>
        <v>['principal', '']</v>
      </c>
      <c r="D13134" s="3">
        <v>5.0</v>
      </c>
    </row>
    <row r="13135" ht="15.75" customHeight="1">
      <c r="A13135" s="1">
        <v>14197.0</v>
      </c>
      <c r="B13135" s="3" t="s">
        <v>12424</v>
      </c>
      <c r="C13135" s="3" t="str">
        <f>IFERROR(__xludf.DUMMYFUNCTION("GOOGLETRANSLATE(B13135,""id"",""en"")"),"['just', 'look for', 'profit', 'skarang', 'Telkomsel', 'lose', 'Indosat', 'Telkomsel', 'all-round', 'expensive', 'bad', 'network', ' Rich ',' pokonya ',' disappointed ',' Telkomsel ',' It's good ',' Indosat ']")</f>
        <v>['just', 'look for', 'profit', 'skarang', 'Telkomsel', 'lose', 'Indosat', 'Telkomsel', 'all-round', 'expensive', 'bad', 'network', ' Rich ',' pokonya ',' disappointed ',' Telkomsel ',' It's good ',' Indosat ']</v>
      </c>
      <c r="D13135" s="3">
        <v>1.0</v>
      </c>
    </row>
    <row r="13136" ht="15.75" customHeight="1">
      <c r="A13136" s="1">
        <v>14198.0</v>
      </c>
      <c r="B13136" s="3" t="s">
        <v>1837</v>
      </c>
      <c r="C13136" s="3" t="str">
        <f>IFERROR(__xludf.DUMMYFUNCTION("GOOGLETRANSLATE(B13136,""id"",""en"")"),"['Application', 'help', ""]")</f>
        <v>['Application', 'help', "]</v>
      </c>
      <c r="D13136" s="3">
        <v>5.0</v>
      </c>
    </row>
    <row r="13137" ht="15.75" customHeight="1">
      <c r="A13137" s="1">
        <v>14199.0</v>
      </c>
      <c r="B13137" s="3" t="s">
        <v>12425</v>
      </c>
      <c r="C13137" s="3" t="str">
        <f>IFERROR(__xludf.DUMMYFUNCTION("GOOGLETRANSLATE(B13137,""id"",""en"")"),"['buy', 'bbrp', 'times', 'disappointing']")</f>
        <v>['buy', 'bbrp', 'times', 'disappointing']</v>
      </c>
      <c r="D13137" s="3">
        <v>5.0</v>
      </c>
    </row>
    <row r="13138" ht="15.75" customHeight="1">
      <c r="A13138" s="1">
        <v>14200.0</v>
      </c>
      <c r="B13138" s="3" t="s">
        <v>12426</v>
      </c>
      <c r="C13138" s="3" t="str">
        <f>IFERROR(__xludf.DUMMYFUNCTION("GOOGLETRANSLATE(B13138,""id"",""en"")"),"['Sorry', 'Telkomsel', 'judgment', 'honest', 'price', 'quota', 'entry', 'sense', 'yesterday', 'GB', 'rise', 'really', ' gave ',' price ',' friendly ',' little ',' beg ',' pity ',' community ',' place ',' difficult ',' signal ',' kayak ', ""]")</f>
        <v>['Sorry', 'Telkomsel', 'judgment', 'honest', 'price', 'quota', 'entry', 'sense', 'yesterday', 'GB', 'rise', 'really', ' gave ',' price ',' friendly ',' little ',' beg ',' pity ',' community ',' place ',' difficult ',' signal ',' kayak ', "]</v>
      </c>
      <c r="D13138" s="3">
        <v>2.0</v>
      </c>
    </row>
    <row r="13139" ht="15.75" customHeight="1">
      <c r="A13139" s="1">
        <v>14201.0</v>
      </c>
      <c r="B13139" s="3" t="s">
        <v>12427</v>
      </c>
      <c r="C13139" s="3" t="str">
        <f>IFERROR(__xludf.DUMMYFUNCTION("GOOGLETRANSLATE(B13139,""id"",""en"")"),"['GBLK', 'idiot', 'signal', 'BURIK', 'Benerin', 'GIH', 'Fool', 'Mending', 'Smartfren', 'Telkomtol', 'buy', 'Telkomtol', ' Saranin ',' Select ',' Provider ',' ']")</f>
        <v>['GBLK', 'idiot', 'signal', 'BURIK', 'Benerin', 'GIH', 'Fool', 'Mending', 'Smartfren', 'Telkomtol', 'buy', 'Telkomtol', ' Saranin ',' Select ',' Provider ',' ']</v>
      </c>
      <c r="D13139" s="3">
        <v>1.0</v>
      </c>
    </row>
    <row r="13140" ht="15.75" customHeight="1">
      <c r="A13140" s="1">
        <v>14202.0</v>
      </c>
      <c r="B13140" s="3" t="s">
        <v>12428</v>
      </c>
      <c r="C13140" s="3" t="str">
        <f>IFERROR(__xludf.DUMMYFUNCTION("GOOGLETRANSLATE(B13140,""id"",""en"")"),"['Keep', 'Indetitas']")</f>
        <v>['Keep', 'Indetitas']</v>
      </c>
      <c r="D13140" s="3">
        <v>5.0</v>
      </c>
    </row>
    <row r="13141" ht="15.75" customHeight="1">
      <c r="A13141" s="1">
        <v>14203.0</v>
      </c>
      <c r="B13141" s="3" t="s">
        <v>12429</v>
      </c>
      <c r="C13141" s="3" t="str">
        <f>IFERROR(__xludf.DUMMYFUNCTION("GOOGLETRANSLATE(B13141,""id"",""en"")"),"['Service', 'majority', 'reach', 'signal', 'telkomsel', 'drop', 'signal', 'area', 'imogiri', 'bantul', ""]")</f>
        <v>['Service', 'majority', 'reach', 'signal', 'telkomsel', 'drop', 'signal', 'area', 'imogiri', 'bantul', "]</v>
      </c>
      <c r="D13141" s="3">
        <v>3.0</v>
      </c>
    </row>
    <row r="13142" ht="15.75" customHeight="1">
      <c r="A13142" s="1">
        <v>14204.0</v>
      </c>
      <c r="B13142" s="3" t="s">
        <v>12430</v>
      </c>
      <c r="C13142" s="3" t="str">
        <f>IFERROR(__xludf.DUMMYFUNCTION("GOOGLETRANSLATE(B13142,""id"",""en"")"),"['convenience', 'check', 'pulse', 'check', 'data', 'contents', 'pulse']")</f>
        <v>['convenience', 'check', 'pulse', 'check', 'data', 'contents', 'pulse']</v>
      </c>
      <c r="D13142" s="3">
        <v>5.0</v>
      </c>
    </row>
    <row r="13143" ht="15.75" customHeight="1">
      <c r="A13143" s="1">
        <v>14205.0</v>
      </c>
      <c r="B13143" s="3" t="s">
        <v>12431</v>
      </c>
      <c r="C13143" s="3" t="str">
        <f>IFERROR(__xludf.DUMMYFUNCTION("GOOGLETRANSLATE(B13143,""id"",""en"")"),"['signal', 'here', 'good', 'severe', 'times',' hub ',' solution ',' cmn ',' sorry ',' bpak ',' check ',' obstacle ',' Haddddehhhhh ']")</f>
        <v>['signal', 'here', 'good', 'severe', 'times',' hub ',' solution ',' cmn ',' sorry ',' bpak ',' check ',' obstacle ',' Haddddehhhhh ']</v>
      </c>
      <c r="D13143" s="3">
        <v>1.0</v>
      </c>
    </row>
    <row r="13144" ht="15.75" customHeight="1">
      <c r="A13144" s="1">
        <v>14206.0</v>
      </c>
      <c r="B13144" s="3" t="s">
        <v>12432</v>
      </c>
      <c r="C13144" s="3" t="str">
        <f>IFERROR(__xludf.DUMMYFUNCTION("GOOGLETRANSLATE(B13144,""id"",""en"")"),"['Quality', 'Telkomsel', 'SKR', 'really', 'Rich', 'DLU', 'SKR', 'Bad', 'Quota', 'Jga', 'wasteful', 'quota', ' Not bad ',' Durable ',' signal ',' Sempati ',' JGA ',' Weak ',' in ',' Haduuuh ',' GMN ',' Return ',' Quality ',' Price ' , 'Tmbh', 'expensive', "&amp;"'TPI', 'quality', 'poor', '']")</f>
        <v>['Quality', 'Telkomsel', 'SKR', 'really', 'Rich', 'DLU', 'SKR', 'Bad', 'Quota', 'Jga', 'wasteful', 'quota', ' Not bad ',' Durable ',' signal ',' Sempati ',' JGA ',' Weak ',' in ',' Haduuuh ',' GMN ',' Return ',' Quality ',' Price ' , 'Tmbh', 'expensive', 'TPI', 'quality', 'poor', '']</v>
      </c>
      <c r="D13144" s="3">
        <v>1.0</v>
      </c>
    </row>
    <row r="13145" ht="15.75" customHeight="1">
      <c r="A13145" s="1">
        <v>14207.0</v>
      </c>
      <c r="B13145" s="3" t="s">
        <v>12433</v>
      </c>
      <c r="C13145" s="3" t="str">
        <f>IFERROR(__xludf.DUMMYFUNCTION("GOOGLETRANSLATE(B13145,""id"",""en"")"),"['Pairs',' Paketan ',' Credit ',' Lost ',' Kouta ',' Credit ',' Telkomsel ',' Dear ',' take ',' profit ',' situ ',' Optimize ',' service']")</f>
        <v>['Pairs',' Paketan ',' Credit ',' Lost ',' Kouta ',' Credit ',' Telkomsel ',' Dear ',' take ',' profit ',' situ ',' Optimize ',' service']</v>
      </c>
      <c r="D13145" s="3">
        <v>1.0</v>
      </c>
    </row>
    <row r="13146" ht="15.75" customHeight="1">
      <c r="A13146" s="1">
        <v>14208.0</v>
      </c>
      <c r="B13146" s="3" t="s">
        <v>12434</v>
      </c>
      <c r="C13146" s="3" t="str">
        <f>IFERROR(__xludf.DUMMYFUNCTION("GOOGLETRANSLATE(B13146,""id"",""en"")"),"['Let', 'Bintang', 'represents']")</f>
        <v>['Let', 'Bintang', 'represents']</v>
      </c>
      <c r="D13146" s="3">
        <v>5.0</v>
      </c>
    </row>
    <row r="13147" ht="15.75" customHeight="1">
      <c r="A13147" s="1">
        <v>14209.0</v>
      </c>
      <c r="B13147" s="3" t="s">
        <v>12435</v>
      </c>
      <c r="C13147" s="3" t="str">
        <f>IFERROR(__xludf.DUMMYFUNCTION("GOOGLETRANSLATE(B13147,""id"",""en"")"),"['Pandemic', 'NOT', 'Price', 'Package', 'Collapin', 'Stop', 'Wear', 'Telkomsel', 'Package', 'Price', 'Sometimes',' Network ',' Telkomsel ',' rotten ',' my place ',' ']")</f>
        <v>['Pandemic', 'NOT', 'Price', 'Package', 'Collapin', 'Stop', 'Wear', 'Telkomsel', 'Package', 'Price', 'Sometimes',' Network ',' Telkomsel ',' rotten ',' my place ',' ']</v>
      </c>
      <c r="D13147" s="3">
        <v>1.0</v>
      </c>
    </row>
    <row r="13148" ht="15.75" customHeight="1">
      <c r="A13148" s="1">
        <v>14211.0</v>
      </c>
      <c r="B13148" s="3" t="s">
        <v>12436</v>
      </c>
      <c r="C13148" s="3" t="str">
        <f>IFERROR(__xludf.DUMMYFUNCTION("GOOGLETRANSLATE(B13148,""id"",""en"")"),"['Input', 'Voucher', 'Processed', 'Process', '']")</f>
        <v>['Input', 'Voucher', 'Processed', 'Process', '']</v>
      </c>
      <c r="D13148" s="3">
        <v>1.0</v>
      </c>
    </row>
    <row r="13149" ht="15.75" customHeight="1">
      <c r="A13149" s="1">
        <v>14212.0</v>
      </c>
      <c r="B13149" s="3" t="s">
        <v>12437</v>
      </c>
      <c r="C13149" s="3" t="str">
        <f>IFERROR(__xludf.DUMMYFUNCTION("GOOGLETRANSLATE(B13149,""id"",""en"")"),"['Knp', 'UDH', 'Network', 'appears', 'please', 'provider', 'Telkom', 'cooperation']")</f>
        <v>['Knp', 'UDH', 'Network', 'appears', 'please', 'provider', 'Telkom', 'cooperation']</v>
      </c>
      <c r="D13149" s="3">
        <v>1.0</v>
      </c>
    </row>
    <row r="13150" ht="15.75" customHeight="1">
      <c r="A13150" s="1">
        <v>14214.0</v>
      </c>
      <c r="B13150" s="3" t="s">
        <v>12438</v>
      </c>
      <c r="C13150" s="3" t="str">
        <f>IFERROR(__xludf.DUMMYFUNCTION("GOOGLETRANSLATE(B13150,""id"",""en"")"),"['Pakek', 'Telkomsel', 'emng', 'steady', '']")</f>
        <v>['Pakek', 'Telkomsel', 'emng', 'steady', '']</v>
      </c>
      <c r="D13150" s="3">
        <v>5.0</v>
      </c>
    </row>
    <row r="13151" ht="15.75" customHeight="1">
      <c r="A13151" s="1">
        <v>14215.0</v>
      </c>
      <c r="B13151" s="3" t="s">
        <v>12439</v>
      </c>
      <c r="C13151" s="3" t="str">
        <f>IFERROR(__xludf.DUMMYFUNCTION("GOOGLETRANSLATE(B13151,""id"",""en"")"),"['star', 'Telkomsel', 'class',' BUMN ',' Features', 'protection', 'pulse', 'strange', 'credit', 'reduced', 'use', 'internet', ' Telkomsel ',' Package ',' Internet ',' See ',' History ',' Use ',' Credit ',' Reduced ',' Gara ',' Use ',' Internet ',' Freak '"&amp;",' Provider ' , 'protection', 'pulse', 'application', 'pulse', 'used', 'gara', 'internet', 'mentang', 'bumn', 'improving', 'relax', '']")</f>
        <v>['star', 'Telkomsel', 'class',' BUMN ',' Features', 'protection', 'pulse', 'strange', 'credit', 'reduced', 'use', 'internet', ' Telkomsel ',' Package ',' Internet ',' See ',' History ',' Use ',' Credit ',' Reduced ',' Gara ',' Use ',' Internet ',' Freak ',' Provider ' , 'protection', 'pulse', 'application', 'pulse', 'used', 'gara', 'internet', 'mentang', 'bumn', 'improving', 'relax', '']</v>
      </c>
      <c r="D13151" s="3">
        <v>1.0</v>
      </c>
    </row>
    <row r="13152" ht="15.75" customHeight="1">
      <c r="A13152" s="1">
        <v>14216.0</v>
      </c>
      <c r="B13152" s="3" t="s">
        <v>12440</v>
      </c>
      <c r="C13152" s="3" t="str">
        <f>IFERROR(__xludf.DUMMYFUNCTION("GOOGLETRANSLATE(B13152,""id"",""en"")"),"['Hello', 'quota', 'pulse', 'lost', 'buy', 'quota', 'price', 'rb', 'a week', 'quota', 'scorched', 'pulses',' Scorched ',' PDHL ',' Rare ',' Sosmed ',' Except ',' That Even ',' Rare ',' Semalem ',' Check ',' Quota ',' TRS ',' KNPA ',' PART'S , 'quota', 'tr"&amp;"jadi', 'silence', 'complain', 'TPI', 'trichir', 'furious', 'because of', 'quota', 'a month', 'thank you', ""]")</f>
        <v>['Hello', 'quota', 'pulse', 'lost', 'buy', 'quota', 'price', 'rb', 'a week', 'quota', 'scorched', 'pulses',' Scorched ',' PDHL ',' Rare ',' Sosmed ',' Except ',' That Even ',' Rare ',' Semalem ',' Check ',' Quota ',' TRS ',' KNPA ',' PART'S , 'quota', 'trjadi', 'silence', 'complain', 'TPI', 'trichir', 'furious', 'because of', 'quota', 'a month', 'thank you', "]</v>
      </c>
      <c r="D13152" s="3">
        <v>2.0</v>
      </c>
    </row>
    <row r="13153" ht="15.75" customHeight="1">
      <c r="A13153" s="1">
        <v>14217.0</v>
      </c>
      <c r="B13153" s="3" t="s">
        <v>12441</v>
      </c>
      <c r="C13153" s="3" t="str">
        <f>IFERROR(__xludf.DUMMYFUNCTION("GOOGLETRANSLATE(B13153,""id"",""en"")"),"['process',' service ',' buy ',' package ',' quota ',' enter ',' number ',' love ',' proof ',' transaction ',' number ',' wait ',' Policy ',' Telkomsel ',' Solution ',' Response ',' Have ',' Wait ',' Wait ',' Please ',' Service ',' Fix ',' Have ',' Wait '"&amp;",' Information ' ]")</f>
        <v>['process',' service ',' buy ',' package ',' quota ',' enter ',' number ',' love ',' proof ',' transaction ',' number ',' wait ',' Policy ',' Telkomsel ',' Solution ',' Response ',' Have ',' Wait ',' Wait ',' Please ',' Service ',' Fix ',' Have ',' Wait ',' Information ' ]</v>
      </c>
      <c r="D13153" s="3">
        <v>1.0</v>
      </c>
    </row>
    <row r="13154" ht="15.75" customHeight="1">
      <c r="A13154" s="1">
        <v>14218.0</v>
      </c>
      <c r="B13154" s="3" t="s">
        <v>12442</v>
      </c>
      <c r="C13154" s="3" t="str">
        <f>IFERROR(__xludf.DUMMYFUNCTION("GOOGLETRANSLATE(B13154,""id"",""en"")"),"['Comfortable', 'Wear', 'APK']")</f>
        <v>['Comfortable', 'Wear', 'APK']</v>
      </c>
      <c r="D13154" s="3">
        <v>5.0</v>
      </c>
    </row>
    <row r="13155" ht="15.75" customHeight="1">
      <c r="A13155" s="1">
        <v>14219.0</v>
      </c>
      <c r="B13155" s="3" t="s">
        <v>12443</v>
      </c>
      <c r="C13155" s="3" t="str">
        <f>IFERROR(__xludf.DUMMYFUNCTION("GOOGLETRANSLATE(B13155,""id"",""en"")"),"['application', 'bags', 'cheap', 'ngeapain', 'see', 'already', 'cave', 'bikes']")</f>
        <v>['application', 'bags', 'cheap', 'ngeapain', 'see', 'already', 'cave', 'bikes']</v>
      </c>
      <c r="D13155" s="3">
        <v>5.0</v>
      </c>
    </row>
    <row r="13156" ht="15.75" customHeight="1">
      <c r="A13156" s="1">
        <v>14220.0</v>
      </c>
      <c r="B13156" s="3" t="s">
        <v>12444</v>
      </c>
      <c r="C13156" s="3" t="str">
        <f>IFERROR(__xludf.DUMMYFUNCTION("GOOGLETRANSLATE(B13156,""id"",""en"")"),"['App', 'Help', 'cheap', 'package', 'Sabang', 'really', 'Mksih', 'Telkomsel']")</f>
        <v>['App', 'Help', 'cheap', 'package', 'Sabang', 'really', 'Mksih', 'Telkomsel']</v>
      </c>
      <c r="D13156" s="3">
        <v>5.0</v>
      </c>
    </row>
    <row r="13157" ht="15.75" customHeight="1">
      <c r="A13157" s="1">
        <v>14221.0</v>
      </c>
      <c r="B13157" s="3" t="s">
        <v>12445</v>
      </c>
      <c r="C13157" s="3" t="str">
        <f>IFERROR(__xludf.DUMMYFUNCTION("GOOGLETRANSLATE(B13157,""id"",""en"")"),"['Application', 'Help', 'Features', 'Complete', 'In it', 'Buy', 'Package', 'Data', 'App', 'Price', 'Cheap', ""]")</f>
        <v>['Application', 'Help', 'Features', 'Complete', 'In it', 'Buy', 'Package', 'Data', 'App', 'Price', 'Cheap', "]</v>
      </c>
      <c r="D13157" s="3">
        <v>5.0</v>
      </c>
    </row>
    <row r="13158" ht="15.75" customHeight="1">
      <c r="A13158" s="1">
        <v>14222.0</v>
      </c>
      <c r="B13158" s="3" t="s">
        <v>3539</v>
      </c>
      <c r="C13158" s="3" t="str">
        <f>IFERROR(__xludf.DUMMYFUNCTION("GOOGLETRANSLATE(B13158,""id"",""en"")"),"['easy']")</f>
        <v>['easy']</v>
      </c>
      <c r="D13158" s="3">
        <v>5.0</v>
      </c>
    </row>
    <row r="13159" ht="15.75" customHeight="1">
      <c r="A13159" s="1">
        <v>14223.0</v>
      </c>
      <c r="B13159" s="3" t="s">
        <v>12446</v>
      </c>
      <c r="C13159" s="3" t="str">
        <f>IFERROR(__xludf.DUMMYFUNCTION("GOOGLETRANSLATE(B13159,""id"",""en"")"),"['Satisfied', 'Application', 'Multifunction', 'Very', 'WORTIT', 'VICT']")</f>
        <v>['Satisfied', 'Application', 'Multifunction', 'Very', 'WORTIT', 'VICT']</v>
      </c>
      <c r="D13159" s="3">
        <v>5.0</v>
      </c>
    </row>
    <row r="13160" ht="15.75" customHeight="1">
      <c r="A13160" s="1">
        <v>14224.0</v>
      </c>
      <c r="B13160" s="3" t="s">
        <v>12447</v>
      </c>
      <c r="C13160" s="3" t="str">
        <f>IFERROR(__xludf.DUMMYFUNCTION("GOOGLETRANSLATE(B13160,""id"",""en"")"),"['Affordable', 'Putok', 'Village', '']")</f>
        <v>['Affordable', 'Putok', 'Village', '']</v>
      </c>
      <c r="D13160" s="3">
        <v>5.0</v>
      </c>
    </row>
    <row r="13161" ht="15.75" customHeight="1">
      <c r="A13161" s="1">
        <v>14225.0</v>
      </c>
      <c r="B13161" s="3" t="s">
        <v>12448</v>
      </c>
      <c r="C13161" s="3" t="str">
        <f>IFERROR(__xludf.DUMMYFUNCTION("GOOGLETRANSLATE(B13161,""id"",""en"")"),"['Telkomsel', 'the network', 'bapuk', 'already', 'quota', 'expensive', 'network', 'ugly', 'compare', 'provider', 'gedek', 'disturbing', ' fluency ',' wfh ',' bother ']")</f>
        <v>['Telkomsel', 'the network', 'bapuk', 'already', 'quota', 'expensive', 'network', 'ugly', 'compare', 'provider', 'gedek', 'disturbing', ' fluency ',' wfh ',' bother ']</v>
      </c>
      <c r="D13161" s="3">
        <v>1.0</v>
      </c>
    </row>
    <row r="13162" ht="15.75" customHeight="1">
      <c r="A13162" s="1">
        <v>14226.0</v>
      </c>
      <c r="B13162" s="3" t="s">
        <v>12449</v>
      </c>
      <c r="C13162" s="3" t="str">
        <f>IFERROR(__xludf.DUMMYFUNCTION("GOOGLETRANSLATE(B13162,""id"",""en"")"),"['Increases', 'Strength', 'Signal', 'Lakok']")</f>
        <v>['Increases', 'Strength', 'Signal', 'Lakok']</v>
      </c>
      <c r="D13162" s="3">
        <v>4.0</v>
      </c>
    </row>
    <row r="13163" ht="15.75" customHeight="1">
      <c r="A13163" s="1">
        <v>14227.0</v>
      </c>
      <c r="B13163" s="3" t="s">
        <v>12450</v>
      </c>
      <c r="C13163" s="3" t="str">
        <f>IFERROR(__xludf.DUMMYFUNCTION("GOOGLETRANSLATE(B13163,""id"",""en"")"),"['Price', 'Balancing', 'Money', 'Pocket', 'Child', 'School']")</f>
        <v>['Price', 'Balancing', 'Money', 'Pocket', 'Child', 'School']</v>
      </c>
      <c r="D13163" s="3">
        <v>4.0</v>
      </c>
    </row>
    <row r="13164" ht="15.75" customHeight="1">
      <c r="A13164" s="1">
        <v>14228.0</v>
      </c>
      <c r="B13164" s="3" t="s">
        <v>12451</v>
      </c>
      <c r="C13164" s="3" t="str">
        <f>IFERROR(__xludf.DUMMYFUNCTION("GOOGLETRANSLATE(B13164,""id"",""en"")"),"['borrow', 'pulse']")</f>
        <v>['borrow', 'pulse']</v>
      </c>
      <c r="D13164" s="3">
        <v>4.0</v>
      </c>
    </row>
    <row r="13165" ht="15.75" customHeight="1">
      <c r="A13165" s="1">
        <v>14229.0</v>
      </c>
      <c r="B13165" s="3" t="s">
        <v>12452</v>
      </c>
      <c r="C13165" s="3" t="str">
        <f>IFERROR(__xludf.DUMMYFUNCTION("GOOGLETRANSLATE(B13165,""id"",""en"")"),"['Bukuk', 'Useful']")</f>
        <v>['Bukuk', 'Useful']</v>
      </c>
      <c r="D13165" s="3">
        <v>5.0</v>
      </c>
    </row>
    <row r="13166" ht="15.75" customHeight="1">
      <c r="A13166" s="1">
        <v>14230.0</v>
      </c>
      <c r="B13166" s="3" t="s">
        <v>12453</v>
      </c>
      <c r="C13166" s="3" t="str">
        <f>IFERROR(__xludf.DUMMYFUNCTION("GOOGLETRANSLATE(B13166,""id"",""en"")"),"['Good', 'response']")</f>
        <v>['Good', 'response']</v>
      </c>
      <c r="D13166" s="3">
        <v>5.0</v>
      </c>
    </row>
    <row r="13167" ht="15.75" customHeight="1">
      <c r="A13167" s="1">
        <v>14231.0</v>
      </c>
      <c r="B13167" s="3" t="s">
        <v>12454</v>
      </c>
      <c r="C13167" s="3" t="str">
        <f>IFERROR(__xludf.DUMMYFUNCTION("GOOGLETRANSLATE(B13167,""id"",""en"")"),"['Application', 'Good', 'Recommended', 'really']")</f>
        <v>['Application', 'Good', 'Recommended', 'really']</v>
      </c>
      <c r="D13167" s="3">
        <v>5.0</v>
      </c>
    </row>
    <row r="13168" ht="15.75" customHeight="1">
      <c r="A13168" s="1">
        <v>14232.0</v>
      </c>
      <c r="B13168" s="3" t="s">
        <v>12455</v>
      </c>
      <c r="C13168" s="3" t="str">
        <f>IFERROR(__xludf.DUMMYFUNCTION("GOOGLETRANSLATE(B13168,""id"",""en"")"),"['Telkomsel', 'price', 'quota', 'already', 'friendly', 'udh', 'promo', 'tetep', 'expensive', 'min', 'rich', 'gini', ' Mending ',' Move ',' Card ',' Lian ',' ']")</f>
        <v>['Telkomsel', 'price', 'quota', 'already', 'friendly', 'udh', 'promo', 'tetep', 'expensive', 'min', 'rich', 'gini', ' Mending ',' Move ',' Card ',' Lian ',' ']</v>
      </c>
      <c r="D13168" s="3">
        <v>2.0</v>
      </c>
    </row>
    <row r="13169" ht="15.75" customHeight="1">
      <c r="A13169" s="1">
        <v>14233.0</v>
      </c>
      <c r="B13169" s="3" t="s">
        <v>12456</v>
      </c>
      <c r="C13169" s="3" t="str">
        <f>IFERROR(__xludf.DUMMYFUNCTION("GOOGLETRANSLATE(B13169,""id"",""en"")"),"['disorder', 'network', 'proud', 'product', 'telkom', 'hope', 'mandate']")</f>
        <v>['disorder', 'network', 'proud', 'product', 'telkom', 'hope', 'mandate']</v>
      </c>
      <c r="D13169" s="3">
        <v>5.0</v>
      </c>
    </row>
    <row r="13170" ht="15.75" customHeight="1">
      <c r="A13170" s="1">
        <v>14234.0</v>
      </c>
      <c r="B13170" s="3" t="s">
        <v>12457</v>
      </c>
      <c r="C13170" s="3" t="str">
        <f>IFERROR(__xludf.DUMMYFUNCTION("GOOGLETRANSLATE(B13170,""id"",""en"")"),"['Good', 'Application', 'fast', 'process', '']")</f>
        <v>['Good', 'Application', 'fast', 'process', '']</v>
      </c>
      <c r="D13170" s="3">
        <v>4.0</v>
      </c>
    </row>
    <row r="13171" ht="15.75" customHeight="1">
      <c r="A13171" s="1">
        <v>14235.0</v>
      </c>
      <c r="B13171" s="3" t="s">
        <v>12458</v>
      </c>
      <c r="C13171" s="3" t="str">
        <f>IFERROR(__xludf.DUMMYFUNCTION("GOOGLETRANSLATE(B13171,""id"",""en"")"),"['Make', 'Telkom', 'Bad', 'Thinking', 'YouTube', ""]")</f>
        <v>['Make', 'Telkom', 'Bad', 'Thinking', 'YouTube', "]</v>
      </c>
      <c r="D13171" s="3">
        <v>1.0</v>
      </c>
    </row>
    <row r="13172" ht="15.75" customHeight="1">
      <c r="A13172" s="1">
        <v>14236.0</v>
      </c>
      <c r="B13172" s="3" t="s">
        <v>12459</v>
      </c>
      <c r="C13172" s="3" t="str">
        <f>IFERROR(__xludf.DUMMYFUNCTION("GOOGLETRANSLATE(B13172,""id"",""en"")"),"['Disappointed', 'really', 'Telkomsel', 'fill in', 'credit', 'Tomorrow', 'Direct', 'buy', 'package', 'skarang', 'leftover', 'Gara', ' Forgotten ',' Matiin ',' Data ',' No "", 'Gunain', 'Skali', 'Operator', 'No"",' Litu ', ""]")</f>
        <v>['Disappointed', 'really', 'Telkomsel', 'fill in', 'credit', 'Tomorrow', 'Direct', 'buy', 'package', 'skarang', 'leftover', 'Gara', ' Forgotten ',' Matiin ',' Data ',' No ", 'Gunain', 'Skali', 'Operator', 'No",' Litu ', "]</v>
      </c>
      <c r="D13172" s="3">
        <v>1.0</v>
      </c>
    </row>
    <row r="13173" ht="15.75" customHeight="1">
      <c r="A13173" s="1">
        <v>14237.0</v>
      </c>
      <c r="B13173" s="3" t="s">
        <v>12460</v>
      </c>
      <c r="C13173" s="3" t="str">
        <f>IFERROR(__xludf.DUMMYFUNCTION("GOOGLETRANSLATE(B13173,""id"",""en"")"),"['', 'Tuker', 'Points', 'package', 'expensive', 'MEPER', 'EASY', 'MPERSULIT', 'PRBIH']")</f>
        <v>['', 'Tuker', 'Points', 'package', 'expensive', 'MEPER', 'EASY', 'MPERSULIT', 'PRBIH']</v>
      </c>
      <c r="D13173" s="3">
        <v>3.0</v>
      </c>
    </row>
    <row r="13174" ht="15.75" customHeight="1">
      <c r="A13174" s="1">
        <v>14238.0</v>
      </c>
      <c r="B13174" s="3" t="s">
        <v>12461</v>
      </c>
      <c r="C13174" s="3" t="str">
        <f>IFERROR(__xludf.DUMMYFUNCTION("GOOGLETRANSLATE(B13174,""id"",""en"")"),"['Thank you', 'Telkomsel', 'Service']")</f>
        <v>['Thank you', 'Telkomsel', 'Service']</v>
      </c>
      <c r="D13174" s="3">
        <v>5.0</v>
      </c>
    </row>
    <row r="13175" ht="15.75" customHeight="1">
      <c r="A13175" s="1">
        <v>14239.0</v>
      </c>
      <c r="B13175" s="3" t="s">
        <v>12462</v>
      </c>
      <c r="C13175" s="3" t="str">
        <f>IFERROR(__xludf.DUMMYFUNCTION("GOOGLETRANSLATE(B13175,""id"",""en"")"),"['easy', 'fast', 'economical', 'just', 'dear', 'klu', 'package', 'already', 'run out', 'open', 'blnja', 'package', ' ']")</f>
        <v>['easy', 'fast', 'economical', 'just', 'dear', 'klu', 'package', 'already', 'run out', 'open', 'blnja', 'package', ' ']</v>
      </c>
      <c r="D13175" s="3">
        <v>4.0</v>
      </c>
    </row>
    <row r="13176" ht="15.75" customHeight="1">
      <c r="A13176" s="1">
        <v>14240.0</v>
      </c>
      <c r="B13176" s="3" t="s">
        <v>12463</v>
      </c>
      <c r="C13176" s="3" t="str">
        <f>IFERROR(__xludf.DUMMYFUNCTION("GOOGLETRANSLATE(B13176,""id"",""en"")"),"['Mantappp', 'enter', 'application', 'Hopefully', 'satisfying', 'yaa', 'signal', 'smooth', 'Jaya']")</f>
        <v>['Mantappp', 'enter', 'application', 'Hopefully', 'satisfying', 'yaa', 'signal', 'smooth', 'Jaya']</v>
      </c>
      <c r="D13176" s="3">
        <v>5.0</v>
      </c>
    </row>
    <row r="13177" ht="15.75" customHeight="1">
      <c r="A13177" s="1">
        <v>14241.0</v>
      </c>
      <c r="B13177" s="3" t="s">
        <v>12464</v>
      </c>
      <c r="C13177" s="3" t="str">
        <f>IFERROR(__xludf.DUMMYFUNCTION("GOOGLETRANSLATE(B13177,""id"",""en"")"),"['Fast', 'Redone']")</f>
        <v>['Fast', 'Redone']</v>
      </c>
      <c r="D13177" s="3">
        <v>5.0</v>
      </c>
    </row>
    <row r="13178" ht="15.75" customHeight="1">
      <c r="A13178" s="1">
        <v>14242.0</v>
      </c>
      <c r="B13178" s="3" t="s">
        <v>12465</v>
      </c>
      <c r="C13178" s="3" t="str">
        <f>IFERROR(__xludf.DUMMYFUNCTION("GOOGLETRANSLATE(B13178,""id"",""en"")"),"['Signal', 'Weak', 'Tuk', 'City', 'LTH', 'THANK']")</f>
        <v>['Signal', 'Weak', 'Tuk', 'City', 'LTH', 'THANK']</v>
      </c>
      <c r="D13178" s="3">
        <v>3.0</v>
      </c>
    </row>
    <row r="13179" ht="15.75" customHeight="1">
      <c r="A13179" s="1">
        <v>14243.0</v>
      </c>
      <c r="B13179" s="3" t="s">
        <v>12466</v>
      </c>
      <c r="C13179" s="3" t="str">
        <f>IFERROR(__xludf.DUMMYFUNCTION("GOOGLETRANSLATE(B13179,""id"",""en"")"),"['Good', 'really', 'help', ""]")</f>
        <v>['Good', 'really', 'help', "]</v>
      </c>
      <c r="D13179" s="3">
        <v>5.0</v>
      </c>
    </row>
    <row r="13180" ht="15.75" customHeight="1">
      <c r="A13180" s="1">
        <v>14244.0</v>
      </c>
      <c r="B13180" s="3" t="s">
        <v>3616</v>
      </c>
      <c r="C13180" s="3" t="str">
        <f>IFERROR(__xludf.DUMMYFUNCTION("GOOGLETRANSLATE(B13180,""id"",""en"")"),"['application', 'good']")</f>
        <v>['application', 'good']</v>
      </c>
      <c r="D13180" s="3">
        <v>4.0</v>
      </c>
    </row>
    <row r="13181" ht="15.75" customHeight="1">
      <c r="A13181" s="1">
        <v>14246.0</v>
      </c>
      <c r="B13181" s="3" t="s">
        <v>12467</v>
      </c>
      <c r="C13181" s="3" t="str">
        <f>IFERROR(__xludf.DUMMYFUNCTION("GOOGLETRANSLATE(B13181,""id"",""en"")"),"['Steady', 'Jos', 'Hopefully', 'Quoto', 'Sakti', 'Trobe', 'Thank you', 'Telkomsel']")</f>
        <v>['Steady', 'Jos', 'Hopefully', 'Quoto', 'Sakti', 'Trobe', 'Thank you', 'Telkomsel']</v>
      </c>
      <c r="D13181" s="3">
        <v>4.0</v>
      </c>
    </row>
    <row r="13182" ht="15.75" customHeight="1">
      <c r="A13182" s="1">
        <v>14247.0</v>
      </c>
      <c r="B13182" s="3" t="s">
        <v>12468</v>
      </c>
      <c r="C13182" s="3" t="str">
        <f>IFERROR(__xludf.DUMMYFUNCTION("GOOGLETRANSLATE(B13182,""id"",""en"")"),"['Points', 'Gbada', 'Money']")</f>
        <v>['Points', 'Gbada', 'Money']</v>
      </c>
      <c r="D13182" s="3">
        <v>5.0</v>
      </c>
    </row>
    <row r="13183" ht="15.75" customHeight="1">
      <c r="A13183" s="1">
        <v>14248.0</v>
      </c>
      <c r="B13183" s="3" t="s">
        <v>12469</v>
      </c>
      <c r="C13183" s="3" t="str">
        <f>IFERROR(__xludf.DUMMYFUNCTION("GOOGLETRANSLATE(B13183,""id"",""en"")"),"['Expensive', 'bad', 'net']")</f>
        <v>['Expensive', 'bad', 'net']</v>
      </c>
      <c r="D13183" s="3">
        <v>2.0</v>
      </c>
    </row>
    <row r="13184" ht="15.75" customHeight="1">
      <c r="A13184" s="1">
        <v>14249.0</v>
      </c>
      <c r="B13184" s="3" t="s">
        <v>779</v>
      </c>
      <c r="C13184" s="3" t="str">
        <f>IFERROR(__xludf.DUMMYFUNCTION("GOOGLETRANSLATE(B13184,""id"",""en"")"),"['Good', 'easy']")</f>
        <v>['Good', 'easy']</v>
      </c>
      <c r="D13184" s="3">
        <v>5.0</v>
      </c>
    </row>
    <row r="13185" ht="15.75" customHeight="1">
      <c r="A13185" s="1">
        <v>14250.0</v>
      </c>
      <c r="B13185" s="3" t="s">
        <v>12470</v>
      </c>
      <c r="C13185" s="3" t="str">
        <f>IFERROR(__xludf.DUMMYFUNCTION("GOOGLETRANSLATE(B13185,""id"",""en"")"),"['experience', 'application', 'good', 'quality', 'network', 'emotion', 'fit', 'business',' access', 'slow', 'sometimes',' signal ',' Full ',' access', 'internet', 'signal', 'Ngeprank', '']")</f>
        <v>['experience', 'application', 'good', 'quality', 'network', 'emotion', 'fit', 'business',' access', 'slow', 'sometimes',' signal ',' Full ',' access', 'internet', 'signal', 'Ngeprank', '']</v>
      </c>
      <c r="D13185" s="3">
        <v>3.0</v>
      </c>
    </row>
    <row r="13186" ht="15.75" customHeight="1">
      <c r="A13186" s="1">
        <v>14251.0</v>
      </c>
      <c r="B13186" s="3" t="s">
        <v>12471</v>
      </c>
      <c r="C13186" s="3" t="str">
        <f>IFERROR(__xludf.DUMMYFUNCTION("GOOGLETRANSLATE(B13186,""id"",""en"")"),"['Telkomsel', 'already', 'Kayak', 'Card', 'Telkomsel', 'Severe', 'Price', 'Package', 'Expensive', 'Quality', 'Signal', 'Badkkkkkkkkkkkkkkkkkkkkkkk']")</f>
        <v>['Telkomsel', 'already', 'Kayak', 'Card', 'Telkomsel', 'Severe', 'Price', 'Package', 'Expensive', 'Quality', 'Signal', 'Badkkkkkkkkkkkkkkkkkkkkkkk']</v>
      </c>
      <c r="D13186" s="3">
        <v>1.0</v>
      </c>
    </row>
    <row r="13187" ht="15.75" customHeight="1">
      <c r="A13187" s="1">
        <v>14254.0</v>
      </c>
      <c r="B13187" s="3" t="s">
        <v>12472</v>
      </c>
      <c r="C13187" s="3" t="str">
        <f>IFERROR(__xludf.DUMMYFUNCTION("GOOGLETRANSLATE(B13187,""id"",""en"")"),"['Good', 'Sometimes', 'Promo', 'ilang', '']")</f>
        <v>['Good', 'Sometimes', 'Promo', 'ilang', '']</v>
      </c>
      <c r="D13187" s="3">
        <v>5.0</v>
      </c>
    </row>
    <row r="13188" ht="15.75" customHeight="1">
      <c r="A13188" s="1">
        <v>14255.0</v>
      </c>
      <c r="B13188" s="3" t="s">
        <v>12473</v>
      </c>
      <c r="C13188" s="3" t="str">
        <f>IFERROR(__xludf.DUMMYFUNCTION("GOOGLETRANSLATE(B13188,""id"",""en"")"),"['Signal', 'Disconnect', 'Lost', 'Stable', 'Package', 'Internet', 'Bgian', ""]")</f>
        <v>['Signal', 'Disconnect', 'Lost', 'Stable', 'Package', 'Internet', 'Bgian', "]</v>
      </c>
      <c r="D13188" s="3">
        <v>1.0</v>
      </c>
    </row>
    <row r="13189" ht="15.75" customHeight="1">
      <c r="A13189" s="1">
        <v>14256.0</v>
      </c>
      <c r="B13189" s="3" t="s">
        <v>12474</v>
      </c>
      <c r="C13189" s="3" t="str">
        <f>IFERROR(__xludf.DUMMYFUNCTION("GOOGLETRANSLATE(B13189,""id"",""en"")"),"['complicated', 'example', 'entry', 'app', 'difficult', 'package', 'different', 'open', 'offer', 'so', 'take', 'price', ' Different ',' price ',' expensive ',' internet ',' satisfied ',' rich ',' steady ',' now ',' slow ']")</f>
        <v>['complicated', 'example', 'entry', 'app', 'difficult', 'package', 'different', 'open', 'offer', 'so', 'take', 'price', ' Different ',' price ',' expensive ',' internet ',' satisfied ',' rich ',' steady ',' now ',' slow ']</v>
      </c>
      <c r="D13189" s="3">
        <v>1.0</v>
      </c>
    </row>
    <row r="13190" ht="15.75" customHeight="1">
      <c r="A13190" s="1">
        <v>14257.0</v>
      </c>
      <c r="B13190" s="3" t="s">
        <v>12475</v>
      </c>
      <c r="C13190" s="3" t="str">
        <f>IFERROR(__xludf.DUMMYFUNCTION("GOOGLETRANSLATE(B13190,""id"",""en"")"),"['Please Packkomsel', 'Package', 'Unlimited', 'Restore', 'Need', 'Package', 'Please', 'Telkomsel', 'Package', 'Sousal', 'Bapet', 'Geblek', ' ']")</f>
        <v>['Please Packkomsel', 'Package', 'Unlimited', 'Restore', 'Need', 'Package', 'Please', 'Telkomsel', 'Package', 'Sousal', 'Bapet', 'Geblek', ' ']</v>
      </c>
      <c r="D13190" s="3">
        <v>5.0</v>
      </c>
    </row>
    <row r="13191" ht="15.75" customHeight="1">
      <c r="A13191" s="1">
        <v>14258.0</v>
      </c>
      <c r="B13191" s="3" t="s">
        <v>12476</v>
      </c>
      <c r="C13191" s="3" t="str">
        <f>IFERROR(__xludf.DUMMYFUNCTION("GOOGLETRANSLATE(B13191,""id"",""en"")"),"['Please,' signal ',' fix ',' yaaaaaaaaaaaaaa ',' forget ',' internet ',' cheap ',' meriyahin ',' expensive ',' expensive ',' GB ',' a week ']")</f>
        <v>['Please,' signal ',' fix ',' yaaaaaaaaaaaaaa ',' forget ',' internet ',' cheap ',' meriyahin ',' expensive ',' expensive ',' GB ',' a week ']</v>
      </c>
      <c r="D13191" s="3">
        <v>5.0</v>
      </c>
    </row>
    <row r="13192" ht="15.75" customHeight="1">
      <c r="A13192" s="1">
        <v>14259.0</v>
      </c>
      <c r="B13192" s="3" t="s">
        <v>4978</v>
      </c>
      <c r="C13192" s="3" t="str">
        <f>IFERROR(__xludf.DUMMYFUNCTION("GOOGLETRANSLATE(B13192,""id"",""en"")"),"['Really', 'help']")</f>
        <v>['Really', 'help']</v>
      </c>
      <c r="D13192" s="3">
        <v>5.0</v>
      </c>
    </row>
    <row r="13193" ht="15.75" customHeight="1">
      <c r="A13193" s="1">
        <v>14260.0</v>
      </c>
      <c r="B13193" s="3" t="s">
        <v>12477</v>
      </c>
      <c r="C13193" s="3" t="str">
        <f>IFERROR(__xludf.DUMMYFUNCTION("GOOGLETRANSLATE(B13193,""id"",""en"")"),"['sekrang', 'network', 'Telkomsel', 'bad', 'bnaget', 'service', 'yes',' minute ',' urgent ',' difficult ',' please ',' network ',' stable']")</f>
        <v>['sekrang', 'network', 'Telkomsel', 'bad', 'bnaget', 'service', 'yes',' minute ',' urgent ',' difficult ',' please ',' network ',' stable']</v>
      </c>
      <c r="D13193" s="3">
        <v>1.0</v>
      </c>
    </row>
    <row r="13194" ht="15.75" customHeight="1">
      <c r="A13194" s="1">
        <v>14261.0</v>
      </c>
      <c r="B13194" s="3" t="s">
        <v>12478</v>
      </c>
      <c r="C13194" s="3" t="str">
        <f>IFERROR(__xludf.DUMMYFUNCTION("GOOGLETRANSLATE(B13194,""id"",""en"")"),"['Customer', 'GOLD', 'sympathy', 'please', 'promo', 'increase', 'min', 'maxh', ""]")</f>
        <v>['Customer', 'GOLD', 'sympathy', 'please', 'promo', 'increase', 'min', 'maxh', "]</v>
      </c>
      <c r="D13194" s="3">
        <v>5.0</v>
      </c>
    </row>
    <row r="13195" ht="15.75" customHeight="1">
      <c r="A13195" s="1">
        <v>14262.0</v>
      </c>
      <c r="B13195" s="3" t="s">
        <v>12479</v>
      </c>
      <c r="C13195" s="3" t="str">
        <f>IFERROR(__xludf.DUMMYFUNCTION("GOOGLETRANSLATE(B13195,""id"",""en"")"),"['run out', 'buy', 'package', 'apk', 'Telkomsel', 'rb', 'GB', 'pay', 'use', 'funds',' balance ',' doang ',' Cut ',' Package ',' Enter ',' Hadeh ']")</f>
        <v>['run out', 'buy', 'package', 'apk', 'Telkomsel', 'rb', 'GB', 'pay', 'use', 'funds',' balance ',' doang ',' Cut ',' Package ',' Enter ',' Hadeh ']</v>
      </c>
      <c r="D13195" s="3">
        <v>1.0</v>
      </c>
    </row>
    <row r="13196" ht="15.75" customHeight="1">
      <c r="A13196" s="1">
        <v>14263.0</v>
      </c>
      <c r="B13196" s="3" t="s">
        <v>12480</v>
      </c>
      <c r="C13196" s="3" t="str">
        <f>IFERROR(__xludf.DUMMYFUNCTION("GOOGLETRANSLATE(B13196,""id"",""en"")"),"['UDH', 'loyal', 'PKE', 'Telkomsel', 'Alhamdulillah', 'DPT', 'Package', 'Cheap', 'Mantap']")</f>
        <v>['UDH', 'loyal', 'PKE', 'Telkomsel', 'Alhamdulillah', 'DPT', 'Package', 'Cheap', 'Mantap']</v>
      </c>
      <c r="D13196" s="3">
        <v>5.0</v>
      </c>
    </row>
    <row r="13197" ht="15.75" customHeight="1">
      <c r="A13197" s="1">
        <v>14264.0</v>
      </c>
      <c r="B13197" s="3" t="s">
        <v>12481</v>
      </c>
      <c r="C13197" s="3" t="str">
        <f>IFERROR(__xludf.DUMMYFUNCTION("GOOGLETRANSLATE(B13197,""id"",""en"")"),"['Telkomsel', 'severe', 'times',' contents', 'pulse', 'piece', 'karna', 'use', 'access',' internet ',' non ',' package ',' Data ',' cellular ',' active ',' prbaiki ',' losers', 'goods',' already ',' buy ',' steal ',' reasons', 'jls',' greetings', 'binjai'"&amp;" ]")</f>
        <v>['Telkomsel', 'severe', 'times',' contents', 'pulse', 'piece', 'karna', 'use', 'access',' internet ',' non ',' package ',' Data ',' cellular ',' active ',' prbaiki ',' losers', 'goods',' already ',' buy ',' steal ',' reasons', 'jls',' greetings', 'binjai' ]</v>
      </c>
      <c r="D13197" s="3">
        <v>1.0</v>
      </c>
    </row>
    <row r="13198" ht="15.75" customHeight="1">
      <c r="A13198" s="1">
        <v>14265.0</v>
      </c>
      <c r="B13198" s="3" t="s">
        <v>12482</v>
      </c>
      <c r="C13198" s="3" t="str">
        <f>IFERROR(__xludf.DUMMYFUNCTION("GOOGLETRANSLATE(B13198,""id"",""en"")"),"['Try', 'result', 'kayak']")</f>
        <v>['Try', 'result', 'kayak']</v>
      </c>
      <c r="D13198" s="3">
        <v>5.0</v>
      </c>
    </row>
    <row r="13199" ht="15.75" customHeight="1">
      <c r="A13199" s="1">
        <v>14266.0</v>
      </c>
      <c r="B13199" s="3" t="s">
        <v>7555</v>
      </c>
      <c r="C13199" s="3" t="str">
        <f>IFERROR(__xludf.DUMMYFUNCTION("GOOGLETRANSLATE(B13199,""id"",""en"")"),"['expensive', 'package']")</f>
        <v>['expensive', 'package']</v>
      </c>
      <c r="D13199" s="3">
        <v>3.0</v>
      </c>
    </row>
    <row r="13200" ht="15.75" customHeight="1">
      <c r="A13200" s="1">
        <v>14267.0</v>
      </c>
      <c r="B13200" s="3" t="s">
        <v>943</v>
      </c>
      <c r="C13200" s="3" t="str">
        <f>IFERROR(__xludf.DUMMYFUNCTION("GOOGLETRANSLATE(B13200,""id"",""en"")"),"['price', 'package', 'expensive', 'expensive']")</f>
        <v>['price', 'package', 'expensive', 'expensive']</v>
      </c>
      <c r="D13200" s="3">
        <v>4.0</v>
      </c>
    </row>
    <row r="13201" ht="15.75" customHeight="1">
      <c r="A13201" s="1">
        <v>14268.0</v>
      </c>
      <c r="B13201" s="3" t="s">
        <v>12483</v>
      </c>
      <c r="C13201" s="3" t="str">
        <f>IFERROR(__xludf.DUMMYFUNCTION("GOOGLETRANSLATE(B13201,""id"",""en"")"),"['signal', 'sip']")</f>
        <v>['signal', 'sip']</v>
      </c>
      <c r="D13201" s="3">
        <v>4.0</v>
      </c>
    </row>
    <row r="13202" ht="15.75" customHeight="1">
      <c r="A13202" s="1">
        <v>14269.0</v>
      </c>
      <c r="B13202" s="3" t="s">
        <v>12484</v>
      </c>
      <c r="C13202" s="3" t="str">
        <f>IFERROR(__xludf.DUMMYFUNCTION("GOOGLETRANSLATE(B13202,""id"",""en"")"),"['Ohh', 'already']")</f>
        <v>['Ohh', 'already']</v>
      </c>
      <c r="D13202" s="3">
        <v>5.0</v>
      </c>
    </row>
    <row r="13203" ht="15.75" customHeight="1">
      <c r="A13203" s="1">
        <v>14271.0</v>
      </c>
      <c r="B13203" s="3" t="s">
        <v>12485</v>
      </c>
      <c r="C13203" s="3" t="str">
        <f>IFERROR(__xludf.DUMMYFUNCTION("GOOGLETRANSLATE(B13203,""id"",""en"")"),"['Professional', 'contents',' pulse ',' urgent ',' pulse ',' enter ',' solution ',' told ',' wait ',' clock ',' ahead ',' reason ',' Improvements', 'system', 'Heyy', 'customers',' improvements', 'system', 'kek', 'affairs',' Intern ',' ']")</f>
        <v>['Professional', 'contents',' pulse ',' urgent ',' pulse ',' enter ',' solution ',' told ',' wait ',' clock ',' ahead ',' reason ',' Improvements', 'system', 'Heyy', 'customers',' improvements', 'system', 'kek', 'affairs',' Intern ',' ']</v>
      </c>
      <c r="D13203" s="3">
        <v>1.0</v>
      </c>
    </row>
    <row r="13204" ht="15.75" customHeight="1">
      <c r="A13204" s="1">
        <v>14272.0</v>
      </c>
      <c r="B13204" s="3" t="s">
        <v>12486</v>
      </c>
      <c r="C13204" s="3" t="str">
        <f>IFERROR(__xludf.DUMMYFUNCTION("GOOGLETRANSLATE(B13204,""id"",""en"")"),"['Slow', 'Package', 'MLM', 'People', 'Rame', 'Currence', 'Dllod', 'Clock']")</f>
        <v>['Slow', 'Package', 'MLM', 'People', 'Rame', 'Currence', 'Dllod', 'Clock']</v>
      </c>
      <c r="D13204" s="3">
        <v>1.0</v>
      </c>
    </row>
    <row r="13205" ht="15.75" customHeight="1">
      <c r="A13205" s="1">
        <v>14273.0</v>
      </c>
      <c r="B13205" s="3" t="s">
        <v>5538</v>
      </c>
      <c r="C13205" s="3" t="str">
        <f>IFERROR(__xludf.DUMMYFUNCTION("GOOGLETRANSLATE(B13205,""id"",""en"")"),"['Increase']")</f>
        <v>['Increase']</v>
      </c>
      <c r="D13205" s="3">
        <v>4.0</v>
      </c>
    </row>
    <row r="13206" ht="15.75" customHeight="1">
      <c r="A13206" s="1">
        <v>14274.0</v>
      </c>
      <c r="B13206" s="3" t="s">
        <v>12487</v>
      </c>
      <c r="C13206" s="3" t="str">
        <f>IFERROR(__xludf.DUMMYFUNCTION("GOOGLETRANSLATE(B13206,""id"",""en"")"),"['Islam', 'my religion', 'Telkomsel', 'card', 'cellular', ""]")</f>
        <v>['Islam', 'my religion', 'Telkomsel', 'card', 'cellular', "]</v>
      </c>
      <c r="D13206" s="3">
        <v>5.0</v>
      </c>
    </row>
    <row r="13207" ht="15.75" customHeight="1">
      <c r="A13207" s="1">
        <v>14277.0</v>
      </c>
      <c r="B13207" s="3" t="s">
        <v>12488</v>
      </c>
      <c r="C13207" s="3" t="str">
        <f>IFERROR(__xludf.DUMMYFUNCTION("GOOGLETRANSLATE(B13207,""id"",""en"")"),"['Sontoloyo', 'Rain', 'Edge', 'Signal', 'Service', 'Telkomsel', 'Over', 'Buy', 'Package']")</f>
        <v>['Sontoloyo', 'Rain', 'Edge', 'Signal', 'Service', 'Telkomsel', 'Over', 'Buy', 'Package']</v>
      </c>
      <c r="D13207" s="3">
        <v>1.0</v>
      </c>
    </row>
    <row r="13208" ht="15.75" customHeight="1">
      <c r="A13208" s="1">
        <v>14278.0</v>
      </c>
      <c r="B13208" s="3" t="s">
        <v>12489</v>
      </c>
      <c r="C13208" s="3" t="str">
        <f>IFERROR(__xludf.DUMMYFUNCTION("GOOGLETRANSLATE(B13208,""id"",""en"")"),"['signal', 'please', 'Increase']")</f>
        <v>['signal', 'please', 'Increase']</v>
      </c>
      <c r="D13208" s="3">
        <v>5.0</v>
      </c>
    </row>
    <row r="13209" ht="15.75" customHeight="1">
      <c r="A13209" s="1">
        <v>14279.0</v>
      </c>
      <c r="B13209" s="3" t="s">
        <v>12490</v>
      </c>
      <c r="C13209" s="3" t="str">
        <f>IFERROR(__xludf.DUMMYFUNCTION("GOOGLETRANSLATE(B13209,""id"",""en"")"),"['network', 'BURIK', 'shy', 'provider', 'good', 'network', 'corrupt', 'money', 'dipake', 'really', 'network', ""]")</f>
        <v>['network', 'BURIK', 'shy', 'provider', 'good', 'network', 'corrupt', 'money', 'dipake', 'really', 'network', "]</v>
      </c>
      <c r="D13209" s="3">
        <v>1.0</v>
      </c>
    </row>
    <row r="13210" ht="15.75" customHeight="1">
      <c r="A13210" s="1">
        <v>14280.0</v>
      </c>
      <c r="B13210" s="3" t="s">
        <v>12491</v>
      </c>
      <c r="C13210" s="3" t="str">
        <f>IFERROR(__xludf.DUMMYFUNCTION("GOOGLETRANSLATE(B13210,""id"",""en"")"),"['steady', 'price', 'package', 'cheap']")</f>
        <v>['steady', 'price', 'package', 'cheap']</v>
      </c>
      <c r="D13210" s="3">
        <v>5.0</v>
      </c>
    </row>
    <row r="13211" ht="15.75" customHeight="1">
      <c r="A13211" s="1">
        <v>14282.0</v>
      </c>
      <c r="B13211" s="3" t="s">
        <v>12492</v>
      </c>
      <c r="C13211" s="3" t="str">
        <f>IFERROR(__xludf.DUMMYFUNCTION("GOOGLETRANSLATE(B13211,""id"",""en"")"),"['Please', 'abntu', 'admin', 'how', 'submit', 'complaints', 'network', 'because' house ',' Tower ',' Telkomsel ',' network ',' Normal ',' Nebeng ',' Tower ',' Kampung ',' Next ',' Tower ',' Next to ',' Dead ',' Tower ',' Follow ',' Dead ']")</f>
        <v>['Please', 'abntu', 'admin', 'how', 'submit', 'complaints', 'network', 'because' house ',' Tower ',' Telkomsel ',' network ',' Normal ',' Nebeng ',' Tower ',' Kampung ',' Next ',' Tower ',' Next to ',' Dead ',' Tower ',' Follow ',' Dead ']</v>
      </c>
      <c r="D13211" s="3">
        <v>2.0</v>
      </c>
    </row>
    <row r="13212" ht="15.75" customHeight="1">
      <c r="A13212" s="1">
        <v>14283.0</v>
      </c>
      <c r="B13212" s="3" t="s">
        <v>12493</v>
      </c>
      <c r="C13212" s="3" t="str">
        <f>IFERROR(__xludf.DUMMYFUNCTION("GOOGLETRANSLATE(B13212,""id"",""en"")"),"['Function', '']")</f>
        <v>['Function', '']</v>
      </c>
      <c r="D13212" s="3">
        <v>5.0</v>
      </c>
    </row>
    <row r="13213" ht="15.75" customHeight="1">
      <c r="A13213" s="1">
        <v>14284.0</v>
      </c>
      <c r="B13213" s="3" t="s">
        <v>12494</v>
      </c>
      <c r="C13213" s="3" t="str">
        <f>IFERROR(__xludf.DUMMYFUNCTION("GOOGLETRANSLATE(B13213,""id"",""en"")"),"['made', 'Ribet']")</f>
        <v>['made', 'Ribet']</v>
      </c>
      <c r="D13213" s="3">
        <v>4.0</v>
      </c>
    </row>
    <row r="13214" ht="15.75" customHeight="1">
      <c r="A13214" s="1">
        <v>14285.0</v>
      </c>
      <c r="B13214" s="3" t="s">
        <v>12495</v>
      </c>
      <c r="C13214" s="3" t="str">
        <f>IFERROR(__xludf.DUMMYFUNCTION("GOOGLETRANSLATE(B13214,""id"",""en"")"),"['Berggage', 'Boskyu']")</f>
        <v>['Berggage', 'Boskyu']</v>
      </c>
      <c r="D13214" s="3">
        <v>4.0</v>
      </c>
    </row>
    <row r="13215" ht="15.75" customHeight="1">
      <c r="A13215" s="1">
        <v>14286.0</v>
      </c>
      <c r="B13215" s="3" t="s">
        <v>12496</v>
      </c>
      <c r="C13215" s="3" t="str">
        <f>IFERROR(__xludf.DUMMYFUNCTION("GOOGLETRANSLATE(B13215,""id"",""en"")"),"['Those', 'times',' contents', 'quota', 'clock', 'succeed', 'pay', 'quota', 'enter', 'original', 'severe', 'Telkomsel', ' corruption ',' quota ',' disappointed ',' Telkomsel ',' love ',' star ',' expensive ',' package ',' bear ',' suck ',' pulse ',' retur"&amp;"n ',' quota ' , 'Paid', '']")</f>
        <v>['Those', 'times',' contents', 'quota', 'clock', 'succeed', 'pay', 'quota', 'enter', 'original', 'severe', 'Telkomsel', ' corruption ',' quota ',' disappointed ',' Telkomsel ',' love ',' star ',' expensive ',' package ',' bear ',' suck ',' pulse ',' return ',' quota ' , 'Paid', '']</v>
      </c>
      <c r="D13215" s="3">
        <v>1.0</v>
      </c>
    </row>
    <row r="13216" ht="15.75" customHeight="1">
      <c r="A13216" s="1">
        <v>14287.0</v>
      </c>
      <c r="B13216" s="3" t="s">
        <v>12497</v>
      </c>
      <c r="C13216" s="3" t="str">
        <f>IFERROR(__xludf.DUMMYFUNCTION("GOOGLETRANSLATE(B13216,""id"",""en"")"),"['Steady', 'Seringing', 'bonus']")</f>
        <v>['Steady', 'Seringing', 'bonus']</v>
      </c>
      <c r="D13216" s="3">
        <v>5.0</v>
      </c>
    </row>
    <row r="13217" ht="15.75" customHeight="1">
      <c r="A13217" s="1">
        <v>14288.0</v>
      </c>
      <c r="B13217" s="3" t="s">
        <v>12498</v>
      </c>
      <c r="C13217" s="3" t="str">
        <f>IFERROR(__xludf.DUMMYFUNCTION("GOOGLETRANSLATE(B13217,""id"",""en"")"),"['Help', 'Information', 'Telkomsel']")</f>
        <v>['Help', 'Information', 'Telkomsel']</v>
      </c>
      <c r="D13217" s="3">
        <v>4.0</v>
      </c>
    </row>
    <row r="13218" ht="15.75" customHeight="1">
      <c r="A13218" s="1">
        <v>14290.0</v>
      </c>
      <c r="B13218" s="3" t="s">
        <v>12499</v>
      </c>
      <c r="C13218" s="3" t="str">
        <f>IFERROR(__xludf.DUMMYFUNCTION("GOOGLETRANSLATE(B13218,""id"",""en"")"),"['Install', 'application', 'Android', '']")</f>
        <v>['Install', 'application', 'Android', '']</v>
      </c>
      <c r="D13218" s="3">
        <v>3.0</v>
      </c>
    </row>
    <row r="13219" ht="15.75" customHeight="1">
      <c r="A13219" s="1">
        <v>14292.0</v>
      </c>
      <c r="B13219" s="3" t="s">
        <v>12500</v>
      </c>
      <c r="C13219" s="3" t="str">
        <f>IFERROR(__xludf.DUMMYFUNCTION("GOOGLETRANSLATE(B13219,""id"",""en"")"),"['Telkomsel', 'The big one', 'ugly', 'really', 'Sekitr', 'my area', 'signal', 'bar', 'second', 'auto', 'slow', 'Mnt', ' Forgiveness', 'Disappointed', 'Very', 'Anyway', 'BSK', 'Move', 'subscription', 'card', 'Perdana', 'Customer', 'Bngt', 'Location', 'Blab"&amp;"ak' , 'Coral', 'Kec', 'Poncowarno', 'Kab', 'Kebumen', 'Java', 'Please', 'Fix', 'SPRT', 'Sukur', 'Tower', 'My Desku']")</f>
        <v>['Telkomsel', 'The big one', 'ugly', 'really', 'Sekitr', 'my area', 'signal', 'bar', 'second', 'auto', 'slow', 'Mnt', ' Forgiveness', 'Disappointed', 'Very', 'Anyway', 'BSK', 'Move', 'subscription', 'card', 'Perdana', 'Customer', 'Bngt', 'Location', 'Blabak' , 'Coral', 'Kec', 'Poncowarno', 'Kab', 'Kebumen', 'Java', 'Please', 'Fix', 'SPRT', 'Sukur', 'Tower', 'My Desku']</v>
      </c>
      <c r="D13219" s="3">
        <v>1.0</v>
      </c>
    </row>
    <row r="13220" ht="15.75" customHeight="1">
      <c r="A13220" s="1">
        <v>14293.0</v>
      </c>
      <c r="B13220" s="3" t="s">
        <v>12501</v>
      </c>
      <c r="C13220" s="3" t="str">
        <f>IFERROR(__xludf.DUMMYFUNCTION("GOOGLETRANSLATE(B13220,""id"",""en"")"),"['lucky person', '']")</f>
        <v>['lucky person', '']</v>
      </c>
      <c r="D13220" s="3">
        <v>4.0</v>
      </c>
    </row>
    <row r="13221" ht="15.75" customHeight="1">
      <c r="A13221" s="1">
        <v>14294.0</v>
      </c>
      <c r="B13221" s="3" t="s">
        <v>12502</v>
      </c>
      <c r="C13221" s="3" t="str">
        <f>IFERROR(__xludf.DUMMYFUNCTION("GOOGLETRANSLATE(B13221,""id"",""en"")"),"['Simple', 'Check', 'Paketan', 'Event', 'Interesting', 'Gift', 'City', 'Cheap', 'Babget', 'Ngak', 'Mahat', 'Telkomsel', ' the main ',' application ',' cangih ',' ngak ',' regret ',' download ',' application ',' ']")</f>
        <v>['Simple', 'Check', 'Paketan', 'Event', 'Interesting', 'Gift', 'City', 'Cheap', 'Babget', 'Ngak', 'Mahat', 'Telkomsel', ' the main ',' application ',' cangih ',' ngak ',' regret ',' download ',' application ',' ']</v>
      </c>
      <c r="D13221" s="3">
        <v>5.0</v>
      </c>
    </row>
    <row r="13222" ht="15.75" customHeight="1">
      <c r="A13222" s="1">
        <v>14295.0</v>
      </c>
      <c r="B13222" s="3" t="s">
        <v>12503</v>
      </c>
      <c r="C13222" s="3" t="str">
        <f>IFERROR(__xludf.DUMMYFUNCTION("GOOGLETRANSLATE(B13222,""id"",""en"")"),"['Thank you', 'Convenience', 'Application', 'Telkomsel', 'Recommend', 'User', 'Telkomsel', 'Download', 'Application', '']")</f>
        <v>['Thank you', 'Convenience', 'Application', 'Telkomsel', 'Recommend', 'User', 'Telkomsel', 'Download', 'Application', '']</v>
      </c>
      <c r="D13222" s="3">
        <v>4.0</v>
      </c>
    </row>
    <row r="13223" ht="15.75" customHeight="1">
      <c r="A13223" s="1">
        <v>14296.0</v>
      </c>
      <c r="B13223" s="3" t="s">
        <v>12504</v>
      </c>
      <c r="C13223" s="3" t="str">
        <f>IFERROR(__xludf.DUMMYFUNCTION("GOOGLETRANSLATE(B13223,""id"",""en"")"),"['Telkomsel', 'love', 'star', 'play', 'mobile', 'legend', 'ngellag', 'mulu', 'expensive', 'really', 'package', 'please', ' Fix ',' Telkomsel ',' Ngelag ',' Mulu ',' Play ',' Doang ',' Play ',' Mobile ',' Legend ',' Ngelag ',' Mulu ',' friend ', ""]")</f>
        <v>['Telkomsel', 'love', 'star', 'play', 'mobile', 'legend', 'ngellag', 'mulu', 'expensive', 'really', 'package', 'please', ' Fix ',' Telkomsel ',' Ngelag ',' Mulu ',' Play ',' Doang ',' Play ',' Mobile ',' Legend ',' Ngelag ',' Mulu ',' friend ', "]</v>
      </c>
      <c r="D13223" s="3">
        <v>3.0</v>
      </c>
    </row>
    <row r="13224" ht="15.75" customHeight="1">
      <c r="A13224" s="1">
        <v>14297.0</v>
      </c>
      <c r="B13224" s="3" t="s">
        <v>12505</v>
      </c>
      <c r="C13224" s="3" t="str">
        <f>IFERROR(__xludf.DUMMYFUNCTION("GOOGLETRANSLATE(B13224,""id"",""en"")"),"['Safety', 'Telkomsel', 'Network', 'Kenceng', 'Poko', 'Success', 'Slalu', 'Telkomsel', 'Free', 'Quota', 'LGI', 'Prepaid']")</f>
        <v>['Safety', 'Telkomsel', 'Network', 'Kenceng', 'Poko', 'Success', 'Slalu', 'Telkomsel', 'Free', 'Quota', 'LGI', 'Prepaid']</v>
      </c>
      <c r="D13224" s="3">
        <v>5.0</v>
      </c>
    </row>
    <row r="13225" ht="15.75" customHeight="1">
      <c r="A13225" s="1">
        <v>14298.0</v>
      </c>
      <c r="B13225" s="3" t="s">
        <v>12506</v>
      </c>
      <c r="C13225" s="3" t="str">
        <f>IFERROR(__xludf.DUMMYFUNCTION("GOOGLETRANSLATE(B13225,""id"",""en"")"),"['Application', 'Best', 'My Boss']")</f>
        <v>['Application', 'Best', 'My Boss']</v>
      </c>
      <c r="D13225" s="3">
        <v>5.0</v>
      </c>
    </row>
    <row r="13226" ht="15.75" customHeight="1">
      <c r="A13226" s="1">
        <v>14301.0</v>
      </c>
      <c r="B13226" s="3" t="s">
        <v>12507</v>
      </c>
      <c r="C13226" s="3" t="str">
        <f>IFERROR(__xludf.DUMMYFUNCTION("GOOGLETRANSLATE(B13226,""id"",""en"")"),"['Contents',' pulse ',' right ',' see ',' leftover ',' how ',' loss', 'luck', 'already', 'tissue', 'slow', 'package', ' expensive ',' for ',' kidney ',' satisfied ',' use ',' card ',' Telkomsel ',' apk ',' detrimental ',' ']")</f>
        <v>['Contents',' pulse ',' right ',' see ',' leftover ',' how ',' loss', 'luck', 'already', 'tissue', 'slow', 'package', ' expensive ',' for ',' kidney ',' satisfied ',' use ',' card ',' Telkomsel ',' apk ',' detrimental ',' ']</v>
      </c>
      <c r="D13226" s="3">
        <v>1.0</v>
      </c>
    </row>
    <row r="13227" ht="15.75" customHeight="1">
      <c r="A13227" s="1">
        <v>14302.0</v>
      </c>
      <c r="B13227" s="3" t="s">
        <v>12508</v>
      </c>
      <c r="C13227" s="3" t="str">
        <f>IFERROR(__xludf.DUMMYFUNCTION("GOOGLETRANSLATE(B13227,""id"",""en"")"),"['buy', 'quota', 'Harwn', 'clock', 'night', 'night', 'loss', 'name', 'daily', 'yaa', 'lahh']")</f>
        <v>['buy', 'quota', 'Harwn', 'clock', 'night', 'night', 'loss', 'name', 'daily', 'yaa', 'lahh']</v>
      </c>
      <c r="D13227" s="3">
        <v>2.0</v>
      </c>
    </row>
    <row r="13228" ht="15.75" customHeight="1">
      <c r="A13228" s="1">
        <v>14303.0</v>
      </c>
      <c r="B13228" s="3" t="s">
        <v>12509</v>
      </c>
      <c r="C13228" s="3" t="str">
        <f>IFERROR(__xludf.DUMMYFUNCTION("GOOGLETRANSLATE(B13228,""id"",""en"")"),"['Change', 'oprator', 'card', 'signal', 'already', 'jls', 'skrng', 'ugly', 'bngget', 'dlu']")</f>
        <v>['Change', 'oprator', 'card', 'signal', 'already', 'jls', 'skrng', 'ugly', 'bngget', 'dlu']</v>
      </c>
      <c r="D13228" s="3">
        <v>1.0</v>
      </c>
    </row>
    <row r="13229" ht="15.75" customHeight="1">
      <c r="A13229" s="1">
        <v>14304.0</v>
      </c>
      <c r="B13229" s="3" t="s">
        <v>3878</v>
      </c>
      <c r="C13229" s="3" t="str">
        <f>IFERROR(__xludf.DUMMYFUNCTION("GOOGLETRANSLATE(B13229,""id"",""en"")"),"['Enhanced']")</f>
        <v>['Enhanced']</v>
      </c>
      <c r="D13229" s="3">
        <v>3.0</v>
      </c>
    </row>
    <row r="13230" ht="15.75" customHeight="1">
      <c r="A13230" s="1">
        <v>14305.0</v>
      </c>
      <c r="B13230" s="3" t="s">
        <v>12510</v>
      </c>
      <c r="C13230" s="3" t="str">
        <f>IFERROR(__xludf.DUMMYFUNCTION("GOOGLETRANSLATE(B13230,""id"",""en"")"),"['Network', 'smooth']")</f>
        <v>['Network', 'smooth']</v>
      </c>
      <c r="D13230" s="3">
        <v>5.0</v>
      </c>
    </row>
    <row r="13231" ht="15.75" customHeight="1">
      <c r="A13231" s="1">
        <v>14306.0</v>
      </c>
      <c r="B13231" s="3" t="s">
        <v>12511</v>
      </c>
      <c r="C13231" s="3" t="str">
        <f>IFERROR(__xludf.DUMMYFUNCTION("GOOGLETRANSLATE(B13231,""id"",""en"")"),"['Promo', 'buy', 'Telkomsel']")</f>
        <v>['Promo', 'buy', 'Telkomsel']</v>
      </c>
      <c r="D13231" s="3">
        <v>3.0</v>
      </c>
    </row>
    <row r="13232" ht="15.75" customHeight="1">
      <c r="A13232" s="1">
        <v>14307.0</v>
      </c>
      <c r="B13232" s="3" t="s">
        <v>12512</v>
      </c>
      <c r="C13232" s="3" t="str">
        <f>IFERROR(__xludf.DUMMYFUNCTION("GOOGLETRANSLATE(B13232,""id"",""en"")"),"['slow', 'entry', 'in the future', 'Increase', 'Longin', 'tekomelu', 'lalot']")</f>
        <v>['slow', 'entry', 'in the future', 'Increase', 'Longin', 'tekomelu', 'lalot']</v>
      </c>
      <c r="D13232" s="3">
        <v>4.0</v>
      </c>
    </row>
    <row r="13233" ht="15.75" customHeight="1">
      <c r="A13233" s="1">
        <v>14308.0</v>
      </c>
      <c r="B13233" s="3" t="s">
        <v>12513</v>
      </c>
      <c r="C13233" s="3" t="str">
        <f>IFERROR(__xludf.DUMMYFUNCTION("GOOGLETRANSLATE(B13233,""id"",""en"")"),"['signal', 'missing', 'direct', 'edge', 'najiss']")</f>
        <v>['signal', 'missing', 'direct', 'edge', 'najiss']</v>
      </c>
      <c r="D13233" s="3">
        <v>1.0</v>
      </c>
    </row>
    <row r="13234" ht="15.75" customHeight="1">
      <c r="A13234" s="1">
        <v>14310.0</v>
      </c>
      <c r="B13234" s="3" t="s">
        <v>12514</v>
      </c>
      <c r="C13234" s="3" t="str">
        <f>IFERROR(__xludf.DUMMYFUNCTION("GOOGLETRANSLATE(B13234,""id"",""en"")"),"['happy', 'telkosel']")</f>
        <v>['happy', 'telkosel']</v>
      </c>
      <c r="D13234" s="3">
        <v>5.0</v>
      </c>
    </row>
    <row r="13235" ht="15.75" customHeight="1">
      <c r="A13235" s="1">
        <v>14311.0</v>
      </c>
      <c r="B13235" s="3" t="s">
        <v>800</v>
      </c>
      <c r="C13235" s="3" t="str">
        <f>IFERROR(__xludf.DUMMYFUNCTION("GOOGLETRANSLATE(B13235,""id"",""en"")"),"['Promo']")</f>
        <v>['Promo']</v>
      </c>
      <c r="D13235" s="3">
        <v>5.0</v>
      </c>
    </row>
    <row r="13236" ht="15.75" customHeight="1">
      <c r="A13236" s="1">
        <v>14312.0</v>
      </c>
      <c r="B13236" s="3" t="s">
        <v>12515</v>
      </c>
      <c r="C13236" s="3" t="str">
        <f>IFERROR(__xludf.DUMMYFUNCTION("GOOGLETRANSLATE(B13236,""id"",""en"")"),"['signal', 'good', 'right', 'play', 'game', 'legg', 'regret', 'make', 'Telkomsel', 'package', 'already', 'expensive', ' network ',' no ',' telkom ',' nk ',' chapter ',' ']")</f>
        <v>['signal', 'good', 'right', 'play', 'game', 'legg', 'regret', 'make', 'Telkomsel', 'package', 'already', 'expensive', ' network ',' no ',' telkom ',' nk ',' chapter ',' ']</v>
      </c>
      <c r="D13236" s="3">
        <v>1.0</v>
      </c>
    </row>
    <row r="13237" ht="15.75" customHeight="1">
      <c r="A13237" s="1">
        <v>14313.0</v>
      </c>
      <c r="B13237" s="3" t="s">
        <v>12516</v>
      </c>
      <c r="C13237" s="3" t="str">
        <f>IFERROR(__xludf.DUMMYFUNCTION("GOOGLETRANSLATE(B13237,""id"",""en"")"),"['card', 'expensive', 'doang', 'network', 'take care', 'ngelag', 'mulu', 'network', 'Please', 'sorry', 'repair', 'just', ' Play ',' mobile ',' Legend ',' lag ',' Apasih ',' It's better ',' card ', ""]")</f>
        <v>['card', 'expensive', 'doang', 'network', 'take care', 'ngelag', 'mulu', 'network', 'Please', 'sorry', 'repair', 'just', ' Play ',' mobile ',' Legend ',' lag ',' Apasih ',' It's better ',' card ', "]</v>
      </c>
      <c r="D13237" s="3">
        <v>1.0</v>
      </c>
    </row>
    <row r="13238" ht="15.75" customHeight="1">
      <c r="A13238" s="1">
        <v>14314.0</v>
      </c>
      <c r="B13238" s="3" t="s">
        <v>12517</v>
      </c>
      <c r="C13238" s="3" t="str">
        <f>IFERROR(__xludf.DUMMYFUNCTION("GOOGLETRANSLATE(B13238,""id"",""en"")"),"['Telkom', 'content', 'pulse', 'promo', 'cheap', 'Telkomsel', 'please', 'Telkomsel', 'responding', 'move', 'axis',' ugly ',' TPI ',' cheap ',' promo ',' expensive ',' promo ']")</f>
        <v>['Telkom', 'content', 'pulse', 'promo', 'cheap', 'Telkomsel', 'please', 'Telkomsel', 'responding', 'move', 'axis',' ugly ',' TPI ',' cheap ',' promo ',' expensive ',' promo ']</v>
      </c>
      <c r="D13238" s="3">
        <v>1.0</v>
      </c>
    </row>
    <row r="13239" ht="15.75" customHeight="1">
      <c r="A13239" s="1">
        <v>14315.0</v>
      </c>
      <c r="B13239" s="3" t="s">
        <v>12518</v>
      </c>
      <c r="C13239" s="3" t="str">
        <f>IFERROR(__xludf.DUMMYFUNCTION("GOOGLETRANSLATE(B13239,""id"",""en"")"),"['hope', 'Hepong', 'uuh', '']")</f>
        <v>['hope', 'Hepong', 'uuh', '']</v>
      </c>
      <c r="D13239" s="3">
        <v>5.0</v>
      </c>
    </row>
    <row r="13240" ht="15.75" customHeight="1">
      <c r="A13240" s="1">
        <v>14316.0</v>
      </c>
      <c r="B13240" s="3" t="s">
        <v>12519</v>
      </c>
      <c r="C13240" s="3" t="str">
        <f>IFERROR(__xludf.DUMMYFUNCTION("GOOGLETRANSLATE(B13240,""id"",""en"")"),"['love', 'promo', 'package', 'cheap']")</f>
        <v>['love', 'promo', 'package', 'cheap']</v>
      </c>
      <c r="D13240" s="3">
        <v>5.0</v>
      </c>
    </row>
    <row r="13241" ht="15.75" customHeight="1">
      <c r="A13241" s="1">
        <v>14317.0</v>
      </c>
      <c r="B13241" s="3" t="s">
        <v>12520</v>
      </c>
      <c r="C13241" s="3" t="str">
        <f>IFERROR(__xludf.DUMMYFUNCTION("GOOGLETRANSLATE(B13241,""id"",""en"")"),"['Open', 'Telkomsel', 'Open']")</f>
        <v>['Open', 'Telkomsel', 'Open']</v>
      </c>
      <c r="D13241" s="3">
        <v>3.0</v>
      </c>
    </row>
    <row r="13242" ht="15.75" customHeight="1">
      <c r="A13242" s="1">
        <v>14318.0</v>
      </c>
      <c r="B13242" s="3" t="s">
        <v>12521</v>
      </c>
      <c r="C13242" s="3" t="str">
        <f>IFERROR(__xludf.DUMMYFUNCTION("GOOGLETRANSLATE(B13242,""id"",""en"")"),"['Convenience', 'smooth']")</f>
        <v>['Convenience', 'smooth']</v>
      </c>
      <c r="D13242" s="3">
        <v>5.0</v>
      </c>
    </row>
    <row r="13243" ht="15.75" customHeight="1">
      <c r="A13243" s="1">
        <v>14319.0</v>
      </c>
      <c r="B13243" s="3" t="s">
        <v>12522</v>
      </c>
      <c r="C13243" s="3" t="str">
        <f>IFERROR(__xludf.DUMMYFUNCTION("GOOGLETRANSLATE(B13243,""id"",""en"")"),"['Error', 'Telkomsel', 'buy', 'Package', '']")</f>
        <v>['Error', 'Telkomsel', 'buy', 'Package', '']</v>
      </c>
      <c r="D13243" s="3">
        <v>5.0</v>
      </c>
    </row>
    <row r="13244" ht="15.75" customHeight="1">
      <c r="A13244" s="1">
        <v>14320.0</v>
      </c>
      <c r="B13244" s="3" t="s">
        <v>12523</v>
      </c>
      <c r="C13244" s="3" t="str">
        <f>IFERROR(__xludf.DUMMYFUNCTION("GOOGLETRANSLATE(B13244,""id"",""en"")"),"['Affordable', 'Purchase', 'Credit']")</f>
        <v>['Affordable', 'Purchase', 'Credit']</v>
      </c>
      <c r="D13244" s="3">
        <v>5.0</v>
      </c>
    </row>
    <row r="13245" ht="15.75" customHeight="1">
      <c r="A13245" s="1">
        <v>14321.0</v>
      </c>
      <c r="B13245" s="3" t="s">
        <v>12524</v>
      </c>
      <c r="C13245" s="3" t="str">
        <f>IFERROR(__xludf.DUMMYFUNCTION("GOOGLETRANSLATE(B13245,""id"",""en"")"),"['Dear', 'Telkomsel', 'Please', 'checked', 'repaired', 'as soon as possible', 'Condition', 'Network', 'Region', 'Village', 'Ragemanunggal', 'Kec', ' Setu ',' County ',' Bekasi ',' often ',' signal ',' dead ',' lights', 'detrimental', 'Please', 'His seriou"&amp;"sness',' Thank you ']")</f>
        <v>['Dear', 'Telkomsel', 'Please', 'checked', 'repaired', 'as soon as possible', 'Condition', 'Network', 'Region', 'Village', 'Ragemanunggal', 'Kec', ' Setu ',' County ',' Bekasi ',' often ',' signal ',' dead ',' lights', 'detrimental', 'Please', 'His seriousness',' Thank you ']</v>
      </c>
      <c r="D13245" s="3">
        <v>1.0</v>
      </c>
    </row>
    <row r="13246" ht="15.75" customHeight="1">
      <c r="A13246" s="1">
        <v>14322.0</v>
      </c>
      <c r="B13246" s="3" t="s">
        <v>12525</v>
      </c>
      <c r="C13246" s="3" t="str">
        <f>IFERROR(__xludf.DUMMYFUNCTION("GOOGLETRANSLATE(B13246,""id"",""en"")"),"['', 'deh', 'play', 'game', 'make', 'Telkomsel', 'severe', 'lag', 'thought', 'card', 'the fastest', 'nge', 'lag ']")</f>
        <v>['', 'deh', 'play', 'game', 'make', 'Telkomsel', 'severe', 'lag', 'thought', 'card', 'the fastest', 'nge', 'lag ']</v>
      </c>
      <c r="D13246" s="3">
        <v>1.0</v>
      </c>
    </row>
    <row r="13247" ht="15.75" customHeight="1">
      <c r="A13247" s="1">
        <v>14323.0</v>
      </c>
      <c r="B13247" s="3" t="s">
        <v>12526</v>
      </c>
      <c r="C13247" s="3" t="str">
        <f>IFERROR(__xludf.DUMMYFUNCTION("GOOGLETRANSLATE(B13247,""id"",""en"")"),"['signal', 'bad', 'package', 'expensive', 'signal', 'Kura', '']")</f>
        <v>['signal', 'bad', 'package', 'expensive', 'signal', 'Kura', '']</v>
      </c>
      <c r="D13247" s="3">
        <v>1.0</v>
      </c>
    </row>
    <row r="13248" ht="15.75" customHeight="1">
      <c r="A13248" s="1">
        <v>14325.0</v>
      </c>
      <c r="B13248" s="3" t="s">
        <v>12527</v>
      </c>
      <c r="C13248" s="3" t="str">
        <f>IFERROR(__xludf.DUMMYFUNCTION("GOOGLETRANSLATE(B13248,""id"",""en"")"),"['Come on', 'Download', 'Application', 'MyTelkomsel', 'Easy', 'Check', 'Credit', 'CEX', 'Package', 'Abis',' Credit ',' Abis', ' package ',' stay ',' buy ',' application ',' home ',' fill ',' debit ',' finance ',' Linkaja ',' Ovo ',' funds', 'Shopeepay', '"&amp;"Alfamart' , 'Debit', 'card', 'credit', 'easy', '']")</f>
        <v>['Come on', 'Download', 'Application', 'MyTelkomsel', 'Easy', 'Check', 'Credit', 'CEX', 'Package', 'Abis',' Credit ',' Abis', ' package ',' stay ',' buy ',' application ',' home ',' fill ',' debit ',' finance ',' Linkaja ',' Ovo ',' funds', 'Shopeepay', 'Alfamart' , 'Debit', 'card', 'credit', 'easy', '']</v>
      </c>
      <c r="D13248" s="3">
        <v>4.0</v>
      </c>
    </row>
    <row r="13249" ht="15.75" customHeight="1">
      <c r="A13249" s="1">
        <v>14326.0</v>
      </c>
      <c r="B13249" s="3" t="s">
        <v>4797</v>
      </c>
      <c r="C13249" s="3" t="str">
        <f>IFERROR(__xludf.DUMMYFUNCTION("GOOGLETRANSLATE(B13249,""id"",""en"")"),"['I hope this helps']")</f>
        <v>['I hope this helps']</v>
      </c>
      <c r="D13249" s="3">
        <v>2.0</v>
      </c>
    </row>
    <row r="13250" ht="15.75" customHeight="1">
      <c r="A13250" s="1">
        <v>14327.0</v>
      </c>
      <c r="B13250" s="3" t="s">
        <v>2691</v>
      </c>
      <c r="C13250" s="3" t="str">
        <f>IFERROR(__xludf.DUMMYFUNCTION("GOOGLETRANSLATE(B13250,""id"",""en"")"),"['Good', 'Increase']")</f>
        <v>['Good', 'Increase']</v>
      </c>
      <c r="D13250" s="3">
        <v>5.0</v>
      </c>
    </row>
    <row r="13251" ht="15.75" customHeight="1">
      <c r="A13251" s="1">
        <v>14328.0</v>
      </c>
      <c r="B13251" s="3" t="s">
        <v>12528</v>
      </c>
      <c r="C13251" s="3" t="str">
        <f>IFERROR(__xludf.DUMMYFUNCTION("GOOGLETRANSLATE(B13251,""id"",""en"")"),"['please', 'package', 'expensive', 'signal', 'kyak', 'prime', 'next door', 'electricity', 'dead', 'ngilan', ""]")</f>
        <v>['please', 'package', 'expensive', 'signal', 'kyak', 'prime', 'next door', 'electricity', 'dead', 'ngilan', "]</v>
      </c>
      <c r="D13251" s="3">
        <v>2.0</v>
      </c>
    </row>
    <row r="13252" ht="15.75" customHeight="1">
      <c r="A13252" s="1">
        <v>14329.0</v>
      </c>
      <c r="B13252" s="3" t="s">
        <v>12529</v>
      </c>
      <c r="C13252" s="3" t="str">
        <f>IFERROR(__xludf.DUMMYFUNCTION("GOOGLETRANSLATE(B13252,""id"",""en"")"),"['regret', 'replace', 'card', 'slow', 'in place', 'stay', 'mending', 'replace', 'card', 'yesterday', 'Perhagusin', 'network', ' Source ',' Rahayu ',' Tower ',' Live ',' Lemot ',' Palagi ',' Dead ',' Lights', 'Super', 'Slow', 'Season', 'Sometimes',' ']")</f>
        <v>['regret', 'replace', 'card', 'slow', 'in place', 'stay', 'mending', 'replace', 'card', 'yesterday', 'Perhagusin', 'network', ' Source ',' Rahayu ',' Tower ',' Live ',' Lemot ',' Palagi ',' Dead ',' Lights', 'Super', 'Slow', 'Season', 'Sometimes',' ']</v>
      </c>
      <c r="D13252" s="3">
        <v>1.0</v>
      </c>
    </row>
    <row r="13253" ht="15.75" customHeight="1">
      <c r="A13253" s="1">
        <v>14330.0</v>
      </c>
      <c r="B13253" s="3" t="s">
        <v>12530</v>
      </c>
      <c r="C13253" s="3" t="str">
        <f>IFERROR(__xludf.DUMMYFUNCTION("GOOGLETRANSLATE(B13253,""id"",""en"")"),"['Quality', 'Internet', 'Bad']")</f>
        <v>['Quality', 'Internet', 'Bad']</v>
      </c>
      <c r="D13253" s="3">
        <v>1.0</v>
      </c>
    </row>
    <row r="13254" ht="15.75" customHeight="1">
      <c r="A13254" s="1">
        <v>14331.0</v>
      </c>
      <c r="B13254" s="3" t="s">
        <v>12531</v>
      </c>
      <c r="C13254" s="3" t="str">
        <f>IFERROR(__xludf.DUMMYFUNCTION("GOOGLETRANSLATE(B13254,""id"",""en"")"),"['Please', 'Lighty', 'Application', 'Class',' Telkomsel ',' Access', 'Enter', 'Kayak', 'Heavy', 'Very', 'Network', 'Okay', ' Spec ',' POCOX ',' spec ',' entered ',' like ',' heavy ',' really ',' already ',' report ',' Please ',' be patient ',' satisfactio"&amp;"n ',' service ' , 'customer satisfaction', '']")</f>
        <v>['Please', 'Lighty', 'Application', 'Class',' Telkomsel ',' Access', 'Enter', 'Kayak', 'Heavy', 'Very', 'Network', 'Okay', ' Spec ',' POCOX ',' spec ',' entered ',' like ',' heavy ',' really ',' already ',' report ',' Please ',' be patient ',' satisfaction ',' service ' , 'customer satisfaction', '']</v>
      </c>
      <c r="D13254" s="3">
        <v>1.0</v>
      </c>
    </row>
    <row r="13255" ht="15.75" customHeight="1">
      <c r="A13255" s="1">
        <v>14332.0</v>
      </c>
      <c r="B13255" s="3" t="s">
        <v>12532</v>
      </c>
      <c r="C13255" s="3" t="str">
        <f>IFERROR(__xludf.DUMMYFUNCTION("GOOGLETRANSLATE(B13255,""id"",""en"")"),"['Telkomsel', 'deleted', 'happy']")</f>
        <v>['Telkomsel', 'deleted', 'happy']</v>
      </c>
      <c r="D13255" s="3">
        <v>1.0</v>
      </c>
    </row>
    <row r="13256" ht="15.75" customHeight="1">
      <c r="A13256" s="1">
        <v>14333.0</v>
      </c>
      <c r="B13256" s="3" t="s">
        <v>5445</v>
      </c>
      <c r="C13256" s="3" t="str">
        <f>IFERROR(__xludf.DUMMYFUNCTION("GOOGLETRANSLATE(B13256,""id"",""en"")"),"['fast']")</f>
        <v>['fast']</v>
      </c>
      <c r="D13256" s="3">
        <v>5.0</v>
      </c>
    </row>
    <row r="13257" ht="15.75" customHeight="1">
      <c r="A13257" s="1">
        <v>14334.0</v>
      </c>
      <c r="B13257" s="3" t="s">
        <v>12533</v>
      </c>
      <c r="C13257" s="3" t="str">
        <f>IFERROR(__xludf.DUMMYFUNCTION("GOOGLETRANSLATE(B13257,""id"",""en"")"),"['sgt', 'help']")</f>
        <v>['sgt', 'help']</v>
      </c>
      <c r="D13257" s="3">
        <v>5.0</v>
      </c>
    </row>
    <row r="13258" ht="15.75" customHeight="1">
      <c r="A13258" s="1">
        <v>14335.0</v>
      </c>
      <c r="B13258" s="3" t="s">
        <v>12534</v>
      </c>
      <c r="C13258" s="3" t="str">
        <f>IFERROR(__xludf.DUMMYFUNCTION("GOOGLETRANSLATE(B13258,""id"",""en"")"),"['Hello', 'Sis',' users', 'Telkomsel', 'Thun', 'Please', 'Price', 'Package', 'Data', 'Lower', 'Sis',' Please ',' Sorry ',' Compare ',' Network ',' Different ',' Price ',' Sis', 'Network', 'Difficult', 'Please', 'Telkomsel', 'Concessing', 'Society']")</f>
        <v>['Hello', 'Sis',' users', 'Telkomsel', 'Thun', 'Please', 'Price', 'Package', 'Data', 'Lower', 'Sis',' Please ',' Sorry ',' Compare ',' Network ',' Different ',' Price ',' Sis', 'Network', 'Difficult', 'Please', 'Telkomsel', 'Concessing', 'Society']</v>
      </c>
      <c r="D13258" s="3">
        <v>3.0</v>
      </c>
    </row>
    <row r="13259" ht="15.75" customHeight="1">
      <c r="A13259" s="1">
        <v>14336.0</v>
      </c>
      <c r="B13259" s="3" t="s">
        <v>12535</v>
      </c>
      <c r="C13259" s="3" t="str">
        <f>IFERROR(__xludf.DUMMYFUNCTION("GOOGLETRANSLATE(B13259,""id"",""en"")"),"['promo', 'system', 'error', 'mulu', 'poor']")</f>
        <v>['promo', 'system', 'error', 'mulu', 'poor']</v>
      </c>
      <c r="D13259" s="3">
        <v>1.0</v>
      </c>
    </row>
    <row r="13260" ht="15.75" customHeight="1">
      <c r="A13260" s="1">
        <v>14337.0</v>
      </c>
      <c r="B13260" s="3" t="s">
        <v>12536</v>
      </c>
      <c r="C13260" s="3" t="str">
        <f>IFERROR(__xludf.DUMMYFUNCTION("GOOGLETRANSLATE(B13260,""id"",""en"")"),"['Provider', 'Cool']")</f>
        <v>['Provider', 'Cool']</v>
      </c>
      <c r="D13260" s="3">
        <v>5.0</v>
      </c>
    </row>
    <row r="13261" ht="15.75" customHeight="1">
      <c r="A13261" s="1">
        <v>14338.0</v>
      </c>
      <c r="B13261" s="3" t="s">
        <v>12537</v>
      </c>
      <c r="C13261" s="3" t="str">
        <f>IFERROR(__xludf.DUMMYFUNCTION("GOOGLETRANSLATE(B13261,""id"",""en"")"),"['mind', 'see', 'buy', 'pulse', 'doang', 'balance', 'enter', 'refresh']")</f>
        <v>['mind', 'see', 'buy', 'pulse', 'doang', 'balance', 'enter', 'refresh']</v>
      </c>
      <c r="D13261" s="3">
        <v>1.0</v>
      </c>
    </row>
    <row r="13262" ht="15.75" customHeight="1">
      <c r="A13262" s="1">
        <v>14341.0</v>
      </c>
      <c r="B13262" s="3" t="s">
        <v>12538</v>
      </c>
      <c r="C13262" s="3" t="str">
        <f>IFERROR(__xludf.DUMMYFUNCTION("GOOGLETRANSLATE(B13262,""id"",""en"")"),"['', 'Telkomsel', 'good', 'easy']")</f>
        <v>['', 'Telkomsel', 'good', 'easy']</v>
      </c>
      <c r="D13262" s="3">
        <v>5.0</v>
      </c>
    </row>
    <row r="13263" ht="15.75" customHeight="1">
      <c r="A13263" s="1">
        <v>14342.0</v>
      </c>
      <c r="B13263" s="3" t="s">
        <v>12539</v>
      </c>
      <c r="C13263" s="3" t="str">
        <f>IFERROR(__xludf.DUMMYFUNCTION("GOOGLETRANSLATE(B13263,""id"",""en"")"),"['app', 'difficult', 'opened', 'hrs', 'uninstall', 'trs', 'install', 'open', 'app']")</f>
        <v>['app', 'difficult', 'opened', 'hrs', 'uninstall', 'trs', 'install', 'open', 'app']</v>
      </c>
      <c r="D13263" s="3">
        <v>1.0</v>
      </c>
    </row>
    <row r="13264" ht="15.75" customHeight="1">
      <c r="A13264" s="1">
        <v>14343.0</v>
      </c>
      <c r="B13264" s="3" t="s">
        <v>12540</v>
      </c>
      <c r="C13264" s="3" t="str">
        <f>IFERROR(__xludf.DUMMYFUNCTION("GOOGLETRANSLATE(B13264,""id"",""en"")"),"['price', 'expensive', 'network', 'taekkk', 'mending', 'use', 'provider', 'sengesal', 'stengah', 'mamposss',' use ',' Telkomsel ',' ']")</f>
        <v>['price', 'expensive', 'network', 'taekkk', 'mending', 'use', 'provider', 'sengesal', 'stengah', 'mamposss',' use ',' Telkomsel ',' ']</v>
      </c>
      <c r="D13264" s="3">
        <v>1.0</v>
      </c>
    </row>
    <row r="13265" ht="15.75" customHeight="1">
      <c r="A13265" s="1">
        <v>14344.0</v>
      </c>
      <c r="B13265" s="3" t="s">
        <v>12541</v>
      </c>
      <c r="C13265" s="3" t="str">
        <f>IFERROR(__xludf.DUMMYFUNCTION("GOOGLETRANSLATE(B13265,""id"",""en"")"),"['wooii', 'how', 'Nijingg', 'quota', 'cave', 'leftover', 'GB', 'right', 'internet', 'pulse', 'sucked', 'pulse', ' Sucked ',' Nijingg ',' Provider ',' taeek ']")</f>
        <v>['wooii', 'how', 'Nijingg', 'quota', 'cave', 'leftover', 'GB', 'right', 'internet', 'pulse', 'sucked', 'pulse', ' Sucked ',' Nijingg ',' Provider ',' taeek ']</v>
      </c>
      <c r="D13265" s="3">
        <v>1.0</v>
      </c>
    </row>
    <row r="13266" ht="15.75" customHeight="1">
      <c r="A13266" s="1">
        <v>14345.0</v>
      </c>
      <c r="B13266" s="3" t="s">
        <v>12542</v>
      </c>
      <c r="C13266" s="3" t="str">
        <f>IFERROR(__xludf.DUMMYFUNCTION("GOOGLETRANSLATE(B13266,""id"",""en"")"),"['thank', 'love', 'Telkomsel', 'weve', 'mainstay', ""]")</f>
        <v>['thank', 'love', 'Telkomsel', 'weve', 'mainstay', "]</v>
      </c>
      <c r="D13266" s="3">
        <v>5.0</v>
      </c>
    </row>
    <row r="13267" ht="15.75" customHeight="1">
      <c r="A13267" s="1">
        <v>14346.0</v>
      </c>
      <c r="B13267" s="3" t="s">
        <v>6227</v>
      </c>
      <c r="C13267" s="3" t="str">
        <f>IFERROR(__xludf.DUMMYFUNCTION("GOOGLETRANSLATE(B13267,""id"",""en"")"),"['', 'steady']")</f>
        <v>['', 'steady']</v>
      </c>
      <c r="D13267" s="3">
        <v>5.0</v>
      </c>
    </row>
    <row r="13268" ht="15.75" customHeight="1">
      <c r="A13268" s="1">
        <v>14347.0</v>
      </c>
      <c r="B13268" s="3" t="s">
        <v>12543</v>
      </c>
      <c r="C13268" s="3" t="str">
        <f>IFERROR(__xludf.DUMMYFUNCTION("GOOGLETRANSLATE(B13268,""id"",""en"")"),"['', 'love', 'star']")</f>
        <v>['', 'love', 'star']</v>
      </c>
      <c r="D13268" s="3">
        <v>2.0</v>
      </c>
    </row>
    <row r="13269" ht="15.75" customHeight="1">
      <c r="A13269" s="1">
        <v>14348.0</v>
      </c>
      <c r="B13269" s="3" t="s">
        <v>10092</v>
      </c>
      <c r="C13269" s="3" t="str">
        <f>IFERROR(__xludf.DUMMYFUNCTION("GOOGLETRANSLATE(B13269,""id"",""en"")"),"['Satisfied', 'Application', 'Telkomsel']")</f>
        <v>['Satisfied', 'Application', 'Telkomsel']</v>
      </c>
      <c r="D13269" s="3">
        <v>5.0</v>
      </c>
    </row>
    <row r="13270" ht="15.75" customHeight="1">
      <c r="A13270" s="1">
        <v>14349.0</v>
      </c>
      <c r="B13270" s="3" t="s">
        <v>12544</v>
      </c>
      <c r="C13270" s="3" t="str">
        <f>IFERROR(__xludf.DUMMYFUNCTION("GOOGLETRANSLATE(B13270,""id"",""en"")"),"['Network', 'bad', 'please', 'fix', '']")</f>
        <v>['Network', 'bad', 'please', 'fix', '']</v>
      </c>
      <c r="D13270" s="3">
        <v>5.0</v>
      </c>
    </row>
    <row r="13271" ht="15.75" customHeight="1">
      <c r="A13271" s="1">
        <v>14350.0</v>
      </c>
      <c r="B13271" s="3" t="s">
        <v>12545</v>
      </c>
      <c r="C13271" s="3" t="str">
        <f>IFERROR(__xludf.DUMMYFUNCTION("GOOGLETRANSLATE(B13271,""id"",""en"")"),"['Lally', 'promo', 'cheap']")</f>
        <v>['Lally', 'promo', 'cheap']</v>
      </c>
      <c r="D13271" s="3">
        <v>5.0</v>
      </c>
    </row>
    <row r="13272" ht="15.75" customHeight="1">
      <c r="A13272" s="1">
        <v>14351.0</v>
      </c>
      <c r="B13272" s="3" t="s">
        <v>12546</v>
      </c>
      <c r="C13272" s="3" t="str">
        <f>IFERROR(__xludf.DUMMYFUNCTION("GOOGLETRANSLATE(B13272,""id"",""en"")"),"['Quality', 'Signal', 'Telkomsel', 'Cengkareng', 'Jak', 'Bar', 'Bad']")</f>
        <v>['Quality', 'Signal', 'Telkomsel', 'Cengkareng', 'Jak', 'Bar', 'Bad']</v>
      </c>
      <c r="D13272" s="3">
        <v>2.0</v>
      </c>
    </row>
    <row r="13273" ht="15.75" customHeight="1">
      <c r="A13273" s="1">
        <v>14352.0</v>
      </c>
      <c r="B13273" s="3" t="s">
        <v>1514</v>
      </c>
      <c r="C13273" s="3" t="str">
        <f>IFERROR(__xludf.DUMMYFUNCTION("GOOGLETRANSLATE(B13273,""id"",""en"")"),"['Lally', 'promo']")</f>
        <v>['Lally', 'promo']</v>
      </c>
      <c r="D13273" s="3">
        <v>5.0</v>
      </c>
    </row>
    <row r="13274" ht="15.75" customHeight="1">
      <c r="A13274" s="1">
        <v>14353.0</v>
      </c>
      <c r="B13274" s="3" t="s">
        <v>12547</v>
      </c>
      <c r="C13274" s="3" t="str">
        <f>IFERROR(__xludf.DUMMYFUNCTION("GOOGLETRANSLATE(B13274,""id"",""en"")"),"['Topp', 'gave', 'car']")</f>
        <v>['Topp', 'gave', 'car']</v>
      </c>
      <c r="D13274" s="3">
        <v>5.0</v>
      </c>
    </row>
    <row r="13275" ht="15.75" customHeight="1">
      <c r="A13275" s="1">
        <v>14354.0</v>
      </c>
      <c r="B13275" s="3" t="s">
        <v>1165</v>
      </c>
      <c r="C13275" s="3" t="str">
        <f>IFERROR(__xludf.DUMMYFUNCTION("GOOGLETRANSLATE(B13275,""id"",""en"")"),"['Application', 'steady']")</f>
        <v>['Application', 'steady']</v>
      </c>
      <c r="D13275" s="3">
        <v>5.0</v>
      </c>
    </row>
    <row r="13276" ht="15.75" customHeight="1">
      <c r="A13276" s="1">
        <v>14355.0</v>
      </c>
      <c r="B13276" s="3" t="s">
        <v>12548</v>
      </c>
      <c r="C13276" s="3" t="str">
        <f>IFERROR(__xludf.DUMMYFUNCTION("GOOGLETRANSLATE(B13276,""id"",""en"")"),"['Easy', 'CPAT']")</f>
        <v>['Easy', 'CPAT']</v>
      </c>
      <c r="D13276" s="3">
        <v>5.0</v>
      </c>
    </row>
    <row r="13277" ht="15.75" customHeight="1">
      <c r="A13277" s="1">
        <v>14356.0</v>
      </c>
      <c r="B13277" s="3" t="s">
        <v>12549</v>
      </c>
      <c r="C13277" s="3" t="str">
        <f>IFERROR(__xludf.DUMMYFUNCTION("GOOGLETRANSLATE(B13277,""id"",""en"")"),"['devastating', 'Paying', 'Purchase']")</f>
        <v>['devastating', 'Paying', 'Purchase']</v>
      </c>
      <c r="D13277" s="3">
        <v>2.0</v>
      </c>
    </row>
    <row r="13278" ht="15.75" customHeight="1">
      <c r="A13278" s="1">
        <v>14357.0</v>
      </c>
      <c r="B13278" s="3" t="s">
        <v>12550</v>
      </c>
      <c r="C13278" s="3" t="str">
        <f>IFERROR(__xludf.DUMMYFUNCTION("GOOGLETRANSLATE(B13278,""id"",""en"")"),"['signal', 'sympathy', 'chaotic', 'ugly']")</f>
        <v>['signal', 'sympathy', 'chaotic', 'ugly']</v>
      </c>
      <c r="D13278" s="3">
        <v>3.0</v>
      </c>
    </row>
    <row r="13279" ht="15.75" customHeight="1">
      <c r="A13279" s="1">
        <v>14358.0</v>
      </c>
      <c r="B13279" s="3" t="s">
        <v>12551</v>
      </c>
      <c r="C13279" s="3" t="str">
        <f>IFERROR(__xludf.DUMMYFUNCTION("GOOGLETRANSLATE(B13279,""id"",""en"")"),"['application', 'Top', 'easy', 'gift', 'amieen', 'Allah', ""]")</f>
        <v>['application', 'Top', 'easy', 'gift', 'amieen', 'Allah', "]</v>
      </c>
      <c r="D13279" s="3">
        <v>5.0</v>
      </c>
    </row>
    <row r="13280" ht="15.75" customHeight="1">
      <c r="A13280" s="1">
        <v>14359.0</v>
      </c>
      <c r="B13280" s="3" t="s">
        <v>12552</v>
      </c>
      <c r="C13280" s="3" t="str">
        <f>IFERROR(__xludf.DUMMYFUNCTION("GOOGLETRANSLATE(B13280,""id"",""en"")"),"['multiply', 'promo']")</f>
        <v>['multiply', 'promo']</v>
      </c>
      <c r="D13280" s="3">
        <v>5.0</v>
      </c>
    </row>
    <row r="13281" ht="15.75" customHeight="1">
      <c r="A13281" s="1">
        <v>14360.0</v>
      </c>
      <c r="B13281" s="3" t="s">
        <v>12553</v>
      </c>
      <c r="C13281" s="3" t="str">
        <f>IFERROR(__xludf.DUMMYFUNCTION("GOOGLETRANSLATE(B13281,""id"",""en"")"),"['Points', 'users', 'Telkomsel', 'Sedesa', 'Points', 'Points', 'Reset', 'Points', 'I mean', 'discovered', 'smart']")</f>
        <v>['Points', 'users', 'Telkomsel', 'Sedesa', 'Points', 'Points', 'Reset', 'Points', 'I mean', 'discovered', 'smart']</v>
      </c>
      <c r="D13281" s="3">
        <v>5.0</v>
      </c>
    </row>
    <row r="13282" ht="15.75" customHeight="1">
      <c r="A13282" s="1">
        <v>14361.0</v>
      </c>
      <c r="B13282" s="3" t="s">
        <v>12554</v>
      </c>
      <c r="C13282" s="3" t="str">
        <f>IFERROR(__xludf.DUMMYFUNCTION("GOOGLETRANSLATE(B13282,""id"",""en"")"),"['Disappointed', 'Sumatran', 'South', 'City', 'Unlimited']")</f>
        <v>['Disappointed', 'Sumatran', 'South', 'City', 'Unlimited']</v>
      </c>
      <c r="D13282" s="3">
        <v>2.0</v>
      </c>
    </row>
    <row r="13283" ht="15.75" customHeight="1">
      <c r="A13283" s="1">
        <v>14362.0</v>
      </c>
      <c r="B13283" s="3" t="s">
        <v>12555</v>
      </c>
      <c r="C13283" s="3" t="str">
        <f>IFERROR(__xludf.DUMMYFUNCTION("GOOGLETRANSLATE(B13283,""id"",""en"")"),"['Telkomsel', 'smooth', 'Jaya', '']")</f>
        <v>['Telkomsel', 'smooth', 'Jaya', '']</v>
      </c>
      <c r="D13283" s="3">
        <v>4.0</v>
      </c>
    </row>
    <row r="13284" ht="15.75" customHeight="1">
      <c r="A13284" s="1">
        <v>14363.0</v>
      </c>
      <c r="B13284" s="3" t="s">
        <v>12556</v>
      </c>
      <c r="C13284" s="3" t="str">
        <f>IFERROR(__xludf.DUMMYFUNCTION("GOOGLETRANSLATE(B13284,""id"",""en"")"),"['', 'Bngt', 'Anyway']")</f>
        <v>['', 'Bngt', 'Anyway']</v>
      </c>
      <c r="D13284" s="3">
        <v>5.0</v>
      </c>
    </row>
    <row r="13285" ht="15.75" customHeight="1">
      <c r="A13285" s="1">
        <v>14364.0</v>
      </c>
      <c r="B13285" s="3" t="s">
        <v>1775</v>
      </c>
      <c r="C13285" s="3" t="str">
        <f>IFERROR(__xludf.DUMMYFUNCTION("GOOGLETRANSLATE(B13285,""id"",""en"")"),"['Yes', '']")</f>
        <v>['Yes', '']</v>
      </c>
      <c r="D13285" s="3">
        <v>5.0</v>
      </c>
    </row>
    <row r="13286" ht="15.75" customHeight="1">
      <c r="A13286" s="1">
        <v>14365.0</v>
      </c>
      <c r="B13286" s="3" t="s">
        <v>12557</v>
      </c>
      <c r="C13286" s="3" t="str">
        <f>IFERROR(__xludf.DUMMYFUNCTION("GOOGLETRANSLATE(B13286,""id"",""en"")"),"['Signal', 'Telkomsel', 'Ngapa', 'What's',' Abis', 'Maghrib', 'Signal', 'Slow', 'Watch', 'YouTube', 'Play', 'Game', ' lag ',' please ',' fix ',' area ',' banyumas']")</f>
        <v>['Signal', 'Telkomsel', 'Ngapa', 'What's',' Abis', 'Maghrib', 'Signal', 'Slow', 'Watch', 'YouTube', 'Play', 'Game', ' lag ',' please ',' fix ',' area ',' banyumas']</v>
      </c>
      <c r="D13286" s="3">
        <v>1.0</v>
      </c>
    </row>
    <row r="13287" ht="15.75" customHeight="1">
      <c r="A13287" s="1">
        <v>14366.0</v>
      </c>
      <c r="B13287" s="3" t="s">
        <v>2264</v>
      </c>
      <c r="C13287" s="3" t="str">
        <f>IFERROR(__xludf.DUMMYFUNCTION("GOOGLETRANSLATE(B13287,""id"",""en"")"),"['APK', 'good']")</f>
        <v>['APK', 'good']</v>
      </c>
      <c r="D13287" s="3">
        <v>5.0</v>
      </c>
    </row>
    <row r="13288" ht="15.75" customHeight="1">
      <c r="A13288" s="1">
        <v>14367.0</v>
      </c>
      <c r="B13288" s="3" t="s">
        <v>12558</v>
      </c>
      <c r="C13288" s="3" t="str">
        <f>IFERROR(__xludf.DUMMYFUNCTION("GOOGLETRANSLATE(B13288,""id"",""en"")"),"['assalamu', 'alaikum', 'thank', 'love', 'present', 'Telkomsel', 'convenience', 'transaction', 'easy', 'cheap', 'trusted']")</f>
        <v>['assalamu', 'alaikum', 'thank', 'love', 'present', 'Telkomsel', 'convenience', 'transaction', 'easy', 'cheap', 'trusted']</v>
      </c>
      <c r="D13288" s="3">
        <v>5.0</v>
      </c>
    </row>
    <row r="13289" ht="15.75" customHeight="1">
      <c r="A13289" s="1">
        <v>14368.0</v>
      </c>
      <c r="B13289" s="3" t="s">
        <v>12559</v>
      </c>
      <c r="C13289" s="3" t="str">
        <f>IFERROR(__xludf.DUMMYFUNCTION("GOOGLETRANSLATE(B13289,""id"",""en"")"),"['loss',' loss', 'member', 'Costumer', 'fill', 'reset', 'it's easy', 'really', 'tension', 'hehehe', 'super', 'duper', ' The network is', 'minus',' really ']")</f>
        <v>['loss',' loss', 'member', 'Costumer', 'fill', 'reset', 'it's easy', 'really', 'tension', 'hehehe', 'super', 'duper', ' The network is', 'minus',' really ']</v>
      </c>
      <c r="D13289" s="3">
        <v>5.0</v>
      </c>
    </row>
    <row r="13290" ht="15.75" customHeight="1">
      <c r="A13290" s="1">
        <v>14369.0</v>
      </c>
      <c r="B13290" s="3" t="s">
        <v>12560</v>
      </c>
      <c r="C13290" s="3" t="str">
        <f>IFERROR(__xludf.DUMMYFUNCTION("GOOGLETRANSLATE(B13290,""id"",""en"")"),"['bad']")</f>
        <v>['bad']</v>
      </c>
      <c r="D13290" s="3">
        <v>5.0</v>
      </c>
    </row>
    <row r="13291" ht="15.75" customHeight="1">
      <c r="A13291" s="1">
        <v>14370.0</v>
      </c>
      <c r="B13291" s="3" t="s">
        <v>6686</v>
      </c>
      <c r="C13291" s="3" t="str">
        <f>IFERROR(__xludf.DUMMYFUNCTION("GOOGLETRANSLATE(B13291,""id"",""en"")"),"['application', 'easy']")</f>
        <v>['application', 'easy']</v>
      </c>
      <c r="D13291" s="3">
        <v>5.0</v>
      </c>
    </row>
    <row r="13292" ht="15.75" customHeight="1">
      <c r="A13292" s="1">
        <v>14371.0</v>
      </c>
      <c r="B13292" s="3" t="s">
        <v>12561</v>
      </c>
      <c r="C13292" s="3" t="str">
        <f>IFERROR(__xludf.DUMMYFUNCTION("GOOGLETRANSLATE(B13292,""id"",""en"")"),"['Come', 'network', 'slow', 'missing', 'times',' org ',' skrng ',' search ',' livelihood ',' internet ',' company ',' BUMN ',' Offer ',' price ',' highest ',' Indonesia ',' service ',' Yng ',' bad ',' Yesterday ',' okay ',' reason ',' disorder ',' technic"&amp;"al ',' Udh ' , 'Moon', 'repairs', 'please', 'repaired', ""]")</f>
        <v>['Come', 'network', 'slow', 'missing', 'times',' org ',' skrng ',' search ',' livelihood ',' internet ',' company ',' BUMN ',' Offer ',' price ',' highest ',' Indonesia ',' service ',' Yng ',' bad ',' Yesterday ',' okay ',' reason ',' disorder ',' technical ',' Udh ' , 'Moon', 'repairs', 'please', 'repaired', "]</v>
      </c>
      <c r="D13292" s="3">
        <v>1.0</v>
      </c>
    </row>
    <row r="13293" ht="15.75" customHeight="1">
      <c r="A13293" s="1">
        <v>14372.0</v>
      </c>
      <c r="B13293" s="3" t="s">
        <v>12562</v>
      </c>
      <c r="C13293" s="3" t="str">
        <f>IFERROR(__xludf.DUMMYFUNCTION("GOOGLETRANSLATE(B13293,""id"",""en"")"),"['Buy', 'Credit', 'Direct', 'Reduced', 'Blom', 'Packagein', 'UDH', 'Decreasing', 'The Pilling', 'Theft', 'Smooth', 'Couples',' buy ',' card ',' high school ',' kyak ',' like ']")</f>
        <v>['Buy', 'Credit', 'Direct', 'Reduced', 'Blom', 'Packagein', 'UDH', 'Decreasing', 'The Pilling', 'Theft', 'Smooth', 'Couples',' buy ',' card ',' high school ',' kyak ',' like ']</v>
      </c>
      <c r="D13293" s="3">
        <v>1.0</v>
      </c>
    </row>
    <row r="13294" ht="15.75" customHeight="1">
      <c r="A13294" s="1">
        <v>14373.0</v>
      </c>
      <c r="B13294" s="3" t="s">
        <v>12563</v>
      </c>
      <c r="C13294" s="3" t="str">
        <f>IFERROR(__xludf.DUMMYFUNCTION("GOOGLETRANSLATE(B13294,""id"",""en"")"),"['easy', 'cheap', 'package', 'promo', 'level']")</f>
        <v>['easy', 'cheap', 'package', 'promo', 'level']</v>
      </c>
      <c r="D13294" s="3">
        <v>5.0</v>
      </c>
    </row>
    <row r="13295" ht="15.75" customHeight="1">
      <c r="A13295" s="1">
        <v>14374.0</v>
      </c>
      <c r="B13295" s="3" t="s">
        <v>12564</v>
      </c>
      <c r="C13295" s="3" t="str">
        <f>IFERROR(__xludf.DUMMYFUNCTION("GOOGLETRANSLATE(B13295,""id"",""en"")"),"['Benerin', 'Sinyal', 'ugly', 'expensive', 'pulse', 'Cut', 'Network', 'ugly', 'expensive']")</f>
        <v>['Benerin', 'Sinyal', 'ugly', 'expensive', 'pulse', 'Cut', 'Network', 'ugly', 'expensive']</v>
      </c>
      <c r="D13295" s="3">
        <v>1.0</v>
      </c>
    </row>
    <row r="13296" ht="15.75" customHeight="1">
      <c r="A13296" s="1">
        <v>14375.0</v>
      </c>
      <c r="B13296" s="3" t="s">
        <v>12565</v>
      </c>
      <c r="C13296" s="3" t="str">
        <f>IFERROR(__xludf.DUMMYFUNCTION("GOOGLETRANSLATE(B13296,""id"",""en"")"),"['Thanks', 'promo', 'Telkomsel', 'Best']")</f>
        <v>['Thanks', 'promo', 'Telkomsel', 'Best']</v>
      </c>
      <c r="D13296" s="3">
        <v>5.0</v>
      </c>
    </row>
    <row r="13297" ht="15.75" customHeight="1">
      <c r="A13297" s="1">
        <v>14376.0</v>
      </c>
      <c r="B13297" s="3" t="s">
        <v>12566</v>
      </c>
      <c r="C13297" s="3" t="str">
        <f>IFERROR(__xludf.DUMMYFUNCTION("GOOGLETRANSLATE(B13297,""id"",""en"")"),"['use', 'Telkomsel', 'profitable', 'provider', 'customer', 'customer', 'valuable', 'quality', 'network', 'internet', 'detrimental', 'customer', ' Thinking ',' customers', 'customers',' need ',' quality ',' internet ',' good ',' support ',' profession ',' "&amp;"businessman ',' world ',' market ',' Place ' , 'slow', 'signal', 'hijrah', 'provider', 'fix', 'quality', 'network', 'customer', 'switch', ""]")</f>
        <v>['use', 'Telkomsel', 'profitable', 'provider', 'customer', 'customer', 'valuable', 'quality', 'network', 'internet', 'detrimental', 'customer', ' Thinking ',' customers', 'customers',' need ',' quality ',' internet ',' good ',' support ',' profession ',' businessman ',' world ',' market ',' Place ' , 'slow', 'signal', 'hijrah', 'provider', 'fix', 'quality', 'network', 'customer', 'switch', "]</v>
      </c>
      <c r="D13297" s="3">
        <v>1.0</v>
      </c>
    </row>
    <row r="13298" ht="15.75" customHeight="1">
      <c r="A13298" s="1">
        <v>14377.0</v>
      </c>
      <c r="B13298" s="3" t="s">
        <v>12567</v>
      </c>
      <c r="C13298" s="3" t="str">
        <f>IFERROR(__xludf.DUMMYFUNCTION("GOOGLETRANSLATE(B13298,""id"",""en"")"),"['use', 'application', 'buy', 'pulse', 'package', 'internet', '']")</f>
        <v>['use', 'application', 'buy', 'pulse', 'package', 'internet', '']</v>
      </c>
      <c r="D13298" s="3">
        <v>1.0</v>
      </c>
    </row>
    <row r="13299" ht="15.75" customHeight="1">
      <c r="A13299" s="1">
        <v>14378.0</v>
      </c>
      <c r="B13299" s="3" t="s">
        <v>12568</v>
      </c>
      <c r="C13299" s="3" t="str">
        <f>IFERROR(__xludf.DUMMYFUNCTION("GOOGLETRANSLATE(B13299,""id"",""en"")"),"['already', 'expensive', 'cook', 'signal', 'ilang', 'ujan', 'slow', 'provider', 'best', 'BUMN', 'slow', 'mending' replace ',' cave ']")</f>
        <v>['already', 'expensive', 'cook', 'signal', 'ilang', 'ujan', 'slow', 'provider', 'best', 'BUMN', 'slow', 'mending' replace ',' cave ']</v>
      </c>
      <c r="D13299" s="3">
        <v>1.0</v>
      </c>
    </row>
    <row r="13300" ht="15.75" customHeight="1">
      <c r="A13300" s="1">
        <v>14379.0</v>
      </c>
      <c r="B13300" s="3" t="s">
        <v>12569</v>
      </c>
      <c r="C13300" s="3" t="str">
        <f>IFERROR(__xludf.DUMMYFUNCTION("GOOGLETRANSLATE(B13300,""id"",""en"")"),"['signal', 'kurang', 'kayak', 'road', 'snail', 'really']")</f>
        <v>['signal', 'kurang', 'kayak', 'road', 'snail', 'really']</v>
      </c>
      <c r="D13300" s="3">
        <v>1.0</v>
      </c>
    </row>
    <row r="13301" ht="15.75" customHeight="1">
      <c r="A13301" s="1">
        <v>14380.0</v>
      </c>
      <c r="B13301" s="3" t="s">
        <v>12570</v>
      </c>
      <c r="C13301" s="3" t="str">
        <f>IFERROR(__xludf.DUMMYFUNCTION("GOOGLETRANSLATE(B13301,""id"",""en"")"),"['expensive', 'package', 'internet']")</f>
        <v>['expensive', 'package', 'internet']</v>
      </c>
      <c r="D13301" s="3">
        <v>3.0</v>
      </c>
    </row>
    <row r="13302" ht="15.75" customHeight="1">
      <c r="A13302" s="1">
        <v>14381.0</v>
      </c>
      <c r="B13302" s="3" t="s">
        <v>12571</v>
      </c>
      <c r="C13302" s="3" t="str">
        <f>IFERROR(__xludf.DUMMYFUNCTION("GOOGLETRANSLATE(B13302,""id"",""en"")"),"['signal', 'area', 'BURIK', 'please', 'fix', 'move', 'network', ""]")</f>
        <v>['signal', 'area', 'BURIK', 'please', 'fix', 'move', 'network', "]</v>
      </c>
      <c r="D13302" s="3">
        <v>1.0</v>
      </c>
    </row>
    <row r="13303" ht="15.75" customHeight="1">
      <c r="A13303" s="1">
        <v>14382.0</v>
      </c>
      <c r="B13303" s="3" t="s">
        <v>12572</v>
      </c>
      <c r="C13303" s="3" t="str">
        <f>IFERROR(__xludf.DUMMYFUNCTION("GOOGLETRANSLATE(B13303,""id"",""en"")"),"['signal', 'Telkomsel', 'ugly', 'lose', 'like', 'signal', 'good', '']")</f>
        <v>['signal', 'Telkomsel', 'ugly', 'lose', 'like', 'signal', 'good', '']</v>
      </c>
      <c r="D13303" s="3">
        <v>1.0</v>
      </c>
    </row>
    <row r="13304" ht="15.75" customHeight="1">
      <c r="A13304" s="1">
        <v>14383.0</v>
      </c>
      <c r="B13304" s="3" t="s">
        <v>12573</v>
      </c>
      <c r="C13304" s="3" t="str">
        <f>IFERROR(__xludf.DUMMYFUNCTION("GOOGLETRANSLATE(B13304,""id"",""en"")"),"['Telkomsel', 'sellu', 'heart']")</f>
        <v>['Telkomsel', 'sellu', 'heart']</v>
      </c>
      <c r="D13304" s="3">
        <v>5.0</v>
      </c>
    </row>
    <row r="13305" ht="15.75" customHeight="1">
      <c r="A13305" s="1">
        <v>14384.0</v>
      </c>
      <c r="B13305" s="3" t="s">
        <v>12574</v>
      </c>
      <c r="C13305" s="3" t="str">
        <f>IFERROR(__xludf.DUMMYFUNCTION("GOOGLETRANSLATE(B13305,""id"",""en"")"),"['Maintain', 'service', 'Customer']")</f>
        <v>['Maintain', 'service', 'Customer']</v>
      </c>
      <c r="D13305" s="3">
        <v>5.0</v>
      </c>
    </row>
    <row r="13306" ht="15.75" customHeight="1">
      <c r="A13306" s="1">
        <v>14385.0</v>
      </c>
      <c r="B13306" s="3" t="s">
        <v>12575</v>
      </c>
      <c r="C13306" s="3" t="str">
        <f>IFERROR(__xludf.DUMMYFUNCTION("GOOGLETRANSLATE(B13306,""id"",""en"")"),"['Network', 'good', 'meregala', 'weather', 'steady', 'Telkomsel', '']")</f>
        <v>['Network', 'good', 'meregala', 'weather', 'steady', 'Telkomsel', '']</v>
      </c>
      <c r="D13306" s="3">
        <v>5.0</v>
      </c>
    </row>
    <row r="13307" ht="15.75" customHeight="1">
      <c r="A13307" s="1">
        <v>14386.0</v>
      </c>
      <c r="B13307" s="3" t="s">
        <v>12576</v>
      </c>
      <c r="C13307" s="3" t="str">
        <f>IFERROR(__xludf.DUMMYFUNCTION("GOOGLETRANSLATE(B13307,""id"",""en"")"),"['yeah', 'Apply', 'Points']")</f>
        <v>['yeah', 'Apply', 'Points']</v>
      </c>
      <c r="D13307" s="3">
        <v>5.0</v>
      </c>
    </row>
    <row r="13308" ht="15.75" customHeight="1">
      <c r="A13308" s="1">
        <v>14387.0</v>
      </c>
      <c r="B13308" s="3" t="s">
        <v>12577</v>
      </c>
      <c r="C13308" s="3" t="str">
        <f>IFERROR(__xludf.DUMMYFUNCTION("GOOGLETRANSLATE(B13308,""id"",""en"")"),"['Good', 'really', 'the application', 'help']")</f>
        <v>['Good', 'really', 'the application', 'help']</v>
      </c>
      <c r="D13308" s="3">
        <v>5.0</v>
      </c>
    </row>
    <row r="13309" ht="15.75" customHeight="1">
      <c r="A13309" s="1">
        <v>14388.0</v>
      </c>
      <c r="B13309" s="3" t="s">
        <v>12578</v>
      </c>
      <c r="C13309" s="3" t="str">
        <f>IFERROR(__xludf.DUMMYFUNCTION("GOOGLETRANSLATE(B13309,""id"",""en"")"),"['Telkomsel', 'how', 'signal', 'internet', 'NOT', 'good', 'Severe', 'stable', 'really', 'signal', 'work', 'lost', ' Sinya ',' parahhhhh ']")</f>
        <v>['Telkomsel', 'how', 'signal', 'internet', 'NOT', 'good', 'Severe', 'stable', 'really', 'signal', 'work', 'lost', ' Sinya ',' parahhhhh ']</v>
      </c>
      <c r="D13309" s="3">
        <v>1.0</v>
      </c>
    </row>
    <row r="13310" ht="15.75" customHeight="1">
      <c r="A13310" s="1">
        <v>14389.0</v>
      </c>
      <c r="B13310" s="3" t="s">
        <v>12579</v>
      </c>
      <c r="C13310" s="3" t="str">
        <f>IFERROR(__xludf.DUMMYFUNCTION("GOOGLETRANSLATE(B13310,""id"",""en"")"),"['Good', 'Banggyat', 'TOP', 'KOIY', 'GEM']")</f>
        <v>['Good', 'Banggyat', 'TOP', 'KOIY', 'GEM']</v>
      </c>
      <c r="D13310" s="3">
        <v>5.0</v>
      </c>
    </row>
    <row r="13311" ht="15.75" customHeight="1">
      <c r="A13311" s="1">
        <v>14390.0</v>
      </c>
      <c r="B13311" s="3" t="s">
        <v>12580</v>
      </c>
      <c r="C13311" s="3" t="str">
        <f>IFERROR(__xludf.DUMMYFUNCTION("GOOGLETRANSLATE(B13311,""id"",""en"")"),"['Turuni', 'price', 'package']")</f>
        <v>['Turuni', 'price', 'package']</v>
      </c>
      <c r="D13311" s="3">
        <v>5.0</v>
      </c>
    </row>
    <row r="13312" ht="15.75" customHeight="1">
      <c r="A13312" s="1">
        <v>14391.0</v>
      </c>
      <c r="B13312" s="3" t="s">
        <v>12581</v>
      </c>
      <c r="C13312" s="3" t="str">
        <f>IFERROR(__xludf.DUMMYFUNCTION("GOOGLETRANSLATE(B13312,""id"",""en"")"),"['APK', 'SNGAT', 'good', 'like']")</f>
        <v>['APK', 'SNGAT', 'good', 'like']</v>
      </c>
      <c r="D13312" s="3">
        <v>5.0</v>
      </c>
    </row>
    <row r="13313" ht="15.75" customHeight="1">
      <c r="A13313" s="1">
        <v>14392.0</v>
      </c>
      <c r="B13313" s="3" t="s">
        <v>2765</v>
      </c>
      <c r="C13313" s="3" t="str">
        <f>IFERROR(__xludf.DUMMYFUNCTION("GOOGLETRANSLATE(B13313,""id"",""en"")"),"['application', 'good', 'really']")</f>
        <v>['application', 'good', 'really']</v>
      </c>
      <c r="D13313" s="3">
        <v>5.0</v>
      </c>
    </row>
    <row r="13314" ht="15.75" customHeight="1">
      <c r="A13314" s="1">
        <v>14393.0</v>
      </c>
      <c r="B13314" s="3" t="s">
        <v>8489</v>
      </c>
      <c r="C13314" s="3" t="str">
        <f>IFERROR(__xludf.DUMMYFUNCTION("GOOGLETRANSLATE(B13314,""id"",""en"")"),"['convenience', 'user']")</f>
        <v>['convenience', 'user']</v>
      </c>
      <c r="D13314" s="3">
        <v>5.0</v>
      </c>
    </row>
    <row r="13315" ht="15.75" customHeight="1">
      <c r="A13315" s="1">
        <v>14394.0</v>
      </c>
      <c r="B13315" s="3" t="s">
        <v>12582</v>
      </c>
      <c r="C13315" s="3" t="str">
        <f>IFERROR(__xludf.DUMMYFUNCTION("GOOGLETRANSLATE(B13315,""id"",""en"")"),"['Cool', 'love', 'package', 'promo', 'week', '']")</f>
        <v>['Cool', 'love', 'package', 'promo', 'week', '']</v>
      </c>
      <c r="D13315" s="3">
        <v>5.0</v>
      </c>
    </row>
    <row r="13316" ht="15.75" customHeight="1">
      <c r="A13316" s="1">
        <v>14395.0</v>
      </c>
      <c r="B13316" s="3" t="s">
        <v>12583</v>
      </c>
      <c r="C13316" s="3" t="str">
        <f>IFERROR(__xludf.DUMMYFUNCTION("GOOGLETRANSLATE(B13316,""id"",""en"")"),"['Slalu', 'appears',' promo ',' combo ',' Sakti ',' right ',' click ',' buy ',' BEH ',' KSeelll ',' mnding ',' promoin ',' Tlkomsel ',' CMA ',' show off ']")</f>
        <v>['Slalu', 'appears',' promo ',' combo ',' Sakti ',' right ',' click ',' buy ',' BEH ',' KSeelll ',' mnding ',' promoin ',' Tlkomsel ',' CMA ',' show off ']</v>
      </c>
      <c r="D13316" s="3">
        <v>1.0</v>
      </c>
    </row>
    <row r="13317" ht="15.75" customHeight="1">
      <c r="A13317" s="1">
        <v>14396.0</v>
      </c>
      <c r="B13317" s="3" t="s">
        <v>12584</v>
      </c>
      <c r="C13317" s="3" t="str">
        <f>IFERROR(__xludf.DUMMYFUNCTION("GOOGLETRANSLATE(B13317,""id"",""en"")"),"['hoax', 'package', 'cheerful', 'sucked', 'pulse', 'package']")</f>
        <v>['hoax', 'package', 'cheerful', 'sucked', 'pulse', 'package']</v>
      </c>
      <c r="D13317" s="3">
        <v>1.0</v>
      </c>
    </row>
    <row r="13318" ht="15.75" customHeight="1">
      <c r="A13318" s="1">
        <v>14397.0</v>
      </c>
      <c r="B13318" s="3" t="s">
        <v>12585</v>
      </c>
      <c r="C13318" s="3" t="str">
        <f>IFERROR(__xludf.DUMMYFUNCTION("GOOGLETRANSLATE(B13318,""id"",""en"")"),"['Region', 'Sousal', 'Good', 'Males',' Telkomsel ',' Package ',' Data ',' Expensive ',' SMS ',' Enter ',' Pinjol ',' Fraud ',' gambling ',' online ',' use ',' sms', 'enter', '']")</f>
        <v>['Region', 'Sousal', 'Good', 'Males',' Telkomsel ',' Package ',' Data ',' Expensive ',' SMS ',' Enter ',' Pinjol ',' Fraud ',' gambling ',' online ',' use ',' sms', 'enter', '']</v>
      </c>
      <c r="D13318" s="3">
        <v>1.0</v>
      </c>
    </row>
    <row r="13319" ht="15.75" customHeight="1">
      <c r="A13319" s="1">
        <v>14398.0</v>
      </c>
      <c r="B13319" s="3" t="s">
        <v>12586</v>
      </c>
      <c r="C13319" s="3" t="str">
        <f>IFERROR(__xludf.DUMMYFUNCTION("GOOGLETRANSLATE(B13319,""id"",""en"")"),"['Fix', 'system', 'speed', 'respond', 'love', ""]")</f>
        <v>['Fix', 'system', 'speed', 'respond', 'love', "]</v>
      </c>
      <c r="D13319" s="3">
        <v>1.0</v>
      </c>
    </row>
    <row r="13320" ht="15.75" customHeight="1">
      <c r="A13320" s="1">
        <v>14399.0</v>
      </c>
      <c r="B13320" s="3" t="s">
        <v>12587</v>
      </c>
      <c r="C13320" s="3" t="str">
        <f>IFERROR(__xludf.DUMMYFUNCTION("GOOGLETRANSLATE(B13320,""id"",""en"")"),"['subscribe']")</f>
        <v>['subscribe']</v>
      </c>
      <c r="D13320" s="3">
        <v>3.0</v>
      </c>
    </row>
    <row r="13321" ht="15.75" customHeight="1">
      <c r="A13321" s="1">
        <v>14400.0</v>
      </c>
      <c r="B13321" s="3" t="s">
        <v>12588</v>
      </c>
      <c r="C13321" s="3" t="str">
        <f>IFERROR(__xludf.DUMMYFUNCTION("GOOGLETRANSLATE(B13321,""id"",""en"")"),"['signal', 'Telkomsel', 'ugly', 'threat', 'severe', 'lgi', 'night']")</f>
        <v>['signal', 'Telkomsel', 'ugly', 'threat', 'severe', 'lgi', 'night']</v>
      </c>
      <c r="D13321" s="3">
        <v>2.0</v>
      </c>
    </row>
    <row r="13322" ht="15.75" customHeight="1">
      <c r="A13322" s="1">
        <v>14401.0</v>
      </c>
      <c r="B13322" s="3" t="s">
        <v>12589</v>
      </c>
      <c r="C13322" s="3" t="str">
        <f>IFERROR(__xludf.DUMMYFUNCTION("GOOGLETRANSLATE(B13322,""id"",""en"")"),"['APK', 'offline', 'online', 'no' pulse ',' package ',' see ']")</f>
        <v>['APK', 'offline', 'online', 'no' pulse ',' package ',' see ']</v>
      </c>
      <c r="D13322" s="3">
        <v>2.0</v>
      </c>
    </row>
    <row r="13323" ht="15.75" customHeight="1">
      <c r="A13323" s="1">
        <v>14402.0</v>
      </c>
      <c r="B13323" s="3" t="s">
        <v>12590</v>
      </c>
      <c r="C13323" s="3" t="str">
        <f>IFERROR(__xludf.DUMMYFUNCTION("GOOGLETRANSLATE(B13323,""id"",""en"")"),"['crazy', 'pulses',' sumps', 'data', 'cellular', 'turned on', 'love', 'setting', 'lock', 'pulse', 'axisnet', 'no', ' Changes', 'Fix', 'no', 'improvement', 'significant']")</f>
        <v>['crazy', 'pulses',' sumps', 'data', 'cellular', 'turned on', 'love', 'setting', 'lock', 'pulse', 'axisnet', 'no', ' Changes', 'Fix', 'no', 'improvement', 'significant']</v>
      </c>
      <c r="D13323" s="3">
        <v>1.0</v>
      </c>
    </row>
    <row r="13324" ht="15.75" customHeight="1">
      <c r="A13324" s="1">
        <v>14403.0</v>
      </c>
      <c r="B13324" s="3" t="s">
        <v>12591</v>
      </c>
      <c r="C13324" s="3" t="str">
        <f>IFERROR(__xludf.DUMMYFUNCTION("GOOGLETRANSLATE(B13324,""id"",""en"")"),"['Love', 'star', 'try']")</f>
        <v>['Love', 'star', 'try']</v>
      </c>
      <c r="D13324" s="3">
        <v>5.0</v>
      </c>
    </row>
    <row r="13325" ht="15.75" customHeight="1">
      <c r="A13325" s="1">
        <v>14404.0</v>
      </c>
      <c r="B13325" s="3" t="s">
        <v>1308</v>
      </c>
      <c r="C13325" s="3" t="str">
        <f>IFERROR(__xludf.DUMMYFUNCTION("GOOGLETRANSLATE(B13325,""id"",""en"")"),"['Application', 'Help']")</f>
        <v>['Application', 'Help']</v>
      </c>
      <c r="D13325" s="3">
        <v>5.0</v>
      </c>
    </row>
    <row r="13326" ht="15.75" customHeight="1">
      <c r="A13326" s="1">
        <v>14405.0</v>
      </c>
      <c r="B13326" s="3" t="s">
        <v>12592</v>
      </c>
      <c r="C13326" s="3" t="str">
        <f>IFERROR(__xludf.DUMMYFUNCTION("GOOGLETRANSLATE(B13326,""id"",""en"")"),"['dlu', 'key', 'network', 'mash', 'smooth', 'ngegame', 'knp', 'sekrang', 'smooth', 'ping', 'ms',' prasaa ',' The area ',' cave ',' bgtu ',' village ',' ']")</f>
        <v>['dlu', 'key', 'network', 'mash', 'smooth', 'ngegame', 'knp', 'sekrang', 'smooth', 'ping', 'ms',' prasaa ',' The area ',' cave ',' bgtu ',' village ',' ']</v>
      </c>
      <c r="D13326" s="3">
        <v>1.0</v>
      </c>
    </row>
    <row r="13327" ht="15.75" customHeight="1">
      <c r="A13327" s="1">
        <v>14406.0</v>
      </c>
      <c r="B13327" s="3" t="s">
        <v>12593</v>
      </c>
      <c r="C13327" s="3" t="str">
        <f>IFERROR(__xludf.DUMMYFUNCTION("GOOGLETRANSLATE(B13327,""id"",""en"")"),"['Ssya', 'family', 'users',' Telkomsel ',' TPI ',' Disappointed ',' Telkomsel ',' because of ',' network ',' slow ',' bngt ',' already ',' Contact ',' The answer ',' Wait ',' Tetep ',' Tetep ',' Tetep ',' Slow ',' It's Good ',' Move ',' Operator ',' Bener"&amp;" ',' Response ',' Telkomsel ' ]")</f>
        <v>['Ssya', 'family', 'users',' Telkomsel ',' TPI ',' Disappointed ',' Telkomsel ',' because of ',' network ',' slow ',' bngt ',' already ',' Contact ',' The answer ',' Wait ',' Tetep ',' Tetep ',' Tetep ',' Slow ',' It's Good ',' Move ',' Operator ',' Bener ',' Response ',' Telkomsel ' ]</v>
      </c>
      <c r="D13327" s="3">
        <v>1.0</v>
      </c>
    </row>
    <row r="13328" ht="15.75" customHeight="1">
      <c r="A13328" s="1">
        <v>14407.0</v>
      </c>
      <c r="B13328" s="3" t="s">
        <v>12594</v>
      </c>
      <c r="C13328" s="3" t="str">
        <f>IFERROR(__xludf.DUMMYFUNCTION("GOOGLETRANSLATE(B13328,""id"",""en"")"),"['signal', 'internet', 'Papua', 'ugly', 'really', 'smooth', 'hard', 'really', 'bln', 'signal', 'ugly', 'severe']")</f>
        <v>['signal', 'internet', 'Papua', 'ugly', 'really', 'smooth', 'hard', 'really', 'bln', 'signal', 'ugly', 'severe']</v>
      </c>
      <c r="D13328" s="3">
        <v>1.0</v>
      </c>
    </row>
    <row r="13329" ht="15.75" customHeight="1">
      <c r="A13329" s="1">
        <v>14408.0</v>
      </c>
      <c r="B13329" s="3" t="s">
        <v>12595</v>
      </c>
      <c r="C13329" s="3" t="str">
        <f>IFERROR(__xludf.DUMMYFUNCTION("GOOGLETRANSLATE(B13329,""id"",""en"")"),"['Telkomsel', 'Dihati', 'Wherever', 'Tennia', 'Described', 'Telkomsel', ""]")</f>
        <v>['Telkomsel', 'Dihati', 'Wherever', 'Tennia', 'Described', 'Telkomsel', "]</v>
      </c>
      <c r="D13329" s="3">
        <v>5.0</v>
      </c>
    </row>
    <row r="13330" ht="15.75" customHeight="1">
      <c r="A13330" s="1">
        <v>14409.0</v>
      </c>
      <c r="B13330" s="3" t="s">
        <v>12596</v>
      </c>
      <c r="C13330" s="3" t="str">
        <f>IFERROR(__xludf.DUMMYFUNCTION("GOOGLETRANSLATE(B13330,""id"",""en"")"),"['Network', 'Kek', 'expensive', 'doang', 'lose', 'card', ""]")</f>
        <v>['Network', 'Kek', 'expensive', 'doang', 'lose', 'card', "]</v>
      </c>
      <c r="D13330" s="3">
        <v>1.0</v>
      </c>
    </row>
    <row r="13331" ht="15.75" customHeight="1">
      <c r="A13331" s="1">
        <v>14410.0</v>
      </c>
      <c r="B13331" s="3" t="s">
        <v>12597</v>
      </c>
      <c r="C13331" s="3" t="str">
        <f>IFERROR(__xludf.DUMMYFUNCTION("GOOGLETRANSLATE(B13331,""id"",""en"")"),"['Package', 'OMG', 'ilang', '']")</f>
        <v>['Package', 'OMG', 'ilang', '']</v>
      </c>
      <c r="D13331" s="3">
        <v>1.0</v>
      </c>
    </row>
    <row r="13332" ht="15.75" customHeight="1">
      <c r="A13332" s="1">
        <v>14411.0</v>
      </c>
      <c r="B13332" s="3" t="s">
        <v>12598</v>
      </c>
      <c r="C13332" s="3" t="str">
        <f>IFERROR(__xludf.DUMMYFUNCTION("GOOGLETRANSLATE(B13332,""id"",""en"")"),"['I', 'buy', 'pulse', 'ilang', 'until', 'buy', 'package', 'active', 'data', 'sumps',' dancok ',' telkom ',' change']")</f>
        <v>['I', 'buy', 'pulse', 'ilang', 'until', 'buy', 'package', 'active', 'data', 'sumps',' dancok ',' telkom ',' change']</v>
      </c>
      <c r="D13332" s="3">
        <v>2.0</v>
      </c>
    </row>
    <row r="13333" ht="15.75" customHeight="1">
      <c r="A13333" s="1">
        <v>14412.0</v>
      </c>
      <c r="B13333" s="3" t="s">
        <v>12599</v>
      </c>
      <c r="C13333" s="3" t="str">
        <f>IFERROR(__xludf.DUMMYFUNCTION("GOOGLETRANSLATE(B13333,""id"",""en"")"),"['Disappointed', 'Telkomsel', 'expensive', 'ngak', 'cheap', 'kayak', 'gini', 'better', 'search', 'card', 'pagved', 'Telkomsel', ' Skrng ',' ']")</f>
        <v>['Disappointed', 'Telkomsel', 'expensive', 'ngak', 'cheap', 'kayak', 'gini', 'better', 'search', 'card', 'pagved', 'Telkomsel', ' Skrng ',' ']</v>
      </c>
      <c r="D13333" s="3">
        <v>1.0</v>
      </c>
    </row>
    <row r="13334" ht="15.75" customHeight="1">
      <c r="A13334" s="1">
        <v>14414.0</v>
      </c>
      <c r="B13334" s="3" t="s">
        <v>12600</v>
      </c>
      <c r="C13334" s="3" t="str">
        <f>IFERROR(__xludf.DUMMYFUNCTION("GOOGLETRANSLATE(B13334,""id"",""en"")"),"['', 'Telkomsel', 'Comfortable', 'dadmail']")</f>
        <v>['', 'Telkomsel', 'Comfortable', 'dadmail']</v>
      </c>
      <c r="D13334" s="3">
        <v>5.0</v>
      </c>
    </row>
    <row r="13335" ht="15.75" customHeight="1">
      <c r="A13335" s="1">
        <v>14415.0</v>
      </c>
      <c r="B13335" s="3" t="s">
        <v>12601</v>
      </c>
      <c r="C13335" s="3" t="str">
        <f>IFERROR(__xludf.DUMMYFUNCTION("GOOGLETRANSLATE(B13335,""id"",""en"")"),"['Telkomsel', 'pulse', 'truncated', 'package', 'active', 'internet', 'telephone', 'sms', 'comfortable', 'Telkomsel', 'many years', '']")</f>
        <v>['Telkomsel', 'pulse', 'truncated', 'package', 'active', 'internet', 'telephone', 'sms', 'comfortable', 'Telkomsel', 'many years', '']</v>
      </c>
      <c r="D13335" s="3">
        <v>1.0</v>
      </c>
    </row>
    <row r="13336" ht="15.75" customHeight="1">
      <c r="A13336" s="1">
        <v>14417.0</v>
      </c>
      <c r="B13336" s="3" t="s">
        <v>12602</v>
      </c>
      <c r="C13336" s="3" t="str">
        <f>IFERROR(__xludf.DUMMYFUNCTION("GOOGLETRANSLATE(B13336,""id"",""en"")"),"['TELKOM', 'Internet', 'quota', 'UDH', 'Pay', 'bills',' right ',' Daily ',' Chek ',' Open ',' Loading ',' Mulu ',' Wait ',' smpe ',' Please ',' Beraiiki ',' ']")</f>
        <v>['TELKOM', 'Internet', 'quota', 'UDH', 'Pay', 'bills',' right ',' Daily ',' Chek ',' Open ',' Loading ',' Mulu ',' Wait ',' smpe ',' Please ',' Beraiiki ',' ']</v>
      </c>
      <c r="D13336" s="3">
        <v>3.0</v>
      </c>
    </row>
    <row r="13337" ht="15.75" customHeight="1">
      <c r="A13337" s="1">
        <v>14418.0</v>
      </c>
      <c r="B13337" s="3" t="s">
        <v>12603</v>
      </c>
      <c r="C13337" s="3" t="str">
        <f>IFERROR(__xludf.DUMMYFUNCTION("GOOGLETRANSLATE(B13337,""id"",""en"")"),"['Please', 'quota', 'game', 'pakek', 'quota', 'main', 'min', 'please', '']")</f>
        <v>['Please', 'quota', 'game', 'pakek', 'quota', 'main', 'min', 'please', '']</v>
      </c>
      <c r="D13337" s="3">
        <v>1.0</v>
      </c>
    </row>
    <row r="13338" ht="15.75" customHeight="1">
      <c r="A13338" s="1">
        <v>14419.0</v>
      </c>
      <c r="B13338" s="3" t="s">
        <v>12604</v>
      </c>
      <c r="C13338" s="3" t="str">
        <f>IFERROR(__xludf.DUMMYFUNCTION("GOOGLETRANSLATE(B13338,""id"",""en"")"),"['', 'area', 'network', 'jammed', ""]")</f>
        <v>['', 'area', 'network', 'jammed', "]</v>
      </c>
      <c r="D13338" s="3">
        <v>5.0</v>
      </c>
    </row>
    <row r="13339" ht="15.75" customHeight="1">
      <c r="A13339" s="1">
        <v>14420.0</v>
      </c>
      <c r="B13339" s="3" t="s">
        <v>12605</v>
      </c>
      <c r="C13339" s="3" t="str">
        <f>IFERROR(__xludf.DUMMYFUNCTION("GOOGLETRANSLATE(B13339,""id"",""en"")"),"['', 'Install', 'effect', 'update', 'Android', 'Google', 'pixel', 'btw']")</f>
        <v>['', 'Install', 'effect', 'update', 'Android', 'Google', 'pixel', 'btw']</v>
      </c>
      <c r="D13339" s="3">
        <v>3.0</v>
      </c>
    </row>
    <row r="13340" ht="15.75" customHeight="1">
      <c r="A13340" s="1">
        <v>14421.0</v>
      </c>
      <c r="B13340" s="3" t="s">
        <v>12606</v>
      </c>
      <c r="C13340" s="3" t="str">
        <f>IFERROR(__xludf.DUMMYFUNCTION("GOOGLETRANSLATE(B13340,""id"",""en"")"),"['Telkomsel', 'expensive', 'NGasi', 'discount', 'package', 'internet', 'subscribe', 'th', 'mulu', 'okeyy', 'THS', '']")</f>
        <v>['Telkomsel', 'expensive', 'NGasi', 'discount', 'package', 'internet', 'subscribe', 'th', 'mulu', 'okeyy', 'THS', '']</v>
      </c>
      <c r="D13340" s="3">
        <v>5.0</v>
      </c>
    </row>
    <row r="13341" ht="15.75" customHeight="1">
      <c r="A13341" s="1">
        <v>14423.0</v>
      </c>
      <c r="B13341" s="3" t="s">
        <v>12607</v>
      </c>
      <c r="C13341" s="3" t="str">
        <f>IFERROR(__xludf.DUMMYFUNCTION("GOOGLETRANSLATE(B13341,""id"",""en"")"),"['Complete', 'choice', 'buy', 'Package']")</f>
        <v>['Complete', 'choice', 'buy', 'Package']</v>
      </c>
      <c r="D13341" s="3">
        <v>5.0</v>
      </c>
    </row>
    <row r="13342" ht="15.75" customHeight="1">
      <c r="A13342" s="1">
        <v>14424.0</v>
      </c>
      <c r="B13342" s="3" t="s">
        <v>1207</v>
      </c>
      <c r="C13342" s="3" t="str">
        <f>IFERROR(__xludf.DUMMYFUNCTION("GOOGLETRANSLATE(B13342,""id"",""en"")"),"['makes it easier', 'transaction']")</f>
        <v>['makes it easier', 'transaction']</v>
      </c>
      <c r="D13342" s="3">
        <v>5.0</v>
      </c>
    </row>
    <row r="13343" ht="15.75" customHeight="1">
      <c r="A13343" s="1">
        <v>14425.0</v>
      </c>
      <c r="B13343" s="3" t="s">
        <v>12608</v>
      </c>
      <c r="C13343" s="3" t="str">
        <f>IFERROR(__xludf.DUMMYFUNCTION("GOOGLETRANSLATE(B13343,""id"",""en"")"),"['Network', 'Telkomsel', 'Jellek', 'Main', 'Games', 'Jellek', 'Bener']")</f>
        <v>['Network', 'Telkomsel', 'Jellek', 'Main', 'Games', 'Jellek', 'Bener']</v>
      </c>
      <c r="D13343" s="3">
        <v>1.0</v>
      </c>
    </row>
    <row r="13344" ht="15.75" customHeight="1">
      <c r="A13344" s="1">
        <v>14426.0</v>
      </c>
      <c r="B13344" s="3" t="s">
        <v>12609</v>
      </c>
      <c r="C13344" s="3" t="str">
        <f>IFERROR(__xludf.DUMMYFUNCTION("GOOGLETRANSLATE(B13344,""id"",""en"")"),"['Cool', 'good', 'interesting', 'cheap']")</f>
        <v>['Cool', 'good', 'interesting', 'cheap']</v>
      </c>
      <c r="D13344" s="3">
        <v>5.0</v>
      </c>
    </row>
    <row r="13345" ht="15.75" customHeight="1">
      <c r="A13345" s="1">
        <v>14427.0</v>
      </c>
      <c r="B13345" s="3" t="s">
        <v>12610</v>
      </c>
      <c r="C13345" s="3" t="str">
        <f>IFERROR(__xludf.DUMMYFUNCTION("GOOGLETRANSLATE(B13345,""id"",""en"")"),"['application', 'gajelas',' promo ',' package ',' quota ',' udh ',' top ',' mlh ',' promo ',' ilang ',' top ',' mlh ',' 'ilang,' package ',' and above ',' deliberate ',' really ',' anjirr ']")</f>
        <v>['application', 'gajelas',' promo ',' package ',' quota ',' udh ',' top ',' mlh ',' promo ',' ilang ',' top ',' mlh ',' 'ilang,' package ',' and above ',' deliberate ',' really ',' anjirr ']</v>
      </c>
      <c r="D13345" s="3">
        <v>1.0</v>
      </c>
    </row>
    <row r="13346" ht="15.75" customHeight="1">
      <c r="A13346" s="1">
        <v>14428.0</v>
      </c>
      <c r="B13346" s="3" t="s">
        <v>12611</v>
      </c>
      <c r="C13346" s="3" t="str">
        <f>IFERROR(__xludf.DUMMYFUNCTION("GOOGLETRANSLATE(B13346,""id"",""en"")"),"['', 'opened', 'wifi', 'Mbps', 'streaming', 'smooth', 'open', 'application', 'loading']")</f>
        <v>['', 'opened', 'wifi', 'Mbps', 'streaming', 'smooth', 'open', 'application', 'loading']</v>
      </c>
      <c r="D13346" s="3">
        <v>1.0</v>
      </c>
    </row>
    <row r="13347" ht="15.75" customHeight="1">
      <c r="A13347" s="1">
        <v>14429.0</v>
      </c>
      <c r="B13347" s="3" t="s">
        <v>12612</v>
      </c>
      <c r="C13347" s="3" t="str">
        <f>IFERROR(__xludf.DUMMYFUNCTION("GOOGLETRANSLATE(B13347,""id"",""en"")"),"['Joss', 'crooooot', 'steady', ""]")</f>
        <v>['Joss', 'crooooot', 'steady', "]</v>
      </c>
      <c r="D13347" s="3">
        <v>5.0</v>
      </c>
    </row>
    <row r="13348" ht="15.75" customHeight="1">
      <c r="A13348" s="1">
        <v>14430.0</v>
      </c>
      <c r="B13348" s="3" t="s">
        <v>12613</v>
      </c>
      <c r="C13348" s="3" t="str">
        <f>IFERROR(__xludf.DUMMYFUNCTION("GOOGLETRANSLATE(B13348,""id"",""en"")"),"['Network', 'ugly', 'right', 'rain', '']")</f>
        <v>['Network', 'ugly', 'right', 'rain', '']</v>
      </c>
      <c r="D13348" s="3">
        <v>1.0</v>
      </c>
    </row>
    <row r="13349" ht="15.75" customHeight="1">
      <c r="A13349" s="1">
        <v>14431.0</v>
      </c>
      <c r="B13349" s="3" t="s">
        <v>12614</v>
      </c>
      <c r="C13349" s="3" t="str">
        <f>IFERROR(__xludf.DUMMYFUNCTION("GOOGLETRANSLATE(B13349,""id"",""en"")"),"['Agrees', 'Sara', 'Review']")</f>
        <v>['Agrees', 'Sara', 'Review']</v>
      </c>
      <c r="D13349" s="3">
        <v>5.0</v>
      </c>
    </row>
    <row r="13350" ht="15.75" customHeight="1">
      <c r="A13350" s="1">
        <v>14432.0</v>
      </c>
      <c r="B13350" s="3" t="s">
        <v>12615</v>
      </c>
      <c r="C13350" s="3" t="str">
        <f>IFERROR(__xludf.DUMMYFUNCTION("GOOGLETRANSLATE(B13350,""id"",""en"")"),"['coconut milk', 'help']")</f>
        <v>['coconut milk', 'help']</v>
      </c>
      <c r="D13350" s="3">
        <v>5.0</v>
      </c>
    </row>
    <row r="13351" ht="15.75" customHeight="1">
      <c r="A13351" s="1">
        <v>14433.0</v>
      </c>
      <c r="B13351" s="3" t="s">
        <v>12616</v>
      </c>
      <c r="C13351" s="3" t="str">
        <f>IFERROR(__xludf.DUMMYFUNCTION("GOOGLETRANSLATE(B13351,""id"",""en"")"),"['Application', 'cheap']")</f>
        <v>['Application', 'cheap']</v>
      </c>
      <c r="D13351" s="3">
        <v>5.0</v>
      </c>
    </row>
    <row r="13352" ht="15.75" customHeight="1">
      <c r="A13352" s="1">
        <v>14434.0</v>
      </c>
      <c r="B13352" s="3" t="s">
        <v>12617</v>
      </c>
      <c r="C13352" s="3" t="str">
        <f>IFERROR(__xludf.DUMMYFUNCTION("GOOGLETRANSLATE(B13352,""id"",""en"")"),"['signal', 'tydak', 'friendly']")</f>
        <v>['signal', 'tydak', 'friendly']</v>
      </c>
      <c r="D13352" s="3">
        <v>1.0</v>
      </c>
    </row>
    <row r="13353" ht="15.75" customHeight="1">
      <c r="A13353" s="1">
        <v>14435.0</v>
      </c>
      <c r="B13353" s="3" t="s">
        <v>12618</v>
      </c>
      <c r="C13353" s="3" t="str">
        <f>IFERROR(__xludf.DUMMYFUNCTION("GOOGLETRANSLATE(B13353,""id"",""en"")"),"['Information', 'package', 'quota', 'offered', 'page', 'application', 'MIS', 'offered', 'quota', 'bought', 'appears',' quota ',' quota ',' night ',' morning ', ""]")</f>
        <v>['Information', 'package', 'quota', 'offered', 'page', 'application', 'MIS', 'offered', 'quota', 'bought', 'appears',' quota ',' quota ',' night ',' morning ', "]</v>
      </c>
      <c r="D13353" s="3">
        <v>2.0</v>
      </c>
    </row>
    <row r="13354" ht="15.75" customHeight="1">
      <c r="A13354" s="1">
        <v>14436.0</v>
      </c>
      <c r="B13354" s="3" t="s">
        <v>12619</v>
      </c>
      <c r="C13354" s="3" t="str">
        <f>IFERROR(__xludf.DUMMYFUNCTION("GOOGLETRANSLATE(B13354,""id"",""en"")"),"['signal', 'rotten']")</f>
        <v>['signal', 'rotten']</v>
      </c>
      <c r="D13354" s="3">
        <v>2.0</v>
      </c>
    </row>
    <row r="13355" ht="15.75" customHeight="1">
      <c r="A13355" s="1">
        <v>14438.0</v>
      </c>
      <c r="B13355" s="3" t="s">
        <v>12620</v>
      </c>
      <c r="C13355" s="3" t="str">
        <f>IFERROR(__xludf.DUMMYFUNCTION("GOOGLETRANSLATE(B13355,""id"",""en"")"),"['Search', 'lucky', 'doang', 'pay attention', 'comfort', 'user', 'signal', '']")</f>
        <v>['Search', 'lucky', 'doang', 'pay attention', 'comfort', 'user', 'signal', '']</v>
      </c>
      <c r="D13355" s="3">
        <v>1.0</v>
      </c>
    </row>
    <row r="13356" ht="15.75" customHeight="1">
      <c r="A13356" s="1">
        <v>14439.0</v>
      </c>
      <c r="B13356" s="3" t="s">
        <v>12621</v>
      </c>
      <c r="C13356" s="3" t="str">
        <f>IFERROR(__xludf.DUMMYFUNCTION("GOOGLETRANSLATE(B13356,""id"",""en"")"),"['ugly', 'really', 'nii', 'Telkomsel', 'play', 'game', 'online', 'broken', 'picture', 'emotion', 'please', 'level', ' network ',' game ',' online ',' because ',' picture ',' broken ',' play ',' game ',' online ',' pesmobile ']")</f>
        <v>['ugly', 'really', 'nii', 'Telkomsel', 'play', 'game', 'online', 'broken', 'picture', 'emotion', 'please', 'level', ' network ',' game ',' online ',' because ',' picture ',' broken ',' play ',' game ',' online ',' pesmobile ']</v>
      </c>
      <c r="D13356" s="3">
        <v>5.0</v>
      </c>
    </row>
    <row r="13357" ht="15.75" customHeight="1">
      <c r="A13357" s="1">
        <v>14440.0</v>
      </c>
      <c r="B13357" s="3" t="s">
        <v>12622</v>
      </c>
      <c r="C13357" s="3" t="str">
        <f>IFERROR(__xludf.DUMMYFUNCTION("GOOGLETRANSLATE(B13357,""id"",""en"")"),"['ksh', 'promo', 'quota', 'expensive', '']")</f>
        <v>['ksh', 'promo', 'quota', 'expensive', '']</v>
      </c>
      <c r="D13357" s="3">
        <v>1.0</v>
      </c>
    </row>
    <row r="13358" ht="15.75" customHeight="1">
      <c r="A13358" s="1">
        <v>14441.0</v>
      </c>
      <c r="B13358" s="3" t="s">
        <v>12623</v>
      </c>
      <c r="C13358" s="3" t="str">
        <f>IFERROR(__xludf.DUMMYFUNCTION("GOOGLETRANSLATE(B13358,""id"",""en"")"),"['Network', 'Telkomsel', 'Severe', 'Come', 'Response', 'Developer', 'Loss',' Bandar ',' Pakek ',' Telkomsel ',' The Network ',' Response ',' emotions', 'doang']")</f>
        <v>['Network', 'Telkomsel', 'Severe', 'Come', 'Response', 'Developer', 'Loss',' Bandar ',' Pakek ',' Telkomsel ',' The Network ',' Response ',' emotions', 'doang']</v>
      </c>
      <c r="D13358" s="3">
        <v>5.0</v>
      </c>
    </row>
    <row r="13359" ht="15.75" customHeight="1">
      <c r="A13359" s="1">
        <v>14442.0</v>
      </c>
      <c r="B13359" s="3" t="s">
        <v>12624</v>
      </c>
      <c r="C13359" s="3" t="str">
        <f>IFERROR(__xludf.DUMMYFUNCTION("GOOGLETRANSLATE(B13359,""id"",""en"")"),"['signal', 'threat', 'stay', 'in the city', 'technology', 'sophisticated', 'provider', 'smooth', 'forward', 'Telkomsel', 'miss',' era ',' Providers', 'Telkomsel', 'Bagus',' Telkomsel ',' setbacks', 'management', 'creative', 'kah', 'provider', 'forget', 'p"&amp;"rovider', 'udh']")</f>
        <v>['signal', 'threat', 'stay', 'in the city', 'technology', 'sophisticated', 'provider', 'smooth', 'forward', 'Telkomsel', 'miss',' era ',' Providers', 'Telkomsel', 'Bagus',' Telkomsel ',' setbacks', 'management', 'creative', 'kah', 'provider', 'forget', 'provider', 'udh']</v>
      </c>
      <c r="D13359" s="3">
        <v>1.0</v>
      </c>
    </row>
    <row r="13360" ht="15.75" customHeight="1">
      <c r="A13360" s="1">
        <v>14443.0</v>
      </c>
      <c r="B13360" s="3" t="s">
        <v>12625</v>
      </c>
      <c r="C13360" s="3" t="str">
        <f>IFERROR(__xludf.DUMMYFUNCTION("GOOGLETRANSLATE(B13360,""id"",""en"")"),"['Lucky', 'Telkomsel', 'easy', 'buy', 'pulse', 'package', 'pay', 'bill', 'check', 'point', 'prize', ""]")</f>
        <v>['Lucky', 'Telkomsel', 'easy', 'buy', 'pulse', 'package', 'pay', 'bill', 'check', 'point', 'prize', "]</v>
      </c>
      <c r="D13360" s="3">
        <v>5.0</v>
      </c>
    </row>
    <row r="13361" ht="15.75" customHeight="1">
      <c r="A13361" s="1">
        <v>14444.0</v>
      </c>
      <c r="B13361" s="3" t="s">
        <v>12626</v>
      </c>
      <c r="C13361" s="3" t="str">
        <f>IFERROR(__xludf.DUMMYFUNCTION("GOOGLETRANSLATE(B13361,""id"",""en"")"),"['Current', 'Top', 'Up']")</f>
        <v>['Current', 'Top', 'Up']</v>
      </c>
      <c r="D13361" s="3">
        <v>5.0</v>
      </c>
    </row>
    <row r="13362" ht="15.75" customHeight="1">
      <c r="A13362" s="1">
        <v>14445.0</v>
      </c>
      <c r="B13362" s="3" t="s">
        <v>12627</v>
      </c>
      <c r="C13362" s="3" t="str">
        <f>IFERROR(__xludf.DUMMYFUNCTION("GOOGLETRANSLATE(B13362,""id"",""en"")"),"['Loading', 'area', 'hills']")</f>
        <v>['Loading', 'area', 'hills']</v>
      </c>
      <c r="D13362" s="3">
        <v>5.0</v>
      </c>
    </row>
    <row r="13363" ht="15.75" customHeight="1">
      <c r="A13363" s="1">
        <v>14446.0</v>
      </c>
      <c r="B13363" s="3" t="s">
        <v>12628</v>
      </c>
      <c r="C13363" s="3" t="str">
        <f>IFERROR(__xludf.DUMMYFUNCTION("GOOGLETRANSLATE(B13363,""id"",""en"")"),"['take', 'pulse']")</f>
        <v>['take', 'pulse']</v>
      </c>
      <c r="D13363" s="3">
        <v>1.0</v>
      </c>
    </row>
    <row r="13364" ht="15.75" customHeight="1">
      <c r="A13364" s="1">
        <v>14447.0</v>
      </c>
      <c r="B13364" s="3" t="s">
        <v>12629</v>
      </c>
      <c r="C13364" s="3" t="str">
        <f>IFERROR(__xludf.DUMMYFUNCTION("GOOGLETRANSLATE(B13364,""id"",""en"")"),"['Like', 'Application', 'Help', 'TPI', 'KLU', 'INLIMETIT', 'INTERNET', '']")</f>
        <v>['Like', 'Application', 'Help', 'TPI', 'KLU', 'INLIMETIT', 'INTERNET', '']</v>
      </c>
      <c r="D13364" s="3">
        <v>5.0</v>
      </c>
    </row>
    <row r="13365" ht="15.75" customHeight="1">
      <c r="A13365" s="1">
        <v>14448.0</v>
      </c>
      <c r="B13365" s="3" t="s">
        <v>12630</v>
      </c>
      <c r="C13365" s="3" t="str">
        <f>IFERROR(__xludf.DUMMYFUNCTION("GOOGLETRANSLATE(B13365,""id"",""en"")"),"['Star', 'because', 'Pilhan', 'star', 'love', 'star', 'APL', 'SBNR', 'already', 'old', 'already', 'senior', ' should be ',' experienced ',' disappointing ',' customers', 'package', 'disappointed', 'APL', 'win', 'old', 'doang', 'thank you']")</f>
        <v>['Star', 'because', 'Pilhan', 'star', 'love', 'star', 'APL', 'SBNR', 'already', 'old', 'already', 'senior', ' should be ',' experienced ',' disappointing ',' customers', 'package', 'disappointed', 'APL', 'win', 'old', 'doang', 'thank you']</v>
      </c>
      <c r="D13365" s="3">
        <v>1.0</v>
      </c>
    </row>
    <row r="13366" ht="15.75" customHeight="1">
      <c r="A13366" s="1">
        <v>14449.0</v>
      </c>
      <c r="B13366" s="3" t="s">
        <v>12631</v>
      </c>
      <c r="C13366" s="3" t="str">
        <f>IFERROR(__xludf.DUMMYFUNCTION("GOOGLETRANSLATE(B13366,""id"",""en"")"),"['Mantef', 'Seneng', 'skali']")</f>
        <v>['Mantef', 'Seneng', 'skali']</v>
      </c>
      <c r="D13366" s="3">
        <v>5.0</v>
      </c>
    </row>
    <row r="13367" ht="15.75" customHeight="1">
      <c r="A13367" s="1">
        <v>14450.0</v>
      </c>
      <c r="B13367" s="3" t="s">
        <v>12632</v>
      </c>
      <c r="C13367" s="3" t="str">
        <f>IFERROR(__xludf.DUMMYFUNCTION("GOOGLETRANSLATE(B13367,""id"",""en"")"),"['Applikasih', 'Help', 'just', 'Errr', 'Please', 'Notice', '']")</f>
        <v>['Applikasih', 'Help', 'just', 'Errr', 'Please', 'Notice', '']</v>
      </c>
      <c r="D13367" s="3">
        <v>3.0</v>
      </c>
    </row>
    <row r="13368" ht="15.75" customHeight="1">
      <c r="A13368" s="1">
        <v>14451.0</v>
      </c>
      <c r="B13368" s="3" t="s">
        <v>12633</v>
      </c>
      <c r="C13368" s="3" t="str">
        <f>IFERROR(__xludf.DUMMYFUNCTION("GOOGLETRANSLATE(B13368,""id"",""en"")"),"['mantaaap', 'Telkomsel', 'signal', 'strong', 'service', 'baguuss']")</f>
        <v>['mantaaap', 'Telkomsel', 'signal', 'strong', 'service', 'baguuss']</v>
      </c>
      <c r="D13368" s="3">
        <v>5.0</v>
      </c>
    </row>
    <row r="13369" ht="15.75" customHeight="1">
      <c r="A13369" s="1">
        <v>14452.0</v>
      </c>
      <c r="B13369" s="3" t="s">
        <v>12634</v>
      </c>
      <c r="C13369" s="3" t="str">
        <f>IFERROR(__xludf.DUMMYFUNCTION("GOOGLETRANSLATE(B13369,""id"",""en"")"),"['Satisfied', 'use', 'application', '']")</f>
        <v>['Satisfied', 'use', 'application', '']</v>
      </c>
      <c r="D13369" s="3">
        <v>4.0</v>
      </c>
    </row>
    <row r="13370" ht="15.75" customHeight="1">
      <c r="A13370" s="1">
        <v>14453.0</v>
      </c>
      <c r="B13370" s="3" t="s">
        <v>12635</v>
      </c>
      <c r="C13370" s="3" t="str">
        <f>IFERROR(__xludf.DUMMYFUNCTION("GOOGLETRANSLATE(B13370,""id"",""en"")"),"['application', 'steady', 'really', 'package', 'contents', 'pulse', 'joss']")</f>
        <v>['application', 'steady', 'really', 'package', 'contents', 'pulse', 'joss']</v>
      </c>
      <c r="D13370" s="3">
        <v>5.0</v>
      </c>
    </row>
    <row r="13371" ht="15.75" customHeight="1">
      <c r="A13371" s="1">
        <v>14454.0</v>
      </c>
      <c r="B13371" s="3" t="s">
        <v>12636</v>
      </c>
      <c r="C13371" s="3" t="str">
        <f>IFERROR(__xludf.DUMMYFUNCTION("GOOGLETRANSLATE(B13371,""id"",""en"")"),"['Buy', 'Package', 'Gamemax', 'Silver', 'Bonus', 'Enter']")</f>
        <v>['Buy', 'Package', 'Gamemax', 'Silver', 'Bonus', 'Enter']</v>
      </c>
      <c r="D13371" s="3">
        <v>1.0</v>
      </c>
    </row>
    <row r="13372" ht="15.75" customHeight="1">
      <c r="A13372" s="1">
        <v>14455.0</v>
      </c>
      <c r="B13372" s="3" t="s">
        <v>12637</v>
      </c>
      <c r="C13372" s="3" t="str">
        <f>IFERROR(__xludf.DUMMYFUNCTION("GOOGLETRANSLATE(B13372,""id"",""en"")"),"['Good', 'staple', 'I hope', 'Telkomsel', 'LGI', 'APK']")</f>
        <v>['Good', 'staple', 'I hope', 'Telkomsel', 'LGI', 'APK']</v>
      </c>
      <c r="D13372" s="3">
        <v>4.0</v>
      </c>
    </row>
    <row r="13373" ht="15.75" customHeight="1">
      <c r="A13373" s="1">
        <v>14456.0</v>
      </c>
      <c r="B13373" s="3" t="s">
        <v>12638</v>
      </c>
      <c r="C13373" s="3" t="str">
        <f>IFERROR(__xludf.DUMMYFUNCTION("GOOGLETRANSLATE(B13373,""id"",""en"")"),"['Network', 'Gift', 'Helpful']")</f>
        <v>['Network', 'Gift', 'Helpful']</v>
      </c>
      <c r="D13373" s="3">
        <v>4.0</v>
      </c>
    </row>
    <row r="13374" ht="15.75" customHeight="1">
      <c r="A13374" s="1">
        <v>14457.0</v>
      </c>
      <c r="B13374" s="3" t="s">
        <v>12639</v>
      </c>
      <c r="C13374" s="3" t="str">
        <f>IFERROR(__xludf.DUMMYFUNCTION("GOOGLETRANSLATE(B13374,""id"",""en"")"),"['purchase', 'cheap', 'byk', 'promo']")</f>
        <v>['purchase', 'cheap', 'byk', 'promo']</v>
      </c>
      <c r="D13374" s="3">
        <v>5.0</v>
      </c>
    </row>
    <row r="13375" ht="15.75" customHeight="1">
      <c r="A13375" s="1">
        <v>14458.0</v>
      </c>
      <c r="B13375" s="3" t="s">
        <v>707</v>
      </c>
      <c r="C13375" s="3" t="str">
        <f>IFERROR(__xludf.DUMMYFUNCTION("GOOGLETRANSLATE(B13375,""id"",""en"")"),"['inexpensive']")</f>
        <v>['inexpensive']</v>
      </c>
      <c r="D13375" s="3">
        <v>5.0</v>
      </c>
    </row>
    <row r="13376" ht="15.75" customHeight="1">
      <c r="A13376" s="1">
        <v>14459.0</v>
      </c>
      <c r="B13376" s="3" t="s">
        <v>12640</v>
      </c>
      <c r="C13376" s="3" t="str">
        <f>IFERROR(__xludf.DUMMYFUNCTION("GOOGLETRANSLATE(B13376,""id"",""en"")"),"['Network', 'battered']")</f>
        <v>['Network', 'battered']</v>
      </c>
      <c r="D13376" s="3">
        <v>1.0</v>
      </c>
    </row>
    <row r="13377" ht="15.75" customHeight="1">
      <c r="A13377" s="1">
        <v>14460.0</v>
      </c>
      <c r="B13377" s="3" t="s">
        <v>12641</v>
      </c>
      <c r="C13377" s="3" t="str">
        <f>IFERROR(__xludf.DUMMYFUNCTION("GOOGLETRANSLATE(B13377,""id"",""en"")"),"['Card', 'broken', 'Errr', 'Network', 'Bad']")</f>
        <v>['Card', 'broken', 'Errr', 'Network', 'Bad']</v>
      </c>
      <c r="D13377" s="3">
        <v>1.0</v>
      </c>
    </row>
    <row r="13378" ht="15.75" customHeight="1">
      <c r="A13378" s="1">
        <v>14461.0</v>
      </c>
      <c r="B13378" s="3" t="s">
        <v>12642</v>
      </c>
      <c r="C13378" s="3" t="str">
        <f>IFERROR(__xludf.DUMMYFUNCTION("GOOGLETRANSLATE(B13378,""id"",""en"")"),"['Manthap', 'it's easy', 'user', '']")</f>
        <v>['Manthap', 'it's easy', 'user', '']</v>
      </c>
      <c r="D13378" s="3">
        <v>5.0</v>
      </c>
    </row>
    <row r="13379" ht="15.75" customHeight="1">
      <c r="A13379" s="1">
        <v>14462.0</v>
      </c>
      <c r="B13379" s="3" t="s">
        <v>12643</v>
      </c>
      <c r="C13379" s="3" t="str">
        <f>IFERROR(__xludf.DUMMYFUNCTION("GOOGLETRANSLATE(B13379,""id"",""en"")"),"['APK', 'Bagus', 'NGK', 'Believe', 'Cobain']")</f>
        <v>['APK', 'Bagus', 'NGK', 'Believe', 'Cobain']</v>
      </c>
      <c r="D13379" s="3">
        <v>5.0</v>
      </c>
    </row>
    <row r="13380" ht="15.75" customHeight="1">
      <c r="A13380" s="1">
        <v>14463.0</v>
      </c>
      <c r="B13380" s="3" t="s">
        <v>12644</v>
      </c>
      <c r="C13380" s="3" t="str">
        <f>IFERROR(__xludf.DUMMYFUNCTION("GOOGLETRANSLATE(B13380,""id"",""en"")"),"['Ribet', 'slow', 'really']")</f>
        <v>['Ribet', 'slow', 'really']</v>
      </c>
      <c r="D13380" s="3">
        <v>1.0</v>
      </c>
    </row>
    <row r="13381" ht="15.75" customHeight="1">
      <c r="A13381" s="1">
        <v>14464.0</v>
      </c>
      <c r="B13381" s="3" t="s">
        <v>12645</v>
      </c>
      <c r="C13381" s="3" t="str">
        <f>IFERROR(__xludf.DUMMYFUNCTION("GOOGLETRANSLATE(B13381,""id"",""en"")"),"['Telkomsel', 'company', 'state', 'network', 'in', 'city', 'Masi', 'weak', 'promo', 'unlimited', 'all', 'Medsos',' Disight ',' Customer ',' Network ',' Let ',' Price ',' Expensive ',' Quality ',' Capacity ',' Network ',' Unlimited ',' Reduced ',' Differen"&amp;"t ', ""]")</f>
        <v>['Telkomsel', 'company', 'state', 'network', 'in', 'city', 'Masi', 'weak', 'promo', 'unlimited', 'all', 'Medsos',' Disight ',' Customer ',' Network ',' Let ',' Price ',' Expensive ',' Quality ',' Capacity ',' Network ',' Unlimited ',' Reduced ',' Different ', "]</v>
      </c>
      <c r="D13381" s="3">
        <v>1.0</v>
      </c>
    </row>
    <row r="13382" ht="15.75" customHeight="1">
      <c r="A13382" s="1">
        <v>14465.0</v>
      </c>
      <c r="B13382" s="3" t="s">
        <v>12646</v>
      </c>
      <c r="C13382" s="3" t="str">
        <f>IFERROR(__xludf.DUMMYFUNCTION("GOOGLETRANSLATE(B13382,""id"",""en"")"),"['makes it easier', 'buyer', 'package', 'counter', 'pulse']")</f>
        <v>['makes it easier', 'buyer', 'package', 'counter', 'pulse']</v>
      </c>
      <c r="D13382" s="3">
        <v>4.0</v>
      </c>
    </row>
    <row r="13383" ht="15.75" customHeight="1">
      <c r="A13383" s="1">
        <v>14466.0</v>
      </c>
      <c r="B13383" s="3" t="s">
        <v>12647</v>
      </c>
      <c r="C13383" s="3" t="str">
        <f>IFERROR(__xludf.DUMMYFUNCTION("GOOGLETRANSLATE(B13383,""id"",""en"")"),"['It's easy', 'shopping', 'pulse', 'quota', 'send', 'gift', 'thank', 'love']")</f>
        <v>['It's easy', 'shopping', 'pulse', 'quota', 'send', 'gift', 'thank', 'love']</v>
      </c>
      <c r="D13383" s="3">
        <v>5.0</v>
      </c>
    </row>
    <row r="13384" ht="15.75" customHeight="1">
      <c r="A13384" s="1">
        <v>14467.0</v>
      </c>
      <c r="B13384" s="3" t="s">
        <v>286</v>
      </c>
      <c r="C13384" s="3" t="str">
        <f>IFERROR(__xludf.DUMMYFUNCTION("GOOGLETRANSLATE(B13384,""id"",""en"")"),"['good']")</f>
        <v>['good']</v>
      </c>
      <c r="D13384" s="3">
        <v>5.0</v>
      </c>
    </row>
    <row r="13385" ht="15.75" customHeight="1">
      <c r="A13385" s="1">
        <v>14468.0</v>
      </c>
      <c r="B13385" s="3" t="s">
        <v>286</v>
      </c>
      <c r="C13385" s="3" t="str">
        <f>IFERROR(__xludf.DUMMYFUNCTION("GOOGLETRANSLATE(B13385,""id"",""en"")"),"['good']")</f>
        <v>['good']</v>
      </c>
      <c r="D13385" s="3">
        <v>4.0</v>
      </c>
    </row>
    <row r="13386" ht="15.75" customHeight="1">
      <c r="A13386" s="1">
        <v>14469.0</v>
      </c>
      <c r="B13386" s="3" t="s">
        <v>12648</v>
      </c>
      <c r="C13386" s="3" t="str">
        <f>IFERROR(__xludf.DUMMYFUNCTION("GOOGLETRANSLATE(B13386,""id"",""en"")"),"['Sorry', 'Please', 'Reply', 'Review', 'Remnant', 'Pulse', 'APK', 'Reduced', 'Please', 'Explanation', 'Use', ' Because ',' package ',' emergency ',' anything ',' except ',' request ',' wear ',' package ',' thousand ',' a month ',' Dri ',' APK ',' register"&amp;"ed ' , 'NMER', 'person', 'SMS', 'Relicated', 'Please', 'Action', 'Dri', 'Telkomsel', ""]")</f>
        <v>['Sorry', 'Please', 'Reply', 'Review', 'Remnant', 'Pulse', 'APK', 'Reduced', 'Please', 'Explanation', 'Use', ' Because ',' package ',' emergency ',' anything ',' except ',' request ',' wear ',' package ',' thousand ',' a month ',' Dri ',' APK ',' registered ' , 'NMER', 'person', 'SMS', 'Relicated', 'Please', 'Action', 'Dri', 'Telkomsel', "]</v>
      </c>
      <c r="D13386" s="3">
        <v>1.0</v>
      </c>
    </row>
    <row r="13387" ht="15.75" customHeight="1">
      <c r="A13387" s="1">
        <v>14470.0</v>
      </c>
      <c r="B13387" s="3" t="s">
        <v>12649</v>
      </c>
      <c r="C13387" s="3" t="str">
        <f>IFERROR(__xludf.DUMMYFUNCTION("GOOGLETRANSLATE(B13387,""id"",""en"")"),"['Network', 'Region', 'Suburbs', 'Please', 'Strengthen', 'The Network', 'Lemot', 'Thanks']")</f>
        <v>['Network', 'Region', 'Suburbs', 'Please', 'Strengthen', 'The Network', 'Lemot', 'Thanks']</v>
      </c>
      <c r="D13387" s="3">
        <v>5.0</v>
      </c>
    </row>
    <row r="13388" ht="15.75" customHeight="1">
      <c r="A13388" s="1">
        <v>14471.0</v>
      </c>
      <c r="B13388" s="3" t="s">
        <v>12650</v>
      </c>
      <c r="C13388" s="3" t="str">
        <f>IFERROR(__xludf.DUMMYFUNCTION("GOOGLETRANSLATE(B13388,""id"",""en"")"),"['What', 'meaning', 'quota', 'expensive', 'network', 'ngelag', 'ujan', 'ngelag', 'wongan', 'hot', 'masi', 'ngelag', ' Fortunately ',' MLS ',' Change ',' Card ',' ']")</f>
        <v>['What', 'meaning', 'quota', 'expensive', 'network', 'ngelag', 'ujan', 'ngelag', 'wongan', 'hot', 'masi', 'ngelag', ' Fortunately ',' MLS ',' Change ',' Card ',' ']</v>
      </c>
      <c r="D13388" s="3">
        <v>1.0</v>
      </c>
    </row>
    <row r="13389" ht="15.75" customHeight="1">
      <c r="A13389" s="1">
        <v>14472.0</v>
      </c>
      <c r="B13389" s="3" t="s">
        <v>12651</v>
      </c>
      <c r="C13389" s="3" t="str">
        <f>IFERROR(__xludf.DUMMYFUNCTION("GOOGLETRANSLATE(B13389,""id"",""en"")"),"['pulse', 'abis']")</f>
        <v>['pulse', 'abis']</v>
      </c>
      <c r="D13389" s="3">
        <v>1.0</v>
      </c>
    </row>
    <row r="13390" ht="15.75" customHeight="1">
      <c r="A13390" s="1">
        <v>14473.0</v>
      </c>
      <c r="B13390" s="3" t="s">
        <v>12652</v>
      </c>
      <c r="C13390" s="3" t="str">
        <f>IFERROR(__xludf.DUMMYFUNCTION("GOOGLETRANSLATE(B13390,""id"",""en"")"),"['wawww', 'murce']")</f>
        <v>['wawww', 'murce']</v>
      </c>
      <c r="D13390" s="3">
        <v>5.0</v>
      </c>
    </row>
    <row r="13391" ht="15.75" customHeight="1">
      <c r="A13391" s="1">
        <v>14474.0</v>
      </c>
      <c r="B13391" s="3" t="s">
        <v>12653</v>
      </c>
      <c r="C13391" s="3" t="str">
        <f>IFERROR(__xludf.DUMMYFUNCTION("GOOGLETRANSLATE(B13391,""id"",""en"")"),"['', 'buy', 'Package', 'Combo', 'Sakti', 'Unlimited', 'RB', 'Kouta', 'Internet', 'Package', 'Yotube', 'Somed', 'at the time ',' watch ',' youtube ',' sosmed ',' used ',' kouta ',' yotube ',' smednya ',' kouta ',' internet ',' kouta ',' used ',' kouta ', '"&amp;"internet', 'buy', 'package', 'use', 'watch', 'youtube', 'sosmed', 'used', 'kouta', 'yotube', 'summen', 'afterwards',' after ',' used ',' kouta ',' internet ',' buy ',' kalu ',' kalu ',' klutinnya ']")</f>
        <v>['', 'buy', 'Package', 'Combo', 'Sakti', 'Unlimited', 'RB', 'Kouta', 'Internet', 'Package', 'Yotube', 'Somed', 'at the time ',' watch ',' youtube ',' sosmed ',' used ',' kouta ',' yotube ',' smednya ',' kouta ',' internet ',' kouta ',' used ',' kouta ', 'internet', 'buy', 'package', 'use', 'watch', 'youtube', 'sosmed', 'used', 'kouta', 'yotube', 'summen', 'afterwards',' after ',' used ',' kouta ',' internet ',' buy ',' kalu ',' kalu ',' klutinnya ']</v>
      </c>
      <c r="D13391" s="3">
        <v>1.0</v>
      </c>
    </row>
    <row r="13392" ht="15.75" customHeight="1">
      <c r="A13392" s="1">
        <v>14475.0</v>
      </c>
      <c r="B13392" s="3" t="s">
        <v>12654</v>
      </c>
      <c r="C13392" s="3" t="str">
        <f>IFERROR(__xludf.DUMMYFUNCTION("GOOGLETRANSLATE(B13392,""id"",""en"")"),"['Hi', 'Kampung', 'Network', 'Tsel', 'Leet', 'Abiss', 'Tourism', 'Nature', 'Love', 'World', ""]")</f>
        <v>['Hi', 'Kampung', 'Network', 'Tsel', 'Leet', 'Abiss', 'Tourism', 'Nature', 'Love', 'World', "]</v>
      </c>
      <c r="D13392" s="3">
        <v>5.0</v>
      </c>
    </row>
    <row r="13393" ht="15.75" customHeight="1">
      <c r="A13393" s="1">
        <v>14476.0</v>
      </c>
      <c r="B13393" s="3" t="s">
        <v>12655</v>
      </c>
      <c r="C13393" s="3" t="str">
        <f>IFERROR(__xludf.DUMMYFUNCTION("GOOGLETRANSLATE(B13393,""id"",""en"")"),"['Telkomsel', 'hilarious', 'expensive', 'doang', 'signal', 'BURIK']")</f>
        <v>['Telkomsel', 'hilarious', 'expensive', 'doang', 'signal', 'BURIK']</v>
      </c>
      <c r="D13393" s="3">
        <v>1.0</v>
      </c>
    </row>
    <row r="13394" ht="15.75" customHeight="1">
      <c r="A13394" s="1">
        <v>14478.0</v>
      </c>
      <c r="B13394" s="3" t="s">
        <v>12656</v>
      </c>
      <c r="C13394" s="3" t="str">
        <f>IFERROR(__xludf.DUMMYFUNCTION("GOOGLETRANSLATE(B13394,""id"",""en"")"),"['Good', 'internet', 'collapsed', 'price', '']")</f>
        <v>['Good', 'internet', 'collapsed', 'price', '']</v>
      </c>
      <c r="D13394" s="3">
        <v>5.0</v>
      </c>
    </row>
    <row r="13395" ht="15.75" customHeight="1">
      <c r="A13395" s="1">
        <v>14479.0</v>
      </c>
      <c r="B13395" s="3" t="s">
        <v>12657</v>
      </c>
      <c r="C13395" s="3" t="str">
        <f>IFERROR(__xludf.DUMMYFUNCTION("GOOGLETRANSLATE(B13395,""id"",""en"")"),"['Indian', 'Point', 'Telkomsel', 'Actually', 'Ngak', ""]")</f>
        <v>['Indian', 'Point', 'Telkomsel', 'Actually', 'Ngak', "]</v>
      </c>
      <c r="D13395" s="3">
        <v>5.0</v>
      </c>
    </row>
    <row r="13396" ht="15.75" customHeight="1">
      <c r="A13396" s="1">
        <v>14480.0</v>
      </c>
      <c r="B13396" s="3" t="s">
        <v>12658</v>
      </c>
      <c r="C13396" s="3" t="str">
        <f>IFERROR(__xludf.DUMMYFUNCTION("GOOGLETRANSLATE(B13396,""id"",""en"")"),"['Logut', 'turn', 'Login', 'Difficult', 'Application', 'Mbanking', 'Ribet', 'Kayak', 'Gini']")</f>
        <v>['Logut', 'turn', 'Login', 'Difficult', 'Application', 'Mbanking', 'Ribet', 'Kayak', 'Gini']</v>
      </c>
      <c r="D13396" s="3">
        <v>1.0</v>
      </c>
    </row>
    <row r="13397" ht="15.75" customHeight="1">
      <c r="A13397" s="1">
        <v>14481.0</v>
      </c>
      <c r="B13397" s="3" t="s">
        <v>12659</v>
      </c>
      <c r="C13397" s="3" t="str">
        <f>IFERROR(__xludf.DUMMYFUNCTION("GOOGLETRANSLATE(B13397,""id"",""en"")"),"['admit', 'network', 'broad', 'signal', 'lemoot', 'kmn', 'quality', 'naa', 'signal', 'sometimes',' like ',' ilang ',' boring ',' entry ',' applications', 'slow', 'signal', 'tired', 'defend', 'use', 'card', 'telkomsel', 'sinya', 'signal', 'where' , 'Run', "&amp;"'Nya', 'tired', 'defend', 'card', 'nya', 'slow', 'nya']")</f>
        <v>['admit', 'network', 'broad', 'signal', 'lemoot', 'kmn', 'quality', 'naa', 'signal', 'sometimes',' like ',' ilang ',' boring ',' entry ',' applications', 'slow', 'signal', 'tired', 'defend', 'use', 'card', 'telkomsel', 'sinya', 'signal', 'where' , 'Run', 'Nya', 'tired', 'defend', 'card', 'nya', 'slow', 'nya']</v>
      </c>
      <c r="D13397" s="3">
        <v>1.0</v>
      </c>
    </row>
    <row r="13398" ht="15.75" customHeight="1">
      <c r="A13398" s="1">
        <v>14482.0</v>
      </c>
      <c r="B13398" s="3" t="s">
        <v>12660</v>
      </c>
      <c r="C13398" s="3" t="str">
        <f>IFERROR(__xludf.DUMMYFUNCTION("GOOGLETRANSLATE(B13398,""id"",""en"")"),"['Telkomsel', 'signal', 'difficult', 'sometimes', 'smpe', '4 hours', '']")</f>
        <v>['Telkomsel', 'signal', 'difficult', 'sometimes', 'smpe', '4 hours', '']</v>
      </c>
      <c r="D13398" s="3">
        <v>5.0</v>
      </c>
    </row>
    <row r="13399" ht="15.75" customHeight="1">
      <c r="A13399" s="1">
        <v>14483.0</v>
      </c>
      <c r="B13399" s="3" t="s">
        <v>12661</v>
      </c>
      <c r="C13399" s="3" t="str">
        <f>IFERROR(__xludf.DUMMYFUNCTION("GOOGLETRANSLATE(B13399,""id"",""en"")"),"['Scratch', 'price', 'cheap', 'use']")</f>
        <v>['Scratch', 'price', 'cheap', 'use']</v>
      </c>
      <c r="D13399" s="3">
        <v>5.0</v>
      </c>
    </row>
    <row r="13400" ht="15.75" customHeight="1">
      <c r="A13400" s="1">
        <v>14484.0</v>
      </c>
      <c r="B13400" s="3" t="s">
        <v>12662</v>
      </c>
      <c r="C13400" s="3" t="str">
        <f>IFERROR(__xludf.DUMMYFUNCTION("GOOGLETRANSLATE(B13400,""id"",""en"")"),"['Telkomsel', 'Points', 'Anjingggg', 'Woeeeee', 'Cepett', 'Bangsatttt']")</f>
        <v>['Telkomsel', 'Points', 'Anjingggg', 'Woeeeee', 'Cepett', 'Bangsatttt']</v>
      </c>
      <c r="D13400" s="3">
        <v>3.0</v>
      </c>
    </row>
    <row r="13401" ht="15.75" customHeight="1">
      <c r="A13401" s="1">
        <v>14485.0</v>
      </c>
      <c r="B13401" s="3" t="s">
        <v>12663</v>
      </c>
      <c r="C13401" s="3" t="str">
        <f>IFERROR(__xludf.DUMMYFUNCTION("GOOGLETRANSLATE(B13401,""id"",""en"")"),"['already', 'update', 'kntle', 'told', 'update']")</f>
        <v>['already', 'update', 'kntle', 'told', 'update']</v>
      </c>
      <c r="D13401" s="3">
        <v>1.0</v>
      </c>
    </row>
    <row r="13402" ht="15.75" customHeight="1">
      <c r="A13402" s="1">
        <v>14486.0</v>
      </c>
      <c r="B13402" s="3" t="s">
        <v>12664</v>
      </c>
      <c r="C13402" s="3" t="str">
        <f>IFERROR(__xludf.DUMMYFUNCTION("GOOGLETRANSLATE(B13402,""id"",""en"")"),"['Hopefully', 'Win', 'Undi', 'Win', 'Kasi', 'Bintang', ""]")</f>
        <v>['Hopefully', 'Win', 'Undi', 'Win', 'Kasi', 'Bintang', "]</v>
      </c>
      <c r="D13402" s="3">
        <v>5.0</v>
      </c>
    </row>
    <row r="13403" ht="15.75" customHeight="1">
      <c r="A13403" s="1">
        <v>14487.0</v>
      </c>
      <c r="B13403" s="3" t="s">
        <v>12665</v>
      </c>
      <c r="C13403" s="3" t="str">
        <f>IFERROR(__xludf.DUMMYFUNCTION("GOOGLETRANSLATE(B13403,""id"",""en"")"),"['Package', 'data', 'internet', 'pulse', 'use', 'internet', '']")</f>
        <v>['Package', 'data', 'internet', 'pulse', 'use', 'internet', '']</v>
      </c>
      <c r="D13403" s="3">
        <v>1.0</v>
      </c>
    </row>
    <row r="13404" ht="15.75" customHeight="1">
      <c r="A13404" s="1">
        <v>14488.0</v>
      </c>
      <c r="B13404" s="3" t="s">
        <v>12666</v>
      </c>
      <c r="C13404" s="3" t="str">
        <f>IFERROR(__xludf.DUMMYFUNCTION("GOOGLETRANSLATE(B13404,""id"",""en"")"),"['Provider', 'garbage', 'Indonesia', ""]")</f>
        <v>['Provider', 'garbage', 'Indonesia', "]</v>
      </c>
      <c r="D13404" s="3">
        <v>1.0</v>
      </c>
    </row>
    <row r="13405" ht="15.75" customHeight="1">
      <c r="A13405" s="1">
        <v>14489.0</v>
      </c>
      <c r="B13405" s="3" t="s">
        <v>12667</v>
      </c>
      <c r="C13405" s="3" t="str">
        <f>IFERROR(__xludf.DUMMYFUNCTION("GOOGLETRANSLATE(B13405,""id"",""en"")"),"['active', 'number', 'help', 'because', 'right', 'gray', 'data', 'computer', 'please', 'perudis']")</f>
        <v>['active', 'number', 'help', 'because', 'right', 'gray', 'data', 'computer', 'please', 'perudis']</v>
      </c>
      <c r="D13405" s="3">
        <v>1.0</v>
      </c>
    </row>
    <row r="13406" ht="15.75" customHeight="1">
      <c r="A13406" s="1">
        <v>14490.0</v>
      </c>
      <c r="B13406" s="3" t="s">
        <v>12668</v>
      </c>
      <c r="C13406" s="3" t="str">
        <f>IFERROR(__xludf.DUMMYFUNCTION("GOOGLETRANSLATE(B13406,""id"",""en"")"),"['Buy', 'Package', 'Gamemax', 'Mobile', 'Legends',' Main ',' Quota ',' Woy ',' Just ',' Login ',' Game ',' Doang ',' Click ',' MAIN ',' Matchmaking ',' Posts', 'Network', 'Points',' Reduced ',' Quota ',' Actually ',' Cuman ',' Quota ',' Network ',' Packag"&amp;"e ' , 'Ghoib', 'gmna', 'gamemax', 'silver', 'suggestion', 'buy', 'poured out', 'regret', 'kapok', 'already', 'mending', 'pakek', ' Indosat ',' Bye ',' quota ']")</f>
        <v>['Buy', 'Package', 'Gamemax', 'Mobile', 'Legends',' Main ',' Quota ',' Woy ',' Just ',' Login ',' Game ',' Doang ',' Click ',' MAIN ',' Matchmaking ',' Posts', 'Network', 'Points',' Reduced ',' Quota ',' Actually ',' Cuman ',' Quota ',' Network ',' Package ' , 'Ghoib', 'gmna', 'gamemax', 'silver', 'suggestion', 'buy', 'poured out', 'regret', 'kapok', 'already', 'mending', 'pakek', ' Indosat ',' Bye ',' quota ']</v>
      </c>
      <c r="D13406" s="3">
        <v>1.0</v>
      </c>
    </row>
    <row r="13407" ht="15.75" customHeight="1">
      <c r="A13407" s="1">
        <v>14491.0</v>
      </c>
      <c r="B13407" s="3" t="s">
        <v>12669</v>
      </c>
      <c r="C13407" s="3" t="str">
        <f>IFERROR(__xludf.DUMMYFUNCTION("GOOGLETRANSLATE(B13407,""id"",""en"")"),"['Telkomsel', 'superior', 'thank', 'love', 'sympathy']")</f>
        <v>['Telkomsel', 'superior', 'thank', 'love', 'sympathy']</v>
      </c>
      <c r="D13407" s="3">
        <v>5.0</v>
      </c>
    </row>
    <row r="13408" ht="15.75" customHeight="1">
      <c r="A13408" s="1">
        <v>14492.0</v>
      </c>
      <c r="B13408" s="3" t="s">
        <v>12670</v>
      </c>
      <c r="C13408" s="3" t="str">
        <f>IFERROR(__xludf.DUMMYFUNCTION("GOOGLETRANSLATE(B13408,""id"",""en"")"),"['Top', 'really', 'pokonya']")</f>
        <v>['Top', 'really', 'pokonya']</v>
      </c>
      <c r="D13408" s="3">
        <v>5.0</v>
      </c>
    </row>
    <row r="13409" ht="15.75" customHeight="1">
      <c r="A13409" s="1">
        <v>14493.0</v>
      </c>
      <c r="B13409" s="3" t="s">
        <v>12671</v>
      </c>
      <c r="C13409" s="3" t="str">
        <f>IFERROR(__xludf.DUMMYFUNCTION("GOOGLETRANSLATE(B13409,""id"",""en"")"),"['Topkasi', 'Telpomsel', 'Application', '']")</f>
        <v>['Topkasi', 'Telpomsel', 'Application', '']</v>
      </c>
      <c r="D13409" s="3">
        <v>5.0</v>
      </c>
    </row>
    <row r="13410" ht="15.75" customHeight="1">
      <c r="A13410" s="1">
        <v>14495.0</v>
      </c>
      <c r="B13410" s="3" t="s">
        <v>12672</v>
      </c>
      <c r="C13410" s="3" t="str">
        <f>IFERROR(__xludf.DUMMYFUNCTION("GOOGLETRANSLATE(B13410,""id"",""en"")"),"['Application', 'Cool']")</f>
        <v>['Application', 'Cool']</v>
      </c>
      <c r="D13410" s="3">
        <v>5.0</v>
      </c>
    </row>
    <row r="13411" ht="15.75" customHeight="1">
      <c r="A13411" s="1">
        <v>14496.0</v>
      </c>
      <c r="B13411" s="3" t="s">
        <v>9365</v>
      </c>
      <c r="C13411" s="3" t="str">
        <f>IFERROR(__xludf.DUMMYFUNCTION("GOOGLETRANSLATE(B13411,""id"",""en"")"),"['Good', 'staple']")</f>
        <v>['Good', 'staple']</v>
      </c>
      <c r="D13411" s="3">
        <v>5.0</v>
      </c>
    </row>
    <row r="13412" ht="15.75" customHeight="1">
      <c r="A13412" s="1">
        <v>14497.0</v>
      </c>
      <c r="B13412" s="3" t="s">
        <v>12673</v>
      </c>
      <c r="C13412" s="3" t="str">
        <f>IFERROR(__xludf.DUMMYFUNCTION("GOOGLETRANSLATE(B13412,""id"",""en"")"),"['fast', 'dperbayak', 'promo']")</f>
        <v>['fast', 'dperbayak', 'promo']</v>
      </c>
      <c r="D13412" s="3">
        <v>5.0</v>
      </c>
    </row>
    <row r="13413" ht="15.75" customHeight="1">
      <c r="A13413" s="1">
        <v>14498.0</v>
      </c>
      <c r="B13413" s="3" t="s">
        <v>12674</v>
      </c>
      <c r="C13413" s="3" t="str">
        <f>IFERROR(__xludf.DUMMYFUNCTION("GOOGLETRANSLATE(B13413,""id"",""en"")"),"['Network', 'taek']")</f>
        <v>['Network', 'taek']</v>
      </c>
      <c r="D13413" s="3">
        <v>1.0</v>
      </c>
    </row>
    <row r="13414" ht="15.75" customHeight="1">
      <c r="A13414" s="1">
        <v>14500.0</v>
      </c>
      <c r="B13414" s="3" t="s">
        <v>12675</v>
      </c>
      <c r="C13414" s="3" t="str">
        <f>IFERROR(__xludf.DUMMYFUNCTION("GOOGLETRANSLATE(B13414,""id"",""en"")"),"['Karna', 'work', 'wrong', 'child', 'company', 'telkom', 'auto', 'mandatory', 'tsel', 'donow', 'mytelkomsel', '']")</f>
        <v>['Karna', 'work', 'wrong', 'child', 'company', 'telkom', 'auto', 'mandatory', 'tsel', 'donow', 'mytelkomsel', '']</v>
      </c>
      <c r="D13414" s="3">
        <v>5.0</v>
      </c>
    </row>
    <row r="13415" ht="15.75" customHeight="1">
      <c r="A13415" s="1">
        <v>14501.0</v>
      </c>
      <c r="B13415" s="3" t="s">
        <v>12676</v>
      </c>
      <c r="C13415" s="3" t="str">
        <f>IFERROR(__xludf.DUMMYFUNCTION("GOOGLETRANSLATE(B13415,""id"",""en"")"),"['Good', 'Package', 'Telkomsel', 'please', 'signal', 'good', 'really']")</f>
        <v>['Good', 'Package', 'Telkomsel', 'please', 'signal', 'good', 'really']</v>
      </c>
      <c r="D13415" s="3">
        <v>5.0</v>
      </c>
    </row>
    <row r="13416" ht="15.75" customHeight="1">
      <c r="A13416" s="1">
        <v>14502.0</v>
      </c>
      <c r="B13416" s="3" t="s">
        <v>12677</v>
      </c>
      <c r="C13416" s="3" t="str">
        <f>IFERROR(__xludf.DUMMYFUNCTION("GOOGLETRANSLATE(B13416,""id"",""en"")"),"['Forced', 'Kasi', 'Bintang', 'buy', 'package', 'Kyk', 'cheated', 'Package', 'main', 'smooth', 'package', 'additional', ' slow ',' really ',' kasi ',' package ',' additional ',' waste ',' buy ',' package ',' hrs', 'expensive', 'gara', 'package', 'addition"&amp;"al' , 'Snemy', 'quality', 'disappointing', 'used', 'slow', 'dipake', 'darling', 'trapping', 'cba', 'provider', 'signal', 'as good', ' sympathy']")</f>
        <v>['Forced', 'Kasi', 'Bintang', 'buy', 'package', 'Kyk', 'cheated', 'Package', 'main', 'smooth', 'package', 'additional', ' slow ',' really ',' kasi ',' package ',' additional ',' waste ',' buy ',' package ',' hrs', 'expensive', 'gara', 'package', 'additional' , 'Snemy', 'quality', 'disappointing', 'used', 'slow', 'dipake', 'darling', 'trapping', 'cba', 'provider', 'signal', 'as good', ' sympathy']</v>
      </c>
      <c r="D13416" s="3">
        <v>2.0</v>
      </c>
    </row>
    <row r="13417" ht="15.75" customHeight="1">
      <c r="A13417" s="1">
        <v>14503.0</v>
      </c>
      <c r="B13417" s="3" t="s">
        <v>12678</v>
      </c>
      <c r="C13417" s="3" t="str">
        <f>IFERROR(__xludf.DUMMYFUNCTION("GOOGLETRANSLATE(B13417,""id"",""en"")"),"['Good', 'Increases',' Quality ',' Signal ',' Sampe ',' Bapuk ',' Abis', 'Ujan', 'Veronika', 'System', 'Reply', 'The answer', ' Online ',' Direct ',' People ']")</f>
        <v>['Good', 'Increases',' Quality ',' Signal ',' Sampe ',' Bapuk ',' Abis', 'Ujan', 'Veronika', 'System', 'Reply', 'The answer', ' Online ',' Direct ',' People ']</v>
      </c>
      <c r="D13417" s="3">
        <v>5.0</v>
      </c>
    </row>
    <row r="13418" ht="15.75" customHeight="1">
      <c r="A13418" s="1">
        <v>14504.0</v>
      </c>
      <c r="B13418" s="3" t="s">
        <v>12679</v>
      </c>
      <c r="C13418" s="3" t="str">
        <f>IFERROR(__xludf.DUMMYFUNCTION("GOOGLETRANSLATE(B13418,""id"",""en"")"),"['voucher', 'MLBB', 'enter']")</f>
        <v>['voucher', 'MLBB', 'enter']</v>
      </c>
      <c r="D13418" s="3">
        <v>5.0</v>
      </c>
    </row>
    <row r="13419" ht="15.75" customHeight="1">
      <c r="A13419" s="1">
        <v>14505.0</v>
      </c>
      <c r="B13419" s="3" t="s">
        <v>12680</v>
      </c>
      <c r="C13419" s="3" t="str">
        <f>IFERROR(__xludf.DUMMYFUNCTION("GOOGLETRANSLATE(B13419,""id"",""en"")"),"['buy', 'package', 'internet', 'failure', 'pulse', 'contents',' pulse ',' buy ',' package ',' combo ',' rb ',' said ',' Credit ',' Enter ',' MyTelkomsel ',' Slalu ',' Gabisa ',' White ',' screen ',' Hello ',' Telkomsel ',' The application ',' already ',' "&amp;"upgrade ',' ttp ' , 'Gabisa', 'Fill in', 'Paketan', 'then', 'Must', 'What', '']")</f>
        <v>['buy', 'package', 'internet', 'failure', 'pulse', 'contents',' pulse ',' buy ',' package ',' combo ',' rb ',' said ',' Credit ',' Enter ',' MyTelkomsel ',' Slalu ',' Gabisa ',' White ',' screen ',' Hello ',' Telkomsel ',' The application ',' already ',' upgrade ',' ttp ' , 'Gabisa', 'Fill in', 'Paketan', 'then', 'Must', 'What', '']</v>
      </c>
      <c r="D13419" s="3">
        <v>2.0</v>
      </c>
    </row>
    <row r="13420" ht="15.75" customHeight="1">
      <c r="A13420" s="1">
        <v>14506.0</v>
      </c>
      <c r="B13420" s="3" t="s">
        <v>12681</v>
      </c>
      <c r="C13420" s="3" t="str">
        <f>IFERROR(__xludf.DUMMYFUNCTION("GOOGLETRANSLATE(B13420,""id"",""en"")"),"['brhrp', 'lbih', 'okay', 'jaieting']")</f>
        <v>['brhrp', 'lbih', 'okay', 'jaieting']</v>
      </c>
      <c r="D13420" s="3">
        <v>2.0</v>
      </c>
    </row>
    <row r="13421" ht="15.75" customHeight="1">
      <c r="A13421" s="1">
        <v>14507.0</v>
      </c>
      <c r="B13421" s="3" t="s">
        <v>12682</v>
      </c>
      <c r="C13421" s="3" t="str">
        <f>IFERROR(__xludf.DUMMYFUNCTION("GOOGLETRANSLATE(B13421,""id"",""en"")"),"['Fill in', 'pulse']")</f>
        <v>['Fill in', 'pulse']</v>
      </c>
      <c r="D13421" s="3">
        <v>5.0</v>
      </c>
    </row>
    <row r="13422" ht="15.75" customHeight="1">
      <c r="A13422" s="1">
        <v>14508.0</v>
      </c>
      <c r="B13422" s="3" t="s">
        <v>12683</v>
      </c>
      <c r="C13422" s="3" t="str">
        <f>IFERROR(__xludf.DUMMYFUNCTION("GOOGLETRANSLATE(B13422,""id"",""en"")"),"['Use', 'Card', 'Telkomsel', 'Sekarng', 'Dead', 'Lights', 'Telkomsel', 'Signal', 'Dead', 'Rich', 'Telkomsel', 'Capital "",' Tower ',' comment ',' comment ',' reply ',' change ',' network ',' ugly ',' really ',' good ',' card ',' gadang ',' card ',' cheap "&amp;"' , 'signal', 'good', 'dead', 'lights', 'skrang', 'fast', 'rich', 'Telkomsel', 'severe', 'really', 'ugly', 'forgiveness']")</f>
        <v>['Use', 'Card', 'Telkomsel', 'Sekarng', 'Dead', 'Lights', 'Telkomsel', 'Signal', 'Dead', 'Rich', 'Telkomsel', 'Capital ",' Tower ',' comment ',' comment ',' reply ',' change ',' network ',' ugly ',' really ',' good ',' card ',' gadang ',' card ',' cheap ' , 'signal', 'good', 'dead', 'lights', 'skrang', 'fast', 'rich', 'Telkomsel', 'severe', 'really', 'ugly', 'forgiveness']</v>
      </c>
      <c r="D13422" s="3">
        <v>1.0</v>
      </c>
    </row>
    <row r="13423" ht="15.75" customHeight="1">
      <c r="A13423" s="1">
        <v>14509.0</v>
      </c>
      <c r="B13423" s="3" t="s">
        <v>12684</v>
      </c>
      <c r="C13423" s="3" t="str">
        <f>IFERROR(__xludf.DUMMYFUNCTION("GOOGLETRANSLATE(B13423,""id"",""en"")"),"['Contents', 'pulse', 'the rest', 'like', 'lost', 'pulses', 'quota', 'reedem', 'point', 'mulu', 'please', 'fix']")</f>
        <v>['Contents', 'pulse', 'the rest', 'like', 'lost', 'pulses', 'quota', 'reedem', 'point', 'mulu', 'please', 'fix']</v>
      </c>
      <c r="D13423" s="3">
        <v>3.0</v>
      </c>
    </row>
    <row r="13424" ht="15.75" customHeight="1">
      <c r="A13424" s="1">
        <v>14510.0</v>
      </c>
      <c r="B13424" s="3" t="s">
        <v>12685</v>
      </c>
      <c r="C13424" s="3" t="str">
        <f>IFERROR(__xludf.DUMMYFUNCTION("GOOGLETRANSLATE(B13424,""id"",""en"")"),"['price', 'quota', 'expensive', 'please', 'lightening', 'in place', 'dikatin', 'card', 'person', 'rich', ""]")</f>
        <v>['price', 'quota', 'expensive', 'please', 'lightening', 'in place', 'dikatin', 'card', 'person', 'rich', "]</v>
      </c>
      <c r="D13424" s="3">
        <v>1.0</v>
      </c>
    </row>
    <row r="13425" ht="15.75" customHeight="1">
      <c r="A13425" s="1">
        <v>14511.0</v>
      </c>
      <c r="B13425" s="3" t="s">
        <v>12686</v>
      </c>
      <c r="C13425" s="3" t="str">
        <f>IFERROR(__xludf.DUMMYFUNCTION("GOOGLETRANSLATE(B13425,""id"",""en"")"),"['AITI']")</f>
        <v>['AITI']</v>
      </c>
      <c r="D13425" s="3">
        <v>5.0</v>
      </c>
    </row>
    <row r="13426" ht="15.75" customHeight="1">
      <c r="A13426" s="1">
        <v>14512.0</v>
      </c>
      <c r="B13426" s="3" t="s">
        <v>12687</v>
      </c>
      <c r="C13426" s="3" t="str">
        <f>IFERROR(__xludf.DUMMYFUNCTION("GOOGLETRANSLATE(B13426,""id"",""en"")"),"['Thank you', 'Telkomsel', 'package', 'cheap', 'please', 'permanent', 'people', 'old', 'world', 'sosmed', 'thank you', ""]")</f>
        <v>['Thank you', 'Telkomsel', 'package', 'cheap', 'please', 'permanent', 'people', 'old', 'world', 'sosmed', 'thank you', "]</v>
      </c>
      <c r="D13426" s="3">
        <v>5.0</v>
      </c>
    </row>
    <row r="13427" ht="15.75" customHeight="1">
      <c r="A13427" s="1">
        <v>14513.0</v>
      </c>
      <c r="B13427" s="3" t="s">
        <v>12688</v>
      </c>
      <c r="C13427" s="3" t="str">
        <f>IFERROR(__xludf.DUMMYFUNCTION("GOOGLETRANSLATE(B13427,""id"",""en"")"),"['Love', 'star', 'dlu', 'buy', 'quota']")</f>
        <v>['Love', 'star', 'dlu', 'buy', 'quota']</v>
      </c>
      <c r="D13427" s="3">
        <v>1.0</v>
      </c>
    </row>
    <row r="13428" ht="15.75" customHeight="1">
      <c r="A13428" s="1">
        <v>14514.0</v>
      </c>
      <c r="B13428" s="3" t="s">
        <v>12689</v>
      </c>
      <c r="C13428" s="3" t="str">
        <f>IFERROR(__xludf.DUMMYFUNCTION("GOOGLETRANSLATE(B13428,""id"",""en"")"),"['experience', 'wear', 'wifi', 'home', 'call', 'sms',' pulse ',' check ',' pulse ',' pulse ',' lost ',' ertah ',' disappear ',' believe ',' contents', 'pulse', 'buy', 'package', 'pulse', 'disappear', 'mysterious',' Telkomsel ',' sucked ',' pulse ',' consu"&amp;"mers' , 'Bad']")</f>
        <v>['experience', 'wear', 'wifi', 'home', 'call', 'sms',' pulse ',' check ',' pulse ',' pulse ',' lost ',' ertah ',' disappear ',' believe ',' contents', 'pulse', 'buy', 'package', 'pulse', 'disappear', 'mysterious',' Telkomsel ',' sucked ',' pulse ',' consumers' , 'Bad']</v>
      </c>
      <c r="D13428" s="3">
        <v>1.0</v>
      </c>
    </row>
    <row r="13429" ht="15.75" customHeight="1">
      <c r="A13429" s="1">
        <v>14515.0</v>
      </c>
      <c r="B13429" s="3" t="s">
        <v>12690</v>
      </c>
      <c r="C13429" s="3" t="str">
        <f>IFERROR(__xludf.DUMMYFUNCTION("GOOGLETRANSLATE(B13429,""id"",""en"")"),"['update', 'already', 'download', 'Full', 'difficult', 'installed', 'skali', 'dkluarin', 'update', 'mulu', 'download', 'automatic', ' Please, 'Fix', 'boss', 'run', 'his psychology']")</f>
        <v>['update', 'already', 'download', 'Full', 'difficult', 'installed', 'skali', 'dkluarin', 'update', 'mulu', 'download', 'automatic', ' Please, 'Fix', 'boss', 'run', 'his psychology']</v>
      </c>
      <c r="D13429" s="3">
        <v>2.0</v>
      </c>
    </row>
    <row r="13430" ht="15.75" customHeight="1">
      <c r="A13430" s="1">
        <v>14516.0</v>
      </c>
      <c r="B13430" s="3" t="s">
        <v>12691</v>
      </c>
      <c r="C13430" s="3" t="str">
        <f>IFERROR(__xludf.DUMMYFUNCTION("GOOGLETRANSLATE(B13430,""id"",""en"")"),"['Paketan', 'slow', 'buy', 'package']")</f>
        <v>['Paketan', 'slow', 'buy', 'package']</v>
      </c>
      <c r="D13430" s="3">
        <v>1.0</v>
      </c>
    </row>
    <row r="13431" ht="15.75" customHeight="1">
      <c r="A13431" s="1">
        <v>14517.0</v>
      </c>
      <c r="B13431" s="3" t="s">
        <v>1801</v>
      </c>
      <c r="C13431" s="3" t="str">
        <f>IFERROR(__xludf.DUMMYFUNCTION("GOOGLETRANSLATE(B13431,""id"",""en"")"),"['steady', 'application']")</f>
        <v>['steady', 'application']</v>
      </c>
      <c r="D13431" s="3">
        <v>5.0</v>
      </c>
    </row>
    <row r="13432" ht="15.75" customHeight="1">
      <c r="A13432" s="1">
        <v>14518.0</v>
      </c>
      <c r="B13432" s="3" t="s">
        <v>12692</v>
      </c>
      <c r="C13432" s="3" t="str">
        <f>IFERROR(__xludf.DUMMYFUNCTION("GOOGLETRANSLATE(B13432,""id"",""en"")"),"['signal', 'pigiiiiiiiiiii', 'already', 'signal', 'not', 'stable', 'lemotttttttttttttttttttttttttttttttttttttttttttttttttt', 'indihome']")</f>
        <v>['signal', 'pigiiiiiiiiiii', 'already', 'signal', 'not', 'stable', 'lemotttttttttttttttttttttttttttttttttttttttttttttttttt', 'indihome']</v>
      </c>
      <c r="D13432" s="3">
        <v>1.0</v>
      </c>
    </row>
    <row r="13433" ht="15.75" customHeight="1">
      <c r="A13433" s="1">
        <v>14519.0</v>
      </c>
      <c r="B13433" s="3" t="s">
        <v>12693</v>
      </c>
      <c r="C13433" s="3" t="str">
        <f>IFERROR(__xludf.DUMMYFUNCTION("GOOGLETRANSLATE(B13433,""id"",""en"")"),"['amplification', 'SNGAT', 'MMBUTI']")</f>
        <v>['amplification', 'SNGAT', 'MMBUTI']</v>
      </c>
      <c r="D13433" s="3">
        <v>5.0</v>
      </c>
    </row>
    <row r="13434" ht="15.75" customHeight="1">
      <c r="A13434" s="1">
        <v>14520.0</v>
      </c>
      <c r="B13434" s="3" t="s">
        <v>12694</v>
      </c>
      <c r="C13434" s="3" t="str">
        <f>IFERROR(__xludf.DUMMYFUNCTION("GOOGLETRANSLATE(B13434,""id"",""en"")"),"['ugly', 'singally', 'disappointed', 'mess', 'network', 'Telkomsel', 'bad']")</f>
        <v>['ugly', 'singally', 'disappointed', 'mess', 'network', 'Telkomsel', 'bad']</v>
      </c>
      <c r="D13434" s="3">
        <v>1.0</v>
      </c>
    </row>
    <row r="13435" ht="15.75" customHeight="1">
      <c r="A13435" s="1">
        <v>14521.0</v>
      </c>
      <c r="B13435" s="3" t="s">
        <v>4652</v>
      </c>
      <c r="C13435" s="3" t="str">
        <f>IFERROR(__xludf.DUMMYFUNCTION("GOOGLETRANSLATE(B13435,""id"",""en"")"),"['Good', 'Helpful']")</f>
        <v>['Good', 'Helpful']</v>
      </c>
      <c r="D13435" s="3">
        <v>5.0</v>
      </c>
    </row>
    <row r="13436" ht="15.75" customHeight="1">
      <c r="A13436" s="1">
        <v>14523.0</v>
      </c>
      <c r="B13436" s="3" t="s">
        <v>12695</v>
      </c>
      <c r="C13436" s="3" t="str">
        <f>IFERROR(__xludf.DUMMYFUNCTION("GOOGLETRANSLATE(B13436,""id"",""en"")"),"['easy', 'use', 'Telkomsel']")</f>
        <v>['easy', 'use', 'Telkomsel']</v>
      </c>
      <c r="D13436" s="3">
        <v>5.0</v>
      </c>
    </row>
    <row r="13437" ht="15.75" customHeight="1">
      <c r="A13437" s="1">
        <v>14524.0</v>
      </c>
      <c r="B13437" s="3" t="s">
        <v>12696</v>
      </c>
      <c r="C13437" s="3" t="str">
        <f>IFERROR(__xludf.DUMMYFUNCTION("GOOGLETRANSLATE(B13437,""id"",""en"")"),"['Blm', 'experience']")</f>
        <v>['Blm', 'experience']</v>
      </c>
      <c r="D13437" s="3">
        <v>2.0</v>
      </c>
    </row>
    <row r="13438" ht="15.75" customHeight="1">
      <c r="A13438" s="1">
        <v>14525.0</v>
      </c>
      <c r="B13438" s="3" t="s">
        <v>7586</v>
      </c>
      <c r="C13438" s="3" t="str">
        <f>IFERROR(__xludf.DUMMYFUNCTION("GOOGLETRANSLATE(B13438,""id"",""en"")"),"['Star', 'dlu']")</f>
        <v>['Star', 'dlu']</v>
      </c>
      <c r="D13438" s="3">
        <v>2.0</v>
      </c>
    </row>
    <row r="13439" ht="15.75" customHeight="1">
      <c r="A13439" s="1">
        <v>14526.0</v>
      </c>
      <c r="B13439" s="3" t="s">
        <v>12697</v>
      </c>
      <c r="C13439" s="3" t="str">
        <f>IFERROR(__xludf.DUMMYFUNCTION("GOOGLETRANSLATE(B13439,""id"",""en"")"),"['Application', 'Telkomsel', 'use']")</f>
        <v>['Application', 'Telkomsel', 'use']</v>
      </c>
      <c r="D13439" s="3">
        <v>4.0</v>
      </c>
    </row>
    <row r="13440" ht="15.75" customHeight="1">
      <c r="A13440" s="1">
        <v>14527.0</v>
      </c>
      <c r="B13440" s="3" t="s">
        <v>12698</v>
      </c>
      <c r="C13440" s="3" t="str">
        <f>IFERROR(__xludf.DUMMYFUNCTION("GOOGLETRANSLATE(B13440,""id"",""en"")"),"['convenience', 'security', 'comfort', 'customer', 'noticed', 'loss',' loyal ',' Telkomsel ',' smpe ',' skrg ',' use ',' app ',' Telkomsel ',' smga ',' smkin ',' in the future ',' ']")</f>
        <v>['convenience', 'security', 'comfort', 'customer', 'noticed', 'loss',' loyal ',' Telkomsel ',' smpe ',' skrg ',' use ',' app ',' Telkomsel ',' smga ',' smkin ',' in the future ',' ']</v>
      </c>
      <c r="D13440" s="3">
        <v>5.0</v>
      </c>
    </row>
    <row r="13441" ht="15.75" customHeight="1">
      <c r="A13441" s="1">
        <v>14528.0</v>
      </c>
      <c r="B13441" s="3" t="s">
        <v>12699</v>
      </c>
      <c r="C13441" s="3" t="str">
        <f>IFERROR(__xludf.DUMMYFUNCTION("GOOGLETRANSLATE(B13441,""id"",""en"")"),"['Thank God', 'Wear', 'Telkomsel', 'Signal', 'Good', 'Price', 'Package', 'Internet', 'Affordable', 'Forward', 'Telkomsel', 'Proud', ' Products', 'BUMN', '']")</f>
        <v>['Thank God', 'Wear', 'Telkomsel', 'Signal', 'Good', 'Price', 'Package', 'Internet', 'Affordable', 'Forward', 'Telkomsel', 'Proud', ' Products', 'BUMN', '']</v>
      </c>
      <c r="D13441" s="3">
        <v>5.0</v>
      </c>
    </row>
    <row r="13442" ht="15.75" customHeight="1">
      <c r="A13442" s="1">
        <v>14529.0</v>
      </c>
      <c r="B13442" s="3" t="s">
        <v>3633</v>
      </c>
      <c r="C13442" s="3" t="str">
        <f>IFERROR(__xludf.DUMMYFUNCTION("GOOGLETRANSLATE(B13442,""id"",""en"")"),"['APK', 'good', 'really', '']")</f>
        <v>['APK', 'good', 'really', '']</v>
      </c>
      <c r="D13442" s="3">
        <v>5.0</v>
      </c>
    </row>
    <row r="13443" ht="15.75" customHeight="1">
      <c r="A13443" s="1">
        <v>14530.0</v>
      </c>
      <c r="B13443" s="3" t="s">
        <v>12700</v>
      </c>
      <c r="C13443" s="3" t="str">
        <f>IFERROR(__xludf.DUMMYFUNCTION("GOOGLETRANSLATE(B13443,""id"",""en"")"),"['signal', 'Strengthen']")</f>
        <v>['signal', 'Strengthen']</v>
      </c>
      <c r="D13443" s="3">
        <v>5.0</v>
      </c>
    </row>
    <row r="13444" ht="15.75" customHeight="1">
      <c r="A13444" s="1">
        <v>14531.0</v>
      </c>
      <c r="B13444" s="3" t="s">
        <v>12701</v>
      </c>
      <c r="C13444" s="3" t="str">
        <f>IFERROR(__xludf.DUMMYFUNCTION("GOOGLETRANSLATE(B13444,""id"",""en"")"),"['Region', 'husband']")</f>
        <v>['Region', 'husband']</v>
      </c>
      <c r="D13444" s="3">
        <v>4.0</v>
      </c>
    </row>
    <row r="13445" ht="15.75" customHeight="1">
      <c r="A13445" s="1">
        <v>14533.0</v>
      </c>
      <c r="B13445" s="3" t="s">
        <v>12702</v>
      </c>
      <c r="C13445" s="3" t="str">
        <f>IFERROR(__xludf.DUMMYFUNCTION("GOOGLETRANSLATE(B13445,""id"",""en"")"),"['difficult', 'open', 'Teparted', 'waiter', 'make it difficult', 'buyer', 'changed', 'easy', 'person', 'need', 'instant']")</f>
        <v>['difficult', 'open', 'Teparted', 'waiter', 'make it difficult', 'buyer', 'changed', 'easy', 'person', 'need', 'instant']</v>
      </c>
      <c r="D13445" s="3">
        <v>2.0</v>
      </c>
    </row>
    <row r="13446" ht="15.75" customHeight="1">
      <c r="A13446" s="1">
        <v>14534.0</v>
      </c>
      <c r="B13446" s="3" t="s">
        <v>12703</v>
      </c>
      <c r="C13446" s="3" t="str">
        <f>IFERROR(__xludf.DUMMYFUNCTION("GOOGLETRANSLATE(B13446,""id"",""en"")"),"['Package', 'Multimedia']")</f>
        <v>['Package', 'Multimedia']</v>
      </c>
      <c r="D13446" s="3">
        <v>1.0</v>
      </c>
    </row>
    <row r="13447" ht="15.75" customHeight="1">
      <c r="A13447" s="1">
        <v>14536.0</v>
      </c>
      <c r="B13447" s="3" t="s">
        <v>12704</v>
      </c>
      <c r="C13447" s="3" t="str">
        <f>IFERROR(__xludf.DUMMYFUNCTION("GOOGLETRANSLATE(B13447,""id"",""en"")"),"['Please', 'Application', 'Disney', 'Turn Off', 'SBB', 'Buy', 'Package', 'Disney', 'Purchase', 'Internet', 'Emergency', ""]")</f>
        <v>['Please', 'Application', 'Disney', 'Turn Off', 'SBB', 'Buy', 'Package', 'Disney', 'Purchase', 'Internet', 'Emergency', "]</v>
      </c>
      <c r="D13447" s="3">
        <v>2.0</v>
      </c>
    </row>
    <row r="13448" ht="15.75" customHeight="1">
      <c r="A13448" s="1">
        <v>14537.0</v>
      </c>
      <c r="B13448" s="3" t="s">
        <v>12705</v>
      </c>
      <c r="C13448" s="3" t="str">
        <f>IFERROR(__xludf.DUMMYFUNCTION("GOOGLETRANSLATE(B13448,""id"",""en"")"),"['Males', 'Telkomsel', 'quota', 'Cut "",' Try ',' Learning ',' No ',' Quota ',' Open ',' Application ',' Bima ',' Credit ',' Kagak ',' Cut ',' Maling ',' Credit ',' Rupiah ',' ']")</f>
        <v>['Males', 'Telkomsel', 'quota', 'Cut ",' Try ',' Learning ',' No ',' Quota ',' Open ',' Application ',' Bima ',' Credit ',' Kagak ',' Cut ',' Maling ',' Credit ',' Rupiah ',' ']</v>
      </c>
      <c r="D13448" s="3">
        <v>1.0</v>
      </c>
    </row>
    <row r="13449" ht="15.75" customHeight="1">
      <c r="A13449" s="1">
        <v>14538.0</v>
      </c>
      <c r="B13449" s="3" t="s">
        <v>12706</v>
      </c>
      <c r="C13449" s="3" t="str">
        <f>IFERROR(__xludf.DUMMYFUNCTION("GOOGLETRANSLATE(B13449,""id"",""en"")"),"['MyTelkomsel', 'Save']")</f>
        <v>['MyTelkomsel', 'Save']</v>
      </c>
      <c r="D13449" s="3">
        <v>5.0</v>
      </c>
    </row>
    <row r="13450" ht="15.75" customHeight="1">
      <c r="A13450" s="1">
        <v>14540.0</v>
      </c>
      <c r="B13450" s="3" t="s">
        <v>12707</v>
      </c>
      <c r="C13450" s="3" t="str">
        <f>IFERROR(__xludf.DUMMYFUNCTION("GOOGLETRANSLATE(B13450,""id"",""en"")"),"['application', 'MyTelkomsel', 'missing', 'cellphone', 'download', 'reset', 'notification', 'install', 'mytelkomsel', 'whyaaaa', 'yesterday', 'upgrade', ' Android ',' please ']")</f>
        <v>['application', 'MyTelkomsel', 'missing', 'cellphone', 'download', 'reset', 'notification', 'install', 'mytelkomsel', 'whyaaaa', 'yesterday', 'upgrade', ' Android ',' please ']</v>
      </c>
      <c r="D13450" s="3">
        <v>1.0</v>
      </c>
    </row>
    <row r="13451" ht="15.75" customHeight="1">
      <c r="A13451" s="1">
        <v>14541.0</v>
      </c>
      <c r="B13451" s="3" t="s">
        <v>12708</v>
      </c>
      <c r="C13451" s="3" t="str">
        <f>IFERROR(__xludf.DUMMYFUNCTION("GOOGLETRANSLATE(B13451,""id"",""en"")"),"['bibtang', 'Because of', 'Features',' Please ',' Telkomsel ',' Provides', 'Package', 'Like', 'Like', 'Package', 'Data', 'Firut', ' Save ',' Package ',' Data ',' Activate ',' Package ',' Data ',' Buy ',' Enable ',' Nggk ',' buy ',' directly ',' automatic "&amp;"' , 'Activate', 'Please', 'Help', 'Telkom', ""]")</f>
        <v>['bibtang', 'Because of', 'Features',' Please ',' Telkomsel ',' Provides', 'Package', 'Like', 'Like', 'Package', 'Data', 'Firut', ' Save ',' Package ',' Data ',' Activate ',' Package ',' Data ',' Buy ',' Enable ',' Nggk ',' buy ',' directly ',' automatic ' , 'Activate', 'Please', 'Help', 'Telkom', "]</v>
      </c>
      <c r="D13451" s="3">
        <v>2.0</v>
      </c>
    </row>
    <row r="13452" ht="15.75" customHeight="1">
      <c r="A13452" s="1">
        <v>14542.0</v>
      </c>
      <c r="B13452" s="3" t="s">
        <v>12709</v>
      </c>
      <c r="C13452" s="3" t="str">
        <f>IFERROR(__xludf.DUMMYFUNCTION("GOOGLETRANSLATE(B13452,""id"",""en"")"),"['', 'love', 'star', 'happy', 'heart', 'Telkomsel', ""]")</f>
        <v>['', 'love', 'star', 'happy', 'heart', 'Telkomsel', "]</v>
      </c>
      <c r="D13452" s="3">
        <v>5.0</v>
      </c>
    </row>
    <row r="13453" ht="15.75" customHeight="1">
      <c r="A13453" s="1">
        <v>14543.0</v>
      </c>
      <c r="B13453" s="3" t="s">
        <v>12710</v>
      </c>
      <c r="C13453" s="3" t="str">
        <f>IFERROR(__xludf.DUMMYFUNCTION("GOOGLETRANSLATE(B13453,""id"",""en"")"),"['Applikasihnx', 'Good']")</f>
        <v>['Applikasihnx', 'Good']</v>
      </c>
      <c r="D13453" s="3">
        <v>5.0</v>
      </c>
    </row>
    <row r="13454" ht="15.75" customHeight="1">
      <c r="A13454" s="1">
        <v>14544.0</v>
      </c>
      <c r="B13454" s="3" t="s">
        <v>12711</v>
      </c>
      <c r="C13454" s="3" t="str">
        <f>IFERROR(__xludf.DUMMYFUNCTION("GOOGLETRANSLATE(B13454,""id"",""en"")"),"['wonder', 'run out', 'Isih', 'pulsh', 'data', 'turn off', 'package', 'data', 'wifi', 'clock', 'message', 'entry', ' Pulsah ',' Dri ',' plsh ',' data ',' sumps', 'package', 'data', 'grandmother', 'telcomsel', 'suck', 'times',' pig ']")</f>
        <v>['wonder', 'run out', 'Isih', 'pulsh', 'data', 'turn off', 'package', 'data', 'wifi', 'clock', 'message', 'entry', ' Pulsah ',' Dri ',' plsh ',' data ',' sumps', 'package', 'data', 'grandmother', 'telcomsel', 'suck', 'times',' pig ']</v>
      </c>
      <c r="D13454" s="3">
        <v>1.0</v>
      </c>
    </row>
    <row r="13455" ht="15.75" customHeight="1">
      <c r="A13455" s="1">
        <v>14545.0</v>
      </c>
      <c r="B13455" s="3" t="s">
        <v>12712</v>
      </c>
      <c r="C13455" s="3" t="str">
        <f>IFERROR(__xludf.DUMMYFUNCTION("GOOGLETRANSLATE(B13455,""id"",""en"")"),"['Alhamdulillah', 'Permissions',' Change ',' Star ',' Disabled ',' Service ',' Application ',' Inside ',' Package ',' Scheduled ',' Counted ',' Full ',' harmed ',' contacted ',' cs', 'released', 'responsibility', 'pdhl', 'pure', 'error', 'apk', 'telkomsel"&amp;"', 'information', 'at the beginning', 'packetan' , 'Scheduled', 'clicked', 'calculated', 'Full', 'Edan', ""]")</f>
        <v>['Alhamdulillah', 'Permissions',' Change ',' Star ',' Disabled ',' Service ',' Application ',' Inside ',' Package ',' Scheduled ',' Counted ',' Full ',' harmed ',' contacted ',' cs', 'released', 'responsibility', 'pdhl', 'pure', 'error', 'apk', 'telkomsel', 'information', 'at the beginning', 'packetan' , 'Scheduled', 'clicked', 'calculated', 'Full', 'Edan', "]</v>
      </c>
      <c r="D13455" s="3">
        <v>1.0</v>
      </c>
    </row>
    <row r="13456" ht="15.75" customHeight="1">
      <c r="A13456" s="1">
        <v>14546.0</v>
      </c>
      <c r="B13456" s="3" t="s">
        <v>12713</v>
      </c>
      <c r="C13456" s="3" t="str">
        <f>IFERROR(__xludf.DUMMYFUNCTION("GOOGLETRANSLATE(B13456,""id"",""en"")"),"['Install', 'Application', 'Telkomsel', 'Download', 'Install']")</f>
        <v>['Install', 'Application', 'Telkomsel', 'Download', 'Install']</v>
      </c>
      <c r="D13456" s="3">
        <v>2.0</v>
      </c>
    </row>
    <row r="13457" ht="15.75" customHeight="1">
      <c r="A13457" s="1">
        <v>14547.0</v>
      </c>
      <c r="B13457" s="3" t="s">
        <v>12714</v>
      </c>
      <c r="C13457" s="3" t="str">
        <f>IFERROR(__xludf.DUMMYFUNCTION("GOOGLETRANSLATE(B13457,""id"",""en"")"),"['Ngellag', 'Bet', 'Hbis', 'quota', 'mainly', 'ktanya', 'doank', 'smooth']")</f>
        <v>['Ngellag', 'Bet', 'Hbis', 'quota', 'mainly', 'ktanya', 'doank', 'smooth']</v>
      </c>
      <c r="D13457" s="3">
        <v>2.0</v>
      </c>
    </row>
    <row r="13458" ht="15.75" customHeight="1">
      <c r="A13458" s="1">
        <v>14548.0</v>
      </c>
      <c r="B13458" s="3" t="s">
        <v>12715</v>
      </c>
      <c r="C13458" s="3" t="str">
        <f>IFERROR(__xludf.DUMMYFUNCTION("GOOGLETRANSLATE(B13458,""id"",""en"")"),"['quota', 'data', 'expensive', 'compared to', 'profider']")</f>
        <v>['quota', 'data', 'expensive', 'compared to', 'profider']</v>
      </c>
      <c r="D13458" s="3">
        <v>3.0</v>
      </c>
    </row>
    <row r="13459" ht="15.75" customHeight="1">
      <c r="A13459" s="1">
        <v>14549.0</v>
      </c>
      <c r="B13459" s="3" t="s">
        <v>12716</v>
      </c>
      <c r="C13459" s="3" t="str">
        <f>IFERROR(__xludf.DUMMYFUNCTION("GOOGLETRANSLATE(B13459,""id"",""en"")"),"['Soon', 'ugly', 'cie', 'already', 'expensive', 'quota', 'donk', 'pulse', 'signal', 'ugly', 'thermoses']")</f>
        <v>['Soon', 'ugly', 'cie', 'already', 'expensive', 'quota', 'donk', 'pulse', 'signal', 'ugly', 'thermoses']</v>
      </c>
      <c r="D13459" s="3">
        <v>2.0</v>
      </c>
    </row>
    <row r="13460" ht="15.75" customHeight="1">
      <c r="A13460" s="1">
        <v>14550.0</v>
      </c>
      <c r="B13460" s="3" t="s">
        <v>12717</v>
      </c>
      <c r="C13460" s="3" t="str">
        <f>IFERROR(__xludf.DUMMYFUNCTION("GOOGLETRANSLATE(B13460,""id"",""en"")"),"['', 'BNTNG', 'Baggus', 'Ful', '']")</f>
        <v>['', 'BNTNG', 'Baggus', 'Ful', '']</v>
      </c>
      <c r="D13460" s="3">
        <v>4.0</v>
      </c>
    </row>
    <row r="13461" ht="15.75" customHeight="1">
      <c r="A13461" s="1">
        <v>14551.0</v>
      </c>
      <c r="B13461" s="3" t="s">
        <v>12718</v>
      </c>
      <c r="C13461" s="3" t="str">
        <f>IFERROR(__xludf.DUMMYFUNCTION("GOOGLETRANSLATE(B13461,""id"",""en"")"),"['', 'enter', 'Kenpa', 'Telkomsel', 'strange']")</f>
        <v>['', 'enter', 'Kenpa', 'Telkomsel', 'strange']</v>
      </c>
      <c r="D13461" s="3">
        <v>2.0</v>
      </c>
    </row>
    <row r="13462" ht="15.75" customHeight="1">
      <c r="A13462" s="1">
        <v>14552.0</v>
      </c>
      <c r="B13462" s="3" t="s">
        <v>12719</v>
      </c>
      <c r="C13462" s="3" t="str">
        <f>IFERROR(__xludf.DUMMYFUNCTION("GOOGLETRANSLATE(B13462,""id"",""en"")"),"['Promo', 'quota', 'internet']")</f>
        <v>['Promo', 'quota', 'internet']</v>
      </c>
      <c r="D13462" s="3">
        <v>1.0</v>
      </c>
    </row>
    <row r="13463" ht="15.75" customHeight="1">
      <c r="A13463" s="1">
        <v>14553.0</v>
      </c>
      <c r="B13463" s="3" t="s">
        <v>12720</v>
      </c>
      <c r="C13463" s="3" t="str">
        <f>IFERROR(__xludf.DUMMYFUNCTION("GOOGLETRANSLATE(B13463,""id"",""en"")"),"['easy', 'use', 'help']")</f>
        <v>['easy', 'use', 'help']</v>
      </c>
      <c r="D13463" s="3">
        <v>5.0</v>
      </c>
    </row>
    <row r="13464" ht="15.75" customHeight="1">
      <c r="A13464" s="1">
        <v>14554.0</v>
      </c>
      <c r="B13464" s="3" t="s">
        <v>12721</v>
      </c>
      <c r="C13464" s="3" t="str">
        <f>IFERROR(__xludf.DUMMYFUNCTION("GOOGLETRANSLATE(B13464,""id"",""en"")"),"['Sushanss', 'Bintang', 'Talk']")</f>
        <v>['Sushanss', 'Bintang', 'Talk']</v>
      </c>
      <c r="D13464" s="3">
        <v>5.0</v>
      </c>
    </row>
    <row r="13465" ht="15.75" customHeight="1">
      <c r="A13465" s="1">
        <v>14555.0</v>
      </c>
      <c r="B13465" s="3" t="s">
        <v>12722</v>
      </c>
      <c r="C13465" s="3" t="str">
        <f>IFERROR(__xludf.DUMMYFUNCTION("GOOGLETRANSLATE(B13465,""id"",""en"")"),"['pls', 'cut', 'no', 'Perna', 'take', 'package', 'emergency', 'disappointed', 'oprator', 'Telkomsel']")</f>
        <v>['pls', 'cut', 'no', 'Perna', 'take', 'package', 'emergency', 'disappointed', 'oprator', 'Telkomsel']</v>
      </c>
      <c r="D13465" s="3">
        <v>1.0</v>
      </c>
    </row>
    <row r="13466" ht="15.75" customHeight="1">
      <c r="A13466" s="1">
        <v>14556.0</v>
      </c>
      <c r="B13466" s="3" t="s">
        <v>12723</v>
      </c>
      <c r="C13466" s="3" t="str">
        <f>IFERROR(__xludf.DUMMYFUNCTION("GOOGLETRANSLATE(B13466,""id"",""en"")"),"['Network', 'Please', 'Fix', 'Karna', 'Play', 'Game', 'Network', 'Lost']")</f>
        <v>['Network', 'Please', 'Fix', 'Karna', 'Play', 'Game', 'Network', 'Lost']</v>
      </c>
      <c r="D13466" s="3">
        <v>2.0</v>
      </c>
    </row>
    <row r="13467" ht="15.75" customHeight="1">
      <c r="A13467" s="1">
        <v>14557.0</v>
      </c>
      <c r="B13467" s="3" t="s">
        <v>12724</v>
      </c>
      <c r="C13467" s="3" t="str">
        <f>IFERROR(__xludf.DUMMYFUNCTION("GOOGLETRANSLATE(B13467,""id"",""en"")"),"['apk', 'pulp', 'right', 'right', 'udh', 'that's',' signal ',' quota ',' dilapidated ',' game ',' ngelag ',' mulu ',' APK ',' Update ',' Many ',' Tetep ',' Pulp ',' Ngelag ',' Mulu ',' Restrat ',' Relationship ',' Bener ']")</f>
        <v>['apk', 'pulp', 'right', 'right', 'udh', 'that's',' signal ',' quota ',' dilapidated ',' game ',' ngelag ',' mulu ',' APK ',' Update ',' Many ',' Tetep ',' Pulp ',' Ngelag ',' Mulu ',' Restrat ',' Relationship ',' Bener ']</v>
      </c>
      <c r="D13467" s="3">
        <v>1.0</v>
      </c>
    </row>
    <row r="13468" ht="15.75" customHeight="1">
      <c r="A13468" s="1">
        <v>14559.0</v>
      </c>
      <c r="B13468" s="3" t="s">
        <v>12725</v>
      </c>
      <c r="C13468" s="3" t="str">
        <f>IFERROR(__xludf.DUMMYFUNCTION("GOOGLETRANSLATE(B13468,""id"",""en"")"),"['signal', 'evenly', 'area', 'Need', 'Sukse', 'Tsel', ""]")</f>
        <v>['signal', 'evenly', 'area', 'Need', 'Sukse', 'Tsel', "]</v>
      </c>
      <c r="D13468" s="3">
        <v>5.0</v>
      </c>
    </row>
    <row r="13469" ht="15.75" customHeight="1">
      <c r="A13469" s="1">
        <v>14560.0</v>
      </c>
      <c r="B13469" s="3" t="s">
        <v>12726</v>
      </c>
      <c r="C13469" s="3" t="str">
        <f>IFERROR(__xludf.DUMMYFUNCTION("GOOGLETRANSLATE(B13469,""id"",""en"")"),"['Telkomsel', 'Best', 'The', 'Best', 'suggestion', 'package', 'internet', 'price', 'cheap', 'bro', 'sist', 'user', ' Number ',' Card ',' Telkomsel ',' loyal ',' Telkomsel ',' Points', 'Points',' obtained ',' Exchanged ',' Package ',' Package ',' Telkomsel"&amp;" ',' Available ' , '']")</f>
        <v>['Telkomsel', 'Best', 'The', 'Best', 'suggestion', 'package', 'internet', 'price', 'cheap', 'bro', 'sist', 'user', ' Number ',' Card ',' Telkomsel ',' loyal ',' Telkomsel ',' Points', 'Points',' obtained ',' Exchanged ',' Package ',' Package ',' Telkomsel ',' Available ' , '']</v>
      </c>
      <c r="D13469" s="3">
        <v>5.0</v>
      </c>
    </row>
    <row r="13470" ht="15.75" customHeight="1">
      <c r="A13470" s="1">
        <v>14561.0</v>
      </c>
      <c r="B13470" s="3" t="s">
        <v>12727</v>
      </c>
      <c r="C13470" s="3" t="str">
        <f>IFERROR(__xludf.DUMMYFUNCTION("GOOGLETRANSLATE(B13470,""id"",""en"")"),"['Try', 'Lottery', 'Spah', 'Lucky', 'Aminn']")</f>
        <v>['Try', 'Lottery', 'Spah', 'Lucky', 'Aminn']</v>
      </c>
      <c r="D13470" s="3">
        <v>1.0</v>
      </c>
    </row>
    <row r="13471" ht="15.75" customHeight="1">
      <c r="A13471" s="1">
        <v>14562.0</v>
      </c>
      <c r="B13471" s="3" t="s">
        <v>12728</v>
      </c>
      <c r="C13471" s="3" t="str">
        <f>IFERROR(__xludf.DUMMYFUNCTION("GOOGLETRANSLATE(B13471,""id"",""en"")"),"['disappointing', 'customer', 'loyal', 'Telkomsel', 'regretting', 'application', 'telkomsel', 'lalot', 'entry', 'apparage', 'comparison', 'dng', ' Privider ',' ']")</f>
        <v>['disappointing', 'customer', 'loyal', 'Telkomsel', 'regretting', 'application', 'telkomsel', 'lalot', 'entry', 'apparage', 'comparison', 'dng', ' Privider ',' ']</v>
      </c>
      <c r="D13471" s="3">
        <v>2.0</v>
      </c>
    </row>
    <row r="13472" ht="15.75" customHeight="1">
      <c r="A13472" s="1">
        <v>14563.0</v>
      </c>
      <c r="B13472" s="3" t="s">
        <v>12729</v>
      </c>
      <c r="C13472" s="3" t="str">
        <f>IFERROR(__xludf.DUMMYFUNCTION("GOOGLETRANSLATE(B13472,""id"",""en"")"),"['', 'interesting', 'confusing', 'slow', 'heavy', 'eat', 'ram', 'notification', 'annoying', 'slow', ""]")</f>
        <v>['', 'interesting', 'confusing', 'slow', 'heavy', 'eat', 'ram', 'notification', 'annoying', 'slow', "]</v>
      </c>
      <c r="D13472" s="3">
        <v>2.0</v>
      </c>
    </row>
    <row r="13473" ht="15.75" customHeight="1">
      <c r="A13473" s="1">
        <v>14564.0</v>
      </c>
      <c r="B13473" s="3" t="s">
        <v>12730</v>
      </c>
      <c r="C13473" s="3" t="str">
        <f>IFERROR(__xludf.DUMMYFUNCTION("GOOGLETRANSLATE(B13473,""id"",""en"")"),"['Disruption', 'Weather', 'Rain']")</f>
        <v>['Disruption', 'Weather', 'Rain']</v>
      </c>
      <c r="D13473" s="3">
        <v>2.0</v>
      </c>
    </row>
    <row r="13474" ht="15.75" customHeight="1">
      <c r="A13474" s="1">
        <v>14565.0</v>
      </c>
      <c r="B13474" s="3" t="s">
        <v>12731</v>
      </c>
      <c r="C13474" s="3" t="str">
        <f>IFERROR(__xludf.DUMMYFUNCTION("GOOGLETRANSLATE(B13474,""id"",""en"")"),"['Star', 'try']")</f>
        <v>['Star', 'try']</v>
      </c>
      <c r="D13474" s="3">
        <v>4.0</v>
      </c>
    </row>
    <row r="13475" ht="15.75" customHeight="1">
      <c r="A13475" s="1">
        <v>14566.0</v>
      </c>
      <c r="B13475" s="3" t="s">
        <v>12732</v>
      </c>
      <c r="C13475" s="3" t="str">
        <f>IFERROR(__xludf.DUMMYFUNCTION("GOOGLETRANSLATE(B13475,""id"",""en"")"),"['cook', 'list', 'package', 'data', 'games', 'GB', 'bln', 'open', 'loss', 'pulse', 'list', '']")</f>
        <v>['cook', 'list', 'package', 'data', 'games', 'GB', 'bln', 'open', 'loss', 'pulse', 'list', '']</v>
      </c>
      <c r="D13475" s="3">
        <v>3.0</v>
      </c>
    </row>
    <row r="13476" ht="15.75" customHeight="1">
      <c r="A13476" s="1">
        <v>14567.0</v>
      </c>
      <c r="B13476" s="3" t="s">
        <v>12733</v>
      </c>
      <c r="C13476" s="3" t="str">
        <f>IFERROR(__xludf.DUMMYFUNCTION("GOOGLETRANSLATE(B13476,""id"",""en"")"),"['Exchange', 'Points', 'Package', 'Internet', 'Thank', 'Love']")</f>
        <v>['Exchange', 'Points', 'Package', 'Internet', 'Thank', 'Love']</v>
      </c>
      <c r="D13476" s="3">
        <v>3.0</v>
      </c>
    </row>
    <row r="13477" ht="15.75" customHeight="1">
      <c r="A13477" s="1">
        <v>14568.0</v>
      </c>
      <c r="B13477" s="3" t="s">
        <v>1308</v>
      </c>
      <c r="C13477" s="3" t="str">
        <f>IFERROR(__xludf.DUMMYFUNCTION("GOOGLETRANSLATE(B13477,""id"",""en"")"),"['Application', 'Help']")</f>
        <v>['Application', 'Help']</v>
      </c>
      <c r="D13477" s="3">
        <v>5.0</v>
      </c>
    </row>
    <row r="13478" ht="15.75" customHeight="1">
      <c r="A13478" s="1">
        <v>14569.0</v>
      </c>
      <c r="B13478" s="3" t="s">
        <v>12734</v>
      </c>
      <c r="C13478" s="3" t="str">
        <f>IFERROR(__xludf.DUMMYFUNCTION("GOOGLETRANSLATE(B13478,""id"",""en"")"),"['buy', 'card', 'Sakti', 'package', 'cheap', 'lost', 'please', 'donk', 'back', 'developer']")</f>
        <v>['buy', 'card', 'Sakti', 'package', 'cheap', 'lost', 'please', 'donk', 'back', 'developer']</v>
      </c>
      <c r="D13478" s="3">
        <v>1.0</v>
      </c>
    </row>
    <row r="13479" ht="15.75" customHeight="1">
      <c r="A13479" s="1">
        <v>14570.0</v>
      </c>
      <c r="B13479" s="3" t="s">
        <v>1352</v>
      </c>
      <c r="C13479" s="3" t="str">
        <f>IFERROR(__xludf.DUMMYFUNCTION("GOOGLETRANSLATE(B13479,""id"",""en"")"),"['']")</f>
        <v>['']</v>
      </c>
      <c r="D13479" s="3">
        <v>5.0</v>
      </c>
    </row>
    <row r="13480" ht="15.75" customHeight="1">
      <c r="A13480" s="1">
        <v>14572.0</v>
      </c>
      <c r="B13480" s="3" t="s">
        <v>12735</v>
      </c>
      <c r="C13480" s="3" t="str">
        <f>IFERROR(__xludf.DUMMYFUNCTION("GOOGLETRANSLATE(B13480,""id"",""en"")"),"['Use', 'Telkomsel']")</f>
        <v>['Use', 'Telkomsel']</v>
      </c>
      <c r="D13480" s="3">
        <v>5.0</v>
      </c>
    </row>
    <row r="13481" ht="15.75" customHeight="1">
      <c r="A13481" s="1">
        <v>14573.0</v>
      </c>
      <c r="B13481" s="3" t="s">
        <v>12736</v>
      </c>
      <c r="C13481" s="3" t="str">
        <f>IFERROR(__xludf.DUMMYFUNCTION("GOOGLETRANSLATE(B13481,""id"",""en"")"),"['easy', 'purchase', 'quota', 'network', 'internet', 'area', 'likes',' error ',' beg ',' repair ',' network ',' village ',' village ',' hahhh ',' hope ',' success', 'telkom', '']")</f>
        <v>['easy', 'purchase', 'quota', 'network', 'internet', 'area', 'likes',' error ',' beg ',' repair ',' network ',' village ',' village ',' hahhh ',' hope ',' success', 'telkom', '']</v>
      </c>
      <c r="D13481" s="3">
        <v>5.0</v>
      </c>
    </row>
    <row r="13482" ht="15.75" customHeight="1">
      <c r="A13482" s="1">
        <v>14574.0</v>
      </c>
      <c r="B13482" s="3" t="s">
        <v>12737</v>
      </c>
      <c r="C13482" s="3" t="str">
        <f>IFERROR(__xludf.DUMMYFUNCTION("GOOGLETRANSLATE(B13482,""id"",""en"")"),"['network', 'internet', 'severe', 'quota', 'ajh', 'expensive']")</f>
        <v>['network', 'internet', 'severe', 'quota', 'ajh', 'expensive']</v>
      </c>
      <c r="D13482" s="3">
        <v>1.0</v>
      </c>
    </row>
    <row r="13483" ht="15.75" customHeight="1">
      <c r="A13483" s="1">
        <v>14575.0</v>
      </c>
      <c r="B13483" s="3" t="s">
        <v>12738</v>
      </c>
      <c r="C13483" s="3" t="str">
        <f>IFERROR(__xludf.DUMMYFUNCTION("GOOGLETRANSLATE(B13483,""id"",""en"")"),"['already', 'ngellag', 'pulse', 'cut', 'Mulu', 'Bener', 'losestrike', 'Gara', 'Telkomsel', 'Mending', 'moved', 'Indosat', ' Oath ',' ']")</f>
        <v>['already', 'ngellag', 'pulse', 'cut', 'Mulu', 'Bener', 'losestrike', 'Gara', 'Telkomsel', 'Mending', 'moved', 'Indosat', ' Oath ',' ']</v>
      </c>
      <c r="D13483" s="3">
        <v>1.0</v>
      </c>
    </row>
    <row r="13484" ht="15.75" customHeight="1">
      <c r="A13484" s="1">
        <v>14576.0</v>
      </c>
      <c r="B13484" s="3" t="s">
        <v>12739</v>
      </c>
      <c r="C13484" s="3" t="str">
        <f>IFERROR(__xludf.DUMMYFUNCTION("GOOGLETRANSLATE(B13484,""id"",""en"")"),"['Bad', 'really', 'log', 'difficult', 'really', 'buy', 'pulse', 'data', 'dead', 'tetep', 'chick']")</f>
        <v>['Bad', 'really', 'log', 'difficult', 'really', 'buy', 'pulse', 'data', 'dead', 'tetep', 'chick']</v>
      </c>
      <c r="D13484" s="3">
        <v>1.0</v>
      </c>
    </row>
    <row r="13485" ht="15.75" customHeight="1">
      <c r="A13485" s="1">
        <v>14577.0</v>
      </c>
      <c r="B13485" s="3" t="s">
        <v>3963</v>
      </c>
      <c r="C13485" s="3" t="str">
        <f>IFERROR(__xludf.DUMMYFUNCTION("GOOGLETRANSLATE(B13485,""id"",""en"")"),"['APK', 'Help']")</f>
        <v>['APK', 'Help']</v>
      </c>
      <c r="D13485" s="3">
        <v>5.0</v>
      </c>
    </row>
    <row r="13486" ht="15.75" customHeight="1">
      <c r="A13486" s="1">
        <v>14579.0</v>
      </c>
      <c r="B13486" s="3" t="s">
        <v>12740</v>
      </c>
      <c r="C13486" s="3" t="str">
        <f>IFERROR(__xludf.DUMMYFUNCTION("GOOGLETRANSLATE(B13486,""id"",""en"")"),"['Star', 'Survive', 'Corrected', 'Combo', 'Sakti', 'Sakti', 'Realese', 'Benefit', 'Preteli', 'Revised', 'Fix', 'Yach', ' Package ',' Tsel ',' cheap ',' festive ',' people ',' right ',' right ',' poor ',' match ',' Tsel ', ""]")</f>
        <v>['Star', 'Survive', 'Corrected', 'Combo', 'Sakti', 'Sakti', 'Realese', 'Benefit', 'Preteli', 'Revised', 'Fix', 'Yach', ' Package ',' Tsel ',' cheap ',' festive ',' people ',' right ',' right ',' poor ',' match ',' Tsel ', "]</v>
      </c>
      <c r="D13486" s="3">
        <v>1.0</v>
      </c>
    </row>
    <row r="13487" ht="15.75" customHeight="1">
      <c r="A13487" s="1">
        <v>14580.0</v>
      </c>
      <c r="B13487" s="3" t="s">
        <v>12741</v>
      </c>
      <c r="C13487" s="3" t="str">
        <f>IFERROR(__xludf.DUMMYFUNCTION("GOOGLETRANSLATE(B13487,""id"",""en"")"),"['apk', 'brmutu', 'list', 'paleet', 'cumn', 'line', 'expensive', 'regret', 'donow', 'skrng', 'moved']")</f>
        <v>['apk', 'brmutu', 'list', 'paleet', 'cumn', 'line', 'expensive', 'regret', 'donow', 'skrng', 'moved']</v>
      </c>
      <c r="D13487" s="3">
        <v>2.0</v>
      </c>
    </row>
    <row r="13488" ht="15.75" customHeight="1">
      <c r="A13488" s="1">
        <v>14582.0</v>
      </c>
      <c r="B13488" s="3" t="s">
        <v>12742</v>
      </c>
      <c r="C13488" s="3" t="str">
        <f>IFERROR(__xludf.DUMMYFUNCTION("GOOGLETRANSLATE(B13488,""id"",""en"")"),"['Help', 'kawa', 'full', 'mura', 'buy', 'quota', 'bely', 'bean']")</f>
        <v>['Help', 'kawa', 'full', 'mura', 'buy', 'quota', 'bely', 'bean']</v>
      </c>
      <c r="D13488" s="3">
        <v>5.0</v>
      </c>
    </row>
    <row r="13489" ht="15.75" customHeight="1">
      <c r="A13489" s="1">
        <v>14583.0</v>
      </c>
      <c r="B13489" s="3" t="s">
        <v>12743</v>
      </c>
      <c r="C13489" s="3" t="str">
        <f>IFERROR(__xludf.DUMMYFUNCTION("GOOGLETRANSLATE(B13489,""id"",""en"")"),"['pulses', 'Undi', 'Hepi', '']")</f>
        <v>['pulses', 'Undi', 'Hepi', '']</v>
      </c>
      <c r="D13489" s="3">
        <v>5.0</v>
      </c>
    </row>
    <row r="13490" ht="15.75" customHeight="1">
      <c r="A13490" s="1">
        <v>14584.0</v>
      </c>
      <c r="B13490" s="3" t="s">
        <v>12744</v>
      </c>
      <c r="C13490" s="3" t="str">
        <f>IFERROR(__xludf.DUMMYFUNCTION("GOOGLETRANSLATE(B13490,""id"",""en"")"),"['Cook', 'help']")</f>
        <v>['Cook', 'help']</v>
      </c>
      <c r="D13490" s="3">
        <v>2.0</v>
      </c>
    </row>
    <row r="13491" ht="15.75" customHeight="1">
      <c r="A13491" s="1">
        <v>14585.0</v>
      </c>
      <c r="B13491" s="3" t="s">
        <v>12745</v>
      </c>
      <c r="C13491" s="3" t="str">
        <f>IFERROR(__xludf.DUMMYFUNCTION("GOOGLETRANSLATE(B13491,""id"",""en"")"),"['Top', 'Telkomsel']")</f>
        <v>['Top', 'Telkomsel']</v>
      </c>
      <c r="D13491" s="3">
        <v>5.0</v>
      </c>
    </row>
    <row r="13492" ht="15.75" customHeight="1">
      <c r="A13492" s="1">
        <v>14586.0</v>
      </c>
      <c r="B13492" s="3" t="s">
        <v>12746</v>
      </c>
      <c r="C13492" s="3" t="str">
        <f>IFERROR(__xludf.DUMMYFUNCTION("GOOGLETRANSLATE(B13492,""id"",""en"")"),"['Kirain', 'Get', 'Brio', 'Tawarin', 'Move', 'Card', 'Hello', ""]")</f>
        <v>['Kirain', 'Get', 'Brio', 'Tawarin', 'Move', 'Card', 'Hello', "]</v>
      </c>
      <c r="D13492" s="3">
        <v>5.0</v>
      </c>
    </row>
    <row r="13493" ht="15.75" customHeight="1">
      <c r="A13493" s="1">
        <v>14587.0</v>
      </c>
      <c r="B13493" s="3" t="s">
        <v>12747</v>
      </c>
      <c r="C13493" s="3" t="str">
        <f>IFERROR(__xludf.DUMMYFUNCTION("GOOGLETRANSLATE(B13493,""id"",""en"")"),"['Try', 'Star', 'Klau', 'Good', 'Add', 'Star']")</f>
        <v>['Try', 'Star', 'Klau', 'Good', 'Add', 'Star']</v>
      </c>
      <c r="D13493" s="3">
        <v>3.0</v>
      </c>
    </row>
    <row r="13494" ht="15.75" customHeight="1">
      <c r="A13494" s="1">
        <v>14588.0</v>
      </c>
      <c r="B13494" s="3" t="s">
        <v>12748</v>
      </c>
      <c r="C13494" s="3" t="str">
        <f>IFERROR(__xludf.DUMMYFUNCTION("GOOGLETRANSLATE(B13494,""id"",""en"")"),"['just', 'slow', 'little']")</f>
        <v>['just', 'slow', 'little']</v>
      </c>
      <c r="D13494" s="3">
        <v>3.0</v>
      </c>
    </row>
    <row r="13495" ht="15.75" customHeight="1">
      <c r="A13495" s="1">
        <v>14589.0</v>
      </c>
      <c r="B13495" s="3" t="s">
        <v>12749</v>
      </c>
      <c r="C13495" s="3" t="str">
        <f>IFERROR(__xludf.DUMMYFUNCTION("GOOGLETRANSLATE(B13495,""id"",""en"")"),"['The application', 'heavy', 'entry', 'slow', 'uninstall', 'comfortable', '']")</f>
        <v>['The application', 'heavy', 'entry', 'slow', 'uninstall', 'comfortable', '']</v>
      </c>
      <c r="D13495" s="3">
        <v>1.0</v>
      </c>
    </row>
    <row r="13496" ht="15.75" customHeight="1">
      <c r="A13496" s="1">
        <v>14590.0</v>
      </c>
      <c r="B13496" s="3" t="s">
        <v>12750</v>
      </c>
      <c r="C13496" s="3" t="str">
        <f>IFERROR(__xludf.DUMMYFUNCTION("GOOGLETRANSLATE(B13496,""id"",""en"")"),"['number', 'Indonesia', 'Taunya', 'Call', 'HARD', 'BUSINESS', 'HELP', 'Repaired', 'Call', 'No', 'Active', 'Number', ' Phone ',' position ',' On ',' Severe ',' ']")</f>
        <v>['number', 'Indonesia', 'Taunya', 'Call', 'HARD', 'BUSINESS', 'HELP', 'Repaired', 'Call', 'No', 'Active', 'Number', ' Phone ',' position ',' On ',' Severe ',' ']</v>
      </c>
      <c r="D13496" s="3">
        <v>1.0</v>
      </c>
    </row>
    <row r="13497" ht="15.75" customHeight="1">
      <c r="A13497" s="1">
        <v>14591.0</v>
      </c>
      <c r="B13497" s="3" t="s">
        <v>12751</v>
      </c>
      <c r="C13497" s="3" t="str">
        <f>IFERROR(__xludf.DUMMYFUNCTION("GOOGLETRANSLATE(B13497,""id"",""en"")"),"['Cave', 'Saranin', 'Telkomsel', 'Entar', 'Raying', 'Blood', 'Ngeggame']")</f>
        <v>['Cave', 'Saranin', 'Telkomsel', 'Entar', 'Raying', 'Blood', 'Ngeggame']</v>
      </c>
      <c r="D13497" s="3">
        <v>1.0</v>
      </c>
    </row>
    <row r="13498" ht="15.75" customHeight="1">
      <c r="A13498" s="1">
        <v>14592.0</v>
      </c>
      <c r="B13498" s="3" t="s">
        <v>12752</v>
      </c>
      <c r="C13498" s="3" t="str">
        <f>IFERROR(__xludf.DUMMYFUNCTION("GOOGLETRANSLATE(B13498,""id"",""en"")"),"['App', 'good', 'quota', 'package', 'data', 'multiplied', 'peekil', 'price', 'purchase', 'data', 'wallet', 'fast', ' thinning ',' UNIK ',' buy ',' package ',' quota ',' data ',' thank you ']")</f>
        <v>['App', 'good', 'quota', 'package', 'data', 'multiplied', 'peekil', 'price', 'purchase', 'data', 'wallet', 'fast', ' thinning ',' UNIK ',' buy ',' package ',' quota ',' data ',' thank you ']</v>
      </c>
      <c r="D13498" s="3">
        <v>5.0</v>
      </c>
    </row>
    <row r="13499" ht="15.75" customHeight="1">
      <c r="A13499" s="1">
        <v>14593.0</v>
      </c>
      <c r="B13499" s="3" t="s">
        <v>12753</v>
      </c>
      <c r="C13499" s="3" t="str">
        <f>IFERROR(__xludf.DUMMYFUNCTION("GOOGLETRANSLATE(B13499,""id"",""en"")"),"['pdhal', 'buy', 'pulse', 'buy', 'package', 'ehh', 'direct', 'sumps', 'hadehh', 'satisfying']")</f>
        <v>['pdhal', 'buy', 'pulse', 'buy', 'package', 'ehh', 'direct', 'sumps', 'hadehh', 'satisfying']</v>
      </c>
      <c r="D13499" s="3">
        <v>1.0</v>
      </c>
    </row>
    <row r="13500" ht="15.75" customHeight="1">
      <c r="A13500" s="1">
        <v>14594.0</v>
      </c>
      <c r="B13500" s="3" t="s">
        <v>12754</v>
      </c>
      <c r="C13500" s="3" t="str">
        <f>IFERROR(__xludf.DUMMYFUNCTION("GOOGLETRANSLATE(B13500,""id"",""en"")"),"['times', 'good', 'TPI', 'Please', 'Price', 'Cut']")</f>
        <v>['times', 'good', 'TPI', 'Please', 'Price', 'Cut']</v>
      </c>
      <c r="D13500" s="3">
        <v>5.0</v>
      </c>
    </row>
    <row r="13501" ht="15.75" customHeight="1">
      <c r="A13501" s="1">
        <v>14595.0</v>
      </c>
      <c r="B13501" s="3" t="s">
        <v>12755</v>
      </c>
      <c r="C13501" s="3" t="str">
        <f>IFERROR(__xludf.DUMMYFUNCTION("GOOGLETRANSLATE(B13501,""id"",""en"")"),"['PAS', 'Download', 'APK', 'Nge', 'Stuck', 'Sampe', 'Network', 'Smooth', ""]")</f>
        <v>['PAS', 'Download', 'APK', 'Nge', 'Stuck', 'Sampe', 'Network', 'Smooth', "]</v>
      </c>
      <c r="D13501" s="3">
        <v>1.0</v>
      </c>
    </row>
    <row r="13502" ht="15.75" customHeight="1">
      <c r="A13502" s="1">
        <v>14596.0</v>
      </c>
      <c r="B13502" s="3" t="s">
        <v>12756</v>
      </c>
      <c r="C13502" s="3" t="str">
        <f>IFERROR(__xludf.DUMMYFUNCTION("GOOGLETRANSLATE(B13502,""id"",""en"")"),"['Telkomsel', 'steal', 'credit', 'customer', 'times',' Cut ',' pulse ',' buy ',' package ',' call ',' unlimited ',' minute ',' all ',' operator ',' right ',' call ',' ketelong ',' pulse ',' barusa ',' fill in ',' pulse ',' thousand ',' directly ',' mortal"&amp;" ',' rupiah ' , 'SMS', 'Times', 'Costs', 'Rupiah', '']")</f>
        <v>['Telkomsel', 'steal', 'credit', 'customer', 'times',' Cut ',' pulse ',' buy ',' package ',' call ',' unlimited ',' minute ',' all ',' operator ',' right ',' call ',' ketelong ',' pulse ',' barusa ',' fill in ',' pulse ',' thousand ',' directly ',' mortal ',' rupiah ' , 'SMS', 'Times', 'Costs', 'Rupiah', '']</v>
      </c>
      <c r="D13502" s="3">
        <v>1.0</v>
      </c>
    </row>
    <row r="13503" ht="15.75" customHeight="1">
      <c r="A13503" s="1">
        <v>14598.0</v>
      </c>
      <c r="B13503" s="3" t="s">
        <v>12757</v>
      </c>
      <c r="C13503" s="3" t="str">
        <f>IFERROR(__xludf.DUMMYFUNCTION("GOOGLETRANSLATE(B13503,""id"",""en"")"),"['promo', 'package', 'internet', 'card', 'sympathy']")</f>
        <v>['promo', 'package', 'internet', 'card', 'sympathy']</v>
      </c>
      <c r="D13503" s="3">
        <v>2.0</v>
      </c>
    </row>
    <row r="13504" ht="15.75" customHeight="1">
      <c r="A13504" s="1">
        <v>14599.0</v>
      </c>
      <c r="B13504" s="3" t="s">
        <v>12758</v>
      </c>
      <c r="C13504" s="3" t="str">
        <f>IFERROR(__xludf.DUMMYFUNCTION("GOOGLETRANSLATE(B13504,""id"",""en"")"),"['hope', 'get', 'package', 'cheap', '']")</f>
        <v>['hope', 'get', 'package', 'cheap', '']</v>
      </c>
      <c r="D13504" s="3">
        <v>1.0</v>
      </c>
    </row>
    <row r="13505" ht="15.75" customHeight="1">
      <c r="A13505" s="1">
        <v>14600.0</v>
      </c>
      <c r="B13505" s="3" t="s">
        <v>12759</v>
      </c>
      <c r="C13505" s="3" t="str">
        <f>IFERROR(__xludf.DUMMYFUNCTION("GOOGLETRANSLATE(B13505,""id"",""en"")"),"['Price', 'Official', 'Network', 'Ngelag', 'Ngelag', 'Benik', 'Used', 'Play', 'Game', 'Ngelag', 'Forgiveness',' Loss', ' Buy ',' quota ',' expensive ',' dipake ',' play ',' game ']")</f>
        <v>['Price', 'Official', 'Network', 'Ngelag', 'Ngelag', 'Benik', 'Used', 'Play', 'Game', 'Ngelag', 'Forgiveness',' Loss', ' Buy ',' quota ',' expensive ',' dipake ',' play ',' game ']</v>
      </c>
      <c r="D13505" s="3">
        <v>1.0</v>
      </c>
    </row>
    <row r="13506" ht="15.75" customHeight="1">
      <c r="A13506" s="1">
        <v>14601.0</v>
      </c>
      <c r="B13506" s="3" t="s">
        <v>12760</v>
      </c>
      <c r="C13506" s="3" t="str">
        <f>IFERROR(__xludf.DUMMYFUNCTION("GOOGLETRANSLATE(B13506,""id"",""en"")"),"['application', 'steady', 'keep']")</f>
        <v>['application', 'steady', 'keep']</v>
      </c>
      <c r="D13506" s="3">
        <v>5.0</v>
      </c>
    </row>
    <row r="13507" ht="15.75" customHeight="1">
      <c r="A13507" s="1">
        <v>14602.0</v>
      </c>
      <c r="B13507" s="3" t="s">
        <v>12761</v>
      </c>
      <c r="C13507" s="3" t="str">
        <f>IFERROR(__xludf.DUMMYFUNCTION("GOOGLETRANSLATE(B13507,""id"",""en"")"),"['It's easy', 'search', 'information', 'Telkomsel', '']")</f>
        <v>['It's easy', 'search', 'information', 'Telkomsel', '']</v>
      </c>
      <c r="D13507" s="3">
        <v>5.0</v>
      </c>
    </row>
    <row r="13508" ht="15.75" customHeight="1">
      <c r="A13508" s="1">
        <v>14603.0</v>
      </c>
      <c r="B13508" s="3" t="s">
        <v>12762</v>
      </c>
      <c r="C13508" s="3" t="str">
        <f>IFERROR(__xludf.DUMMYFUNCTION("GOOGLETRANSLATE(B13508,""id"",""en"")"),"['pulse', 'pdhl', 'ttp', 'process']")</f>
        <v>['pulse', 'pdhl', 'ttp', 'process']</v>
      </c>
      <c r="D13508" s="3">
        <v>1.0</v>
      </c>
    </row>
    <row r="13509" ht="15.75" customHeight="1">
      <c r="A13509" s="1">
        <v>14604.0</v>
      </c>
      <c r="B13509" s="3" t="s">
        <v>11872</v>
      </c>
      <c r="C13509" s="3" t="str">
        <f>IFERROR(__xludf.DUMMYFUNCTION("GOOGLETRANSLATE(B13509,""id"",""en"")"),"['Service']")</f>
        <v>['Service']</v>
      </c>
      <c r="D13509" s="3">
        <v>5.0</v>
      </c>
    </row>
    <row r="13510" ht="15.75" customHeight="1">
      <c r="A13510" s="1">
        <v>14605.0</v>
      </c>
      <c r="B13510" s="3" t="s">
        <v>12763</v>
      </c>
      <c r="C13510" s="3" t="str">
        <f>IFERROR(__xludf.DUMMYFUNCTION("GOOGLETRANSLATE(B13510,""id"",""en"")"),"['', 'Telkomsel', 'Helping', 'Activation', 'Package', 'Internet', 'Phone']")</f>
        <v>['', 'Telkomsel', 'Helping', 'Activation', 'Package', 'Internet', 'Phone']</v>
      </c>
      <c r="D13510" s="3">
        <v>5.0</v>
      </c>
    </row>
    <row r="13511" ht="15.75" customHeight="1">
      <c r="A13511" s="1">
        <v>14606.0</v>
      </c>
      <c r="B13511" s="3" t="s">
        <v>12764</v>
      </c>
      <c r="C13511" s="3" t="str">
        <f>IFERROR(__xludf.DUMMYFUNCTION("GOOGLETRANSLATE(B13511,""id"",""en"")"),"['Package', 'expensive', 'signal', 'like', 'lost', 'detrimental', 'college', 'online', 'Naturally', 'signal', 'like', 'missing', ' Quotes', 'cheap']")</f>
        <v>['Package', 'expensive', 'signal', 'like', 'lost', 'detrimental', 'college', 'online', 'Naturally', 'signal', 'like', 'missing', ' Quotes', 'cheap']</v>
      </c>
      <c r="D13511" s="3">
        <v>1.0</v>
      </c>
    </row>
    <row r="13512" ht="15.75" customHeight="1">
      <c r="A13512" s="1">
        <v>14608.0</v>
      </c>
      <c r="B13512" s="3" t="s">
        <v>12765</v>
      </c>
      <c r="C13512" s="3" t="str">
        <f>IFERROR(__xludf.DUMMYFUNCTION("GOOGLETRANSLATE(B13512,""id"",""en"")"),"['Used', 'Practical']")</f>
        <v>['Used', 'Practical']</v>
      </c>
      <c r="D13512" s="3">
        <v>5.0</v>
      </c>
    </row>
    <row r="13513" ht="15.75" customHeight="1">
      <c r="A13513" s="1">
        <v>14609.0</v>
      </c>
      <c r="B13513" s="3" t="s">
        <v>12766</v>
      </c>
      <c r="C13513" s="3" t="str">
        <f>IFERROR(__xludf.DUMMYFUNCTION("GOOGLETRANSLATE(B13513,""id"",""en"")"),"['cave', 'zoom', 'bang', 'please', 'jammed', 'jammed', 'already', 'expensive', 'jammed', 'jammed', ""]")</f>
        <v>['cave', 'zoom', 'bang', 'please', 'jammed', 'jammed', 'already', 'expensive', 'jammed', 'jammed', "]</v>
      </c>
      <c r="D13513" s="3">
        <v>1.0</v>
      </c>
    </row>
    <row r="13514" ht="15.75" customHeight="1">
      <c r="A13514" s="1">
        <v>14610.0</v>
      </c>
      <c r="B13514" s="3" t="s">
        <v>12767</v>
      </c>
      <c r="C13514" s="3" t="str">
        <f>IFERROR(__xludf.DUMMYFUNCTION("GOOGLETRANSLATE(B13514,""id"",""en"")"),"['Need', 'pulse', 'because', 'get lost']")</f>
        <v>['Need', 'pulse', 'because', 'get lost']</v>
      </c>
      <c r="D13514" s="3">
        <v>1.0</v>
      </c>
    </row>
    <row r="13515" ht="15.75" customHeight="1">
      <c r="A13515" s="1">
        <v>14611.0</v>
      </c>
      <c r="B13515" s="3" t="s">
        <v>12768</v>
      </c>
      <c r="C13515" s="3" t="str">
        <f>IFERROR(__xludf.DUMMYFUNCTION("GOOGLETRANSLATE(B13515,""id"",""en"")"),"['The application', 'Good', 'Helping', 'Purchase', 'Package', 'Internet', 'Choice', 'Offer', 'Hopefully', 'Telkomsel', 'In the future', 'Good', ' Priority ',' Quality ',' ']")</f>
        <v>['The application', 'Good', 'Helping', 'Purchase', 'Package', 'Internet', 'Choice', 'Offer', 'Hopefully', 'Telkomsel', 'In the future', 'Good', ' Priority ',' Quality ',' ']</v>
      </c>
      <c r="D13515" s="3">
        <v>4.0</v>
      </c>
    </row>
    <row r="13516" ht="15.75" customHeight="1">
      <c r="A13516" s="1">
        <v>14612.0</v>
      </c>
      <c r="B13516" s="3" t="s">
        <v>12769</v>
      </c>
      <c r="C13516" s="3" t="str">
        <f>IFERROR(__xludf.DUMMYFUNCTION("GOOGLETRANSLATE(B13516,""id"",""en"")"),"['Connection', 'Sometimes',' Lost ',' Good ',' Already ',' Provider ',' Capitalist ',' Kayak ',' Gini ',' Lined ',' Give ',' Price ',' according to ',' service ',' hope ',' in the future ',' overcome ']")</f>
        <v>['Connection', 'Sometimes',' Lost ',' Good ',' Already ',' Provider ',' Capitalist ',' Kayak ',' Gini ',' Lined ',' Give ',' Price ',' according to ',' service ',' hope ',' in the future ',' overcome ']</v>
      </c>
      <c r="D13516" s="3">
        <v>1.0</v>
      </c>
    </row>
    <row r="13517" ht="15.75" customHeight="1">
      <c r="A13517" s="1">
        <v>14613.0</v>
      </c>
      <c r="B13517" s="3" t="s">
        <v>2620</v>
      </c>
      <c r="C13517" s="3" t="str">
        <f>IFERROR(__xludf.DUMMYFUNCTION("GOOGLETRANSLATE(B13517,""id"",""en"")"),"Of course")</f>
        <v>Of course</v>
      </c>
      <c r="D13517" s="3">
        <v>3.0</v>
      </c>
    </row>
    <row r="13518" ht="15.75" customHeight="1">
      <c r="A13518" s="1">
        <v>14614.0</v>
      </c>
      <c r="B13518" s="3" t="s">
        <v>12770</v>
      </c>
      <c r="C13518" s="3" t="str">
        <f>IFERROR(__xludf.DUMMYFUNCTION("GOOGLETRANSLATE(B13518,""id"",""en"")"),"['Method', 'Payment', 'Card', 'Hello', 'Pay', 'Indomart', 'Transfer', 'Disappointed', ""]")</f>
        <v>['Method', 'Payment', 'Card', 'Hello', 'Pay', 'Indomart', 'Transfer', 'Disappointed', "]</v>
      </c>
      <c r="D13518" s="3">
        <v>1.0</v>
      </c>
    </row>
    <row r="13519" ht="15.75" customHeight="1">
      <c r="A13519" s="1">
        <v>14615.0</v>
      </c>
      <c r="B13519" s="3" t="s">
        <v>12771</v>
      </c>
      <c r="C13519" s="3" t="str">
        <f>IFERROR(__xludf.DUMMYFUNCTION("GOOGLETRANSLATE(B13519,""id"",""en"")"),"['', 'love', 'star', 'pulse', 'missing', '']")</f>
        <v>['', 'love', 'star', 'pulse', 'missing', '']</v>
      </c>
      <c r="D13519" s="3">
        <v>2.0</v>
      </c>
    </row>
    <row r="13520" ht="15.75" customHeight="1">
      <c r="A13520" s="1">
        <v>14616.0</v>
      </c>
      <c r="B13520" s="3" t="s">
        <v>12772</v>
      </c>
      <c r="C13520" s="3" t="str">
        <f>IFERROR(__xludf.DUMMYFUNCTION("GOOGLETRANSLATE(B13520,""id"",""en"")"),"['', 'area', 'Kab', 'Buleleng', 'precisely', 'village', 'Rangdu', 'signal', 'Telkomsel', 'ugly']")</f>
        <v>['', 'area', 'Kab', 'Buleleng', 'precisely', 'village', 'Rangdu', 'signal', 'Telkomsel', 'ugly']</v>
      </c>
      <c r="D13520" s="3">
        <v>3.0</v>
      </c>
    </row>
    <row r="13521" ht="15.75" customHeight="1">
      <c r="A13521" s="1">
        <v>14617.0</v>
      </c>
      <c r="B13521" s="3" t="s">
        <v>12773</v>
      </c>
      <c r="C13521" s="3" t="str">
        <f>IFERROR(__xludf.DUMMYFUNCTION("GOOGLETRANSLATE(B13521,""id"",""en"")"),"['Telkomsel', 'Try', 'card', 'Hello', 'Prepaid', 'Really', 'Sad', 'Kayak', 'Tipu', 'Please', 'Complaints',' Consumers', ' Fix ',' As soon as possible, 'Increase', 'Darling', 'Terminate', 'The card', 'already', 'Inner', 'Tortured', 'Waiting', 'Bill', 'craz"&amp;"y', 'waahh' , 'circles', 'medium', 'prepaid', 'thousand']")</f>
        <v>['Telkomsel', 'Try', 'card', 'Hello', 'Prepaid', 'Really', 'Sad', 'Kayak', 'Tipu', 'Please', 'Complaints',' Consumers', ' Fix ',' As soon as possible, 'Increase', 'Darling', 'Terminate', 'The card', 'already', 'Inner', 'Tortured', 'Waiting', 'Bill', 'crazy', 'waahh' , 'circles', 'medium', 'prepaid', 'thousand']</v>
      </c>
      <c r="D13521" s="3">
        <v>1.0</v>
      </c>
    </row>
    <row r="13522" ht="15.75" customHeight="1">
      <c r="A13522" s="1">
        <v>14618.0</v>
      </c>
      <c r="B13522" s="3" t="s">
        <v>12774</v>
      </c>
      <c r="C13522" s="3" t="str">
        <f>IFERROR(__xludf.DUMMYFUNCTION("GOOGLETRANSLATE(B13522,""id"",""en"")"),"['Alhamdulillah', 'makes it easier', 'buy', 'package', 'data']")</f>
        <v>['Alhamdulillah', 'makes it easier', 'buy', 'package', 'data']</v>
      </c>
      <c r="D13522" s="3">
        <v>5.0</v>
      </c>
    </row>
    <row r="13523" ht="15.75" customHeight="1">
      <c r="A13523" s="1">
        <v>14619.0</v>
      </c>
      <c r="B13523" s="3" t="s">
        <v>12775</v>
      </c>
      <c r="C13523" s="3" t="str">
        <f>IFERROR(__xludf.DUMMYFUNCTION("GOOGLETRANSLATE(B13523,""id"",""en"")"),"['Lally', 'Promo', 'Reward', 'User', 'Nati', 'Bintang', '']")</f>
        <v>['Lally', 'Promo', 'Reward', 'User', 'Nati', 'Bintang', '']</v>
      </c>
      <c r="D13523" s="3">
        <v>4.0</v>
      </c>
    </row>
    <row r="13524" ht="15.75" customHeight="1">
      <c r="A13524" s="1">
        <v>14620.0</v>
      </c>
      <c r="B13524" s="3" t="s">
        <v>12776</v>
      </c>
      <c r="C13524" s="3" t="str">
        <f>IFERROR(__xludf.DUMMYFUNCTION("GOOGLETRANSLATE(B13524,""id"",""en"")"),"['Network', 'internet', 'steady']")</f>
        <v>['Network', 'internet', 'steady']</v>
      </c>
      <c r="D13524" s="3">
        <v>5.0</v>
      </c>
    </row>
    <row r="13525" ht="15.75" customHeight="1">
      <c r="A13525" s="1">
        <v>14622.0</v>
      </c>
      <c r="B13525" s="3" t="s">
        <v>12777</v>
      </c>
      <c r="C13525" s="3" t="str">
        <f>IFERROR(__xludf.DUMMYFUNCTION("GOOGLETRANSLATE(B13525,""id"",""en"")"),"['Payment', 'Success', 'Package', 'Data', 'Enter', 'Sudh', 'Contact', 'Handling', '']")</f>
        <v>['Payment', 'Success', 'Package', 'Data', 'Enter', 'Sudh', 'Contact', 'Handling', '']</v>
      </c>
      <c r="D13525" s="3">
        <v>1.0</v>
      </c>
    </row>
    <row r="13526" ht="15.75" customHeight="1">
      <c r="A13526" s="1">
        <v>14623.0</v>
      </c>
      <c r="B13526" s="3" t="s">
        <v>12778</v>
      </c>
      <c r="C13526" s="3" t="str">
        <f>IFERROR(__xludf.DUMMYFUNCTION("GOOGLETRANSLATE(B13526,""id"",""en"")"),"['Wear', 'Telkomsel', 'Sousal', 'Good']")</f>
        <v>['Wear', 'Telkomsel', 'Sousal', 'Good']</v>
      </c>
      <c r="D13526" s="3">
        <v>1.0</v>
      </c>
    </row>
    <row r="13527" ht="15.75" customHeight="1">
      <c r="A13527" s="1">
        <v>14624.0</v>
      </c>
      <c r="B13527" s="3" t="s">
        <v>12779</v>
      </c>
      <c r="C13527" s="3" t="str">
        <f>IFERROR(__xludf.DUMMYFUNCTION("GOOGLETRANSLATE(B13527,""id"",""en"")"),"['Try', 'love']")</f>
        <v>['Try', 'love']</v>
      </c>
      <c r="D13527" s="3">
        <v>3.0</v>
      </c>
    </row>
    <row r="13528" ht="15.75" customHeight="1">
      <c r="A13528" s="1">
        <v>14625.0</v>
      </c>
      <c r="B13528" s="3" t="s">
        <v>12780</v>
      </c>
      <c r="C13528" s="3" t="str">
        <f>IFERROR(__xludf.DUMMYFUNCTION("GOOGLETRANSLATE(B13528,""id"",""en"")"),"['hope', 'the application', 'developed', '']")</f>
        <v>['hope', 'the application', 'developed', '']</v>
      </c>
      <c r="D13528" s="3">
        <v>5.0</v>
      </c>
    </row>
    <row r="13529" ht="15.75" customHeight="1">
      <c r="A13529" s="1">
        <v>14626.0</v>
      </c>
      <c r="B13529" s="3" t="s">
        <v>12781</v>
      </c>
      <c r="C13529" s="3" t="str">
        <f>IFERROR(__xludf.DUMMYFUNCTION("GOOGLETRANSLATE(B13529,""id"",""en"")"),"['', 'Telkomsel', 'application', 'telabaik', 'makes it easier', 'purchase', 'pulse', 'package', 'internet', 'cheapest', 'etc.', '']")</f>
        <v>['', 'Telkomsel', 'application', 'telabaik', 'makes it easier', 'purchase', 'pulse', 'package', 'internet', 'cheapest', 'etc.', '']</v>
      </c>
      <c r="D13529" s="3">
        <v>5.0</v>
      </c>
    </row>
    <row r="13530" ht="15.75" customHeight="1">
      <c r="A13530" s="1">
        <v>14627.0</v>
      </c>
      <c r="B13530" s="3" t="s">
        <v>12782</v>
      </c>
      <c r="C13530" s="3" t="str">
        <f>IFERROR(__xludf.DUMMYFUNCTION("GOOGLETRANSLATE(B13530,""id"",""en"")"),"['Help', 'in', 'activity', 'a day', 'byk', 'promo', ""]")</f>
        <v>['Help', 'in', 'activity', 'a day', 'byk', 'promo', "]</v>
      </c>
      <c r="D13530" s="3">
        <v>5.0</v>
      </c>
    </row>
    <row r="13531" ht="15.75" customHeight="1">
      <c r="A13531" s="1">
        <v>14628.0</v>
      </c>
      <c r="B13531" s="3" t="s">
        <v>12783</v>
      </c>
      <c r="C13531" s="3" t="str">
        <f>IFERROR(__xludf.DUMMYFUNCTION("GOOGLETRANSLATE(B13531,""id"",""en"")"),"['Satisfied', 'Pkek', 'Telkomsel']")</f>
        <v>['Satisfied', 'Pkek', 'Telkomsel']</v>
      </c>
      <c r="D13531" s="3">
        <v>5.0</v>
      </c>
    </row>
    <row r="13532" ht="15.75" customHeight="1">
      <c r="A13532" s="1">
        <v>14629.0</v>
      </c>
      <c r="B13532" s="3" t="s">
        <v>12784</v>
      </c>
      <c r="C13532" s="3" t="str">
        <f>IFERROR(__xludf.DUMMYFUNCTION("GOOGLETRANSLATE(B13532,""id"",""en"")"),"['Kouta', 'Doang', 'expensive', 'network', 'Error', 'Mulu']")</f>
        <v>['Kouta', 'Doang', 'expensive', 'network', 'Error', 'Mulu']</v>
      </c>
      <c r="D13532" s="3">
        <v>2.0</v>
      </c>
    </row>
    <row r="13533" ht="15.75" customHeight="1">
      <c r="A13533" s="1">
        <v>14630.0</v>
      </c>
      <c r="B13533" s="3" t="s">
        <v>8380</v>
      </c>
      <c r="C13533" s="3" t="str">
        <f>IFERROR(__xludf.DUMMYFUNCTION("GOOGLETRANSLATE(B13533,""id"",""en"")"),"['easy', 'practical']")</f>
        <v>['easy', 'practical']</v>
      </c>
      <c r="D13533" s="3">
        <v>5.0</v>
      </c>
    </row>
    <row r="13534" ht="15.75" customHeight="1">
      <c r="A13534" s="1">
        <v>14631.0</v>
      </c>
      <c r="B13534" s="3" t="s">
        <v>12785</v>
      </c>
      <c r="C13534" s="3" t="str">
        <f>IFERROR(__xludf.DUMMYFUNCTION("GOOGLETRANSLATE(B13534,""id"",""en"")"),"['easy', 'check', 'pulse']")</f>
        <v>['easy', 'check', 'pulse']</v>
      </c>
      <c r="D13534" s="3">
        <v>4.0</v>
      </c>
    </row>
    <row r="13535" ht="15.75" customHeight="1">
      <c r="A13535" s="1">
        <v>14632.0</v>
      </c>
      <c r="B13535" s="3" t="s">
        <v>12786</v>
      </c>
      <c r="C13535" s="3" t="str">
        <f>IFERROR(__xludf.DUMMYFUNCTION("GOOGLETRANSLATE(B13535,""id"",""en"")"),"['Mantep', 'Region', 'Mountain', 'Pulosari', 'Please', 'Sousal', 'Enhanced', 'Package', 'Save', 'Perpetrators', 'MSME', ""]")</f>
        <v>['Mantep', 'Region', 'Mountain', 'Pulosari', 'Please', 'Sousal', 'Enhanced', 'Package', 'Save', 'Perpetrators', 'MSME', "]</v>
      </c>
      <c r="D13535" s="3">
        <v>5.0</v>
      </c>
    </row>
    <row r="13536" ht="15.75" customHeight="1">
      <c r="A13536" s="1">
        <v>14633.0</v>
      </c>
      <c r="B13536" s="3" t="s">
        <v>12787</v>
      </c>
      <c r="C13536" s="3" t="str">
        <f>IFERROR(__xludf.DUMMYFUNCTION("GOOGLETRANSLATE(B13536,""id"",""en"")"),"['Good', 'Speed', 'Internet']")</f>
        <v>['Good', 'Speed', 'Internet']</v>
      </c>
      <c r="D13536" s="3">
        <v>5.0</v>
      </c>
    </row>
    <row r="13537" ht="15.75" customHeight="1">
      <c r="A13537" s="1">
        <v>14634.0</v>
      </c>
      <c r="B13537" s="3" t="s">
        <v>12788</v>
      </c>
      <c r="C13537" s="3" t="str">
        <f>IFERROR(__xludf.DUMMYFUNCTION("GOOGLETRANSLATE(B13537,""id"",""en"")"),"['network', 'Telkomsel', 'ugly', 'little', 'little', 'missing', 'network', 'pdhal', 'morning', 'hours',' work ',' Telkomsel ',' payaaah ',' emng ',' request ',' update ',' satisfaction ',' customer ',' pdhal ',' price ',' quota ',' mahaal ',' bangat ', """&amp;"]")</f>
        <v>['network', 'Telkomsel', 'ugly', 'little', 'little', 'missing', 'network', 'pdhal', 'morning', 'hours',' work ',' Telkomsel ',' payaaah ',' emng ',' request ',' update ',' satisfaction ',' customer ',' pdhal ',' price ',' quota ',' mahaal ',' bangat ', "]</v>
      </c>
      <c r="D13537" s="3">
        <v>1.0</v>
      </c>
    </row>
    <row r="13538" ht="15.75" customHeight="1">
      <c r="A13538" s="1">
        <v>14635.0</v>
      </c>
      <c r="B13538" s="3" t="s">
        <v>12789</v>
      </c>
      <c r="C13538" s="3" t="str">
        <f>IFERROR(__xludf.DUMMYFUNCTION("GOOGLETRANSLATE(B13538,""id"",""en"")"),"['Help', 'convenience', 'buy', 'quota', 'check', 'credit', 'Telkomsel', 'good', 'gift', 'quota', 'diligent', 'check']")</f>
        <v>['Help', 'convenience', 'buy', 'quota', 'check', 'credit', 'Telkomsel', 'good', 'gift', 'quota', 'diligent', 'check']</v>
      </c>
      <c r="D13538" s="3">
        <v>5.0</v>
      </c>
    </row>
    <row r="13539" ht="15.75" customHeight="1">
      <c r="A13539" s="1">
        <v>14636.0</v>
      </c>
      <c r="B13539" s="3" t="s">
        <v>12790</v>
      </c>
      <c r="C13539" s="3" t="str">
        <f>IFERROR(__xludf.DUMMYFUNCTION("GOOGLETRANSLATE(B13539,""id"",""en"")"),"['multiplied', 'discount']")</f>
        <v>['multiplied', 'discount']</v>
      </c>
      <c r="D13539" s="3">
        <v>4.0</v>
      </c>
    </row>
    <row r="13540" ht="15.75" customHeight="1">
      <c r="A13540" s="1">
        <v>14637.0</v>
      </c>
      <c r="B13540" s="3" t="s">
        <v>12791</v>
      </c>
      <c r="C13540" s="3" t="str">
        <f>IFERROR(__xludf.DUMMYFUNCTION("GOOGLETRANSLATE(B13540,""id"",""en"")"),"['Package', 'Internet', 'Telephone', 'Expensive', '']")</f>
        <v>['Package', 'Internet', 'Telephone', 'Expensive', '']</v>
      </c>
      <c r="D13540" s="3">
        <v>2.0</v>
      </c>
    </row>
    <row r="13541" ht="15.75" customHeight="1">
      <c r="A13541" s="1">
        <v>14638.0</v>
      </c>
      <c r="B13541" s="3" t="s">
        <v>12792</v>
      </c>
      <c r="C13541" s="3" t="str">
        <f>IFERROR(__xludf.DUMMYFUNCTION("GOOGLETRANSLATE(B13541,""id"",""en"")"),"['make', 'apk', 'no', 'ush', 'troubles', 'waiting', 'notification', 'leftover', 'pulse', ""]")</f>
        <v>['make', 'apk', 'no', 'ush', 'troubles', 'waiting', 'notification', 'leftover', 'pulse', "]</v>
      </c>
      <c r="D13541" s="3">
        <v>5.0</v>
      </c>
    </row>
    <row r="13542" ht="15.75" customHeight="1">
      <c r="A13542" s="1">
        <v>14639.0</v>
      </c>
      <c r="B13542" s="3" t="s">
        <v>5031</v>
      </c>
      <c r="C13542" s="3" t="str">
        <f>IFERROR(__xludf.DUMMYFUNCTION("GOOGLETRANSLATE(B13542,""id"",""en"")"),"['Success', 'Telkomsel']")</f>
        <v>['Success', 'Telkomsel']</v>
      </c>
      <c r="D13542" s="3">
        <v>5.0</v>
      </c>
    </row>
    <row r="13543" ht="15.75" customHeight="1">
      <c r="A13543" s="1">
        <v>14640.0</v>
      </c>
      <c r="B13543" s="3" t="s">
        <v>12793</v>
      </c>
      <c r="C13543" s="3" t="str">
        <f>IFERROR(__xludf.DUMMYFUNCTION("GOOGLETRANSLATE(B13543,""id"",""en"")"),"['Shopping', 'Package', 'Telkomsel', 'Easy']")</f>
        <v>['Shopping', 'Package', 'Telkomsel', 'Easy']</v>
      </c>
      <c r="D13543" s="3">
        <v>5.0</v>
      </c>
    </row>
    <row r="13544" ht="15.75" customHeight="1">
      <c r="A13544" s="1">
        <v>14641.0</v>
      </c>
      <c r="B13544" s="3" t="s">
        <v>12794</v>
      </c>
      <c r="C13544" s="3" t="str">
        <f>IFERROR(__xludf.DUMMYFUNCTION("GOOGLETRANSLATE(B13544,""id"",""en"")"),"['slow', 'right', 'sympathy', 'already', 'package', 'expensive', 'slow', 'hadeh', 'really', 'network', 'woi', 'open', ' APK ',' Loading ',' really ',' Soek ']")</f>
        <v>['slow', 'right', 'sympathy', 'already', 'package', 'expensive', 'slow', 'hadeh', 'really', 'network', 'woi', 'open', ' APK ',' Loading ',' really ',' Soek ']</v>
      </c>
      <c r="D13544" s="3">
        <v>1.0</v>
      </c>
    </row>
    <row r="13545" ht="15.75" customHeight="1">
      <c r="A13545" s="1">
        <v>14642.0</v>
      </c>
      <c r="B13545" s="3" t="s">
        <v>12795</v>
      </c>
      <c r="C13545" s="3" t="str">
        <f>IFERROR(__xludf.DUMMYFUNCTION("GOOGLETRANSLATE(B13545,""id"",""en"")"),"['Good', 'ngambit']")</f>
        <v>['Good', 'ngambit']</v>
      </c>
      <c r="D13545" s="3">
        <v>4.0</v>
      </c>
    </row>
    <row r="13546" ht="15.75" customHeight="1">
      <c r="A13546" s="1">
        <v>14643.0</v>
      </c>
      <c r="B13546" s="3" t="s">
        <v>12796</v>
      </c>
      <c r="C13546" s="3" t="str">
        <f>IFERROR(__xludf.DUMMYFUNCTION("GOOGLETRANSLATE(B13546,""id"",""en"")"),"['Help', 'guaranteed', 'regret', 'download', 'Telkomsel', ""]")</f>
        <v>['Help', 'guaranteed', 'regret', 'download', 'Telkomsel', "]</v>
      </c>
      <c r="D13546" s="3">
        <v>5.0</v>
      </c>
    </row>
    <row r="13547" ht="15.75" customHeight="1">
      <c r="A13547" s="1">
        <v>14644.0</v>
      </c>
      <c r="B13547" s="3" t="s">
        <v>1487</v>
      </c>
      <c r="C13547" s="3" t="str">
        <f>IFERROR(__xludf.DUMMYFUNCTION("GOOGLETRANSLATE(B13547,""id"",""en"")"),"['support']")</f>
        <v>['support']</v>
      </c>
      <c r="D13547" s="3">
        <v>5.0</v>
      </c>
    </row>
    <row r="13548" ht="15.75" customHeight="1">
      <c r="A13548" s="1">
        <v>14645.0</v>
      </c>
      <c r="B13548" s="3" t="s">
        <v>12797</v>
      </c>
      <c r="C13548" s="3" t="str">
        <f>IFERROR(__xludf.DUMMYFUNCTION("GOOGLETRANSLATE(B13548,""id"",""en"")"),"['Admin', 'APK', 'MyTesel', 'Dihp', 'Min', 'Update', 'Tetep', 'Msih', 'Inhibits',' Very ',' Purchase ',' Package ',' Please, 'Assisted', 'Min']")</f>
        <v>['Admin', 'APK', 'MyTesel', 'Dihp', 'Min', 'Update', 'Tetep', 'Msih', 'Inhibits',' Very ',' Purchase ',' Package ',' Please, 'Assisted', 'Min']</v>
      </c>
      <c r="D13548" s="3">
        <v>4.0</v>
      </c>
    </row>
    <row r="13549" ht="15.75" customHeight="1">
      <c r="A13549" s="1">
        <v>14646.0</v>
      </c>
      <c r="B13549" s="3" t="s">
        <v>12798</v>
      </c>
      <c r="C13549" s="3" t="str">
        <f>IFERROR(__xludf.DUMMYFUNCTION("GOOGLETRANSLATE(B13549,""id"",""en"")"),"['application', 'the easiest', 'buy', 'package', 'data', 'hope', 'success', '']")</f>
        <v>['application', 'the easiest', 'buy', 'package', 'data', 'hope', 'success', '']</v>
      </c>
      <c r="D13549" s="3">
        <v>5.0</v>
      </c>
    </row>
    <row r="13550" ht="15.75" customHeight="1">
      <c r="A13550" s="1">
        <v>14647.0</v>
      </c>
      <c r="B13550" s="3" t="s">
        <v>12799</v>
      </c>
      <c r="C13550" s="3" t="str">
        <f>IFERROR(__xludf.DUMMYFUNCTION("GOOGLETRANSLATE(B13550,""id"",""en"")"),"['fast', 'entry', 'basically', 'joss']")</f>
        <v>['fast', 'entry', 'basically', 'joss']</v>
      </c>
      <c r="D13550" s="3">
        <v>5.0</v>
      </c>
    </row>
    <row r="13551" ht="15.75" customHeight="1">
      <c r="A13551" s="1">
        <v>14648.0</v>
      </c>
      <c r="B13551" s="3" t="s">
        <v>12800</v>
      </c>
      <c r="C13551" s="3" t="str">
        <f>IFERROR(__xludf.DUMMYFUNCTION("GOOGLETRANSLATE(B13551,""id"",""en"")"),"['poroses', 'lei', 'Telkomsel', '']")</f>
        <v>['poroses', 'lei', 'Telkomsel', '']</v>
      </c>
      <c r="D13551" s="3">
        <v>4.0</v>
      </c>
    </row>
    <row r="13552" ht="15.75" customHeight="1">
      <c r="A13552" s="1">
        <v>14649.0</v>
      </c>
      <c r="B13552" s="3" t="s">
        <v>6227</v>
      </c>
      <c r="C13552" s="3" t="str">
        <f>IFERROR(__xludf.DUMMYFUNCTION("GOOGLETRANSLATE(B13552,""id"",""en"")"),"['', 'steady']")</f>
        <v>['', 'steady']</v>
      </c>
      <c r="D13552" s="3">
        <v>5.0</v>
      </c>
    </row>
    <row r="13553" ht="15.75" customHeight="1">
      <c r="A13553" s="1">
        <v>14650.0</v>
      </c>
      <c r="B13553" s="3" t="s">
        <v>12801</v>
      </c>
      <c r="C13553" s="3" t="str">
        <f>IFERROR(__xludf.DUMMYFUNCTION("GOOGLETRANSLATE(B13553,""id"",""en"")"),"['Update', 'confusing']")</f>
        <v>['Update', 'confusing']</v>
      </c>
      <c r="D13553" s="3">
        <v>3.0</v>
      </c>
    </row>
    <row r="13554" ht="15.75" customHeight="1">
      <c r="A13554" s="1">
        <v>14652.0</v>
      </c>
      <c r="B13554" s="3" t="s">
        <v>273</v>
      </c>
      <c r="C13554" s="3" t="str">
        <f>IFERROR(__xludf.DUMMYFUNCTION("GOOGLETRANSLATE(B13554,""id"",""en"")"),"['like']")</f>
        <v>['like']</v>
      </c>
      <c r="D13554" s="3">
        <v>5.0</v>
      </c>
    </row>
    <row r="13555" ht="15.75" customHeight="1">
      <c r="A13555" s="1">
        <v>14653.0</v>
      </c>
      <c r="B13555" s="3" t="s">
        <v>12802</v>
      </c>
      <c r="C13555" s="3" t="str">
        <f>IFERROR(__xludf.DUMMYFUNCTION("GOOGLETRANSLATE(B13555,""id"",""en"")"),"['stay', 'in the city', 'strength', 'signal', 'kek', 'peak', 'mountain', 'slow', 'package', 'expensive']")</f>
        <v>['stay', 'in the city', 'strength', 'signal', 'kek', 'peak', 'mountain', 'slow', 'package', 'expensive']</v>
      </c>
      <c r="D13555" s="3">
        <v>1.0</v>
      </c>
    </row>
    <row r="13556" ht="15.75" customHeight="1">
      <c r="A13556" s="1">
        <v>14654.0</v>
      </c>
      <c r="B13556" s="3" t="s">
        <v>12803</v>
      </c>
      <c r="C13556" s="3" t="str">
        <f>IFERROR(__xludf.DUMMYFUNCTION("GOOGLETRANSLATE(B13556,""id"",""en"")"),"['Service', 'Bagus']")</f>
        <v>['Service', 'Bagus']</v>
      </c>
      <c r="D13556" s="3">
        <v>5.0</v>
      </c>
    </row>
    <row r="13557" ht="15.75" customHeight="1">
      <c r="A13557" s="1">
        <v>14655.0</v>
      </c>
      <c r="B13557" s="3" t="s">
        <v>12804</v>
      </c>
      <c r="C13557" s="3" t="str">
        <f>IFERROR(__xludf.DUMMYFUNCTION("GOOGLETRANSLATE(B13557,""id"",""en"")"),"['staple', 'happy', ""]")</f>
        <v>['staple', 'happy', "]</v>
      </c>
      <c r="D13557" s="3">
        <v>5.0</v>
      </c>
    </row>
    <row r="13558" ht="15.75" customHeight="1">
      <c r="A13558" s="1">
        <v>14656.0</v>
      </c>
      <c r="B13558" s="3" t="s">
        <v>12805</v>
      </c>
      <c r="C13558" s="3" t="str">
        <f>IFERROR(__xludf.DUMMYFUNCTION("GOOGLETRANSLATE(B13558,""id"",""en"")"),"['Add', 'Benefits', 'Points', 'Exchange', 'Quota', 'Free']")</f>
        <v>['Add', 'Benefits', 'Points', 'Exchange', 'Quota', 'Free']</v>
      </c>
      <c r="D13558" s="3">
        <v>5.0</v>
      </c>
    </row>
    <row r="13559" ht="15.75" customHeight="1">
      <c r="A13559" s="1">
        <v>14657.0</v>
      </c>
      <c r="B13559" s="3" t="s">
        <v>12806</v>
      </c>
      <c r="C13559" s="3" t="str">
        <f>IFERROR(__xludf.DUMMYFUNCTION("GOOGLETRANSLATE(B13559,""id"",""en"")"),"['Please', 'Min', 'Google', 'Pixel', 'Install', 'All']")</f>
        <v>['Please', 'Min', 'Google', 'Pixel', 'Install', 'All']</v>
      </c>
      <c r="D13559" s="3">
        <v>1.0</v>
      </c>
    </row>
    <row r="13560" ht="15.75" customHeight="1">
      <c r="A13560" s="1">
        <v>14658.0</v>
      </c>
      <c r="B13560" s="3" t="s">
        <v>12807</v>
      </c>
      <c r="C13560" s="3" t="str">
        <f>IFERROR(__xludf.DUMMYFUNCTION("GOOGLETRANSLATE(B13560,""id"",""en"")"),"['network', 'the widest', 'best', 'Appeal']")</f>
        <v>['network', 'the widest', 'best', 'Appeal']</v>
      </c>
      <c r="D13560" s="3">
        <v>4.0</v>
      </c>
    </row>
    <row r="13561" ht="15.75" customHeight="1">
      <c r="A13561" s="1">
        <v>14659.0</v>
      </c>
      <c r="B13561" s="3" t="s">
        <v>12808</v>
      </c>
      <c r="C13561" s="3" t="str">
        <f>IFERROR(__xludf.DUMMYFUNCTION("GOOGLETRANSLATE(B13561,""id"",""en"")"),"['Thank God', 'quota', 'free', 'Telkomsel', 'Event', 'quota', 'free', 'Please', 'multiply', ""]")</f>
        <v>['Thank God', 'quota', 'free', 'Telkomsel', 'Event', 'quota', 'free', 'Please', 'multiply', "]</v>
      </c>
      <c r="D13561" s="3">
        <v>5.0</v>
      </c>
    </row>
    <row r="13562" ht="15.75" customHeight="1">
      <c r="A13562" s="1">
        <v>14660.0</v>
      </c>
      <c r="B13562" s="3" t="s">
        <v>12809</v>
      </c>
      <c r="C13562" s="3" t="str">
        <f>IFERROR(__xludf.DUMMYFUNCTION("GOOGLETRANSLATE(B13562,""id"",""en"")"),"['Toooop', 'deh', 'pokonya']")</f>
        <v>['Toooop', 'deh', 'pokonya']</v>
      </c>
      <c r="D13562" s="3">
        <v>5.0</v>
      </c>
    </row>
    <row r="13563" ht="15.75" customHeight="1">
      <c r="A13563" s="1">
        <v>14661.0</v>
      </c>
      <c r="B13563" s="3" t="s">
        <v>12810</v>
      </c>
      <c r="C13563" s="3" t="str">
        <f>IFERROR(__xludf.DUMMYFUNCTION("GOOGLETRANSLATE(B13563,""id"",""en"")"),"['MaaaaaaaannnnnnnnnntaaaaaaaaaaaaaaaaaAppppp', 'Useful', '']")</f>
        <v>['MaaaaaaaannnnnnnnnntaaaaaaaaaaaaaaaaaAppppp', 'Useful', '']</v>
      </c>
      <c r="D13563" s="3">
        <v>5.0</v>
      </c>
    </row>
    <row r="13564" ht="15.75" customHeight="1">
      <c r="A13564" s="1">
        <v>14662.0</v>
      </c>
      <c r="B13564" s="3" t="s">
        <v>12811</v>
      </c>
      <c r="C13564" s="3" t="str">
        <f>IFERROR(__xludf.DUMMYFUNCTION("GOOGLETRANSLATE(B13564,""id"",""en"")"),"['easy', 'interesting', 'win', 'lottery', 'point', 'telkomsel', 'admin', 'hee', 'thank you', 'application', 'good']")</f>
        <v>['easy', 'interesting', 'win', 'lottery', 'point', 'telkomsel', 'admin', 'hee', 'thank you', 'application', 'good']</v>
      </c>
      <c r="D13564" s="3">
        <v>5.0</v>
      </c>
    </row>
    <row r="13565" ht="15.75" customHeight="1">
      <c r="A13565" s="1">
        <v>14663.0</v>
      </c>
      <c r="B13565" s="3" t="s">
        <v>12812</v>
      </c>
      <c r="C13565" s="3" t="str">
        <f>IFERROR(__xludf.DUMMYFUNCTION("GOOGLETRANSLATE(B13565,""id"",""en"")"),"['Please', 'Dissured', 'Repaired', 'Exchange', 'Point', 'Repeated', 'Times', 'Exchange', 'Sorry', 'Disruption', 'System', 'Sunday' Disorders', 'System', 'Delete', 'Promotions',' Exchange ',' Point ',' Customer ',' Disappointed ',' ']")</f>
        <v>['Please', 'Dissured', 'Repaired', 'Exchange', 'Point', 'Repeated', 'Times', 'Exchange', 'Sorry', 'Disruption', 'System', 'Sunday' Disorders', 'System', 'Delete', 'Promotions',' Exchange ',' Point ',' Customer ',' Disappointed ',' ']</v>
      </c>
      <c r="D13565" s="3">
        <v>5.0</v>
      </c>
    </row>
    <row r="13566" ht="15.75" customHeight="1">
      <c r="A13566" s="1">
        <v>14664.0</v>
      </c>
      <c r="B13566" s="3" t="s">
        <v>12813</v>
      </c>
      <c r="C13566" s="3" t="str">
        <f>IFERROR(__xludf.DUMMYFUNCTION("GOOGLETRANSLATE(B13566,""id"",""en"")"),"['Network', 'Signal', 'Sometimes', 'Error', 'Promo', 'Priority', 'Tadak', 'Disappointed', 'Kuy', ""]")</f>
        <v>['Network', 'Signal', 'Sometimes', 'Error', 'Promo', 'Priority', 'Tadak', 'Disappointed', 'Kuy', "]</v>
      </c>
      <c r="D13566" s="3">
        <v>5.0</v>
      </c>
    </row>
    <row r="13567" ht="15.75" customHeight="1">
      <c r="A13567" s="1">
        <v>14665.0</v>
      </c>
      <c r="B13567" s="3" t="s">
        <v>12814</v>
      </c>
      <c r="C13567" s="3" t="str">
        <f>IFERROR(__xludf.DUMMYFUNCTION("GOOGLETRANSLATE(B13567,""id"",""en"")"),"['network', 'maximum', 'dead', 'lights', '']")</f>
        <v>['network', 'maximum', 'dead', 'lights', '']</v>
      </c>
      <c r="D13567" s="3">
        <v>3.0</v>
      </c>
    </row>
    <row r="13568" ht="15.75" customHeight="1">
      <c r="A13568" s="1">
        <v>14666.0</v>
      </c>
      <c r="B13568" s="3" t="s">
        <v>12815</v>
      </c>
      <c r="C13568" s="3" t="str">
        <f>IFERROR(__xludf.DUMMYFUNCTION("GOOGLETRANSLATE(B13568,""id"",""en"")"),"['application', 'good', 'fast']")</f>
        <v>['application', 'good', 'fast']</v>
      </c>
      <c r="D13568" s="3">
        <v>5.0</v>
      </c>
    </row>
    <row r="13569" ht="15.75" customHeight="1">
      <c r="A13569" s="1">
        <v>14667.0</v>
      </c>
      <c r="B13569" s="3" t="s">
        <v>12816</v>
      </c>
      <c r="C13569" s="3" t="str">
        <f>IFERROR(__xludf.DUMMYFUNCTION("GOOGLETRANSLATE(B13569,""id"",""en"")"),"['Mantapp', 'Mksi', 'Telkomsel']")</f>
        <v>['Mantapp', 'Mksi', 'Telkomsel']</v>
      </c>
      <c r="D13569" s="3">
        <v>5.0</v>
      </c>
    </row>
    <row r="13570" ht="15.75" customHeight="1">
      <c r="A13570" s="1">
        <v>14668.0</v>
      </c>
      <c r="B13570" s="3" t="s">
        <v>12817</v>
      </c>
      <c r="C13570" s="3" t="str">
        <f>IFERROR(__xludf.DUMMYFUNCTION("GOOGLETRANSLATE(B13570,""id"",""en"")"),"['Blm', 'pulse', 'safe', 'already', 'update', 'failed', 'login', 'description', 'check', 'connection', 'session', 'refresh', ' Somethings', 'Wrong', ""]")</f>
        <v>['Blm', 'pulse', 'safe', 'already', 'update', 'failed', 'login', 'description', 'check', 'connection', 'session', 'refresh', ' Somethings', 'Wrong', "]</v>
      </c>
      <c r="D13570" s="3">
        <v>1.0</v>
      </c>
    </row>
    <row r="13571" ht="15.75" customHeight="1">
      <c r="A13571" s="1">
        <v>14670.0</v>
      </c>
      <c r="B13571" s="3" t="s">
        <v>12818</v>
      </c>
      <c r="C13571" s="3" t="str">
        <f>IFERROR(__xludf.DUMMYFUNCTION("GOOGLETRANSLATE(B13571,""id"",""en"")"),"['promo', 'quota', 'school', 'multiply', '']")</f>
        <v>['promo', 'quota', 'school', 'multiply', '']</v>
      </c>
      <c r="D13571" s="3">
        <v>5.0</v>
      </c>
    </row>
    <row r="13572" ht="15.75" customHeight="1">
      <c r="A13572" s="1">
        <v>14672.0</v>
      </c>
      <c r="B13572" s="3" t="s">
        <v>12819</v>
      </c>
      <c r="C13572" s="3" t="str">
        <f>IFERROR(__xludf.DUMMYFUNCTION("GOOGLETRANSLATE(B13572,""id"",""en"")"),"['Sexos', 'best']")</f>
        <v>['Sexos', 'best']</v>
      </c>
      <c r="D13572" s="3">
        <v>5.0</v>
      </c>
    </row>
    <row r="13573" ht="15.75" customHeight="1">
      <c r="A13573" s="1">
        <v>14673.0</v>
      </c>
      <c r="B13573" s="3" t="s">
        <v>12820</v>
      </c>
      <c r="C13573" s="3" t="str">
        <f>IFERROR(__xludf.DUMMYFUNCTION("GOOGLETRANSLATE(B13573,""id"",""en"")"),"['Help', 'work', 'a day']")</f>
        <v>['Help', 'work', 'a day']</v>
      </c>
      <c r="D13573" s="3">
        <v>5.0</v>
      </c>
    </row>
    <row r="13574" ht="15.75" customHeight="1">
      <c r="A13574" s="1">
        <v>14674.0</v>
      </c>
      <c r="B13574" s="3" t="s">
        <v>2620</v>
      </c>
      <c r="C13574" s="3" t="str">
        <f>IFERROR(__xludf.DUMMYFUNCTION("GOOGLETRANSLATE(B13574,""id"",""en"")"),"Of course")</f>
        <v>Of course</v>
      </c>
      <c r="D13574" s="3">
        <v>5.0</v>
      </c>
    </row>
    <row r="13575" ht="15.75" customHeight="1">
      <c r="A13575" s="1">
        <v>14675.0</v>
      </c>
      <c r="B13575" s="3" t="s">
        <v>12821</v>
      </c>
      <c r="C13575" s="3" t="str">
        <f>IFERROR(__xludf.DUMMYFUNCTION("GOOGLETRANSLATE(B13575,""id"",""en"")"),"['access', 'Telkomsel', 'BuriiiII', '']")</f>
        <v>['access', 'Telkomsel', 'BuriiiII', '']</v>
      </c>
      <c r="D13575" s="3">
        <v>1.0</v>
      </c>
    </row>
    <row r="13576" ht="15.75" customHeight="1">
      <c r="A13576" s="1">
        <v>14676.0</v>
      </c>
      <c r="B13576" s="3" t="s">
        <v>12822</v>
      </c>
      <c r="C13576" s="3" t="str">
        <f>IFERROR(__xludf.DUMMYFUNCTION("GOOGLETRANSLATE(B13576,""id"",""en"")"),"['Woy', 'Telkomsel', 'users',' Telkomsel ',' sympathy ',' quota ',' expensive ',' really ',' please ',' cheap ',' promo ',' doang ',' Cheap ',' quota ',' regular ',' ']")</f>
        <v>['Woy', 'Telkomsel', 'users',' Telkomsel ',' sympathy ',' quota ',' expensive ',' really ',' please ',' cheap ',' promo ',' doang ',' Cheap ',' quota ',' regular ',' ']</v>
      </c>
      <c r="D13576" s="3">
        <v>5.0</v>
      </c>
    </row>
    <row r="13577" ht="15.75" customHeight="1">
      <c r="A13577" s="1">
        <v>14677.0</v>
      </c>
      <c r="B13577" s="3" t="s">
        <v>12823</v>
      </c>
      <c r="C13577" s="3" t="str">
        <f>IFERROR(__xludf.DUMMYFUNCTION("GOOGLETRANSLATE(B13577,""id"",""en"")"),"['Ngak', 'unlimited']")</f>
        <v>['Ngak', 'unlimited']</v>
      </c>
      <c r="D13577" s="3">
        <v>2.0</v>
      </c>
    </row>
    <row r="13578" ht="15.75" customHeight="1">
      <c r="A13578" s="1">
        <v>14678.0</v>
      </c>
      <c r="B13578" s="3" t="s">
        <v>12824</v>
      </c>
      <c r="C13578" s="3" t="str">
        <f>IFERROR(__xludf.DUMMYFUNCTION("GOOGLETRANSLATE(B13578,""id"",""en"")"),"['Disappointed', 'really', 'buy', 'package', 'data', 'mytelkomsel', 'use', 'gopay', 'package', 'data', 'enter', 'enter', ' balance ',' gopay ',' already ',' chick ',' already ',' contact ',' already ',' email ',' clarity ',' history ',' purchase ',' statu"&amp;"s', 'buy' , 'Package', 'Date', 'November', 'balance', 'Gopay', 'already', 'Cut', 'Gopay', 'Status',' Pay ',' MyTelkomsel ',' What ',' At least ',' balance ', ""]")</f>
        <v>['Disappointed', 'really', 'buy', 'package', 'data', 'mytelkomsel', 'use', 'gopay', 'package', 'data', 'enter', 'enter', ' balance ',' gopay ',' already ',' chick ',' already ',' contact ',' already ',' email ',' clarity ',' history ',' purchase ',' status', 'buy' , 'Package', 'Date', 'November', 'balance', 'Gopay', 'already', 'Cut', 'Gopay', 'Status',' Pay ',' MyTelkomsel ',' What ',' At least ',' balance ', "]</v>
      </c>
      <c r="D13578" s="3">
        <v>3.0</v>
      </c>
    </row>
    <row r="13579" ht="15.75" customHeight="1">
      <c r="A13579" s="1">
        <v>14680.0</v>
      </c>
      <c r="B13579" s="3" t="s">
        <v>12825</v>
      </c>
      <c r="C13579" s="3" t="str">
        <f>IFERROR(__xludf.DUMMYFUNCTION("GOOGLETRANSLATE(B13579,""id"",""en"")"),"['development', 'significant', 'price', 'package', 'expensive', 'signal', 'ugly', 'lose', 'price', 'package', 'cheap', 'signal', ' Good ',' Disappointed ',' Telkom ']")</f>
        <v>['development', 'significant', 'price', 'package', 'expensive', 'signal', 'ugly', 'lose', 'price', 'package', 'cheap', 'signal', ' Good ',' Disappointed ',' Telkom ']</v>
      </c>
      <c r="D13579" s="3">
        <v>1.0</v>
      </c>
    </row>
    <row r="13580" ht="15.75" customHeight="1">
      <c r="A13580" s="1">
        <v>14681.0</v>
      </c>
      <c r="B13580" s="3" t="s">
        <v>12826</v>
      </c>
      <c r="C13580" s="3" t="str">
        <f>IFERROR(__xludf.DUMMYFUNCTION("GOOGLETRANSLATE(B13580,""id"",""en"")"),"['Hopefully', 'can', 'gift', 'exchange', 'Points']")</f>
        <v>['Hopefully', 'can', 'gift', 'exchange', 'Points']</v>
      </c>
      <c r="D13580" s="3">
        <v>4.0</v>
      </c>
    </row>
    <row r="13581" ht="15.75" customHeight="1">
      <c r="A13581" s="1">
        <v>14682.0</v>
      </c>
      <c r="B13581" s="3" t="s">
        <v>7151</v>
      </c>
      <c r="C13581" s="3" t="str">
        <f>IFERROR(__xludf.DUMMYFUNCTION("GOOGLETRANSLATE(B13581,""id"",""en"")"),"['Help', 'Thank you', 'Telkomsel']")</f>
        <v>['Help', 'Thank you', 'Telkomsel']</v>
      </c>
      <c r="D13581" s="3">
        <v>5.0</v>
      </c>
    </row>
    <row r="13582" ht="15.75" customHeight="1">
      <c r="A13582" s="1">
        <v>14683.0</v>
      </c>
      <c r="B13582" s="3" t="s">
        <v>12827</v>
      </c>
      <c r="C13582" s="3" t="str">
        <f>IFERROR(__xludf.DUMMYFUNCTION("GOOGLETRANSLATE(B13582,""id"",""en"")"),"['easy', 'share']")</f>
        <v>['easy', 'share']</v>
      </c>
      <c r="D13582" s="3">
        <v>5.0</v>
      </c>
    </row>
    <row r="13583" ht="15.75" customHeight="1">
      <c r="A13583" s="1">
        <v>14684.0</v>
      </c>
      <c r="B13583" s="3" t="s">
        <v>12828</v>
      </c>
      <c r="C13583" s="3" t="str">
        <f>IFERROR(__xludf.DUMMYFUNCTION("GOOGLETRANSLATE(B13583,""id"",""en"")"),"['Useful', 'Give', 'Away', 'Difficult']")</f>
        <v>['Useful', 'Give', 'Away', 'Difficult']</v>
      </c>
      <c r="D13583" s="3">
        <v>4.0</v>
      </c>
    </row>
    <row r="13584" ht="15.75" customHeight="1">
      <c r="A13584" s="1">
        <v>14685.0</v>
      </c>
      <c r="B13584" s="3" t="s">
        <v>12829</v>
      </c>
      <c r="C13584" s="3" t="str">
        <f>IFERROR(__xludf.DUMMYFUNCTION("GOOGLETRANSLATE(B13584,""id"",""en"")"),"['use', 'Telkomsel', 'gift', 'Telkomsel', 'alms', 'money', ""]")</f>
        <v>['use', 'Telkomsel', 'gift', 'Telkomsel', 'alms', 'money', "]</v>
      </c>
      <c r="D13584" s="3">
        <v>5.0</v>
      </c>
    </row>
    <row r="13585" ht="15.75" customHeight="1">
      <c r="A13585" s="1">
        <v>14686.0</v>
      </c>
      <c r="B13585" s="3" t="s">
        <v>12830</v>
      </c>
      <c r="C13585" s="3" t="str">
        <f>IFERROR(__xludf.DUMMYFUNCTION("GOOGLETRANSLATE(B13585,""id"",""en"")"),"['Love', 'Skin', 'Miya', 'Lagend']")</f>
        <v>['Love', 'Skin', 'Miya', 'Lagend']</v>
      </c>
      <c r="D13585" s="3">
        <v>5.0</v>
      </c>
    </row>
    <row r="13586" ht="15.75" customHeight="1">
      <c r="A13586" s="1">
        <v>14687.0</v>
      </c>
      <c r="B13586" s="3" t="s">
        <v>12831</v>
      </c>
      <c r="C13586" s="3" t="str">
        <f>IFERROR(__xludf.DUMMYFUNCTION("GOOGLETRANSLATE(B13586,""id"",""en"")"),"['The network', 'Not bad', 'stable']")</f>
        <v>['The network', 'Not bad', 'stable']</v>
      </c>
      <c r="D13586" s="3">
        <v>5.0</v>
      </c>
    </row>
    <row r="13587" ht="15.75" customHeight="1">
      <c r="A13587" s="1">
        <v>14688.0</v>
      </c>
      <c r="B13587" s="3" t="s">
        <v>181</v>
      </c>
      <c r="C13587" s="3" t="str">
        <f>IFERROR(__xludf.DUMMYFUNCTION("GOOGLETRANSLATE(B13587,""id"",""en"")"),"['help']")</f>
        <v>['help']</v>
      </c>
      <c r="D13587" s="3">
        <v>5.0</v>
      </c>
    </row>
    <row r="13588" ht="15.75" customHeight="1">
      <c r="A13588" s="1">
        <v>14689.0</v>
      </c>
      <c r="B13588" s="3" t="s">
        <v>12832</v>
      </c>
      <c r="C13588" s="3" t="str">
        <f>IFERROR(__xludf.DUMMYFUNCTION("GOOGLETRANSLATE(B13588,""id"",""en"")"),"['like', 'with', 'application']")</f>
        <v>['like', 'with', 'application']</v>
      </c>
      <c r="D13588" s="3">
        <v>5.0</v>
      </c>
    </row>
    <row r="13589" ht="15.75" customHeight="1">
      <c r="A13589" s="1">
        <v>14690.0</v>
      </c>
      <c r="B13589" s="3" t="s">
        <v>12833</v>
      </c>
      <c r="C13589" s="3" t="str">
        <f>IFERROR(__xludf.DUMMYFUNCTION("GOOGLETRANSLATE(B13589,""id"",""en"")"),"['Package', 'Call', 'Lost', '']")</f>
        <v>['Package', 'Call', 'Lost', '']</v>
      </c>
      <c r="D13589" s="3">
        <v>1.0</v>
      </c>
    </row>
    <row r="13590" ht="15.75" customHeight="1">
      <c r="A13590" s="1">
        <v>14691.0</v>
      </c>
      <c r="B13590" s="3" t="s">
        <v>1537</v>
      </c>
      <c r="C13590" s="3" t="str">
        <f>IFERROR(__xludf.DUMMYFUNCTION("GOOGLETRANSLATE(B13590,""id"",""en"")"),"['expensive', '']")</f>
        <v>['expensive', '']</v>
      </c>
      <c r="D13590" s="3">
        <v>1.0</v>
      </c>
    </row>
    <row r="13591" ht="15.75" customHeight="1">
      <c r="A13591" s="1">
        <v>14692.0</v>
      </c>
      <c r="B13591" s="3" t="s">
        <v>12834</v>
      </c>
      <c r="C13591" s="3" t="str">
        <f>IFERROR(__xludf.DUMMYFUNCTION("GOOGLETRANSLATE(B13591,""id"",""en"")"),"['signal', 'Full', 'slow', 'Telkomsel', 'plissss',' sinya ',' difficult ',' times', 'pakek', 'signal', 'network', 'smooth', ' Powered ',' signal ',' slow ',' why ',' replace ',' card ',' week ',' smooth ',' Please ',' Read ',' Review ',' Lemot ', ""]")</f>
        <v>['signal', 'Full', 'slow', 'Telkomsel', 'plissss',' sinya ',' difficult ',' times', 'pakek', 'signal', 'network', 'smooth', ' Powered ',' signal ',' slow ',' why ',' replace ',' card ',' week ',' smooth ',' Please ',' Read ',' Review ',' Lemot ', "]</v>
      </c>
      <c r="D13591" s="3">
        <v>1.0</v>
      </c>
    </row>
    <row r="13592" ht="15.75" customHeight="1">
      <c r="A13592" s="1">
        <v>14693.0</v>
      </c>
      <c r="B13592" s="3" t="s">
        <v>12835</v>
      </c>
      <c r="C13592" s="3" t="str">
        <f>IFERROR(__xludf.DUMMYFUNCTION("GOOGLETRANSLATE(B13592,""id"",""en"")"),"['Honey', 'free', 'access', 'card', 'Telkomsel']")</f>
        <v>['Honey', 'free', 'access', 'card', 'Telkomsel']</v>
      </c>
      <c r="D13592" s="3">
        <v>4.0</v>
      </c>
    </row>
    <row r="13593" ht="15.75" customHeight="1">
      <c r="A13593" s="1">
        <v>14695.0</v>
      </c>
      <c r="B13593" s="3" t="s">
        <v>12836</v>
      </c>
      <c r="C13593" s="3" t="str">
        <f>IFERROR(__xludf.DUMMYFUNCTION("GOOGLETRANSLATE(B13593,""id"",""en"")"),"['Disappointed', 'Telkomsel', 'blocking', 'number', 'fraudsters',' on behalf of ',' Telkomsel ',' number ',' Different ',' report ',' Telkomsel ',' hope ',' Victims', 'report', 'do', 'telephone', 'many', 'times',' email ',' attachment ',' evidence ',' fra"&amp;"ud ',' grapari ',' help ',' friend ' , 'SMS', 'reported', 'number', 'cheats', 'blocked', 'Telkomsel', 'provider', 'protector', 'cheater', ""]")</f>
        <v>['Disappointed', 'Telkomsel', 'blocking', 'number', 'fraudsters',' on behalf of ',' Telkomsel ',' number ',' Different ',' report ',' Telkomsel ',' hope ',' Victims', 'report', 'do', 'telephone', 'many', 'times',' email ',' attachment ',' evidence ',' fraud ',' grapari ',' help ',' friend ' , 'SMS', 'reported', 'number', 'cheats', 'blocked', 'Telkomsel', 'provider', 'protector', 'cheater', "]</v>
      </c>
      <c r="D13593" s="3">
        <v>1.0</v>
      </c>
    </row>
    <row r="13594" ht="15.75" customHeight="1">
      <c r="A13594" s="1">
        <v>14696.0</v>
      </c>
      <c r="B13594" s="3" t="s">
        <v>12837</v>
      </c>
      <c r="C13594" s="3" t="str">
        <f>IFERROR(__xludf.DUMMYFUNCTION("GOOGLETRANSLATE(B13594,""id"",""en"")"),"['Application', 'bestkkkkkkkkkkkkk', 'updated', 'updated', 'good', 'error', 'mulu', 'sihh', 'please', 'apk', 'fix', 'user', ' APK ',' Disappointed ']")</f>
        <v>['Application', 'bestkkkkkkkkkkkkk', 'updated', 'updated', 'good', 'error', 'mulu', 'sihh', 'please', 'apk', 'fix', 'user', ' APK ',' Disappointed ']</v>
      </c>
      <c r="D13594" s="3">
        <v>4.0</v>
      </c>
    </row>
    <row r="13595" ht="15.75" customHeight="1">
      <c r="A13595" s="1">
        <v>14697.0</v>
      </c>
      <c r="B13595" s="3" t="s">
        <v>12838</v>
      </c>
      <c r="C13595" s="3" t="str">
        <f>IFERROR(__xludf.DUMMYFUNCTION("GOOGLETRANSLATE(B13595,""id"",""en"")"),"['difficult']")</f>
        <v>['difficult']</v>
      </c>
      <c r="D13595" s="3">
        <v>5.0</v>
      </c>
    </row>
    <row r="13596" ht="15.75" customHeight="1">
      <c r="A13596" s="1">
        <v>14699.0</v>
      </c>
      <c r="B13596" s="3" t="s">
        <v>12839</v>
      </c>
      <c r="C13596" s="3" t="str">
        <f>IFERROR(__xludf.DUMMYFUNCTION("GOOGLETRANSLATE(B13596,""id"",""en"")"),"['Price', 'Price', 'Affordable', 'Karna', '']")</f>
        <v>['Price', 'Price', 'Affordable', 'Karna', '']</v>
      </c>
      <c r="D13596" s="3">
        <v>3.0</v>
      </c>
    </row>
    <row r="13597" ht="15.75" customHeight="1">
      <c r="A13597" s="1">
        <v>14700.0</v>
      </c>
      <c r="B13597" s="3" t="s">
        <v>12840</v>
      </c>
      <c r="C13597" s="3" t="str">
        <f>IFERROR(__xludf.DUMMYFUNCTION("GOOGLETRANSLATE(B13597,""id"",""en"")"),"['Region', 'Nggk', 'signal']")</f>
        <v>['Region', 'Nggk', 'signal']</v>
      </c>
      <c r="D13597" s="3">
        <v>4.0</v>
      </c>
    </row>
    <row r="13598" ht="15.75" customHeight="1">
      <c r="A13598" s="1">
        <v>14701.0</v>
      </c>
      <c r="B13598" s="3" t="s">
        <v>12841</v>
      </c>
      <c r="C13598" s="3" t="str">
        <f>IFERROR(__xludf.DUMMYFUNCTION("GOOGLETRANSLATE(B13598,""id"",""en"")"),"['Price', 'internet', 'expensive']")</f>
        <v>['Price', 'internet', 'expensive']</v>
      </c>
      <c r="D13598" s="3">
        <v>1.0</v>
      </c>
    </row>
    <row r="13599" ht="15.75" customHeight="1">
      <c r="A13599" s="1">
        <v>14702.0</v>
      </c>
      <c r="B13599" s="3" t="s">
        <v>12842</v>
      </c>
      <c r="C13599" s="3" t="str">
        <f>IFERROR(__xludf.DUMMYFUNCTION("GOOGLETRANSLATE(B13599,""id"",""en"")"),"['Increases', 'Quality', 'Signal', 'Easy', 'Comynikasi']")</f>
        <v>['Increases', 'Quality', 'Signal', 'Easy', 'Comynikasi']</v>
      </c>
      <c r="D13599" s="3">
        <v>5.0</v>
      </c>
    </row>
    <row r="13600" ht="15.75" customHeight="1">
      <c r="A13600" s="1">
        <v>14703.0</v>
      </c>
      <c r="B13600" s="3" t="s">
        <v>12843</v>
      </c>
      <c r="C13600" s="3" t="str">
        <f>IFERROR(__xludf.DUMMYFUNCTION("GOOGLETRANSLATE(B13600,""id"",""en"")"),"['Update', 'Android', 'Telkomsel', 'ilang', 'Download', 'Telkomsel']")</f>
        <v>['Update', 'Android', 'Telkomsel', 'ilang', 'Download', 'Telkomsel']</v>
      </c>
      <c r="D13600" s="3">
        <v>1.0</v>
      </c>
    </row>
    <row r="13601" ht="15.75" customHeight="1">
      <c r="A13601" s="1">
        <v>14704.0</v>
      </c>
      <c r="B13601" s="3" t="s">
        <v>1245</v>
      </c>
      <c r="C13601" s="3" t="str">
        <f>IFERROR(__xludf.DUMMYFUNCTION("GOOGLETRANSLATE(B13601,""id"",""en"")"),"['', 'Telkomsel', 'help']")</f>
        <v>['', 'Telkomsel', 'help']</v>
      </c>
      <c r="D13601" s="3">
        <v>5.0</v>
      </c>
    </row>
    <row r="13602" ht="15.75" customHeight="1">
      <c r="A13602" s="1">
        <v>14705.0</v>
      </c>
      <c r="B13602" s="3" t="s">
        <v>12844</v>
      </c>
      <c r="C13602" s="3" t="str">
        <f>IFERROR(__xludf.DUMMYFUNCTION("GOOGLETRANSLATE(B13602,""id"",""en"")"),"['Service', 'Gerai', 'Grapari', 'satisfying']")</f>
        <v>['Service', 'Gerai', 'Grapari', 'satisfying']</v>
      </c>
      <c r="D13602" s="3">
        <v>5.0</v>
      </c>
    </row>
    <row r="13603" ht="15.75" customHeight="1">
      <c r="A13603" s="1">
        <v>14706.0</v>
      </c>
      <c r="B13603" s="3" t="s">
        <v>12845</v>
      </c>
      <c r="C13603" s="3" t="str">
        <f>IFERROR(__xludf.DUMMYFUNCTION("GOOGLETRANSLATE(B13603,""id"",""en"")"),"['Service', 'satisfying', ""]")</f>
        <v>['Service', 'satisfying', "]</v>
      </c>
      <c r="D13603" s="3">
        <v>5.0</v>
      </c>
    </row>
    <row r="13604" ht="15.75" customHeight="1">
      <c r="A13604" s="1">
        <v>14707.0</v>
      </c>
      <c r="B13604" s="3" t="s">
        <v>12846</v>
      </c>
      <c r="C13604" s="3" t="str">
        <f>IFERROR(__xludf.DUMMYFUNCTION("GOOGLETRANSLATE(B13604,""id"",""en"")"),"['Cool', 'Lottery', 'Prize', 'Easy', 'Dapst', 'CBR', 'Hhehehe', 'Aamiin', ""]")</f>
        <v>['Cool', 'Lottery', 'Prize', 'Easy', 'Dapst', 'CBR', 'Hhehehe', 'Aamiin', "]</v>
      </c>
      <c r="D13604" s="3">
        <v>5.0</v>
      </c>
    </row>
    <row r="13605" ht="15.75" customHeight="1">
      <c r="A13605" s="1">
        <v>14708.0</v>
      </c>
      <c r="B13605" s="3" t="s">
        <v>12847</v>
      </c>
      <c r="C13605" s="3" t="str">
        <f>IFERROR(__xludf.DUMMYFUNCTION("GOOGLETRANSLATE(B13605,""id"",""en"")"),"['', 'use', 'Telkomsel', 'strange', 'package', 'data', 'expensive', 'expensive', 'card', 'use', 'annual', 'promo', 'package ', 'inexpensive', '']")</f>
        <v>['', 'use', 'Telkomsel', 'strange', 'package', 'data', 'expensive', 'expensive', 'card', 'use', 'annual', 'promo', 'package ', 'inexpensive', '']</v>
      </c>
      <c r="D13605" s="3">
        <v>5.0</v>
      </c>
    </row>
    <row r="13606" ht="15.75" customHeight="1">
      <c r="A13606" s="1">
        <v>14709.0</v>
      </c>
      <c r="B13606" s="3" t="s">
        <v>12686</v>
      </c>
      <c r="C13606" s="3" t="str">
        <f>IFERROR(__xludf.DUMMYFUNCTION("GOOGLETRANSLATE(B13606,""id"",""en"")"),"['AITI']")</f>
        <v>['AITI']</v>
      </c>
      <c r="D13606" s="3">
        <v>5.0</v>
      </c>
    </row>
    <row r="13607" ht="15.75" customHeight="1">
      <c r="A13607" s="1">
        <v>14710.0</v>
      </c>
      <c r="B13607" s="3" t="s">
        <v>12848</v>
      </c>
      <c r="C13607" s="3" t="str">
        <f>IFERROR(__xludf.DUMMYFUNCTION("GOOGLETRANSLATE(B13607,""id"",""en"")"),"['Help', 'please', 'package', 'special', 'internet', 'expensive', '']")</f>
        <v>['Help', 'please', 'package', 'special', 'internet', 'expensive', '']</v>
      </c>
      <c r="D13607" s="3">
        <v>5.0</v>
      </c>
    </row>
    <row r="13608" ht="15.75" customHeight="1">
      <c r="A13608" s="1">
        <v>14711.0</v>
      </c>
      <c r="B13608" s="3" t="s">
        <v>12849</v>
      </c>
      <c r="C13608" s="3" t="str">
        <f>IFERROR(__xludf.DUMMYFUNCTION("GOOGLETRANSLATE(B13608,""id"",""en"")"),"['like', 'MyTelkomsel', 'promo', ""]")</f>
        <v>['like', 'MyTelkomsel', 'promo', "]</v>
      </c>
      <c r="D13608" s="3">
        <v>5.0</v>
      </c>
    </row>
    <row r="13609" ht="15.75" customHeight="1">
      <c r="A13609" s="1">
        <v>14712.0</v>
      </c>
      <c r="B13609" s="3" t="s">
        <v>12850</v>
      </c>
      <c r="C13609" s="3" t="str">
        <f>IFERROR(__xludf.DUMMYFUNCTION("GOOGLETRANSLATE(B13609,""id"",""en"")"),"['User', 'Post', 'Pay', 'Check', 'Use', 'Points', 'Dipake', 'Mantabb']")</f>
        <v>['User', 'Post', 'Pay', 'Check', 'Use', 'Points', 'Dipake', 'Mantabb']</v>
      </c>
      <c r="D13609" s="3">
        <v>5.0</v>
      </c>
    </row>
    <row r="13610" ht="15.75" customHeight="1">
      <c r="A13610" s="1">
        <v>14713.0</v>
      </c>
      <c r="B13610" s="3" t="s">
        <v>12851</v>
      </c>
      <c r="C13610" s="3" t="str">
        <f>IFERROR(__xludf.DUMMYFUNCTION("GOOGLETRANSLATE(B13610,""id"",""en"")"),"['Useful', 'Easy', 'Access', 'Hopefully', 'Win', 'Hadia', 'Car', 'Thanks', 'Telkomsel']")</f>
        <v>['Useful', 'Easy', 'Access', 'Hopefully', 'Win', 'Hadia', 'Car', 'Thanks', 'Telkomsel']</v>
      </c>
      <c r="D13610" s="3">
        <v>5.0</v>
      </c>
    </row>
    <row r="13611" ht="15.75" customHeight="1">
      <c r="A13611" s="1">
        <v>14714.0</v>
      </c>
      <c r="B13611" s="3" t="s">
        <v>12852</v>
      </c>
      <c r="C13611" s="3" t="str">
        <f>IFERROR(__xludf.DUMMYFUNCTION("GOOGLETRANSLATE(B13611,""id"",""en"")"),"['Credit', 'Reduced', 'Access', 'Buy', 'Kouta', 'Paayyyyah', 'Gini', 'Disright', 'Costemer', 'Name', 'GNI', ""]")</f>
        <v>['Credit', 'Reduced', 'Access', 'Buy', 'Kouta', 'Paayyyyah', 'Gini', 'Disright', 'Costemer', 'Name', 'GNI', "]</v>
      </c>
      <c r="D13611" s="3">
        <v>1.0</v>
      </c>
    </row>
    <row r="13612" ht="15.75" customHeight="1">
      <c r="A13612" s="1">
        <v>14715.0</v>
      </c>
      <c r="B13612" s="3" t="s">
        <v>12853</v>
      </c>
      <c r="C13612" s="3" t="str">
        <f>IFERROR(__xludf.DUMMYFUNCTION("GOOGLETRANSLATE(B13612,""id"",""en"")"),"['easy', 'transact', 'trimakasi', 'Telkomsel']")</f>
        <v>['easy', 'transact', 'trimakasi', 'Telkomsel']</v>
      </c>
      <c r="D13612" s="3">
        <v>5.0</v>
      </c>
    </row>
    <row r="13613" ht="15.75" customHeight="1">
      <c r="A13613" s="1">
        <v>14716.0</v>
      </c>
      <c r="B13613" s="3" t="s">
        <v>12854</v>
      </c>
      <c r="C13613" s="3" t="str">
        <f>IFERROR(__xludf.DUMMYFUNCTION("GOOGLETRANSLATE(B13613,""id"",""en"")"),"['The', 'Best', 'best', '']")</f>
        <v>['The', 'Best', 'best', '']</v>
      </c>
      <c r="D13613" s="3">
        <v>5.0</v>
      </c>
    </row>
    <row r="13614" ht="15.75" customHeight="1">
      <c r="A13614" s="1">
        <v>14717.0</v>
      </c>
      <c r="B13614" s="3" t="s">
        <v>12855</v>
      </c>
      <c r="C13614" s="3" t="str">
        <f>IFERROR(__xludf.DUMMYFUNCTION("GOOGLETRANSLATE(B13614,""id"",""en"")"),"['Telkomsel', 'rich', 'dlu', 'tasty', 'dlu', 'dri', 'telkom', 'skrng']")</f>
        <v>['Telkomsel', 'rich', 'dlu', 'tasty', 'dlu', 'dri', 'telkom', 'skrng']</v>
      </c>
      <c r="D13614" s="3">
        <v>2.0</v>
      </c>
    </row>
    <row r="13615" ht="15.75" customHeight="1">
      <c r="A13615" s="1">
        <v>14718.0</v>
      </c>
      <c r="B13615" s="3" t="s">
        <v>12856</v>
      </c>
      <c r="C13615" s="3" t="str">
        <f>IFERROR(__xludf.DUMMYFUNCTION("GOOGLETRANSLATE(B13615,""id"",""en"")"),"['Please', 'pulse', 'main', 'eaten', 'quota', 'run out', ""]")</f>
        <v>['Please', 'pulse', 'main', 'eaten', 'quota', 'run out', "]</v>
      </c>
      <c r="D13615" s="3">
        <v>4.0</v>
      </c>
    </row>
    <row r="13616" ht="15.75" customHeight="1">
      <c r="A13616" s="1">
        <v>14719.0</v>
      </c>
      <c r="B13616" s="3" t="s">
        <v>12857</v>
      </c>
      <c r="C13616" s="3" t="str">
        <f>IFERROR(__xludf.DUMMYFUNCTION("GOOGLETRANSLATE(B13616,""id"",""en"")"),"['Telkomsel', 'emang', ""]")</f>
        <v>['Telkomsel', 'emang', "]</v>
      </c>
      <c r="D13616" s="3">
        <v>5.0</v>
      </c>
    </row>
    <row r="13617" ht="15.75" customHeight="1">
      <c r="A13617" s="1">
        <v>14720.0</v>
      </c>
      <c r="B13617" s="3" t="s">
        <v>12858</v>
      </c>
      <c r="C13617" s="3" t="str">
        <f>IFERROR(__xludf.DUMMYFUNCTION("GOOGLETRANSLATE(B13617,""id"",""en"")"),"['easy', 'operation']")</f>
        <v>['easy', 'operation']</v>
      </c>
      <c r="D13617" s="3">
        <v>5.0</v>
      </c>
    </row>
    <row r="13618" ht="15.75" customHeight="1">
      <c r="A13618" s="1">
        <v>14721.0</v>
      </c>
      <c r="B13618" s="3" t="s">
        <v>12859</v>
      </c>
      <c r="C13618" s="3" t="str">
        <f>IFERROR(__xludf.DUMMYFUNCTION("GOOGLETRANSLATE(B13618,""id"",""en"")"),"['Feature', 'good', 'deficiencies',' protection ',' credit ',' quota ',' out ',' provider ',' have ',' package ',' quota ',' run out ',' the rest of ',' pulse ',' cut ',' ']")</f>
        <v>['Feature', 'good', 'deficiencies',' protection ',' credit ',' quota ',' out ',' provider ',' have ',' package ',' quota ',' run out ',' the rest of ',' pulse ',' cut ',' ']</v>
      </c>
      <c r="D13618" s="3">
        <v>5.0</v>
      </c>
    </row>
    <row r="13619" ht="15.75" customHeight="1">
      <c r="A13619" s="1">
        <v>14722.0</v>
      </c>
      <c r="B13619" s="3" t="s">
        <v>12860</v>
      </c>
      <c r="C13619" s="3" t="str">
        <f>IFERROR(__xludf.DUMMYFUNCTION("GOOGLETRANSLATE(B13619,""id"",""en"")"),"['Netting', 'HRUS', 'TRUS', '']")</f>
        <v>['Netting', 'HRUS', 'TRUS', '']</v>
      </c>
      <c r="D13619" s="3">
        <v>4.0</v>
      </c>
    </row>
    <row r="13620" ht="15.75" customHeight="1">
      <c r="A13620" s="1">
        <v>14723.0</v>
      </c>
      <c r="B13620" s="3" t="s">
        <v>12861</v>
      </c>
      <c r="C13620" s="3" t="str">
        <f>IFERROR(__xludf.DUMMYFUNCTION("GOOGLETRANSLATE(B13620,""id"",""en"")"),"['skrg', 'Telkomsel', 'difficult', 'signal']")</f>
        <v>['skrg', 'Telkomsel', 'difficult', 'signal']</v>
      </c>
      <c r="D13620" s="3">
        <v>2.0</v>
      </c>
    </row>
    <row r="13621" ht="15.75" customHeight="1">
      <c r="A13621" s="1">
        <v>14724.0</v>
      </c>
      <c r="B13621" s="3" t="s">
        <v>12862</v>
      </c>
      <c r="C13621" s="3" t="str">
        <f>IFERROR(__xludf.DUMMYFUNCTION("GOOGLETRANSLATE(B13621,""id"",""en"")"),"['Help', 'Application']")</f>
        <v>['Help', 'Application']</v>
      </c>
      <c r="D13621" s="3">
        <v>5.0</v>
      </c>
    </row>
    <row r="13622" ht="15.75" customHeight="1">
      <c r="A13622" s="1">
        <v>14725.0</v>
      </c>
      <c r="B13622" s="3" t="s">
        <v>12863</v>
      </c>
      <c r="C13622" s="3" t="str">
        <f>IFERROR(__xludf.DUMMYFUNCTION("GOOGLETRANSLATE(B13622,""id"",""en"")"),"['thumb', '']")</f>
        <v>['thumb', '']</v>
      </c>
      <c r="D13622" s="3">
        <v>5.0</v>
      </c>
    </row>
    <row r="13623" ht="15.75" customHeight="1">
      <c r="A13623" s="1">
        <v>14727.0</v>
      </c>
      <c r="B13623" s="3" t="s">
        <v>12864</v>
      </c>
      <c r="C13623" s="3" t="str">
        <f>IFERROR(__xludf.DUMMYFUNCTION("GOOGLETRANSLATE(B13623,""id"",""en"")"),"['UDH', 'Try', 'Ask', 'Veronica', 'Application', 'Deh', 'ask', 'NOT', 'Sepeti', 'talking', 'people', 'Budek', ' Not ',' Excellent ',' Serv ',' Customer ',' ']")</f>
        <v>['UDH', 'Try', 'Ask', 'Veronica', 'Application', 'Deh', 'ask', 'NOT', 'Sepeti', 'talking', 'people', 'Budek', ' Not ',' Excellent ',' Serv ',' Customer ',' ']</v>
      </c>
      <c r="D13623" s="3">
        <v>1.0</v>
      </c>
    </row>
    <row r="13624" ht="15.75" customHeight="1">
      <c r="A13624" s="1">
        <v>14728.0</v>
      </c>
      <c r="B13624" s="3" t="s">
        <v>11470</v>
      </c>
      <c r="C13624" s="3" t="str">
        <f>IFERROR(__xludf.DUMMYFUNCTION("GOOGLETRANSLATE(B13624,""id"",""en"")"),"['Hopefully', 'Good']")</f>
        <v>['Hopefully', 'Good']</v>
      </c>
      <c r="D13624" s="3">
        <v>4.0</v>
      </c>
    </row>
    <row r="13625" ht="15.75" customHeight="1">
      <c r="A13625" s="1">
        <v>14729.0</v>
      </c>
      <c r="B13625" s="3" t="s">
        <v>12865</v>
      </c>
      <c r="C13625" s="3" t="str">
        <f>IFERROR(__xludf.DUMMYFUNCTION("GOOGLETRANSLATE(B13625,""id"",""en"")"),"['buy', 'package', 'Disney', 'Notif', 'Success', 'subscribe', 'application', 'Disney', 'subscribe', 'strange', 'really', ""]")</f>
        <v>['buy', 'package', 'Disney', 'Notif', 'Success', 'subscribe', 'application', 'Disney', 'subscribe', 'strange', 'really', "]</v>
      </c>
      <c r="D13625" s="3">
        <v>1.0</v>
      </c>
    </row>
    <row r="13626" ht="15.75" customHeight="1">
      <c r="A13626" s="1">
        <v>14730.0</v>
      </c>
      <c r="B13626" s="3" t="s">
        <v>12866</v>
      </c>
      <c r="C13626" s="3" t="str">
        <f>IFERROR(__xludf.DUMMYFUNCTION("GOOGLETRANSLATE(B13626,""id"",""en"")"),"['difficult', 'enter', 'the application']")</f>
        <v>['difficult', 'enter', 'the application']</v>
      </c>
      <c r="D13626" s="3">
        <v>2.0</v>
      </c>
    </row>
    <row r="13627" ht="15.75" customHeight="1">
      <c r="A13627" s="1">
        <v>14731.0</v>
      </c>
      <c r="B13627" s="3" t="s">
        <v>12867</v>
      </c>
      <c r="C13627" s="3" t="str">
        <f>IFERROR(__xludf.DUMMYFUNCTION("GOOGLETRANSLATE(B13627,""id"",""en"")"),"['signal', 'weak', 'price', 'package', 'internet', 'telephone', 'Telkomsel', 'BUMN', 'affordable', 'price', 'quality', 'its network', ' People ',' Indonesia ',' Lost ',' Private ',' Raying ']")</f>
        <v>['signal', 'weak', 'price', 'package', 'internet', 'telephone', 'Telkomsel', 'BUMN', 'affordable', 'price', 'quality', 'its network', ' People ',' Indonesia ',' Lost ',' Private ',' Raying ']</v>
      </c>
      <c r="D13627" s="3">
        <v>1.0</v>
      </c>
    </row>
    <row r="13628" ht="15.75" customHeight="1">
      <c r="A13628" s="1">
        <v>14732.0</v>
      </c>
      <c r="B13628" s="3" t="s">
        <v>286</v>
      </c>
      <c r="C13628" s="3" t="str">
        <f>IFERROR(__xludf.DUMMYFUNCTION("GOOGLETRANSLATE(B13628,""id"",""en"")"),"['good']")</f>
        <v>['good']</v>
      </c>
      <c r="D13628" s="3">
        <v>5.0</v>
      </c>
    </row>
    <row r="13629" ht="15.75" customHeight="1">
      <c r="A13629" s="1">
        <v>14733.0</v>
      </c>
      <c r="B13629" s="3" t="s">
        <v>12868</v>
      </c>
      <c r="C13629" s="3" t="str">
        <f>IFERROR(__xludf.DUMMYFUNCTION("GOOGLETRANSLATE(B13629,""id"",""en"")"),"['Force', 'Close', 'Android', 'Please', 'Fix']")</f>
        <v>['Force', 'Close', 'Android', 'Please', 'Fix']</v>
      </c>
      <c r="D13629" s="3">
        <v>1.0</v>
      </c>
    </row>
    <row r="13630" ht="15.75" customHeight="1">
      <c r="A13630" s="1">
        <v>14734.0</v>
      </c>
      <c r="B13630" s="3" t="s">
        <v>12869</v>
      </c>
      <c r="C13630" s="3" t="str">
        <f>IFERROR(__xludf.DUMMYFUNCTION("GOOGLETRANSLATE(B13630,""id"",""en"")"),"['application', 'bagua', 'network', 'ugly', 'network', 'telkom', 'down', 'down', 'good', 'padah', 'anything']")</f>
        <v>['application', 'bagua', 'network', 'ugly', 'network', 'telkom', 'down', 'down', 'good', 'padah', 'anything']</v>
      </c>
      <c r="D13630" s="3">
        <v>2.0</v>
      </c>
    </row>
    <row r="13631" ht="15.75" customHeight="1">
      <c r="A13631" s="1">
        <v>14735.0</v>
      </c>
      <c r="B13631" s="3" t="s">
        <v>12870</v>
      </c>
      <c r="C13631" s="3" t="str">
        <f>IFERROR(__xludf.DUMMYFUNCTION("GOOGLETRANSLATE(B13631,""id"",""en"")"),"['increase', 'price', 'quota', 'night', '']")</f>
        <v>['increase', 'price', 'quota', 'night', '']</v>
      </c>
      <c r="D13631" s="3">
        <v>4.0</v>
      </c>
    </row>
    <row r="13632" ht="15.75" customHeight="1">
      <c r="A13632" s="1">
        <v>14736.0</v>
      </c>
      <c r="B13632" s="3" t="s">
        <v>12871</v>
      </c>
      <c r="C13632" s="3" t="str">
        <f>IFERROR(__xludf.DUMMYFUNCTION("GOOGLETRANSLATE(B13632,""id"",""en"")"),"['price', 'expensive', 'signal', 'rich', 'jembod']")</f>
        <v>['price', 'expensive', 'signal', 'rich', 'jembod']</v>
      </c>
      <c r="D13632" s="3">
        <v>1.0</v>
      </c>
    </row>
    <row r="13633" ht="15.75" customHeight="1">
      <c r="A13633" s="1">
        <v>14737.0</v>
      </c>
      <c r="B13633" s="3" t="s">
        <v>12872</v>
      </c>
      <c r="C13633" s="3" t="str">
        <f>IFERROR(__xludf.DUMMYFUNCTION("GOOGLETRANSLATE(B13633,""id"",""en"")"),"['Please', 'The network', 'like', 'Ngelag', 'Sometimes',' Season ',' really ',' feeling ',' rich ',' Gini ',' Honest ',' card ',' Tri ',' Disruption ',' TPI ',' Sependant ',' Telkomsel ',' Telkomsel ',' Severe ',' Very ',' Seals', 'Make', 'Card', 'Tri', '"&amp;"Skrng' , 'Card', 'Telkom', 'Bernan', 'Season', 'Bet']")</f>
        <v>['Please', 'The network', 'like', 'Ngelag', 'Sometimes',' Season ',' really ',' feeling ',' rich ',' Gini ',' Honest ',' card ',' Tri ',' Disruption ',' TPI ',' Sependant ',' Telkomsel ',' Telkomsel ',' Severe ',' Very ',' Seals', 'Make', 'Card', 'Tri', 'Skrng' , 'Card', 'Telkom', 'Bernan', 'Season', 'Bet']</v>
      </c>
      <c r="D13633" s="3">
        <v>1.0</v>
      </c>
    </row>
    <row r="13634" ht="15.75" customHeight="1">
      <c r="A13634" s="1">
        <v>14738.0</v>
      </c>
      <c r="B13634" s="3" t="s">
        <v>12873</v>
      </c>
      <c r="C13634" s="3" t="str">
        <f>IFERROR(__xludf.DUMMYFUNCTION("GOOGLETRANSLATE(B13634,""id"",""en"")"),"['', 'Exchange', 'Points', 'in', 'promotion', 'Nagita', 'what', ""]")</f>
        <v>['', 'Exchange', 'Points', 'in', 'promotion', 'Nagita', 'what', "]</v>
      </c>
      <c r="D13634" s="3">
        <v>5.0</v>
      </c>
    </row>
    <row r="13635" ht="15.75" customHeight="1">
      <c r="A13635" s="1">
        <v>14740.0</v>
      </c>
      <c r="B13635" s="3" t="s">
        <v>12874</v>
      </c>
      <c r="C13635" s="3" t="str">
        <f>IFERROR(__xludf.DUMMYFUNCTION("GOOGLETRANSLATE(B13635,""id"",""en"")"),"['Network', 'smooth', 'Jaya', 'ngelagg']")</f>
        <v>['Network', 'smooth', 'Jaya', 'ngelagg']</v>
      </c>
      <c r="D13635" s="3">
        <v>5.0</v>
      </c>
    </row>
    <row r="13636" ht="15.75" customHeight="1">
      <c r="A13636" s="1">
        <v>14741.0</v>
      </c>
      <c r="B13636" s="3" t="s">
        <v>12875</v>
      </c>
      <c r="C13636" s="3" t="str">
        <f>IFERROR(__xludf.DUMMYFUNCTION("GOOGLETRANSLATE(B13636,""id"",""en"")"),"['Package', 'Limit']")</f>
        <v>['Package', 'Limit']</v>
      </c>
      <c r="D13636" s="3">
        <v>4.0</v>
      </c>
    </row>
    <row r="13637" ht="15.75" customHeight="1">
      <c r="A13637" s="1">
        <v>14742.0</v>
      </c>
      <c r="B13637" s="3" t="s">
        <v>12876</v>
      </c>
      <c r="C13637" s="3" t="str">
        <f>IFERROR(__xludf.DUMMYFUNCTION("GOOGLETRANSLATE(B13637,""id"",""en"")"),"['Poind', 'Take']")</f>
        <v>['Poind', 'Take']</v>
      </c>
      <c r="D13637" s="3">
        <v>5.0</v>
      </c>
    </row>
    <row r="13638" ht="15.75" customHeight="1">
      <c r="A13638" s="1">
        <v>14743.0</v>
      </c>
      <c r="B13638" s="3" t="s">
        <v>12877</v>
      </c>
      <c r="C13638" s="3" t="str">
        <f>IFERROR(__xludf.DUMMYFUNCTION("GOOGLETRANSLATE(B13638,""id"",""en"")"),"['Hopefully', 'get', 'Honda', 'Brio', 'people', 'old']")</f>
        <v>['Hopefully', 'get', 'Honda', 'Brio', 'people', 'old']</v>
      </c>
      <c r="D13638" s="3">
        <v>3.0</v>
      </c>
    </row>
    <row r="13639" ht="15.75" customHeight="1">
      <c r="A13639" s="1">
        <v>14745.0</v>
      </c>
      <c r="B13639" s="3" t="s">
        <v>12878</v>
      </c>
      <c r="C13639" s="3" t="str">
        <f>IFERROR(__xludf.DUMMYFUNCTION("GOOGLETRANSLATE(B13639,""id"",""en"")"),"['hahaha', 'quota', 'GB', 'Chek', 'and that', 'divided', 'giving', 'quota', 'MB', 'GB', 'GB', 'GB', ' just ',' ngakak ',' nii ',' duration ',' marketer ']")</f>
        <v>['hahaha', 'quota', 'GB', 'Chek', 'and that', 'divided', 'giving', 'quota', 'MB', 'GB', 'GB', 'GB', ' just ',' ngakak ',' nii ',' duration ',' marketer ']</v>
      </c>
      <c r="D13639" s="3">
        <v>1.0</v>
      </c>
    </row>
    <row r="13640" ht="15.75" customHeight="1">
      <c r="A13640" s="1">
        <v>14746.0</v>
      </c>
      <c r="B13640" s="3" t="s">
        <v>12879</v>
      </c>
      <c r="C13640" s="3" t="str">
        <f>IFERROR(__xludf.DUMMYFUNCTION("GOOGLETRANSLATE(B13640,""id"",""en"")"),"['oath', 'me', 'regret', 'sympathy', 'signal', 'ugly', 'bad', 'hours',' slow ',' already ',' month ',' package ',' GB ',' already ',' Unreg ',' card ',' broken ',' Sampe ',' Threat ',' Disappointed ']")</f>
        <v>['oath', 'me', 'regret', 'sympathy', 'signal', 'ugly', 'bad', 'hours',' slow ',' already ',' month ',' package ',' GB ',' already ',' Unreg ',' card ',' broken ',' Sampe ',' Threat ',' Disappointed ']</v>
      </c>
      <c r="D13640" s="3">
        <v>1.0</v>
      </c>
    </row>
    <row r="13641" ht="15.75" customHeight="1">
      <c r="A13641" s="1">
        <v>14747.0</v>
      </c>
      <c r="B13641" s="3" t="s">
        <v>12880</v>
      </c>
      <c r="C13641" s="3" t="str">
        <f>IFERROR(__xludf.DUMMYFUNCTION("GOOGLETRANSLATE(B13641,""id"",""en"")"),"['Okay', 'another']")</f>
        <v>['Okay', 'another']</v>
      </c>
      <c r="D13641" s="3">
        <v>5.0</v>
      </c>
    </row>
    <row r="13642" ht="15.75" customHeight="1">
      <c r="A13642" s="1">
        <v>14748.0</v>
      </c>
      <c r="B13642" s="3" t="s">
        <v>12881</v>
      </c>
      <c r="C13642" s="3" t="str">
        <f>IFERROR(__xludf.DUMMYFUNCTION("GOOGLETRANSLATE(B13642,""id"",""en"")"),"['expensive', 'doang', 'mabar', 'nge', 'lag', 'pig']")</f>
        <v>['expensive', 'doang', 'mabar', 'nge', 'lag', 'pig']</v>
      </c>
      <c r="D13642" s="3">
        <v>1.0</v>
      </c>
    </row>
    <row r="13643" ht="15.75" customHeight="1">
      <c r="A13643" s="1">
        <v>14749.0</v>
      </c>
      <c r="B13643" s="3" t="s">
        <v>12882</v>
      </c>
      <c r="C13643" s="3" t="str">
        <f>IFERROR(__xludf.DUMMYFUNCTION("GOOGLETRANSLATE(B13643,""id"",""en"")"),"['hope', 'stable', 'in the future']")</f>
        <v>['hope', 'stable', 'in the future']</v>
      </c>
      <c r="D13643" s="3">
        <v>5.0</v>
      </c>
    </row>
    <row r="13644" ht="15.75" customHeight="1">
      <c r="A13644" s="1">
        <v>14750.0</v>
      </c>
      <c r="B13644" s="3" t="s">
        <v>12883</v>
      </c>
      <c r="C13644" s="3" t="str">
        <f>IFERROR(__xludf.DUMMYFUNCTION("GOOGLETRANSLATE(B13644,""id"",""en"")"),"['Thank you', 'Telkomsel', 'Since', 'Like', 'App', 'Telkomsel', 'Satisfied', 'Service', 'Difficulty', 'Package', 'Data', 'Phone', ' SERBA ',' Difficult ',' Please ',' Fix ',' Delete ',' Application ',' Help ',' Network ',' Koyo ',' Tempek ']")</f>
        <v>['Thank you', 'Telkomsel', 'Since', 'Like', 'App', 'Telkomsel', 'Satisfied', 'Service', 'Difficulty', 'Package', 'Data', 'Phone', ' SERBA ',' Difficult ',' Please ',' Fix ',' Delete ',' Application ',' Help ',' Network ',' Koyo ',' Tempek ']</v>
      </c>
      <c r="D13644" s="3">
        <v>1.0</v>
      </c>
    </row>
    <row r="13645" ht="15.75" customHeight="1">
      <c r="A13645" s="1">
        <v>14751.0</v>
      </c>
      <c r="B13645" s="3" t="s">
        <v>6258</v>
      </c>
      <c r="C13645" s="3" t="str">
        <f>IFERROR(__xludf.DUMMYFUNCTION("GOOGLETRANSLATE(B13645,""id"",""en"")"),"['satisfied']")</f>
        <v>['satisfied']</v>
      </c>
      <c r="D13645" s="3">
        <v>5.0</v>
      </c>
    </row>
    <row r="13646" ht="15.75" customHeight="1">
      <c r="A13646" s="1">
        <v>14752.0</v>
      </c>
      <c r="B13646" s="3" t="s">
        <v>12884</v>
      </c>
      <c r="C13646" s="3" t="str">
        <f>IFERROR(__xludf.DUMMYFUNCTION("GOOGLETRANSLATE(B13646,""id"",""en"")"),"['Change', 'Language', 'Indonesia', 'How', '']")</f>
        <v>['Change', 'Language', 'Indonesia', 'How', '']</v>
      </c>
      <c r="D13646" s="3">
        <v>5.0</v>
      </c>
    </row>
    <row r="13647" ht="15.75" customHeight="1">
      <c r="A13647" s="1">
        <v>14753.0</v>
      </c>
      <c r="B13647" s="3" t="s">
        <v>12885</v>
      </c>
      <c r="C13647" s="3" t="str">
        <f>IFERROR(__xludf.DUMMYFUNCTION("GOOGLETRANSLATE(B13647,""id"",""en"")"),"['Package', 'expensive', 'network', 'missing', 'arising', 'disappointed', 'already', 'mistak', 'Telkomsel', 'because', 'number', 'already', ' Save ',' just ',' Activate ']")</f>
        <v>['Package', 'expensive', 'network', 'missing', 'arising', 'disappointed', 'already', 'mistak', 'Telkomsel', 'because', 'number', 'already', ' Save ',' just ',' Activate ']</v>
      </c>
      <c r="D13647" s="3">
        <v>1.0</v>
      </c>
    </row>
    <row r="13648" ht="15.75" customHeight="1">
      <c r="A13648" s="1">
        <v>14754.0</v>
      </c>
      <c r="B13648" s="3" t="s">
        <v>12886</v>
      </c>
      <c r="C13648" s="3" t="str">
        <f>IFERROR(__xludf.DUMMYFUNCTION("GOOGLETRANSLATE(B13648,""id"",""en"")"),"['Please', 'Telkomsel', 'Holony', 'Dikasik', 'Eat', 'Maen', 'Dipelek', 'Untung', 'Play', 'Gambling', 'Lost', 'Gambling', ' gntii ',' bangs', 'kauku']")</f>
        <v>['Please', 'Telkomsel', 'Holony', 'Dikasik', 'Eat', 'Maen', 'Dipelek', 'Untung', 'Play', 'Gambling', 'Lost', 'Gambling', ' gntii ',' bangs', 'kauku']</v>
      </c>
      <c r="D13648" s="3">
        <v>1.0</v>
      </c>
    </row>
    <row r="13649" ht="15.75" customHeight="1">
      <c r="A13649" s="1">
        <v>14755.0</v>
      </c>
      <c r="B13649" s="3" t="s">
        <v>12887</v>
      </c>
      <c r="C13649" s="3" t="str">
        <f>IFERROR(__xludf.DUMMYFUNCTION("GOOGLETRANSLATE(B13649,""id"",""en"")"),"['Android', 'Install', 'Application', '']")</f>
        <v>['Android', 'Install', 'Application', '']</v>
      </c>
      <c r="D13649" s="3">
        <v>1.0</v>
      </c>
    </row>
    <row r="13650" ht="15.75" customHeight="1">
      <c r="A13650" s="1">
        <v>14756.0</v>
      </c>
      <c r="B13650" s="3" t="s">
        <v>12888</v>
      </c>
      <c r="C13650" s="3" t="str">
        <f>IFERROR(__xludf.DUMMYFUNCTION("GOOGLETRANSLATE(B13650,""id"",""en"")"),"['Telkomsel', 'hah', 'quota', 'download', 'apk', 'playstore', 'browser', 'okay', 'sad', 'bat', 'telkomsel', 'already', ' price ',' expensive ',' signal ',' kek ',' gini ',' troz ',' mending ',' Telkomsel ',' closed ',' circulation ']")</f>
        <v>['Telkomsel', 'hah', 'quota', 'download', 'apk', 'playstore', 'browser', 'okay', 'sad', 'bat', 'telkomsel', 'already', ' price ',' expensive ',' signal ',' kek ',' gini ',' troz ',' mending ',' Telkomsel ',' closed ',' circulation ']</v>
      </c>
      <c r="D13650" s="3">
        <v>1.0</v>
      </c>
    </row>
    <row r="13651" ht="15.75" customHeight="1">
      <c r="A13651" s="1">
        <v>14757.0</v>
      </c>
      <c r="B13651" s="3" t="s">
        <v>968</v>
      </c>
      <c r="C13651" s="3" t="str">
        <f>IFERROR(__xludf.DUMMYFUNCTION("GOOGLETRANSLATE(B13651,""id"",""en"")"),"['application', '']")</f>
        <v>['application', '']</v>
      </c>
      <c r="D13651" s="3">
        <v>5.0</v>
      </c>
    </row>
    <row r="13652" ht="15.75" customHeight="1">
      <c r="A13652" s="1">
        <v>14758.0</v>
      </c>
      <c r="B13652" s="3" t="s">
        <v>12889</v>
      </c>
      <c r="C13652" s="3" t="str">
        <f>IFERROR(__xludf.DUMMYFUNCTION("GOOGLETRANSLATE(B13652,""id"",""en"")"),"['Hopefully', 'Hadia']")</f>
        <v>['Hopefully', 'Hadia']</v>
      </c>
      <c r="D13652" s="3">
        <v>5.0</v>
      </c>
    </row>
    <row r="13653" ht="15.75" customHeight="1">
      <c r="A13653" s="1">
        <v>14760.0</v>
      </c>
      <c r="B13653" s="3" t="s">
        <v>12890</v>
      </c>
      <c r="C13653" s="3" t="str">
        <f>IFERROR(__xludf.DUMMYFUNCTION("GOOGLETRANSLATE(B13653,""id"",""en"")"),"['', 'package', 'internet', 'cheap', 'rich', '']")</f>
        <v>['', 'package', 'internet', 'cheap', 'rich', '']</v>
      </c>
      <c r="D13653" s="3">
        <v>5.0</v>
      </c>
    </row>
    <row r="13654" ht="15.75" customHeight="1">
      <c r="A13654" s="1">
        <v>14761.0</v>
      </c>
      <c r="B13654" s="3" t="s">
        <v>12891</v>
      </c>
      <c r="C13654" s="3" t="str">
        <f>IFERROR(__xludf.DUMMYFUNCTION("GOOGLETRANSLATE(B13654,""id"",""en"")"),"['Cashback', 'Gadaa', 'Enter', 'Points', 'Via', 'Shoppe', 'MyTelkomsel', ""]")</f>
        <v>['Cashback', 'Gadaa', 'Enter', 'Points', 'Via', 'Shoppe', 'MyTelkomsel', "]</v>
      </c>
      <c r="D13654" s="3">
        <v>4.0</v>
      </c>
    </row>
    <row r="13655" ht="15.75" customHeight="1">
      <c r="A13655" s="1">
        <v>14762.0</v>
      </c>
      <c r="B13655" s="3" t="s">
        <v>12892</v>
      </c>
      <c r="C13655" s="3" t="str">
        <f>IFERROR(__xludf.DUMMYFUNCTION("GOOGLETRANSLATE(B13655,""id"",""en"")"),"['Application', 'Good', 'See', 'Quota', 'Buy', 'Quota', 'Reuted', 'Wear', 'Application']")</f>
        <v>['Application', 'Good', 'See', 'Quota', 'Buy', 'Quota', 'Reuted', 'Wear', 'Application']</v>
      </c>
      <c r="D13655" s="3">
        <v>5.0</v>
      </c>
    </row>
    <row r="13656" ht="15.75" customHeight="1">
      <c r="A13656" s="1">
        <v>14763.0</v>
      </c>
      <c r="B13656" s="3" t="s">
        <v>12893</v>
      </c>
      <c r="C13656" s="3" t="str">
        <f>IFERROR(__xludf.DUMMYFUNCTION("GOOGLETRANSLATE(B13656,""id"",""en"")"),"['good', 'enter', 'difficult', 'click', 'Link', 'click', 'Link']")</f>
        <v>['good', 'enter', 'difficult', 'click', 'Link', 'click', 'Link']</v>
      </c>
      <c r="D13656" s="3">
        <v>5.0</v>
      </c>
    </row>
    <row r="13657" ht="15.75" customHeight="1">
      <c r="A13657" s="1">
        <v>14764.0</v>
      </c>
      <c r="B13657" s="3" t="s">
        <v>12894</v>
      </c>
      <c r="C13657" s="3" t="str">
        <f>IFERROR(__xludf.DUMMYFUNCTION("GOOGLETRANSLATE(B13657,""id"",""en"")"),"['Please', 'card', 'package', 'appears',' cheap ',' age ',' card ',' already ',' awayan ',' Liat ',' see ',' Get ',' cheap ',' Herman ',' ']")</f>
        <v>['Please', 'card', 'package', 'appears',' cheap ',' age ',' card ',' already ',' awayan ',' Liat ',' see ',' Get ',' cheap ',' Herman ',' ']</v>
      </c>
      <c r="D13657" s="3">
        <v>5.0</v>
      </c>
    </row>
    <row r="13658" ht="15.75" customHeight="1">
      <c r="A13658" s="1">
        <v>14765.0</v>
      </c>
      <c r="B13658" s="3" t="s">
        <v>12895</v>
      </c>
      <c r="C13658" s="3" t="str">
        <f>IFERROR(__xludf.DUMMYFUNCTION("GOOGLETRANSLATE(B13658,""id"",""en"")"),"['hope', 'Kedepen', '']")</f>
        <v>['hope', 'Kedepen', '']</v>
      </c>
      <c r="D13658" s="3">
        <v>5.0</v>
      </c>
    </row>
    <row r="13659" ht="15.75" customHeight="1">
      <c r="A13659" s="1">
        <v>14766.0</v>
      </c>
      <c r="B13659" s="3" t="s">
        <v>12896</v>
      </c>
      <c r="C13659" s="3" t="str">
        <f>IFERROR(__xludf.DUMMYFUNCTION("GOOGLETRANSLATE(B13659,""id"",""en"")"),"['Telkomsel', 'Please', 'Region', 'Lebak', 'Mountain', 'Kencana', 'Kampung', 'CIAKAR', 'Signal', 'Sympathy', 'Bad', 'Tlong', ' Fix ',' mkasih ']")</f>
        <v>['Telkomsel', 'Please', 'Region', 'Lebak', 'Mountain', 'Kencana', 'Kampung', 'CIAKAR', 'Signal', 'Sympathy', 'Bad', 'Tlong', ' Fix ',' mkasih ']</v>
      </c>
      <c r="D13659" s="3">
        <v>3.0</v>
      </c>
    </row>
    <row r="13660" ht="15.75" customHeight="1">
      <c r="A13660" s="1">
        <v>14767.0</v>
      </c>
      <c r="B13660" s="3" t="s">
        <v>12897</v>
      </c>
      <c r="C13660" s="3" t="str">
        <f>IFERROR(__xludf.DUMMYFUNCTION("GOOGLETRANSLATE(B13660,""id"",""en"")"),"['Jelekkkk', 'Slow', 'Repson', 'Maap', 'Honest']")</f>
        <v>['Jelekkkk', 'Slow', 'Repson', 'Maap', 'Honest']</v>
      </c>
      <c r="D13660" s="3">
        <v>1.0</v>
      </c>
    </row>
    <row r="13661" ht="15.75" customHeight="1">
      <c r="A13661" s="1">
        <v>14768.0</v>
      </c>
      <c r="B13661" s="3" t="s">
        <v>12898</v>
      </c>
      <c r="C13661" s="3" t="str">
        <f>IFERROR(__xludf.DUMMYFUNCTION("GOOGLETRANSLATE(B13661,""id"",""en"")"),"['go bankrupt', 'then', 'events',' all ',' column ',' komntar ',' all ',' sprti ',' natural ',' telomsel ',' now ',' mhon ',' Sorry ',' Sya ',' Leave ',' BYee ',' Next ',' Gnti ',' Laen ', ""]")</f>
        <v>['go bankrupt', 'then', 'events',' all ',' column ',' komntar ',' all ',' sprti ',' natural ',' telomsel ',' now ',' mhon ',' Sorry ',' Sya ',' Leave ',' BYee ',' Next ',' Gnti ',' Laen ', "]</v>
      </c>
      <c r="D13661" s="3">
        <v>1.0</v>
      </c>
    </row>
    <row r="13662" ht="15.75" customHeight="1">
      <c r="A13662" s="1">
        <v>14769.0</v>
      </c>
      <c r="B13662" s="3" t="s">
        <v>12899</v>
      </c>
      <c r="C13662" s="3" t="str">
        <f>IFERROR(__xludf.DUMMYFUNCTION("GOOGLETRANSLATE(B13662,""id"",""en"")"),"['Good', 'Increase', 'LGI', 'Prosea', 'Sometimes', 'Constraints', 'Enter', '']")</f>
        <v>['Good', 'Increase', 'LGI', 'Prosea', 'Sometimes', 'Constraints', 'Enter', '']</v>
      </c>
      <c r="D13662" s="3">
        <v>4.0</v>
      </c>
    </row>
    <row r="13663" ht="15.75" customHeight="1">
      <c r="A13663" s="1">
        <v>14770.0</v>
      </c>
      <c r="B13663" s="3" t="s">
        <v>12900</v>
      </c>
      <c r="C13663" s="3" t="str">
        <f>IFERROR(__xludf.DUMMYFUNCTION("GOOGLETRANSLATE(B13663,""id"",""en"")"),"['Quality', 'signal', 'sanagat']")</f>
        <v>['Quality', 'signal', 'sanagat']</v>
      </c>
      <c r="D13663" s="3">
        <v>5.0</v>
      </c>
    </row>
    <row r="13664" ht="15.75" customHeight="1">
      <c r="A13664" s="1">
        <v>14771.0</v>
      </c>
      <c r="B13664" s="3" t="s">
        <v>12901</v>
      </c>
      <c r="C13664" s="3" t="str">
        <f>IFERROR(__xludf.DUMMYFUNCTION("GOOGLETRANSLATE(B13664,""id"",""en"")"),"['description', 'sympathy', 'network', 'best', 'boong']")</f>
        <v>['description', 'sympathy', 'network', 'best', 'boong']</v>
      </c>
      <c r="D13664" s="3">
        <v>1.0</v>
      </c>
    </row>
    <row r="13665" ht="15.75" customHeight="1">
      <c r="A13665" s="1">
        <v>14772.0</v>
      </c>
      <c r="B13665" s="3" t="s">
        <v>12902</v>
      </c>
      <c r="C13665" s="3" t="str">
        <f>IFERROR(__xludf.DUMMYFUNCTION("GOOGLETRANSLATE(B13665,""id"",""en"")"),"['Most', 'Update', 'Application', 'Heavy', 'Change', 'Discard', 'Discard', 'Quota', 'Discard', 'Discard', 'Storage']")</f>
        <v>['Most', 'Update', 'Application', 'Heavy', 'Change', 'Discard', 'Discard', 'Quota', 'Discard', 'Discard', 'Storage']</v>
      </c>
      <c r="D13665" s="3">
        <v>1.0</v>
      </c>
    </row>
    <row r="13666" ht="15.75" customHeight="1">
      <c r="A13666" s="1">
        <v>14773.0</v>
      </c>
      <c r="B13666" s="3" t="s">
        <v>12903</v>
      </c>
      <c r="C13666" s="3" t="str">
        <f>IFERROR(__xludf.DUMMYFUNCTION("GOOGLETRANSLATE(B13666,""id"",""en"")"),"['menu', 'option', 'data', 'ok', 'signal', 'network', 'sometimes',' ngelag ',' beg ',' repair ',' fast ',' plane ',' Jet ',' Loading ',' APL ',' Etc. ',' Thank you ',' ']")</f>
        <v>['menu', 'option', 'data', 'ok', 'signal', 'network', 'sometimes',' ngelag ',' beg ',' repair ',' fast ',' plane ',' Jet ',' Loading ',' APL ',' Etc. ',' Thank you ',' ']</v>
      </c>
      <c r="D13666" s="3">
        <v>5.0</v>
      </c>
    </row>
    <row r="13667" ht="15.75" customHeight="1">
      <c r="A13667" s="1">
        <v>14774.0</v>
      </c>
      <c r="B13667" s="3" t="s">
        <v>12904</v>
      </c>
      <c r="C13667" s="3" t="str">
        <f>IFERROR(__xludf.DUMMYFUNCTION("GOOGLETRANSLATE(B13667,""id"",""en"")"),"['Cheap', 'telephone', 'bla', '']")</f>
        <v>['Cheap', 'telephone', 'bla', '']</v>
      </c>
      <c r="D13667" s="3">
        <v>5.0</v>
      </c>
    </row>
    <row r="13668" ht="15.75" customHeight="1">
      <c r="A13668" s="1">
        <v>14775.0</v>
      </c>
      <c r="B13668" s="3" t="s">
        <v>12905</v>
      </c>
      <c r="C13668" s="3" t="str">
        <f>IFERROR(__xludf.DUMMYFUNCTION("GOOGLETRANSLATE(B13668,""id"",""en"")"),"['signal', 'strong', 'stable', 'kouta', 'cheap', 'worth', 'basically', 'The', 'best', 'Telkomsel', ""]")</f>
        <v>['signal', 'strong', 'stable', 'kouta', 'cheap', 'worth', 'basically', 'The', 'best', 'Telkomsel', "]</v>
      </c>
      <c r="D13668" s="3">
        <v>5.0</v>
      </c>
    </row>
    <row r="13669" ht="15.75" customHeight="1">
      <c r="A13669" s="1">
        <v>14776.0</v>
      </c>
      <c r="B13669" s="3" t="s">
        <v>12906</v>
      </c>
      <c r="C13669" s="3" t="str">
        <f>IFERROR(__xludf.DUMMYFUNCTION("GOOGLETRANSLATE(B13669,""id"",""en"")"),"['Good', 'Android', 'Thank you']")</f>
        <v>['Good', 'Android', 'Thank you']</v>
      </c>
      <c r="D13669" s="3">
        <v>4.0</v>
      </c>
    </row>
    <row r="13670" ht="15.75" customHeight="1">
      <c r="A13670" s="1">
        <v>14777.0</v>
      </c>
      <c r="B13670" s="3" t="s">
        <v>12907</v>
      </c>
      <c r="C13670" s="3" t="str">
        <f>IFERROR(__xludf.DUMMYFUNCTION("GOOGLETRANSLATE(B13670,""id"",""en"")"),"['Ngactivein', 'Package', 'Unlimited', 'Yesterday', 'ilang', 'Money', '']")</f>
        <v>['Ngactivein', 'Package', 'Unlimited', 'Yesterday', 'ilang', 'Money', '']</v>
      </c>
      <c r="D13670" s="3">
        <v>1.0</v>
      </c>
    </row>
    <row r="13671" ht="15.75" customHeight="1">
      <c r="A13671" s="1">
        <v>14779.0</v>
      </c>
      <c r="B13671" s="3" t="s">
        <v>12908</v>
      </c>
      <c r="C13671" s="3" t="str">
        <f>IFERROR(__xludf.DUMMYFUNCTION("GOOGLETRANSLATE(B13671,""id"",""en"")"),"['application', 'bad', 'uninstall', 'deh']")</f>
        <v>['application', 'bad', 'uninstall', 'deh']</v>
      </c>
      <c r="D13671" s="3">
        <v>1.0</v>
      </c>
    </row>
    <row r="13672" ht="15.75" customHeight="1">
      <c r="A13672" s="1">
        <v>14780.0</v>
      </c>
      <c r="B13672" s="3" t="s">
        <v>12909</v>
      </c>
      <c r="C13672" s="3" t="str">
        <f>IFERROR(__xludf.DUMMYFUNCTION("GOOGLETRANSLATE(B13672,""id"",""en"")"),"['Ride in', 'Bintang', 'Karna', 'Customer', 'Faithful', 'Telkomsel', 'Rise', 'App', 'Mantap']")</f>
        <v>['Ride in', 'Bintang', 'Karna', 'Customer', 'Faithful', 'Telkomsel', 'Rise', 'App', 'Mantap']</v>
      </c>
      <c r="D13672" s="3">
        <v>5.0</v>
      </c>
    </row>
    <row r="13673" ht="15.75" customHeight="1">
      <c r="A13673" s="1">
        <v>14781.0</v>
      </c>
      <c r="B13673" s="3" t="s">
        <v>12910</v>
      </c>
      <c r="C13673" s="3" t="str">
        <f>IFERROR(__xludf.DUMMYFUNCTION("GOOGLETRANSLATE(B13673,""id"",""en"")"),"['Buy', 'Package', 'Gamemax', 'Code', 'Redeem', 'Get', 'Law']")</f>
        <v>['Buy', 'Package', 'Gamemax', 'Code', 'Redeem', 'Get', 'Law']</v>
      </c>
      <c r="D13673" s="3">
        <v>1.0</v>
      </c>
    </row>
    <row r="13674" ht="15.75" customHeight="1">
      <c r="A13674" s="1">
        <v>14782.0</v>
      </c>
      <c r="B13674" s="3" t="s">
        <v>12911</v>
      </c>
      <c r="C13674" s="3" t="str">
        <f>IFERROR(__xludf.DUMMYFUNCTION("GOOGLETRANSLATE(B13674,""id"",""en"")"),"['', 'good', 'really', 'deh', 'try', 'download']")</f>
        <v>['', 'good', 'really', 'deh', 'try', 'download']</v>
      </c>
      <c r="D13674" s="3">
        <v>5.0</v>
      </c>
    </row>
    <row r="13675" ht="15.75" customHeight="1">
      <c r="A13675" s="1">
        <v>14783.0</v>
      </c>
      <c r="B13675" s="3" t="s">
        <v>12912</v>
      </c>
      <c r="C13675" s="3" t="str">
        <f>IFERROR(__xludf.DUMMYFUNCTION("GOOGLETRANSLATE(B13675,""id"",""en"")"),"['Network', 'Telkom', 'Slowttt', 'Rich', 'Snail', ""]")</f>
        <v>['Network', 'Telkom', 'Slowttt', 'Rich', 'Snail', "]</v>
      </c>
      <c r="D13675" s="3">
        <v>1.0</v>
      </c>
    </row>
    <row r="13676" ht="15.75" customHeight="1">
      <c r="A13676" s="1">
        <v>14784.0</v>
      </c>
      <c r="B13676" s="3" t="s">
        <v>12913</v>
      </c>
      <c r="C13676" s="3" t="str">
        <f>IFERROR(__xludf.DUMMYFUNCTION("GOOGLETRANSLATE(B13676,""id"",""en"")"),"['Please', 'love', 'oaket', 'cheap']")</f>
        <v>['Please', 'love', 'oaket', 'cheap']</v>
      </c>
      <c r="D13676" s="3">
        <v>3.0</v>
      </c>
    </row>
    <row r="13677" ht="15.75" customHeight="1">
      <c r="A13677" s="1">
        <v>14786.0</v>
      </c>
      <c r="B13677" s="3" t="s">
        <v>12914</v>
      </c>
      <c r="C13677" s="3" t="str">
        <f>IFERROR(__xludf.DUMMYFUNCTION("GOOGLETRANSLATE(B13677,""id"",""en"")"),"['Telkomsel', 'dlu', 'signal', 'bgus', 'wlp even', 'quota', 'expensive', 'here' signal ',' good ',' city ',' signal ',' JELEKK ',' JELEKK ']")</f>
        <v>['Telkomsel', 'dlu', 'signal', 'bgus', 'wlp even', 'quota', 'expensive', 'here' signal ',' good ',' city ',' signal ',' JELEKK ',' JELEKK ']</v>
      </c>
      <c r="D13677" s="3">
        <v>1.0</v>
      </c>
    </row>
    <row r="13678" ht="15.75" customHeight="1">
      <c r="A13678" s="1">
        <v>14787.0</v>
      </c>
      <c r="B13678" s="3" t="s">
        <v>12915</v>
      </c>
      <c r="C13678" s="3" t="str">
        <f>IFERROR(__xludf.DUMMYFUNCTION("GOOGLETRANSLATE(B13678,""id"",""en"")"),"['bad', 'game', 'card', 'telkomtod', 'quality', 'expensive', 'original', 'bad', 'kek', 'bad']")</f>
        <v>['bad', 'game', 'card', 'telkomtod', 'quality', 'expensive', 'original', 'bad', 'kek', 'bad']</v>
      </c>
      <c r="D13678" s="3">
        <v>1.0</v>
      </c>
    </row>
    <row r="13679" ht="15.75" customHeight="1">
      <c r="A13679" s="1">
        <v>14788.0</v>
      </c>
      <c r="B13679" s="3" t="s">
        <v>12916</v>
      </c>
      <c r="C13679" s="3" t="str">
        <f>IFERROR(__xludf.DUMMYFUNCTION("GOOGLETRANSLATE(B13679,""id"",""en"")"),"['', 'Try', 'hope', 'Helpful', '']")</f>
        <v>['', 'Try', 'hope', 'Helpful', '']</v>
      </c>
      <c r="D13679" s="3">
        <v>4.0</v>
      </c>
    </row>
    <row r="13680" ht="15.75" customHeight="1">
      <c r="A13680" s="1">
        <v>14789.0</v>
      </c>
      <c r="B13680" s="3" t="s">
        <v>12917</v>
      </c>
      <c r="C13680" s="3" t="str">
        <f>IFERROR(__xludf.DUMMYFUNCTION("GOOGLETRANSLATE(B13680,""id"",""en"")"),"['Help', 'slow']")</f>
        <v>['Help', 'slow']</v>
      </c>
      <c r="D13680" s="3">
        <v>5.0</v>
      </c>
    </row>
    <row r="13681" ht="15.75" customHeight="1">
      <c r="A13681" s="1">
        <v>14790.0</v>
      </c>
      <c r="B13681" s="3" t="s">
        <v>12918</v>
      </c>
      <c r="C13681" s="3" t="str">
        <f>IFERROR(__xludf.DUMMYFUNCTION("GOOGLETRANSLATE(B13681,""id"",""en"")"),"['expensive', 'doang', 'sympathy', 'mending', 'replace', 'already', 'severe', 'signal', 'ugly', 'slow', 'internet', 'response', ' Fix ',' Taunya ',' Maeih ',' Internet ',' Slow ', ""]")</f>
        <v>['expensive', 'doang', 'sympathy', 'mending', 'replace', 'already', 'severe', 'signal', 'ugly', 'slow', 'internet', 'response', ' Fix ',' Taunya ',' Maeih ',' Internet ',' Slow ', "]</v>
      </c>
      <c r="D13681" s="3">
        <v>1.0</v>
      </c>
    </row>
    <row r="13682" ht="15.75" customHeight="1">
      <c r="A13682" s="1">
        <v>14792.0</v>
      </c>
      <c r="B13682" s="3" t="s">
        <v>12919</v>
      </c>
      <c r="C13682" s="3" t="str">
        <f>IFERROR(__xludf.DUMMYFUNCTION("GOOGLETRANSLATE(B13682,""id"",""en"")"),"['package', 'quota', 'run out', 'pulse', 'used', 'approval', 'please', 'fix', 'setting', 'features',' apk ',' control ',' Credit ',' card ',' ']")</f>
        <v>['package', 'quota', 'run out', 'pulse', 'used', 'approval', 'please', 'fix', 'setting', 'features',' apk ',' control ',' Credit ',' card ',' ']</v>
      </c>
      <c r="D13682" s="3">
        <v>2.0</v>
      </c>
    </row>
    <row r="13683" ht="15.75" customHeight="1">
      <c r="A13683" s="1">
        <v>14793.0</v>
      </c>
      <c r="B13683" s="3" t="s">
        <v>12920</v>
      </c>
      <c r="C13683" s="3" t="str">
        <f>IFERROR(__xludf.DUMMYFUNCTION("GOOGLETRANSLATE(B13683,""id"",""en"")"),"['Lottery', 'Points', 'get', '']")</f>
        <v>['Lottery', 'Points', 'get', '']</v>
      </c>
      <c r="D13683" s="3">
        <v>5.0</v>
      </c>
    </row>
    <row r="13684" ht="15.75" customHeight="1">
      <c r="A13684" s="1">
        <v>14794.0</v>
      </c>
      <c r="B13684" s="3" t="s">
        <v>12921</v>
      </c>
      <c r="C13684" s="3" t="str">
        <f>IFERROR(__xludf.DUMMYFUNCTION("GOOGLETRANSLATE(B13684,""id"",""en"")"),"['Fix', 'Network', 'Ngelaq', 'right', 'play']")</f>
        <v>['Fix', 'Network', 'Ngelaq', 'right', 'play']</v>
      </c>
      <c r="D13684" s="3">
        <v>3.0</v>
      </c>
    </row>
    <row r="13685" ht="15.75" customHeight="1">
      <c r="A13685" s="1">
        <v>14795.0</v>
      </c>
      <c r="B13685" s="3" t="s">
        <v>6227</v>
      </c>
      <c r="C13685" s="3" t="str">
        <f>IFERROR(__xludf.DUMMYFUNCTION("GOOGLETRANSLATE(B13685,""id"",""en"")"),"['', 'steady']")</f>
        <v>['', 'steady']</v>
      </c>
      <c r="D13685" s="3">
        <v>5.0</v>
      </c>
    </row>
    <row r="13686" ht="15.75" customHeight="1">
      <c r="A13686" s="1">
        <v>14796.0</v>
      </c>
      <c r="B13686" s="3" t="s">
        <v>12922</v>
      </c>
      <c r="C13686" s="3" t="str">
        <f>IFERROR(__xludf.DUMMYFUNCTION("GOOGLETRANSLATE(B13686,""id"",""en"")"),"['signal', 'tested']")</f>
        <v>['signal', 'tested']</v>
      </c>
      <c r="D13686" s="3">
        <v>5.0</v>
      </c>
    </row>
    <row r="13687" ht="15.75" customHeight="1">
      <c r="A13687" s="1">
        <v>14798.0</v>
      </c>
      <c r="B13687" s="3" t="s">
        <v>12923</v>
      </c>
      <c r="C13687" s="3" t="str">
        <f>IFERROR(__xludf.DUMMYFUNCTION("GOOGLETRANSLATE(B13687,""id"",""en"")"),"['buy', 'package', 'expensive', 'expensive', 'it's network', 'ngelek', 'open', 'ngentod']")</f>
        <v>['buy', 'package', 'expensive', 'expensive', 'it's network', 'ngelek', 'open', 'ngentod']</v>
      </c>
      <c r="D13687" s="3">
        <v>1.0</v>
      </c>
    </row>
    <row r="13688" ht="15.75" customHeight="1">
      <c r="A13688" s="1">
        <v>14799.0</v>
      </c>
      <c r="B13688" s="3" t="s">
        <v>12924</v>
      </c>
      <c r="C13688" s="3" t="str">
        <f>IFERROR(__xludf.DUMMYFUNCTION("GOOGLETRANSLATE(B13688,""id"",""en"")"),"['Download', 'oath', 'Near', 'regret', 'price', 'package', 'no', 'cheap']")</f>
        <v>['Download', 'oath', 'Near', 'regret', 'price', 'package', 'no', 'cheap']</v>
      </c>
      <c r="D13688" s="3">
        <v>1.0</v>
      </c>
    </row>
    <row r="13689" ht="15.75" customHeight="1">
      <c r="A13689" s="1">
        <v>14800.0</v>
      </c>
      <c r="B13689" s="3" t="s">
        <v>12925</v>
      </c>
      <c r="C13689" s="3" t="str">
        <f>IFERROR(__xludf.DUMMYFUNCTION("GOOGLETRANSLATE(B13689,""id"",""en"")"),"['expensive', 'doang', 'stability', 'network', 'ugly', 'already', 'banned', 'telkom', 'indonesia', 'area', 'peak', 'benerin', ' Gamau ',' ilangin ',' telkom ',' indo ']")</f>
        <v>['expensive', 'doang', 'stability', 'network', 'ugly', 'already', 'banned', 'telkom', 'indonesia', 'area', 'peak', 'benerin', ' Gamau ',' ilangin ',' telkom ',' indo ']</v>
      </c>
      <c r="D13689" s="3">
        <v>1.0</v>
      </c>
    </row>
    <row r="13690" ht="15.75" customHeight="1">
      <c r="A13690" s="1">
        <v>14801.0</v>
      </c>
      <c r="B13690" s="3" t="s">
        <v>12926</v>
      </c>
      <c r="C13690" s="3" t="str">
        <f>IFERROR(__xludf.DUMMYFUNCTION("GOOGLETRANSLATE(B13690,""id"",""en"")"),"['Longin', 'difficult']")</f>
        <v>['Longin', 'difficult']</v>
      </c>
      <c r="D13690" s="3">
        <v>4.0</v>
      </c>
    </row>
    <row r="13691" ht="15.75" customHeight="1">
      <c r="A13691" s="1">
        <v>14802.0</v>
      </c>
      <c r="B13691" s="3" t="s">
        <v>12927</v>
      </c>
      <c r="C13691" s="3" t="str">
        <f>IFERROR(__xludf.DUMMYFUNCTION("GOOGLETRANSLATE(B13691,""id"",""en"")"),"['Use', 'Kouta', 'Good', 'Pro']")</f>
        <v>['Use', 'Kouta', 'Good', 'Pro']</v>
      </c>
      <c r="D13691" s="3">
        <v>2.0</v>
      </c>
    </row>
    <row r="13692" ht="15.75" customHeight="1">
      <c r="A13692" s="1">
        <v>14803.0</v>
      </c>
      <c r="B13692" s="3" t="s">
        <v>12928</v>
      </c>
      <c r="C13692" s="3" t="str">
        <f>IFERROR(__xludf.DUMMYFUNCTION("GOOGLETRANSLATE(B13692,""id"",""en"")"),"['Pliss',' signal ',' fix ',' Males', 'cave', 'package', 'signal', 'ugly', 'signal', 'tetep', 'lag', 'wish', ' Telkomsel ',' ']")</f>
        <v>['Pliss',' signal ',' fix ',' Males', 'cave', 'package', 'signal', 'ugly', 'signal', 'tetep', 'lag', 'wish', ' Telkomsel ',' ']</v>
      </c>
      <c r="D13692" s="3">
        <v>1.0</v>
      </c>
    </row>
    <row r="13693" ht="15.75" customHeight="1">
      <c r="A13693" s="1">
        <v>14804.0</v>
      </c>
      <c r="B13693" s="3" t="s">
        <v>12929</v>
      </c>
      <c r="C13693" s="3" t="str">
        <f>IFERROR(__xludf.DUMMYFUNCTION("GOOGLETRANSLATE(B13693,""id"",""en"")"),"['Mantab', 'Udeh', 'Pay', 'PKE', 'Kredivo', ""]")</f>
        <v>['Mantab', 'Udeh', 'Pay', 'PKE', 'Kredivo', "]</v>
      </c>
      <c r="D13693" s="3">
        <v>5.0</v>
      </c>
    </row>
    <row r="13694" ht="15.75" customHeight="1">
      <c r="A13694" s="1">
        <v>14806.0</v>
      </c>
      <c r="B13694" s="3" t="s">
        <v>12930</v>
      </c>
      <c r="C13694" s="3" t="str">
        <f>IFERROR(__xludf.DUMMYFUNCTION("GOOGLETRANSLATE(B13694,""id"",""en"")"),"['Network', 'Sangaaaa', 'ugly', 'crazy', 'class',' Telkomsel ',' Area ',' Jakrta ',' East ',' Cibubur ',' Depok ',' taste ',' rich ',' remote ',' era ',' Idh ',' network ',' LemoodDDD ',' paraahhhh ',' shy ',' network ',' class', 'bawaaah', ""]")</f>
        <v>['Network', 'Sangaaaa', 'ugly', 'crazy', 'class',' Telkomsel ',' Area ',' Jakrta ',' East ',' Cibubur ',' Depok ',' taste ',' rich ',' remote ',' era ',' Idh ',' network ',' LemoodDDD ',' paraahhhh ',' shy ',' network ',' class', 'bawaaah', "]</v>
      </c>
      <c r="D13694" s="3">
        <v>1.0</v>
      </c>
    </row>
    <row r="13695" ht="15.75" customHeight="1">
      <c r="A13695" s="1">
        <v>14807.0</v>
      </c>
      <c r="B13695" s="3" t="s">
        <v>12931</v>
      </c>
      <c r="C13695" s="3" t="str">
        <f>IFERROR(__xludf.DUMMYFUNCTION("GOOGLETRANSLATE(B13695,""id"",""en"")"),"['complicated', 'process',' login ',' PKE ',' code ',' verification ',' ajj ',' ckup ',' here ',' complicated ',' chek ',' link ',' DLU ',' Easy ',' Mlah ',' Ribet ']")</f>
        <v>['complicated', 'process',' login ',' PKE ',' code ',' verification ',' ajj ',' ckup ',' here ',' complicated ',' chek ',' link ',' DLU ',' Easy ',' Mlah ',' Ribet ']</v>
      </c>
      <c r="D13695" s="3">
        <v>2.0</v>
      </c>
    </row>
    <row r="13696" ht="15.75" customHeight="1">
      <c r="A13696" s="1">
        <v>14808.0</v>
      </c>
      <c r="B13696" s="3" t="s">
        <v>12932</v>
      </c>
      <c r="C13696" s="3" t="str">
        <f>IFERROR(__xludf.DUMMYFUNCTION("GOOGLETRANSLATE(B13696,""id"",""en"")"),"['according to', 'purposes']")</f>
        <v>['according to', 'purposes']</v>
      </c>
      <c r="D13696" s="3">
        <v>5.0</v>
      </c>
    </row>
    <row r="13697" ht="15.75" customHeight="1">
      <c r="A13697" s="1">
        <v>14809.0</v>
      </c>
      <c r="B13697" s="3" t="s">
        <v>2670</v>
      </c>
      <c r="C13697" s="3" t="str">
        <f>IFERROR(__xludf.DUMMYFUNCTION("GOOGLETRANSLATE(B13697,""id"",""en"")"),"['Good', 'promo']")</f>
        <v>['Good', 'promo']</v>
      </c>
      <c r="D13697" s="3">
        <v>5.0</v>
      </c>
    </row>
    <row r="13698" ht="15.75" customHeight="1">
      <c r="A13698" s="1">
        <v>14810.0</v>
      </c>
      <c r="B13698" s="3" t="s">
        <v>12933</v>
      </c>
      <c r="C13698" s="3" t="str">
        <f>IFERROR(__xludf.DUMMYFUNCTION("GOOGLETRANSLATE(B13698,""id"",""en"")"),"['What', 'buy', 'package', 'voucher', 'diamond', 'code', 'voucher', '']")</f>
        <v>['What', 'buy', 'package', 'voucher', 'diamond', 'code', 'voucher', '']</v>
      </c>
      <c r="D13698" s="3">
        <v>1.0</v>
      </c>
    </row>
    <row r="13699" ht="15.75" customHeight="1">
      <c r="A13699" s="1">
        <v>14811.0</v>
      </c>
      <c r="B13699" s="3" t="s">
        <v>12934</v>
      </c>
      <c r="C13699" s="3" t="str">
        <f>IFERROR(__xludf.DUMMYFUNCTION("GOOGLETRANSLATE(B13699,""id"",""en"")"),"['Telkomsel', 'slow', 'already', 'expensive', 'slow', 'Hadeh', 'severe']")</f>
        <v>['Telkomsel', 'slow', 'already', 'expensive', 'slow', 'Hadeh', 'severe']</v>
      </c>
      <c r="D13699" s="3">
        <v>1.0</v>
      </c>
    </row>
    <row r="13700" ht="15.75" customHeight="1">
      <c r="A13700" s="1">
        <v>14812.0</v>
      </c>
      <c r="B13700" s="3" t="s">
        <v>12935</v>
      </c>
      <c r="C13700" s="3" t="str">
        <f>IFERROR(__xludf.DUMMYFUNCTION("GOOGLETRANSLATE(B13700,""id"",""en"")"),"['Sorry', 'Telkomsel', 'Dropping', 'How', 'Note', 'A month', 'Full', 'Telkomsel', 'Network', 'Down', 'Lost', 'Term', ' maslaah ',' network ',' please ',' cooperated ',' kaish ',' rating ',' destroyed ',' disappointed ',' service ',' Telkomsel ']")</f>
        <v>['Sorry', 'Telkomsel', 'Dropping', 'How', 'Note', 'A month', 'Full', 'Telkomsel', 'Network', 'Down', 'Lost', 'Term', ' maslaah ',' network ',' please ',' cooperated ',' kaish ',' rating ',' destroyed ',' disappointed ',' service ',' Telkomsel ']</v>
      </c>
      <c r="D13700" s="3">
        <v>1.0</v>
      </c>
    </row>
    <row r="13701" ht="15.75" customHeight="1">
      <c r="A13701" s="1">
        <v>14813.0</v>
      </c>
      <c r="B13701" s="3" t="s">
        <v>12936</v>
      </c>
      <c r="C13701" s="3" t="str">
        <f>IFERROR(__xludf.DUMMYFUNCTION("GOOGLETRANSLATE(B13701,""id"",""en"")"),"['Hopefully', 'Network', 'Java', 'Okay', ""]")</f>
        <v>['Hopefully', 'Network', 'Java', 'Okay', "]</v>
      </c>
      <c r="D13701" s="3">
        <v>5.0</v>
      </c>
    </row>
    <row r="13702" ht="15.75" customHeight="1">
      <c r="A13702" s="1">
        <v>14814.0</v>
      </c>
      <c r="B13702" s="3" t="s">
        <v>12937</v>
      </c>
      <c r="C13702" s="3" t="str">
        <f>IFERROR(__xludf.DUMMYFUNCTION("GOOGLETRANSLATE(B13702,""id"",""en"")"),"['Syyak', 'Sometimes', 'Sometimes', 'Sound', 'Lost', 'Disconnect', 'Disconnect', 'Voice', 'Lost']")</f>
        <v>['Syyak', 'Sometimes', 'Sometimes', 'Sound', 'Lost', 'Disconnect', 'Disconnect', 'Voice', 'Lost']</v>
      </c>
      <c r="D13702" s="3">
        <v>4.0</v>
      </c>
    </row>
    <row r="13703" ht="15.75" customHeight="1">
      <c r="A13703" s="1">
        <v>14815.0</v>
      </c>
      <c r="B13703" s="3" t="s">
        <v>12938</v>
      </c>
      <c r="C13703" s="3" t="str">
        <f>IFERROR(__xludf.DUMMYFUNCTION("GOOGLETRANSLATE(B13703,""id"",""en"")"),"['APK', 'good', 'makes it easy', 'buy', 'quota', 'smooth', 'network']")</f>
        <v>['APK', 'good', 'makes it easy', 'buy', 'quota', 'smooth', 'network']</v>
      </c>
      <c r="D13703" s="3">
        <v>5.0</v>
      </c>
    </row>
    <row r="13704" ht="15.75" customHeight="1">
      <c r="A13704" s="1">
        <v>14816.0</v>
      </c>
      <c r="B13704" s="3" t="s">
        <v>12939</v>
      </c>
      <c r="C13704" s="3" t="str">
        <f>IFERROR(__xludf.DUMMYFUNCTION("GOOGLETRANSLATE(B13704,""id"",""en"")"),"['Frustration', 'Network', 'bad', 'already', 'expensive', 'quality', 'ugly']")</f>
        <v>['Frustration', 'Network', 'bad', 'already', 'expensive', 'quality', 'ugly']</v>
      </c>
      <c r="D13704" s="3">
        <v>1.0</v>
      </c>
    </row>
    <row r="13705" ht="15.75" customHeight="1">
      <c r="A13705" s="1">
        <v>14817.0</v>
      </c>
      <c r="B13705" s="3" t="s">
        <v>12940</v>
      </c>
      <c r="C13705" s="3" t="str">
        <f>IFERROR(__xludf.DUMMYFUNCTION("GOOGLETRANSLATE(B13705,""id"",""en"")"),"['Love', 'star', 'please', 'suck', 'pulseku', 'reduced']")</f>
        <v>['Love', 'star', 'please', 'suck', 'pulseku', 'reduced']</v>
      </c>
      <c r="D13705" s="3">
        <v>2.0</v>
      </c>
    </row>
    <row r="13706" ht="15.75" customHeight="1">
      <c r="A13706" s="1">
        <v>14819.0</v>
      </c>
      <c r="B13706" s="3" t="s">
        <v>12941</v>
      </c>
      <c r="C13706" s="3" t="str">
        <f>IFERROR(__xludf.DUMMYFUNCTION("GOOGLETRANSLATE(B13706,""id"",""en"")"),"['Sharpen', 'System', 'Busy']")</f>
        <v>['Sharpen', 'System', 'Busy']</v>
      </c>
      <c r="D13706" s="3">
        <v>2.0</v>
      </c>
    </row>
    <row r="13707" ht="15.75" customHeight="1">
      <c r="A13707" s="1">
        <v>14821.0</v>
      </c>
      <c r="B13707" s="3" t="s">
        <v>12942</v>
      </c>
      <c r="C13707" s="3" t="str">
        <f>IFERROR(__xludf.DUMMYFUNCTION("GOOGLETRANSLATE(B13707,""id"",""en"")"),"['Disappointed', 'Telkomsel', 'Signal', 'ugly', 'Main', 'Game', 'BUTFERING', 'Open', 'Status',' Network ',' Bohongan ',' Telkomsel ',' Please, 'Fix', 'Telkomsel', 'Card', 'Good', 'Signal', 'Where', 'Region', 'Urban', 'Signal', 'Slow', 'Banged', 'Honest' ,"&amp;" 'Disappointed', 'Telkomsel', 'quota', 'internet', 'expensive', 'banged', 'please', 'Telkomsel', 'kek', 'that's',' please ',' signal ',' Benerin ',' quota ',' cheap ',' ']")</f>
        <v>['Disappointed', 'Telkomsel', 'Signal', 'ugly', 'Main', 'Game', 'BUTFERING', 'Open', 'Status',' Network ',' Bohongan ',' Telkomsel ',' Please, 'Fix', 'Telkomsel', 'Card', 'Good', 'Signal', 'Where', 'Region', 'Urban', 'Signal', 'Slow', 'Banged', 'Honest' , 'Disappointed', 'Telkomsel', 'quota', 'internet', 'expensive', 'banged', 'please', 'Telkomsel', 'kek', 'that's',' please ',' signal ',' Benerin ',' quota ',' cheap ',' ']</v>
      </c>
      <c r="D13707" s="3">
        <v>2.0</v>
      </c>
    </row>
    <row r="13708" ht="15.75" customHeight="1">
      <c r="A13708" s="1">
        <v>14822.0</v>
      </c>
      <c r="B13708" s="3" t="s">
        <v>12943</v>
      </c>
      <c r="C13708" s="3" t="str">
        <f>IFERROR(__xludf.DUMMYFUNCTION("GOOGLETRANSLATE(B13708,""id"",""en"")"),"['Sinyala', 'garbage', 'change', 'quota', 'expensive', 'signal', 'ugly', 'ngaca', 'garbage', 'garbage', 'sinya', 'rot', ' Najis', 'quota', 'expensive', 'signal', 'garbage', 'bankrupt', 'udh', 'rotten', 'signal']")</f>
        <v>['Sinyala', 'garbage', 'change', 'quota', 'expensive', 'signal', 'ugly', 'ngaca', 'garbage', 'garbage', 'sinya', 'rot', ' Najis', 'quota', 'expensive', 'signal', 'garbage', 'bankrupt', 'udh', 'rotten', 'signal']</v>
      </c>
      <c r="D13708" s="3">
        <v>1.0</v>
      </c>
    </row>
    <row r="13709" ht="15.75" customHeight="1">
      <c r="A13709" s="1">
        <v>14823.0</v>
      </c>
      <c r="B13709" s="3" t="s">
        <v>12944</v>
      </c>
      <c r="C13709" s="3" t="str">
        <f>IFERROR(__xludf.DUMMYFUNCTION("GOOGLETRANSLATE(B13709,""id"",""en"")"),"['Add', 'feature', 'turn off', 'service', 'internet', 'based', 'credit', 'customer', 'harmed', 'pulses',' truncated ',' service ',' internet ',' company ',' Telkomsel ',' service ',' according to ',' choice ',' customer ',' customer ',' option ',' choose "&amp;"', ""]")</f>
        <v>['Add', 'feature', 'turn off', 'service', 'internet', 'based', 'credit', 'customer', 'harmed', 'pulses',' truncated ',' service ',' internet ',' company ',' Telkomsel ',' service ',' according to ',' choice ',' customer ',' customer ',' option ',' choose ', "]</v>
      </c>
      <c r="D13709" s="3">
        <v>1.0</v>
      </c>
    </row>
    <row r="13710" ht="15.75" customHeight="1">
      <c r="A13710" s="1">
        <v>14824.0</v>
      </c>
      <c r="B13710" s="3" t="s">
        <v>12945</v>
      </c>
      <c r="C13710" s="3" t="str">
        <f>IFERROR(__xludf.DUMMYFUNCTION("GOOGLETRANSLATE(B13710,""id"",""en"")"),"['Telkomsel', 'knp', 'slow', 'then', 'klh', 'high school', 'operator', 'moved', 'open', 'slow', 'pdlh', 'jkrta', ' Mhal ',' Doang ',' Kouta ',' PKTanny ',' Lemot ',' Bkin ',' Loss', 'Customer']")</f>
        <v>['Telkomsel', 'knp', 'slow', 'then', 'klh', 'high school', 'operator', 'moved', 'open', 'slow', 'pdlh', 'jkrta', ' Mhal ',' Doang ',' Kouta ',' PKTanny ',' Lemot ',' Bkin ',' Loss', 'Customer']</v>
      </c>
      <c r="D13710" s="3">
        <v>1.0</v>
      </c>
    </row>
    <row r="13711" ht="15.75" customHeight="1">
      <c r="A13711" s="1">
        <v>14825.0</v>
      </c>
      <c r="B13711" s="3" t="s">
        <v>12946</v>
      </c>
      <c r="C13711" s="3" t="str">
        <f>IFERROR(__xludf.DUMMYFUNCTION("GOOGLETRANSLATE(B13711,""id"",""en"")"),"['package', 'Doank', 'expensive', 'signal', 'rotten']")</f>
        <v>['package', 'Doank', 'expensive', 'signal', 'rotten']</v>
      </c>
      <c r="D13711" s="3">
        <v>1.0</v>
      </c>
    </row>
    <row r="13712" ht="15.75" customHeight="1">
      <c r="A13712" s="1">
        <v>14826.0</v>
      </c>
      <c r="B13712" s="3" t="s">
        <v>12947</v>
      </c>
      <c r="C13712" s="3" t="str">
        <f>IFERROR(__xludf.DUMMYFUNCTION("GOOGLETRANSLATE(B13712,""id"",""en"")"),"['Buy', 'Package', 'OMG', 'Package', 'Disney', 'Hostar', 'Dibisa', 'Live', 'Package', 'Disney', 'Hostar', 'Monthly', ' Nipu ',' Kasian ',' people ',' buy ',' package ',' entertainment ',' Dikibulin ',' buy ',' rice ',' cheated ']")</f>
        <v>['Buy', 'Package', 'OMG', 'Package', 'Disney', 'Hostar', 'Dibisa', 'Live', 'Package', 'Disney', 'Hostar', 'Monthly', ' Nipu ',' Kasian ',' people ',' buy ',' package ',' entertainment ',' Dikibulin ',' buy ',' rice ',' cheated ']</v>
      </c>
      <c r="D13712" s="3">
        <v>1.0</v>
      </c>
    </row>
    <row r="13713" ht="15.75" customHeight="1">
      <c r="A13713" s="1">
        <v>14829.0</v>
      </c>
      <c r="B13713" s="3" t="s">
        <v>12948</v>
      </c>
      <c r="C13713" s="3" t="str">
        <f>IFERROR(__xludf.DUMMYFUNCTION("GOOGLETRANSLATE(B13713,""id"",""en"")"),"['signal', 'Benerin', 'cave', 'love', 'star', 'maen', 'ngeleg', '']")</f>
        <v>['signal', 'Benerin', 'cave', 'love', 'star', 'maen', 'ngeleg', '']</v>
      </c>
      <c r="D13713" s="3">
        <v>1.0</v>
      </c>
    </row>
    <row r="13714" ht="15.75" customHeight="1">
      <c r="A13714" s="1">
        <v>14830.0</v>
      </c>
      <c r="B13714" s="3" t="s">
        <v>12949</v>
      </c>
      <c r="C13714" s="3" t="str">
        <f>IFERROR(__xludf.DUMMYFUNCTION("GOOGLETRANSLATE(B13714,""id"",""en"")"),"['Thank you', 'bnyak', 'promo', 'dapp', 'application', 'Telkomsel', 'Success', 'Slalu', ""]")</f>
        <v>['Thank you', 'bnyak', 'promo', 'dapp', 'application', 'Telkomsel', 'Success', 'Slalu', "]</v>
      </c>
      <c r="D13714" s="3">
        <v>5.0</v>
      </c>
    </row>
    <row r="13715" ht="15.75" customHeight="1">
      <c r="A13715" s="1">
        <v>14831.0</v>
      </c>
      <c r="B13715" s="3" t="s">
        <v>12950</v>
      </c>
      <c r="C13715" s="3" t="str">
        <f>IFERROR(__xludf.DUMMYFUNCTION("GOOGLETRANSLATE(B13715,""id"",""en"")"),"['Apasih', 'ugly', 'network', 'package', 'doank', 'expensive']")</f>
        <v>['Apasih', 'ugly', 'network', 'package', 'doank', 'expensive']</v>
      </c>
      <c r="D13715" s="3">
        <v>1.0</v>
      </c>
    </row>
    <row r="13716" ht="15.75" customHeight="1">
      <c r="A13716" s="1">
        <v>14833.0</v>
      </c>
      <c r="B13716" s="3" t="s">
        <v>12951</v>
      </c>
      <c r="C13716" s="3" t="str">
        <f>IFERROR(__xludf.DUMMYFUNCTION("GOOGLETRANSLATE(B13716,""id"",""en"")"),"['package', 'run out', 'Cut', 'pulse', 'second', 'it open', 'second', 'because' number ',' work ',' already ',' replace ',' Nomers', 'quota', 'kenceng', 'kagak', 'signal', 'ugly', 'damn']")</f>
        <v>['package', 'run out', 'Cut', 'pulse', 'second', 'it open', 'second', 'because' number ',' work ',' already ',' replace ',' Nomers', 'quota', 'kenceng', 'kagak', 'signal', 'ugly', 'damn']</v>
      </c>
      <c r="D13716" s="3">
        <v>1.0</v>
      </c>
    </row>
    <row r="13717" ht="15.75" customHeight="1">
      <c r="A13717" s="1">
        <v>14835.0</v>
      </c>
      <c r="B13717" s="3" t="s">
        <v>12952</v>
      </c>
      <c r="C13717" s="3" t="str">
        <f>IFERROR(__xludf.DUMMYFUNCTION("GOOGLETRANSLATE(B13717,""id"",""en"")"),"['Signal', 'Good', 'Open']")</f>
        <v>['Signal', 'Good', 'Open']</v>
      </c>
      <c r="D13717" s="3">
        <v>1.0</v>
      </c>
    </row>
    <row r="13718" ht="15.75" customHeight="1">
      <c r="A13718" s="1">
        <v>14836.0</v>
      </c>
      <c r="B13718" s="3" t="s">
        <v>12953</v>
      </c>
      <c r="C13718" s="3" t="str">
        <f>IFERROR(__xludf.DUMMYFUNCTION("GOOGLETRANSLATE(B13718,""id"",""en"")"),"['hopefully', 'slow', 'network']")</f>
        <v>['hopefully', 'slow', 'network']</v>
      </c>
      <c r="D13718" s="3">
        <v>5.0</v>
      </c>
    </row>
    <row r="13719" ht="15.75" customHeight="1">
      <c r="A13719" s="1">
        <v>14837.0</v>
      </c>
      <c r="B13719" s="3" t="s">
        <v>4611</v>
      </c>
      <c r="C13719" s="3" t="str">
        <f>IFERROR(__xludf.DUMMYFUNCTION("GOOGLETRANSLATE(B13719,""id"",""en"")"),"['Package', 'expensive']")</f>
        <v>['Package', 'expensive']</v>
      </c>
      <c r="D13719" s="3">
        <v>1.0</v>
      </c>
    </row>
    <row r="13720" ht="15.75" customHeight="1">
      <c r="A13720" s="1">
        <v>14840.0</v>
      </c>
      <c r="B13720" s="3" t="s">
        <v>12954</v>
      </c>
      <c r="C13720" s="3" t="str">
        <f>IFERROR(__xludf.DUMMYFUNCTION("GOOGLETRANSLATE(B13720,""id"",""en"")"),"['woi', 'play', 'game', 'stuck', 'belom', 'sempet', 'buy', 'card', 'mending', 'waste', 'throw', 'money', ' Mending ',' card ',' accept ',' buy ',' expensive ',' expensive ',' wasteful ',' signal ',' ugly ',' hand over ',' you ']")</f>
        <v>['woi', 'play', 'game', 'stuck', 'belom', 'sempet', 'buy', 'card', 'mending', 'waste', 'throw', 'money', ' Mending ',' card ',' accept ',' buy ',' expensive ',' expensive ',' wasteful ',' signal ',' ugly ',' hand over ',' you ']</v>
      </c>
      <c r="D13720" s="3">
        <v>1.0</v>
      </c>
    </row>
    <row r="13721" ht="15.75" customHeight="1">
      <c r="A13721" s="1">
        <v>14841.0</v>
      </c>
      <c r="B13721" s="3" t="s">
        <v>12955</v>
      </c>
      <c r="C13721" s="3" t="str">
        <f>IFERROR(__xludf.DUMMYFUNCTION("GOOGLETRANSLATE(B13721,""id"",""en"")"),"['Sorry', 'love', 'star', 'Telkomsel', 'signal', 'bad', 'entry', 'room', 'home', 'region', 'kec', 'Tajurhalang', ' Villages', 'Sukmajaya', 'report', 'Sampe', 'skrg', 'Change', 'Please', 'Increase', 'Quality', 'Signal', 'Satisfaction', 'Customer', 'Applica"&amp;"tion' , 'Good', 'help', 'application', 'signal', 'bad', 'thank you']")</f>
        <v>['Sorry', 'love', 'star', 'Telkomsel', 'signal', 'bad', 'entry', 'room', 'home', 'region', 'kec', 'Tajurhalang', ' Villages', 'Sukmajaya', 'report', 'Sampe', 'skrg', 'Change', 'Please', 'Increase', 'Quality', 'Signal', 'Satisfaction', 'Customer', 'Application' , 'Good', 'help', 'application', 'signal', 'bad', 'thank you']</v>
      </c>
      <c r="D13721" s="3">
        <v>1.0</v>
      </c>
    </row>
    <row r="13722" ht="15.75" customHeight="1">
      <c r="A13722" s="1">
        <v>14842.0</v>
      </c>
      <c r="B13722" s="3" t="s">
        <v>12956</v>
      </c>
      <c r="C13722" s="3" t="str">
        <f>IFERROR(__xludf.DUMMYFUNCTION("GOOGLETRANSLATE(B13722,""id"",""en"")"),"['signal', 'Bangka', 'Kec', 'Merawang', 'ugly']")</f>
        <v>['signal', 'Bangka', 'Kec', 'Merawang', 'ugly']</v>
      </c>
      <c r="D13722" s="3">
        <v>1.0</v>
      </c>
    </row>
    <row r="13723" ht="15.75" customHeight="1">
      <c r="A13723" s="1">
        <v>14843.0</v>
      </c>
      <c r="B13723" s="3" t="s">
        <v>12957</v>
      </c>
      <c r="C13723" s="3" t="str">
        <f>IFERROR(__xludf.DUMMYFUNCTION("GOOGLETRANSLATE(B13723,""id"",""en"")"),"['Trusted', '']")</f>
        <v>['Trusted', '']</v>
      </c>
      <c r="D13723" s="3">
        <v>5.0</v>
      </c>
    </row>
    <row r="13724" ht="15.75" customHeight="1">
      <c r="A13724" s="1">
        <v>14844.0</v>
      </c>
      <c r="B13724" s="3" t="s">
        <v>12958</v>
      </c>
      <c r="C13724" s="3" t="str">
        <f>IFERROR(__xludf.DUMMYFUNCTION("GOOGLETRANSLATE(B13724,""id"",""en"")"),"['Telkomsel', 'ugly', 'good', 'really', 'severe', 'really', 'sinynya', 'use', 'card', 'Telkomsel', 'disappointed']")</f>
        <v>['Telkomsel', 'ugly', 'good', 'really', 'severe', 'really', 'sinynya', 'use', 'card', 'Telkomsel', 'disappointed']</v>
      </c>
      <c r="D13724" s="3">
        <v>1.0</v>
      </c>
    </row>
    <row r="13725" ht="15.75" customHeight="1">
      <c r="A13725" s="1">
        <v>14845.0</v>
      </c>
      <c r="B13725" s="3" t="s">
        <v>12959</v>
      </c>
      <c r="C13725" s="3" t="str">
        <f>IFERROR(__xludf.DUMMYFUNCTION("GOOGLETRANSLATE(B13725,""id"",""en"")"),"['Provider']")</f>
        <v>['Provider']</v>
      </c>
      <c r="D13725" s="3">
        <v>1.0</v>
      </c>
    </row>
    <row r="13726" ht="15.75" customHeight="1">
      <c r="A13726" s="1">
        <v>14846.0</v>
      </c>
      <c r="B13726" s="3" t="s">
        <v>12960</v>
      </c>
      <c r="C13726" s="3" t="str">
        <f>IFERROR(__xludf.DUMMYFUNCTION("GOOGLETRANSLATE(B13726,""id"",""en"")"),"['Sinyaal', 'Telkomsel', 'weak', 'slow', 'Sangaat', 'neighborhood', 'rural', 'area', 'Gunungkidul', 'village', 'Sokolaman', 'Bejiharjo', ' ']")</f>
        <v>['Sinyaal', 'Telkomsel', 'weak', 'slow', 'Sangaat', 'neighborhood', 'rural', 'area', 'Gunungkidul', 'village', 'Sokolaman', 'Bejiharjo', ' ']</v>
      </c>
      <c r="D13726" s="3">
        <v>1.0</v>
      </c>
    </row>
    <row r="13727" ht="15.75" customHeight="1">
      <c r="A13727" s="1">
        <v>14847.0</v>
      </c>
      <c r="B13727" s="3" t="s">
        <v>12961</v>
      </c>
      <c r="C13727" s="3" t="str">
        <f>IFERROR(__xludf.DUMMYFUNCTION("GOOGLETRANSLATE(B13727,""id"",""en"")"),"['Choosing', 'Card', 'Telkomsel', 'Karenabsudha', 'Proven', 'Trusted', 'Strong', 'Signal', 'Comfort', 'Communication', 'accompanied', 'MUCH', ' Promo ']")</f>
        <v>['Choosing', 'Card', 'Telkomsel', 'Karenabsudha', 'Proven', 'Trusted', 'Strong', 'Signal', 'Comfort', 'Communication', 'accompanied', 'MUCH', ' Promo ']</v>
      </c>
      <c r="D13727" s="3">
        <v>5.0</v>
      </c>
    </row>
    <row r="13728" ht="15.75" customHeight="1">
      <c r="A13728" s="1">
        <v>14848.0</v>
      </c>
      <c r="B13728" s="3" t="s">
        <v>12962</v>
      </c>
      <c r="C13728" s="3" t="str">
        <f>IFERROR(__xludf.DUMMYFUNCTION("GOOGLETRANSLATE(B13728,""id"",""en"")"),"['application', 'good', 'user', 'Telkomsel', 'loop', '']")</f>
        <v>['application', 'good', 'user', 'Telkomsel', 'loop', '']</v>
      </c>
      <c r="D13728" s="3">
        <v>5.0</v>
      </c>
    </row>
    <row r="13729" ht="15.75" customHeight="1">
      <c r="A13729" s="1">
        <v>14849.0</v>
      </c>
      <c r="B13729" s="3" t="s">
        <v>12963</v>
      </c>
      <c r="C13729" s="3" t="str">
        <f>IFERROR(__xludf.DUMMYFUNCTION("GOOGLETRANSLATE(B13729,""id"",""en"")"),"['difficult', 'quota', 'internet', 'doang', 'dipake', 'multimedia', 'dipake', 'already', 'run out', 'slow', 'play', 'quota', ' slow ',' quota ']")</f>
        <v>['difficult', 'quota', 'internet', 'doang', 'dipake', 'multimedia', 'dipake', 'already', 'run out', 'slow', 'play', 'quota', ' slow ',' quota ']</v>
      </c>
      <c r="D13729" s="3">
        <v>1.0</v>
      </c>
    </row>
    <row r="13730" ht="15.75" customHeight="1">
      <c r="A13730" s="1">
        <v>14850.0</v>
      </c>
      <c r="B13730" s="3" t="s">
        <v>12964</v>
      </c>
      <c r="C13730" s="3" t="str">
        <f>IFERROR(__xludf.DUMMYFUNCTION("GOOGLETRANSLATE(B13730,""id"",""en"")"),"['Good', 'proven', 'fast', '']")</f>
        <v>['Good', 'proven', 'fast', '']</v>
      </c>
      <c r="D13730" s="3">
        <v>5.0</v>
      </c>
    </row>
    <row r="13731" ht="15.75" customHeight="1">
      <c r="A13731" s="1">
        <v>14851.0</v>
      </c>
      <c r="B13731" s="3" t="s">
        <v>12965</v>
      </c>
      <c r="C13731" s="3" t="str">
        <f>IFERROR(__xludf.DUMMYFUNCTION("GOOGLETRANSLATE(B13731,""id"",""en"")"),"['please', 'Telkomsel', 'buy', 'quota', 'expensive', 'expensive', 'play', 'game', 'ping it', 'gini', 'quota', 'expensive', ' According to ',' network ',' ']")</f>
        <v>['please', 'Telkomsel', 'buy', 'quota', 'expensive', 'expensive', 'play', 'game', 'ping it', 'gini', 'quota', 'expensive', ' According to ',' network ',' ']</v>
      </c>
      <c r="D13731" s="3">
        <v>1.0</v>
      </c>
    </row>
    <row r="13732" ht="15.75" customHeight="1">
      <c r="A13732" s="1">
        <v>14852.0</v>
      </c>
      <c r="B13732" s="3" t="s">
        <v>12966</v>
      </c>
      <c r="C13732" s="3" t="str">
        <f>IFERROR(__xludf.DUMMYFUNCTION("GOOGLETRANSLATE(B13732,""id"",""en"")"),"['Suggestion', 'Telkomsel', 'Voice', 'Note', 'Operator', 'Change', 'Change', 'Confused', 'Customer', 'Bedain', 'On', 'Telfonan', ' Org ',' ']")</f>
        <v>['Suggestion', 'Telkomsel', 'Voice', 'Note', 'Operator', 'Change', 'Change', 'Confused', 'Customer', 'Bedain', 'On', 'Telfonan', ' Org ',' ']</v>
      </c>
      <c r="D13732" s="3">
        <v>3.0</v>
      </c>
    </row>
    <row r="13733" ht="15.75" customHeight="1">
      <c r="A13733" s="1">
        <v>14853.0</v>
      </c>
      <c r="B13733" s="3" t="s">
        <v>12967</v>
      </c>
      <c r="C13733" s="3" t="str">
        <f>IFERROR(__xludf.DUMMYFUNCTION("GOOGLETRANSLATE(B13733,""id"",""en"")"),"['', 'entered', 'app', 'entered', 'sllu', 'kluar', 'then', 'sendrix']")</f>
        <v>['', 'entered', 'app', 'entered', 'sllu', 'kluar', 'then', 'sendrix']</v>
      </c>
      <c r="D13733" s="3">
        <v>2.0</v>
      </c>
    </row>
    <row r="13734" ht="15.75" customHeight="1">
      <c r="A13734" s="1">
        <v>14854.0</v>
      </c>
      <c r="B13734" s="3" t="s">
        <v>12968</v>
      </c>
      <c r="C13734" s="3" t="str">
        <f>IFERROR(__xludf.DUMMYFUNCTION("GOOGLETRANSLATE(B13734,""id"",""en"")"),"['sipp', 'buy', 'package', 'easy']")</f>
        <v>['sipp', 'buy', 'package', 'easy']</v>
      </c>
      <c r="D13734" s="3">
        <v>5.0</v>
      </c>
    </row>
    <row r="13735" ht="15.75" customHeight="1">
      <c r="A13735" s="1">
        <v>14855.0</v>
      </c>
      <c r="B13735" s="3" t="s">
        <v>12969</v>
      </c>
      <c r="C13735" s="3" t="str">
        <f>IFERROR(__xludf.DUMMYFUNCTION("GOOGLETRANSLATE(B13735,""id"",""en"")"),"['signal', 'good', 'ilang', 'ilang', 'error', 'please', 'increase', 'signal', 'edannnn', 'ilang', 'signal', 'minutes',' ']")</f>
        <v>['signal', 'good', 'ilang', 'ilang', 'error', 'please', 'increase', 'signal', 'edannnn', 'ilang', 'signal', 'minutes',' ']</v>
      </c>
      <c r="D13735" s="3">
        <v>1.0</v>
      </c>
    </row>
    <row r="13736" ht="15.75" customHeight="1">
      <c r="A13736" s="1">
        <v>14857.0</v>
      </c>
      <c r="B13736" s="3" t="s">
        <v>12970</v>
      </c>
      <c r="C13736" s="3" t="str">
        <f>IFERROR(__xludf.DUMMYFUNCTION("GOOGLETRANSLATE(B13736,""id"",""en"")"),"['Thanks', 'MyTelkomsel', '']")</f>
        <v>['Thanks', 'MyTelkomsel', '']</v>
      </c>
      <c r="D13736" s="3">
        <v>5.0</v>
      </c>
    </row>
    <row r="13737" ht="15.75" customHeight="1">
      <c r="A13737" s="1">
        <v>14858.0</v>
      </c>
      <c r="B13737" s="3" t="s">
        <v>12971</v>
      </c>
      <c r="C13737" s="3" t="str">
        <f>IFERROR(__xludf.DUMMYFUNCTION("GOOGLETRANSLATE(B13737,""id"",""en"")"),"['hope', 'signal', 'Telekom', '']")</f>
        <v>['hope', 'signal', 'Telekom', '']</v>
      </c>
      <c r="D13737" s="3">
        <v>5.0</v>
      </c>
    </row>
    <row r="13738" ht="15.75" customHeight="1">
      <c r="A13738" s="1">
        <v>14859.0</v>
      </c>
      <c r="B13738" s="3" t="s">
        <v>12972</v>
      </c>
      <c r="C13738" s="3" t="str">
        <f>IFERROR(__xludf.DUMMYFUNCTION("GOOGLETRANSLATE(B13738,""id"",""en"")"),"['Save', 'Please', 'Addin', 'Promo', 'Cheap', '']")</f>
        <v>['Save', 'Please', 'Addin', 'Promo', 'Cheap', '']</v>
      </c>
      <c r="D13738" s="3">
        <v>5.0</v>
      </c>
    </row>
    <row r="13739" ht="15.75" customHeight="1">
      <c r="A13739" s="1">
        <v>14860.0</v>
      </c>
      <c r="B13739" s="3" t="s">
        <v>12973</v>
      </c>
      <c r="C13739" s="3" t="str">
        <f>IFERROR(__xludf.DUMMYFUNCTION("GOOGLETRANSLATE(B13739,""id"",""en"")"),"['application', 'convenience', 'buy', 'quota', 'call', 'internet', 'hope', 'telkomsel', 'price', 'cheap', 'purchase', 'quota', ' Users', 'environment', 'groups',' community ',' economy ',' medium ',' down ',' ']")</f>
        <v>['application', 'convenience', 'buy', 'quota', 'call', 'internet', 'hope', 'telkomsel', 'price', 'cheap', 'purchase', 'quota', ' Users', 'environment', 'groups',' community ',' economy ',' medium ',' down ',' ']</v>
      </c>
      <c r="D13739" s="3">
        <v>4.0</v>
      </c>
    </row>
    <row r="13740" ht="15.75" customHeight="1">
      <c r="A13740" s="1">
        <v>14861.0</v>
      </c>
      <c r="B13740" s="3" t="s">
        <v>12974</v>
      </c>
      <c r="C13740" s="3" t="str">
        <f>IFERROR(__xludf.DUMMYFUNCTION("GOOGLETRANSLATE(B13740,""id"",""en"")"),"['Telkomsel', 'Signal', 'Quality', 'Low', 'Quota', 'Expensive', 'Signal', 'Disconnect', 'Disconnect', 'Home', 'Tower', 'Telkomsel']")</f>
        <v>['Telkomsel', 'Signal', 'Quality', 'Low', 'Quota', 'Expensive', 'Signal', 'Disconnect', 'Disconnect', 'Home', 'Tower', 'Telkomsel']</v>
      </c>
      <c r="D13740" s="3">
        <v>1.0</v>
      </c>
    </row>
    <row r="13741" ht="15.75" customHeight="1">
      <c r="A13741" s="1">
        <v>14862.0</v>
      </c>
      <c r="B13741" s="3" t="s">
        <v>12975</v>
      </c>
      <c r="C13741" s="3" t="str">
        <f>IFERROR(__xludf.DUMMYFUNCTION("GOOGLETRANSLATE(B13741,""id"",""en"")"),"['signal', 'stable', 'in place', 'popongan', 'karanganyar']")</f>
        <v>['signal', 'stable', 'in place', 'popongan', 'karanganyar']</v>
      </c>
      <c r="D13741" s="3">
        <v>5.0</v>
      </c>
    </row>
    <row r="13742" ht="15.75" customHeight="1">
      <c r="A13742" s="1">
        <v>14864.0</v>
      </c>
      <c r="B13742" s="3" t="s">
        <v>902</v>
      </c>
      <c r="C13742" s="3" t="str">
        <f>IFERROR(__xludf.DUMMYFUNCTION("GOOGLETRANSLATE(B13742,""id"",""en"")"),"['best']")</f>
        <v>['best']</v>
      </c>
      <c r="D13742" s="3">
        <v>5.0</v>
      </c>
    </row>
    <row r="13743" ht="15.75" customHeight="1">
      <c r="A13743" s="1">
        <v>14865.0</v>
      </c>
      <c r="B13743" s="3" t="s">
        <v>12976</v>
      </c>
      <c r="C13743" s="3" t="str">
        <f>IFERROR(__xludf.DUMMYFUNCTION("GOOGLETRANSLATE(B13743,""id"",""en"")"),"['cook', 'already', 'unlimted', 'youtube', 'signal', 'weak', 'muter', 'kenceng', 'right', 'open', 'appasi']")</f>
        <v>['cook', 'already', 'unlimted', 'youtube', 'signal', 'weak', 'muter', 'kenceng', 'right', 'open', 'appasi']</v>
      </c>
      <c r="D13743" s="3">
        <v>1.0</v>
      </c>
    </row>
    <row r="13744" ht="15.75" customHeight="1">
      <c r="A13744" s="1">
        <v>14866.0</v>
      </c>
      <c r="B13744" s="3" t="s">
        <v>12977</v>
      </c>
      <c r="C13744" s="3" t="str">
        <f>IFERROR(__xludf.DUMMYFUNCTION("GOOGLETRANSLATE(B13744,""id"",""en"")"),"['Package', 'multimedia', 'use', 'quota', 'main', 'run out', '']")</f>
        <v>['Package', 'multimedia', 'use', 'quota', 'main', 'run out', '']</v>
      </c>
      <c r="D13744" s="3">
        <v>1.0</v>
      </c>
    </row>
    <row r="13745" ht="15.75" customHeight="1">
      <c r="A13745" s="1">
        <v>14867.0</v>
      </c>
      <c r="B13745" s="3" t="s">
        <v>12978</v>
      </c>
      <c r="C13745" s="3" t="str">
        <f>IFERROR(__xludf.DUMMYFUNCTION("GOOGLETRANSLATE(B13745,""id"",""en"")"),"['Thank you', 'Siyala', 'ugly', 'Hopefully', 'In the future', 'Soynya', 'Good', ""]")</f>
        <v>['Thank you', 'Siyala', 'ugly', 'Hopefully', 'In the future', 'Soynya', 'Good', "]</v>
      </c>
      <c r="D13745" s="3">
        <v>3.0</v>
      </c>
    </row>
    <row r="13746" ht="15.75" customHeight="1">
      <c r="A13746" s="1">
        <v>14868.0</v>
      </c>
      <c r="B13746" s="3" t="s">
        <v>12979</v>
      </c>
      <c r="C13746" s="3" t="str">
        <f>IFERROR(__xludf.DUMMYFUNCTION("GOOGLETRANSLATE(B13746,""id"",""en"")"),"['Internet', 'UDH', 'Current']")</f>
        <v>['Internet', 'UDH', 'Current']</v>
      </c>
      <c r="D13746" s="3">
        <v>5.0</v>
      </c>
    </row>
    <row r="13747" ht="15.75" customHeight="1">
      <c r="A13747" s="1">
        <v>14869.0</v>
      </c>
      <c r="B13747" s="3" t="s">
        <v>12980</v>
      </c>
      <c r="C13747" s="3" t="str">
        <f>IFERROR(__xludf.DUMMYFUNCTION("GOOGLETRANSLATE(B13747,""id"",""en"")"),"['Thank', 'Telkomsel', 'info', 'package', 'lbih', 'easy', 'pke', 'app']")</f>
        <v>['Thank', 'Telkomsel', 'info', 'package', 'lbih', 'easy', 'pke', 'app']</v>
      </c>
      <c r="D13747" s="3">
        <v>5.0</v>
      </c>
    </row>
    <row r="13748" ht="15.75" customHeight="1">
      <c r="A13748" s="1">
        <v>14870.0</v>
      </c>
      <c r="B13748" s="3" t="s">
        <v>12981</v>
      </c>
      <c r="C13748" s="3" t="str">
        <f>IFERROR(__xludf.DUMMYFUNCTION("GOOGLETRANSLATE(B13748,""id"",""en"")"),"['Promo', 'truss', 'loyal']")</f>
        <v>['Promo', 'truss', 'loyal']</v>
      </c>
      <c r="D13748" s="3">
        <v>5.0</v>
      </c>
    </row>
    <row r="13749" ht="15.75" customHeight="1">
      <c r="A13749" s="1">
        <v>14871.0</v>
      </c>
      <c r="B13749" s="3" t="s">
        <v>12982</v>
      </c>
      <c r="C13749" s="3" t="str">
        <f>IFERROR(__xludf.DUMMYFUNCTION("GOOGLETRANSLATE(B13749,""id"",""en"")"),"['likes', 'everybody']")</f>
        <v>['likes', 'everybody']</v>
      </c>
      <c r="D13749" s="3">
        <v>4.0</v>
      </c>
    </row>
    <row r="13750" ht="15.75" customHeight="1">
      <c r="A13750" s="1">
        <v>14872.0</v>
      </c>
      <c r="B13750" s="3" t="s">
        <v>2620</v>
      </c>
      <c r="C13750" s="3" t="str">
        <f>IFERROR(__xludf.DUMMYFUNCTION("GOOGLETRANSLATE(B13750,""id"",""en"")"),"Of course")</f>
        <v>Of course</v>
      </c>
      <c r="D13750" s="3">
        <v>4.0</v>
      </c>
    </row>
    <row r="13751" ht="15.75" customHeight="1">
      <c r="A13751" s="1">
        <v>14873.0</v>
      </c>
      <c r="B13751" s="3" t="s">
        <v>12983</v>
      </c>
      <c r="C13751" s="3" t="str">
        <f>IFERROR(__xludf.DUMMYFUNCTION("GOOGLETRANSLATE(B13751,""id"",""en"")"),"['WiFi', 'SMS', 'Wear', 'Credit', 'Rp', 'Access',' Internet ',' Non ',' Package ',' Buy ',' Package ',' Tsel ',' Tsel ',' thief ',' pulse ']")</f>
        <v>['WiFi', 'SMS', 'Wear', 'Credit', 'Rp', 'Access',' Internet ',' Non ',' Package ',' Buy ',' Package ',' Tsel ',' Tsel ',' thief ',' pulse ']</v>
      </c>
      <c r="D13751" s="3">
        <v>1.0</v>
      </c>
    </row>
    <row r="13752" ht="15.75" customHeight="1">
      <c r="A13752" s="1">
        <v>14874.0</v>
      </c>
      <c r="B13752" s="3" t="s">
        <v>12984</v>
      </c>
      <c r="C13752" s="3" t="str">
        <f>IFERROR(__xludf.DUMMYFUNCTION("GOOGLETRANSLATE(B13752,""id"",""en"")"),"['The application', 'good']")</f>
        <v>['The application', 'good']</v>
      </c>
      <c r="D13752" s="3">
        <v>5.0</v>
      </c>
    </row>
    <row r="13753" ht="15.75" customHeight="1">
      <c r="A13753" s="1">
        <v>14875.0</v>
      </c>
      <c r="B13753" s="3" t="s">
        <v>12985</v>
      </c>
      <c r="C13753" s="3" t="str">
        <f>IFERROR(__xludf.DUMMYFUNCTION("GOOGLETRANSLATE(B13753,""id"",""en"")"),"['Sngat', 'interesting']")</f>
        <v>['Sngat', 'interesting']</v>
      </c>
      <c r="D13753" s="3">
        <v>5.0</v>
      </c>
    </row>
    <row r="13754" ht="15.75" customHeight="1">
      <c r="A13754" s="1">
        <v>14876.0</v>
      </c>
      <c r="B13754" s="3" t="s">
        <v>12986</v>
      </c>
      <c r="C13754" s="3" t="str">
        <f>IFERROR(__xludf.DUMMYFUNCTION("GOOGLETRANSLATE(B13754,""id"",""en"")"),"['network', 'sympathy', 'area', 'banjarmasin', 'week', 'destroyed', 'really', 'siiii', 'normal', 'rich', ""]")</f>
        <v>['network', 'sympathy', 'area', 'banjarmasin', 'week', 'destroyed', 'really', 'siiii', 'normal', 'rich', "]</v>
      </c>
      <c r="D13754" s="3">
        <v>5.0</v>
      </c>
    </row>
    <row r="13755" ht="15.75" customHeight="1">
      <c r="A13755" s="1">
        <v>14877.0</v>
      </c>
      <c r="B13755" s="3" t="s">
        <v>12987</v>
      </c>
      <c r="C13755" s="3" t="str">
        <f>IFERROR(__xludf.DUMMYFUNCTION("GOOGLETRANSLATE(B13755,""id"",""en"")"),"['Love', 'Point', 'Dlu', 'Signal', 'Sometimes', 'Error']")</f>
        <v>['Love', 'Point', 'Dlu', 'Signal', 'Sometimes', 'Error']</v>
      </c>
      <c r="D13755" s="3">
        <v>4.0</v>
      </c>
    </row>
    <row r="13756" ht="15.75" customHeight="1">
      <c r="A13756" s="1">
        <v>14878.0</v>
      </c>
      <c r="B13756" s="3" t="s">
        <v>12988</v>
      </c>
      <c r="C13756" s="3" t="str">
        <f>IFERROR(__xludf.DUMMYFUNCTION("GOOGLETRANSLATE(B13756,""id"",""en"")"),"['Lelat', 'Region', 'Sumatra', 'West']")</f>
        <v>['Lelat', 'Region', 'Sumatra', 'West']</v>
      </c>
      <c r="D13756" s="3">
        <v>3.0</v>
      </c>
    </row>
    <row r="13757" ht="15.75" customHeight="1">
      <c r="A13757" s="1">
        <v>14880.0</v>
      </c>
      <c r="B13757" s="3" t="s">
        <v>12989</v>
      </c>
      <c r="C13757" s="3" t="str">
        <f>IFERROR(__xludf.DUMMYFUNCTION("GOOGLETRANSLATE(B13757,""id"",""en"")"),"['Increase', 'promo', 'cheap']")</f>
        <v>['Increase', 'promo', 'cheap']</v>
      </c>
      <c r="D13757" s="3">
        <v>5.0</v>
      </c>
    </row>
    <row r="13758" ht="15.75" customHeight="1">
      <c r="A13758" s="1">
        <v>14881.0</v>
      </c>
      <c r="B13758" s="3" t="s">
        <v>12990</v>
      </c>
      <c r="C13758" s="3" t="str">
        <f>IFERROR(__xludf.DUMMYFUNCTION("GOOGLETRANSLATE(B13758,""id"",""en"")"),"['Points',' Telkomsel ',' No "", 'Exchange', 'Buy', 'Package', 'Points',' Thank you ']")</f>
        <v>['Points',' Telkomsel ',' No ", 'Exchange', 'Buy', 'Package', 'Points',' Thank you ']</v>
      </c>
      <c r="D13758" s="3">
        <v>1.0</v>
      </c>
    </row>
    <row r="13759" ht="15.75" customHeight="1">
      <c r="A13759" s="1">
        <v>14882.0</v>
      </c>
      <c r="B13759" s="3" t="s">
        <v>12991</v>
      </c>
      <c r="C13759" s="3" t="str">
        <f>IFERROR(__xludf.DUMMYFUNCTION("GOOGLETRANSLATE(B13759,""id"",""en"")"),"['apk', 'network', 'sometimes', 'ngelegg', 'sometimes', '']")</f>
        <v>['apk', 'network', 'sometimes', 'ngelegg', 'sometimes', '']</v>
      </c>
      <c r="D13759" s="3">
        <v>5.0</v>
      </c>
    </row>
    <row r="13760" ht="15.75" customHeight="1">
      <c r="A13760" s="1">
        <v>14883.0</v>
      </c>
      <c r="B13760" s="3" t="s">
        <v>1308</v>
      </c>
      <c r="C13760" s="3" t="str">
        <f>IFERROR(__xludf.DUMMYFUNCTION("GOOGLETRANSLATE(B13760,""id"",""en"")"),"['Application', 'Help']")</f>
        <v>['Application', 'Help']</v>
      </c>
      <c r="D13760" s="3">
        <v>5.0</v>
      </c>
    </row>
    <row r="13761" ht="15.75" customHeight="1">
      <c r="A13761" s="1">
        <v>14884.0</v>
      </c>
      <c r="B13761" s="3" t="s">
        <v>12992</v>
      </c>
      <c r="C13761" s="3" t="str">
        <f>IFERROR(__xludf.DUMMYFUNCTION("GOOGLETRANSLATE(B13761,""id"",""en"")"),"['Convenience', 'Communication', 'Didikung', 'Service', 'Best', 'Gas', 'Keun', 'MyTelkomsel']")</f>
        <v>['Convenience', 'Communication', 'Didikung', 'Service', 'Best', 'Gas', 'Keun', 'MyTelkomsel']</v>
      </c>
      <c r="D13761" s="3">
        <v>5.0</v>
      </c>
    </row>
    <row r="13762" ht="15.75" customHeight="1">
      <c r="A13762" s="1">
        <v>14885.0</v>
      </c>
      <c r="B13762" s="3" t="s">
        <v>12993</v>
      </c>
      <c r="C13762" s="3" t="str">
        <f>IFERROR(__xludf.DUMMYFUNCTION("GOOGLETRANSLATE(B13762,""id"",""en"")"),"['Good', 'Network', '']")</f>
        <v>['Good', 'Network', '']</v>
      </c>
      <c r="D13762" s="3">
        <v>1.0</v>
      </c>
    </row>
    <row r="13763" ht="15.75" customHeight="1">
      <c r="A13763" s="1">
        <v>14886.0</v>
      </c>
      <c r="B13763" s="3" t="s">
        <v>12994</v>
      </c>
      <c r="C13763" s="3" t="str">
        <f>IFERROR(__xludf.DUMMYFUNCTION("GOOGLETRANSLATE(B13763,""id"",""en"")"),"['Hopefully', 'Telkomsel', 'Increases', 'Quality', 'Network', 'Internet', 'Kalimantan', 'Kalimantan', 'Kab', 'Kotawaringin', 'East']")</f>
        <v>['Hopefully', 'Telkomsel', 'Increases', 'Quality', 'Network', 'Internet', 'Kalimantan', 'Kalimantan', 'Kab', 'Kotawaringin', 'East']</v>
      </c>
      <c r="D13763" s="3">
        <v>5.0</v>
      </c>
    </row>
    <row r="13764" ht="15.75" customHeight="1">
      <c r="A13764" s="1">
        <v>14887.0</v>
      </c>
      <c r="B13764" s="3" t="s">
        <v>12995</v>
      </c>
      <c r="C13764" s="3" t="str">
        <f>IFERROR(__xludf.DUMMYFUNCTION("GOOGLETRANSLATE(B13764,""id"",""en"")"),"['Package', 'Internet', 'Customer', 'Telkomsel', 'Different', 'Child', 'Paketan', 'Cheap', 'Kenpa', 'No.', 'Wanted', ' Nemu ',' Paketan ',' Child ',' People ',' User ',' Telkomsel ']")</f>
        <v>['Package', 'Internet', 'Customer', 'Telkomsel', 'Different', 'Child', 'Paketan', 'Cheap', 'Kenpa', 'No.', 'Wanted', ' Nemu ',' Paketan ',' Child ',' People ',' User ',' Telkomsel ']</v>
      </c>
      <c r="D13764" s="3">
        <v>1.0</v>
      </c>
    </row>
    <row r="13765" ht="15.75" customHeight="1">
      <c r="A13765" s="1">
        <v>14888.0</v>
      </c>
      <c r="B13765" s="3" t="s">
        <v>12996</v>
      </c>
      <c r="C13765" s="3" t="str">
        <f>IFERROR(__xludf.DUMMYFUNCTION("GOOGLETRANSLATE(B13765,""id"",""en"")"),"['buy', 'card', 'Tellkomsel', 'network', 'doank', 'reason', 'network', 'lag', 'stable', 'brand', 'doank', 'padah', ' network', '']")</f>
        <v>['buy', 'card', 'Tellkomsel', 'network', 'doank', 'reason', 'network', 'lag', 'stable', 'brand', 'doank', 'padah', ' network', '']</v>
      </c>
      <c r="D13765" s="3">
        <v>1.0</v>
      </c>
    </row>
    <row r="13766" ht="15.75" customHeight="1">
      <c r="A13766" s="1">
        <v>14889.0</v>
      </c>
      <c r="B13766" s="3" t="s">
        <v>3597</v>
      </c>
      <c r="C13766" s="3" t="str">
        <f>IFERROR(__xludf.DUMMYFUNCTION("GOOGLETRANSLATE(B13766,""id"",""en"")"),"['Application', 'satisfying']")</f>
        <v>['Application', 'satisfying']</v>
      </c>
      <c r="D13766" s="3">
        <v>4.0</v>
      </c>
    </row>
    <row r="13767" ht="15.75" customHeight="1">
      <c r="A13767" s="1">
        <v>14890.0</v>
      </c>
      <c r="B13767" s="3" t="s">
        <v>12997</v>
      </c>
      <c r="C13767" s="3" t="str">
        <f>IFERROR(__xludf.DUMMYFUNCTION("GOOGLETRANSLATE(B13767,""id"",""en"")"),"['Useful', 'really', 'staple']")</f>
        <v>['Useful', 'really', 'staple']</v>
      </c>
      <c r="D13767" s="3">
        <v>5.0</v>
      </c>
    </row>
    <row r="13768" ht="15.75" customHeight="1">
      <c r="A13768" s="1">
        <v>14891.0</v>
      </c>
      <c r="B13768" s="3" t="s">
        <v>12998</v>
      </c>
      <c r="C13768" s="3" t="str">
        <f>IFERROR(__xludf.DUMMYFUNCTION("GOOGLETRANSLATE(B13768,""id"",""en"")"),"['fast', 'plsa', 'free']")</f>
        <v>['fast', 'plsa', 'free']</v>
      </c>
      <c r="D13768" s="3">
        <v>5.0</v>
      </c>
    </row>
    <row r="13769" ht="15.75" customHeight="1">
      <c r="A13769" s="1">
        <v>14892.0</v>
      </c>
      <c r="B13769" s="3" t="s">
        <v>12999</v>
      </c>
      <c r="C13769" s="3" t="str">
        <f>IFERROR(__xludf.DUMMYFUNCTION("GOOGLETRANSLATE(B13769,""id"",""en"")"),"['Simple', 'solid', 'typing']")</f>
        <v>['Simple', 'solid', 'typing']</v>
      </c>
      <c r="D13769" s="3">
        <v>4.0</v>
      </c>
    </row>
    <row r="13770" ht="15.75" customHeight="1">
      <c r="A13770" s="1">
        <v>14893.0</v>
      </c>
      <c r="B13770" s="3" t="s">
        <v>13000</v>
      </c>
      <c r="C13770" s="3" t="str">
        <f>IFERROR(__xludf.DUMMYFUNCTION("GOOGLETRANSLATE(B13770,""id"",""en"")"),"['BLI', 'MyTlkomsel', 'Bru', 'Open', 'Msedot', 'first', 'Aying', 'Mna', 'PKE', 'Msih', 'TPI', 'KNPA', ' Msib ',' suction ',' ajig ']")</f>
        <v>['BLI', 'MyTlkomsel', 'Bru', 'Open', 'Msedot', 'first', 'Aying', 'Mna', 'PKE', 'Msih', 'TPI', 'KNPA', ' Msib ',' suction ',' ajig ']</v>
      </c>
      <c r="D13770" s="3">
        <v>1.0</v>
      </c>
    </row>
    <row r="13771" ht="15.75" customHeight="1">
      <c r="A13771" s="1">
        <v>14894.0</v>
      </c>
      <c r="B13771" s="3" t="s">
        <v>13001</v>
      </c>
      <c r="C13771" s="3" t="str">
        <f>IFERROR(__xludf.DUMMYFUNCTION("GOOGLETRANSLATE(B13771,""id"",""en"")"),"['Easy', 'Expert']")</f>
        <v>['Easy', 'Expert']</v>
      </c>
      <c r="D13771" s="3">
        <v>5.0</v>
      </c>
    </row>
    <row r="13772" ht="15.75" customHeight="1">
      <c r="A13772" s="1">
        <v>14895.0</v>
      </c>
      <c r="B13772" s="3" t="s">
        <v>13002</v>
      </c>
      <c r="C13772" s="3" t="str">
        <f>IFERROR(__xludf.DUMMYFUNCTION("GOOGLETRANSLATE(B13772,""id"",""en"")"),"['Telkomsel', 'teach', 'offered', 'Change', 'sympathy', 'Hello', 'Change', 'sympathy', 'victim', 'Mending', 'good', 'mah', ' Already ',' telkomsel ',' Telkomsel ',' Package ',' offered ',' bad ',' card ',' sympathy ',' benefits', 'change', 'hello', 'peopl"&amp;"e', 'lay' , 'stupid', 'telkosel', '']")</f>
        <v>['Telkomsel', 'teach', 'offered', 'Change', 'sympathy', 'Hello', 'Change', 'sympathy', 'victim', 'Mending', 'good', 'mah', ' Already ',' telkomsel ',' Telkomsel ',' Package ',' offered ',' bad ',' card ',' sympathy ',' benefits', 'change', 'hello', 'people', 'lay' , 'stupid', 'telkosel', '']</v>
      </c>
      <c r="D13772" s="3">
        <v>1.0</v>
      </c>
    </row>
    <row r="13773" ht="15.75" customHeight="1">
      <c r="A13773" s="1">
        <v>14896.0</v>
      </c>
      <c r="B13773" s="3" t="s">
        <v>13003</v>
      </c>
      <c r="C13773" s="3" t="str">
        <f>IFERROR(__xludf.DUMMYFUNCTION("GOOGLETRANSLATE(B13773,""id"",""en"")"),"['interesting']")</f>
        <v>['interesting']</v>
      </c>
      <c r="D13773" s="3">
        <v>1.0</v>
      </c>
    </row>
    <row r="13774" ht="15.75" customHeight="1">
      <c r="A13774" s="1">
        <v>14897.0</v>
      </c>
      <c r="B13774" s="3" t="s">
        <v>13004</v>
      </c>
      <c r="C13774" s="3" t="str">
        <f>IFERROR(__xludf.DUMMYFUNCTION("GOOGLETRANSLATE(B13774,""id"",""en"")"),"['Region', 'Java', 'East', 'Malang', 'Region', 'Sukun', 'Signal', 'Change', 'Pas',' Main ',' Games', 'Online', ' Disight ',' please ',' find ',' solution ']")</f>
        <v>['Region', 'Java', 'East', 'Malang', 'Region', 'Sukun', 'Signal', 'Change', 'Pas',' Main ',' Games', 'Online', ' Disight ',' please ',' find ',' solution ']</v>
      </c>
      <c r="D13774" s="3">
        <v>3.0</v>
      </c>
    </row>
    <row r="13775" ht="15.75" customHeight="1">
      <c r="A13775" s="1">
        <v>14898.0</v>
      </c>
      <c r="B13775" s="3" t="s">
        <v>9815</v>
      </c>
      <c r="C13775" s="3" t="str">
        <f>IFERROR(__xludf.DUMMYFUNCTION("GOOGLETRANSLATE(B13775,""id"",""en"")"),"['like', '']")</f>
        <v>['like', '']</v>
      </c>
      <c r="D13775" s="3">
        <v>5.0</v>
      </c>
    </row>
    <row r="13776" ht="15.75" customHeight="1">
      <c r="A13776" s="1">
        <v>14899.0</v>
      </c>
      <c r="B13776" s="3" t="s">
        <v>158</v>
      </c>
      <c r="C13776" s="3" t="str">
        <f>IFERROR(__xludf.DUMMYFUNCTION("GOOGLETRANSLATE(B13776,""id"",""en"")"),"['expensive']")</f>
        <v>['expensive']</v>
      </c>
      <c r="D13776" s="3">
        <v>5.0</v>
      </c>
    </row>
    <row r="13777" ht="15.75" customHeight="1">
      <c r="A13777" s="1">
        <v>14900.0</v>
      </c>
      <c r="B13777" s="3" t="s">
        <v>13005</v>
      </c>
      <c r="C13777" s="3" t="str">
        <f>IFERROR(__xludf.DUMMYFUNCTION("GOOGLETRANSLATE(B13777,""id"",""en"")"),"['signal', '']")</f>
        <v>['signal', '']</v>
      </c>
      <c r="D13777" s="3">
        <v>3.0</v>
      </c>
    </row>
    <row r="13778" ht="15.75" customHeight="1">
      <c r="A13778" s="1">
        <v>14901.0</v>
      </c>
      <c r="B13778" s="3" t="s">
        <v>1561</v>
      </c>
      <c r="C13778" s="3" t="str">
        <f>IFERROR(__xludf.DUMMYFUNCTION("GOOGLETRANSLATE(B13778,""id"",""en"")"),"['Good', 'Telkomsel']")</f>
        <v>['Good', 'Telkomsel']</v>
      </c>
      <c r="D13778" s="3">
        <v>5.0</v>
      </c>
    </row>
    <row r="13779" ht="15.75" customHeight="1">
      <c r="A13779" s="1">
        <v>14902.0</v>
      </c>
      <c r="B13779" s="3" t="s">
        <v>13006</v>
      </c>
      <c r="C13779" s="3" t="str">
        <f>IFERROR(__xludf.DUMMYFUNCTION("GOOGLETRANSLATE(B13779,""id"",""en"")"),"['Available', 'promo', 'interesting']")</f>
        <v>['Available', 'promo', 'interesting']</v>
      </c>
      <c r="D13779" s="3">
        <v>5.0</v>
      </c>
    </row>
    <row r="13780" ht="15.75" customHeight="1">
      <c r="A13780" s="1">
        <v>14903.0</v>
      </c>
      <c r="B13780" s="3" t="s">
        <v>13007</v>
      </c>
      <c r="C13780" s="3" t="str">
        <f>IFERROR(__xludf.DUMMYFUNCTION("GOOGLETRANSLATE(B13780,""id"",""en"")"),"['Good', 'bngt', 'rain', 'network', 'slow', 'beg', 'aids', 'fox', 'network', 'online', 'pandemic', 'maxh']")</f>
        <v>['Good', 'bngt', 'rain', 'network', 'slow', 'beg', 'aids', 'fox', 'network', 'online', 'pandemic', 'maxh']</v>
      </c>
      <c r="D13780" s="3">
        <v>4.0</v>
      </c>
    </row>
    <row r="13781" ht="15.75" customHeight="1">
      <c r="A13781" s="1">
        <v>14904.0</v>
      </c>
      <c r="B13781" s="3" t="s">
        <v>13008</v>
      </c>
      <c r="C13781" s="3" t="str">
        <f>IFERROR(__xludf.DUMMYFUNCTION("GOOGLETRANSLATE(B13781,""id"",""en"")"),"['The network', 'Error', 'Boss', 'Forgiveness', 'Network', 'Ngaco']")</f>
        <v>['The network', 'Error', 'Boss', 'Forgiveness', 'Network', 'Ngaco']</v>
      </c>
      <c r="D13781" s="3">
        <v>1.0</v>
      </c>
    </row>
    <row r="13782" ht="15.75" customHeight="1">
      <c r="A13782" s="1">
        <v>14906.0</v>
      </c>
      <c r="B13782" s="3" t="s">
        <v>13009</v>
      </c>
      <c r="C13782" s="3" t="str">
        <f>IFERROR(__xludf.DUMMYFUNCTION("GOOGLETRANSLATE(B13782,""id"",""en"")"),"['good', 'love', 'package', 'cheap', 'langanggan', 'buk']")</f>
        <v>['good', 'love', 'package', 'cheap', 'langanggan', 'buk']</v>
      </c>
      <c r="D13782" s="3">
        <v>5.0</v>
      </c>
    </row>
    <row r="13783" ht="15.75" customHeight="1">
      <c r="A13783" s="1">
        <v>14907.0</v>
      </c>
      <c r="B13783" s="3" t="s">
        <v>13010</v>
      </c>
      <c r="C13783" s="3" t="str">
        <f>IFERROR(__xludf.DUMMYFUNCTION("GOOGLETRANSLATE(B13783,""id"",""en"")"),"['satisfying', 'price', 'package', 'unlimited', 'expensive', 'network', 'weak', 'area', '']")</f>
        <v>['satisfying', 'price', 'package', 'unlimited', 'expensive', 'network', 'weak', 'area', '']</v>
      </c>
      <c r="D13783" s="3">
        <v>4.0</v>
      </c>
    </row>
    <row r="13784" ht="15.75" customHeight="1">
      <c r="A13784" s="1">
        <v>14908.0</v>
      </c>
      <c r="B13784" s="3" t="s">
        <v>13011</v>
      </c>
      <c r="C13784" s="3" t="str">
        <f>IFERROR(__xludf.DUMMYFUNCTION("GOOGLETRANSLATE(B13784,""id"",""en"")"),"['Comfortable', 'Satisfied', '']")</f>
        <v>['Comfortable', 'Satisfied', '']</v>
      </c>
      <c r="D13784" s="3">
        <v>5.0</v>
      </c>
    </row>
    <row r="13785" ht="15.75" customHeight="1">
      <c r="A13785" s="1">
        <v>14909.0</v>
      </c>
      <c r="B13785" s="3" t="s">
        <v>13012</v>
      </c>
      <c r="C13785" s="3" t="str">
        <f>IFERROR(__xludf.DUMMYFUNCTION("GOOGLETRANSLATE(B13785,""id"",""en"")"),"['Buy', 'Package', 'Unlimited', 'Max', 'Package', 'Main', 'Limit', 'Use', 'Out', 'Internet', 'Road', 'Instagram', ' access']")</f>
        <v>['Buy', 'Package', 'Unlimited', 'Max', 'Package', 'Main', 'Limit', 'Use', 'Out', 'Internet', 'Road', 'Instagram', ' access']</v>
      </c>
      <c r="D13785" s="3">
        <v>1.0</v>
      </c>
    </row>
    <row r="13786" ht="15.75" customHeight="1">
      <c r="A13786" s="1">
        <v>14910.0</v>
      </c>
      <c r="B13786" s="3" t="s">
        <v>13013</v>
      </c>
      <c r="C13786" s="3" t="str">
        <f>IFERROR(__xludf.DUMMYFUNCTION("GOOGLETRANSLATE(B13786,""id"",""en"")"),"['Logging', '']")</f>
        <v>['Logging', '']</v>
      </c>
      <c r="D13786" s="3">
        <v>2.0</v>
      </c>
    </row>
    <row r="13787" ht="15.75" customHeight="1">
      <c r="A13787" s="1">
        <v>14911.0</v>
      </c>
      <c r="B13787" s="3" t="s">
        <v>13014</v>
      </c>
      <c r="C13787" s="3" t="str">
        <f>IFERROR(__xludf.DUMMYFUNCTION("GOOGLETRANSLATE(B13787,""id"",""en"")"),"['difficult', 'login', 'boss']")</f>
        <v>['difficult', 'login', 'boss']</v>
      </c>
      <c r="D13787" s="3">
        <v>1.0</v>
      </c>
    </row>
    <row r="13788" ht="15.75" customHeight="1">
      <c r="A13788" s="1">
        <v>14912.0</v>
      </c>
      <c r="B13788" s="3" t="s">
        <v>13015</v>
      </c>
      <c r="C13788" s="3" t="str">
        <f>IFERROR(__xludf.DUMMYFUNCTION("GOOGLETRANSLATE(B13788,""id"",""en"")"),"['disc', 'promo', 'interesting', 'like']")</f>
        <v>['disc', 'promo', 'interesting', 'like']</v>
      </c>
      <c r="D13788" s="3">
        <v>5.0</v>
      </c>
    </row>
    <row r="13789" ht="15.75" customHeight="1">
      <c r="A13789" s="1">
        <v>14913.0</v>
      </c>
      <c r="B13789" s="3" t="s">
        <v>13016</v>
      </c>
      <c r="C13789" s="3" t="str">
        <f>IFERROR(__xludf.DUMMYFUNCTION("GOOGLETRANSLATE(B13789,""id"",""en"")"),"['Telkomsel', 'thumb', 'darling', 'rates', 'Mahall']")</f>
        <v>['Telkomsel', 'thumb', 'darling', 'rates', 'Mahall']</v>
      </c>
      <c r="D13789" s="3">
        <v>5.0</v>
      </c>
    </row>
    <row r="13790" ht="15.75" customHeight="1">
      <c r="A13790" s="1">
        <v>14914.0</v>
      </c>
      <c r="B13790" s="3" t="s">
        <v>13017</v>
      </c>
      <c r="C13790" s="3" t="str">
        <f>IFERROR(__xludf.DUMMYFUNCTION("GOOGLETRANSLATE(B13790,""id"",""en"")"),"['right', 'open', 'app', 'need', 'internet', 'fast', 'eat', 'data', '']")</f>
        <v>['right', 'open', 'app', 'need', 'internet', 'fast', 'eat', 'data', '']</v>
      </c>
      <c r="D13790" s="3">
        <v>1.0</v>
      </c>
    </row>
    <row r="13791" ht="15.75" customHeight="1">
      <c r="A13791" s="1">
        <v>14915.0</v>
      </c>
      <c r="B13791" s="3" t="s">
        <v>13018</v>
      </c>
      <c r="C13791" s="3" t="str">
        <f>IFERROR(__xludf.DUMMYFUNCTION("GOOGLETRANSLATE(B13791,""id"",""en"")"),"['thanks', '']")</f>
        <v>['thanks', '']</v>
      </c>
      <c r="D13791" s="3">
        <v>5.0</v>
      </c>
    </row>
    <row r="13792" ht="15.75" customHeight="1">
      <c r="A13792" s="1">
        <v>14916.0</v>
      </c>
      <c r="B13792" s="3" t="s">
        <v>13019</v>
      </c>
      <c r="C13792" s="3" t="str">
        <f>IFERROR(__xludf.DUMMYFUNCTION("GOOGLETRANSLATE(B13792,""id"",""en"")"),"['Telkomsel', 'network', 'use']")</f>
        <v>['Telkomsel', 'network', 'use']</v>
      </c>
      <c r="D13792" s="3">
        <v>5.0</v>
      </c>
    </row>
    <row r="13793" ht="15.75" customHeight="1">
      <c r="A13793" s="1">
        <v>14917.0</v>
      </c>
      <c r="B13793" s="3" t="s">
        <v>7185</v>
      </c>
      <c r="C13793" s="3" t="str">
        <f>IFERROR(__xludf.DUMMYFUNCTION("GOOGLETRANSLATE(B13793,""id"",""en"")"),"['application', 'good', 'steady']")</f>
        <v>['application', 'good', 'steady']</v>
      </c>
      <c r="D13793" s="3">
        <v>5.0</v>
      </c>
    </row>
    <row r="13794" ht="15.75" customHeight="1">
      <c r="A13794" s="1">
        <v>14918.0</v>
      </c>
      <c r="B13794" s="3" t="s">
        <v>13020</v>
      </c>
      <c r="C13794" s="3" t="str">
        <f>IFERROR(__xludf.DUMMYFUNCTION("GOOGLETRANSLATE(B13794,""id"",""en"")"),"['card', 'recommended', 'really', 'signal', 'jossss', 'promo', 'josss', 'gift', 'jossss']")</f>
        <v>['card', 'recommended', 'really', 'signal', 'jossss', 'promo', 'josss', 'gift', 'jossss']</v>
      </c>
      <c r="D13794" s="3">
        <v>5.0</v>
      </c>
    </row>
    <row r="13795" ht="15.75" customHeight="1">
      <c r="A13795" s="1">
        <v>14919.0</v>
      </c>
      <c r="B13795" s="3" t="s">
        <v>13021</v>
      </c>
      <c r="C13795" s="3" t="str">
        <f>IFERROR(__xludf.DUMMYFUNCTION("GOOGLETRANSLATE(B13795,""id"",""en"")"),"['Network', 'Mulu']")</f>
        <v>['Network', 'Mulu']</v>
      </c>
      <c r="D13795" s="3">
        <v>5.0</v>
      </c>
    </row>
    <row r="13796" ht="15.75" customHeight="1">
      <c r="A13796" s="1">
        <v>14920.0</v>
      </c>
      <c r="B13796" s="3" t="s">
        <v>13022</v>
      </c>
      <c r="C13796" s="3" t="str">
        <f>IFERROR(__xludf.DUMMYFUNCTION("GOOGLETRANSLATE(B13796,""id"",""en"")"),"['Jaunlah', 'complement', 'Soala', 'Network', 'Leet', 'beped up', 'slow', 'data', 'uda', 'given', 'mala', 'slow' ',' buy ',' quota ',' buy ',' money ',' results', 'work', 'quota', 'waste', 'vain', 'buy', 'city', 'contact' , 'kluarga', 'play', 'game', 'ric"&amp;"h', 'hope', 'licar', 'business', ""]")</f>
        <v>['Jaunlah', 'complement', 'Soala', 'Network', 'Leet', 'beped up', 'slow', 'data', 'uda', 'given', 'mala', 'slow' ',' buy ',' quota ',' buy ',' money ',' results', 'work', 'quota', 'waste', 'vain', 'buy', 'city', 'contact' , 'kluarga', 'play', 'game', 'rich', 'hope', 'licar', 'business', "]</v>
      </c>
      <c r="D13796" s="3">
        <v>1.0</v>
      </c>
    </row>
    <row r="13797" ht="15.75" customHeight="1">
      <c r="A13797" s="1">
        <v>14922.0</v>
      </c>
      <c r="B13797" s="3" t="s">
        <v>13023</v>
      </c>
      <c r="C13797" s="3" t="str">
        <f>IFERROR(__xludf.DUMMYFUNCTION("GOOGLETRANSLATE(B13797,""id"",""en"")"),"['Network', 'ugly', 'price', 'muahal']")</f>
        <v>['Network', 'ugly', 'price', 'muahal']</v>
      </c>
      <c r="D13797" s="3">
        <v>1.0</v>
      </c>
    </row>
    <row r="13798" ht="15.75" customHeight="1">
      <c r="A13798" s="1">
        <v>14923.0</v>
      </c>
      <c r="B13798" s="3" t="s">
        <v>13024</v>
      </c>
      <c r="C13798" s="3" t="str">
        <f>IFERROR(__xludf.DUMMYFUNCTION("GOOGLETRANSLATE(B13798,""id"",""en"")"),"['GMNA', 'Siiii', 'Login', 'MyTelkomsel', 'Error', 'then', 'Padal', 'Network', 'Jga', 'Bagus',' Cecant ',' quota ',' SMS ',' Gabisa ',' GMNA ',' LIAT ',' CONDITION ',' Quota ',' Try ',' Kek ',' Gini ',' Skrang ',' Expensive ',' Astaghfirullah ', ""]")</f>
        <v>['GMNA', 'Siiii', 'Login', 'MyTelkomsel', 'Error', 'then', 'Padal', 'Network', 'Jga', 'Bagus',' Cecant ',' quota ',' SMS ',' Gabisa ',' GMNA ',' LIAT ',' CONDITION ',' Quota ',' Try ',' Kek ',' Gini ',' Skrang ',' Expensive ',' Astaghfirullah ', "]</v>
      </c>
      <c r="D13798" s="3">
        <v>1.0</v>
      </c>
    </row>
    <row r="13799" ht="15.75" customHeight="1">
      <c r="A13799" s="1">
        <v>14924.0</v>
      </c>
      <c r="B13799" s="3" t="s">
        <v>13025</v>
      </c>
      <c r="C13799" s="3" t="str">
        <f>IFERROR(__xludf.DUMMYFUNCTION("GOOGLETRANSLATE(B13799,""id"",""en"")"),"['signal', 'ugly', 'area', 'difficult', 'signal']")</f>
        <v>['signal', 'ugly', 'area', 'difficult', 'signal']</v>
      </c>
      <c r="D13799" s="3">
        <v>1.0</v>
      </c>
    </row>
    <row r="13800" ht="15.75" customHeight="1">
      <c r="A13800" s="1">
        <v>14926.0</v>
      </c>
      <c r="B13800" s="3" t="s">
        <v>13026</v>
      </c>
      <c r="C13800" s="3" t="str">
        <f>IFERROR(__xludf.DUMMYFUNCTION("GOOGLETRANSLATE(B13800,""id"",""en"")"),"['Network', 'Game', 'Down', '']")</f>
        <v>['Network', 'Game', 'Down', '']</v>
      </c>
      <c r="D13800" s="3">
        <v>1.0</v>
      </c>
    </row>
    <row r="13801" ht="15.75" customHeight="1">
      <c r="A13801" s="1">
        <v>14927.0</v>
      </c>
      <c r="B13801" s="3" t="s">
        <v>13027</v>
      </c>
      <c r="C13801" s="3" t="str">
        <f>IFERROR(__xludf.DUMMYFUNCTION("GOOGLETRANSLATE(B13801,""id"",""en"")"),"['steady', 'application', 'help', 'really']")</f>
        <v>['steady', 'application', 'help', 'really']</v>
      </c>
      <c r="D13801" s="3">
        <v>5.0</v>
      </c>
    </row>
    <row r="13802" ht="15.75" customHeight="1">
      <c r="A13802" s="1">
        <v>14928.0</v>
      </c>
      <c r="B13802" s="3" t="s">
        <v>13028</v>
      </c>
      <c r="C13802" s="3" t="str">
        <f>IFERROR(__xludf.DUMMYFUNCTION("GOOGLETRANSLATE(B13802,""id"",""en"")"),"['APLIA', 'love', 'good', 'dwnlod', 'ngak', 'ryal', '']")</f>
        <v>['APLIA', 'love', 'good', 'dwnlod', 'ngak', 'ryal', '']</v>
      </c>
      <c r="D13802" s="3">
        <v>4.0</v>
      </c>
    </row>
    <row r="13803" ht="15.75" customHeight="1">
      <c r="A13803" s="1">
        <v>14929.0</v>
      </c>
      <c r="B13803" s="3" t="s">
        <v>13029</v>
      </c>
      <c r="C13803" s="3" t="str">
        <f>IFERROR(__xludf.DUMMYFUNCTION("GOOGLETRANSLATE(B13803,""id"",""en"")"),"['Bernadeth', 'William', 'Satisfied', 'Paketan', 'Available']")</f>
        <v>['Bernadeth', 'William', 'Satisfied', 'Paketan', 'Available']</v>
      </c>
      <c r="D13803" s="3">
        <v>5.0</v>
      </c>
    </row>
    <row r="13804" ht="15.75" customHeight="1">
      <c r="A13804" s="1">
        <v>14930.0</v>
      </c>
      <c r="B13804" s="3" t="s">
        <v>13030</v>
      </c>
      <c r="C13804" s="3" t="str">
        <f>IFERROR(__xludf.DUMMYFUNCTION("GOOGLETRANSLATE(B13804,""id"",""en"")"),"['Paketan', 'Telkomsel', 'skrang', 'expensive', 'kouta', 'dkit', 'regret', 'bnget', 'pke', 'telkomsel', 'msih', 'mending', ' PKE ',' IM ',' ']")</f>
        <v>['Paketan', 'Telkomsel', 'skrang', 'expensive', 'kouta', 'dkit', 'regret', 'bnget', 'pke', 'telkomsel', 'msih', 'mending', ' PKE ',' IM ',' ']</v>
      </c>
      <c r="D13804" s="3">
        <v>1.0</v>
      </c>
    </row>
    <row r="13805" ht="15.75" customHeight="1">
      <c r="A13805" s="1">
        <v>14931.0</v>
      </c>
      <c r="B13805" s="3" t="s">
        <v>13031</v>
      </c>
      <c r="C13805" s="3" t="str">
        <f>IFERROR(__xludf.DUMMYFUNCTION("GOOGLETRANSLATE(B13805,""id"",""en"")"),"['application', 'help', 'process']")</f>
        <v>['application', 'help', 'process']</v>
      </c>
      <c r="D13805" s="3">
        <v>5.0</v>
      </c>
    </row>
    <row r="13806" ht="15.75" customHeight="1">
      <c r="A13806" s="1">
        <v>14932.0</v>
      </c>
      <c r="B13806" s="3" t="s">
        <v>13032</v>
      </c>
      <c r="C13806" s="3" t="str">
        <f>IFERROR(__xludf.DUMMYFUNCTION("GOOGLETRANSLATE(B13806,""id"",""en"")"),"['Best', 'really', 'product', 'Telkomsel', '']")</f>
        <v>['Best', 'really', 'product', 'Telkomsel', '']</v>
      </c>
      <c r="D13806" s="3">
        <v>5.0</v>
      </c>
    </row>
    <row r="13807" ht="15.75" customHeight="1">
      <c r="A13807" s="1">
        <v>14933.0</v>
      </c>
      <c r="B13807" s="3" t="s">
        <v>13033</v>
      </c>
      <c r="C13807" s="3" t="str">
        <f>IFERROR(__xludf.DUMMYFUNCTION("GOOGLETRANSLATE(B13807,""id"",""en"")"),"['Help', 'Save', 'Costs', 'Buy', 'Package', 'Internet']")</f>
        <v>['Help', 'Save', 'Costs', 'Buy', 'Package', 'Internet']</v>
      </c>
      <c r="D13807" s="3">
        <v>5.0</v>
      </c>
    </row>
    <row r="13808" ht="15.75" customHeight="1">
      <c r="A13808" s="1">
        <v>14934.0</v>
      </c>
      <c r="B13808" s="3" t="s">
        <v>13034</v>
      </c>
      <c r="C13808" s="3" t="str">
        <f>IFERROR(__xludf.DUMMYFUNCTION("GOOGLETRANSLATE(B13808,""id"",""en"")"),"['Kanapa', 'Telkomsel', 'ugly', 'wonder']")</f>
        <v>['Kanapa', 'Telkomsel', 'ugly', 'wonder']</v>
      </c>
      <c r="D13808" s="3">
        <v>1.0</v>
      </c>
    </row>
    <row r="13809" ht="15.75" customHeight="1">
      <c r="A13809" s="1">
        <v>14935.0</v>
      </c>
      <c r="B13809" s="3" t="s">
        <v>13035</v>
      </c>
      <c r="C13809" s="3" t="str">
        <f>IFERROR(__xludf.DUMMYFUNCTION("GOOGLETRANSLATE(B13809,""id"",""en"")"),"['hope', 'Telkomsel', 'Jaringsn', 'connection', 'internet', 'good', 'economical', 'pulse']")</f>
        <v>['hope', 'Telkomsel', 'Jaringsn', 'connection', 'internet', 'good', 'economical', 'pulse']</v>
      </c>
      <c r="D13809" s="3">
        <v>3.0</v>
      </c>
    </row>
    <row r="13810" ht="15.75" customHeight="1">
      <c r="A13810" s="1">
        <v>14936.0</v>
      </c>
      <c r="B13810" s="3" t="s">
        <v>13036</v>
      </c>
      <c r="C13810" s="3" t="str">
        <f>IFERROR(__xludf.DUMMYFUNCTION("GOOGLETRANSLATE(B13810,""id"",""en"")"),"['BURIK', 'APK', 'ilang', 'Signal', 'Good', 'Ngegame']")</f>
        <v>['BURIK', 'APK', 'ilang', 'Signal', 'Good', 'Ngegame']</v>
      </c>
      <c r="D13810" s="3">
        <v>1.0</v>
      </c>
    </row>
    <row r="13811" ht="15.75" customHeight="1">
      <c r="A13811" s="1">
        <v>14937.0</v>
      </c>
      <c r="B13811" s="3" t="s">
        <v>13037</v>
      </c>
      <c r="C13811" s="3" t="str">
        <f>IFERROR(__xludf.DUMMYFUNCTION("GOOGLETRANSLATE(B13811,""id"",""en"")"),"['buy', 'package', 'expensive', 'expensive', 'network', 'slow', 'forgiveness', 'kyak', 'gini', 'change', 'provider']")</f>
        <v>['buy', 'package', 'expensive', 'expensive', 'network', 'slow', 'forgiveness', 'kyak', 'gini', 'change', 'provider']</v>
      </c>
      <c r="D13811" s="3">
        <v>1.0</v>
      </c>
    </row>
    <row r="13812" ht="15.75" customHeight="1">
      <c r="A13812" s="1">
        <v>14938.0</v>
      </c>
      <c r="B13812" s="3" t="s">
        <v>13038</v>
      </c>
      <c r="C13812" s="3" t="str">
        <f>IFERROR(__xludf.DUMMYFUNCTION("GOOGLETRANSLATE(B13812,""id"",""en"")"),"['please', 'points',' exchanged ',' pulse ',' please ',' pulse ',' tuker ',' point ',' pliiisss', 'lottery', 'win', 'win', ' Please, 'People', 'Menag', 'Already', 'Win', 'Times', 'Win', 'Litu', ""]")</f>
        <v>['please', 'points',' exchanged ',' pulse ',' please ',' pulse ',' tuker ',' point ',' pliiisss', 'lottery', 'win', 'win', ' Please, 'People', 'Menag', 'Already', 'Win', 'Times', 'Win', 'Litu', "]</v>
      </c>
      <c r="D13812" s="3">
        <v>4.0</v>
      </c>
    </row>
    <row r="13813" ht="15.75" customHeight="1">
      <c r="A13813" s="1">
        <v>14940.0</v>
      </c>
      <c r="B13813" s="3" t="s">
        <v>13039</v>
      </c>
      <c r="C13813" s="3" t="str">
        <f>IFERROR(__xludf.DUMMYFUNCTION("GOOGLETRANSLATE(B13813,""id"",""en"")"),"['', 'Region', 'Mapanget', 'Manado', 'Sulawesi', 'North', 'Network', 'Uda', 'Ngelag', 'Please', 'Fix']")</f>
        <v>['', 'Region', 'Mapanget', 'Manado', 'Sulawesi', 'North', 'Network', 'Uda', 'Ngelag', 'Please', 'Fix']</v>
      </c>
      <c r="D13813" s="3">
        <v>1.0</v>
      </c>
    </row>
    <row r="13814" ht="15.75" customHeight="1">
      <c r="A13814" s="1">
        <v>14941.0</v>
      </c>
      <c r="B13814" s="3" t="s">
        <v>13040</v>
      </c>
      <c r="C13814" s="3" t="str">
        <f>IFERROR(__xludf.DUMMYFUNCTION("GOOGLETRANSLATE(B13814,""id"",""en"")"),"['active', 'quota', 'already', 'click', 'contents', 'pulse', 'scorched', 'pulse', 'quota', 'active', 'mean', 'apasih']")</f>
        <v>['active', 'quota', 'already', 'click', 'contents', 'pulse', 'scorched', 'pulse', 'quota', 'active', 'mean', 'apasih']</v>
      </c>
      <c r="D13814" s="3">
        <v>1.0</v>
      </c>
    </row>
    <row r="13815" ht="15.75" customHeight="1">
      <c r="A13815" s="1">
        <v>14942.0</v>
      </c>
      <c r="B13815" s="3" t="s">
        <v>13041</v>
      </c>
      <c r="C13815" s="3" t="str">
        <f>IFERROR(__xludf.DUMMYFUNCTION("GOOGLETRANSLATE(B13815,""id"",""en"")"),"['use', 'Telkomsel', 'package', 'expensive', 'tetep', 'buy', 'dear', 'signal', 'severe', 'expensive', 'signal', 'good', ' signal ',' ugly ',' package ',' expensive ',' gini ',' mending ',' move ',' disappointed ',' ']")</f>
        <v>['use', 'Telkomsel', 'package', 'expensive', 'tetep', 'buy', 'dear', 'signal', 'severe', 'expensive', 'signal', 'good', ' signal ',' ugly ',' package ',' expensive ',' gini ',' mending ',' move ',' disappointed ',' ']</v>
      </c>
      <c r="D13815" s="3">
        <v>1.0</v>
      </c>
    </row>
    <row r="13816" ht="15.75" customHeight="1">
      <c r="A13816" s="1">
        <v>14944.0</v>
      </c>
      <c r="B13816" s="3" t="s">
        <v>13042</v>
      </c>
      <c r="C13816" s="3" t="str">
        <f>IFERROR(__xludf.DUMMYFUNCTION("GOOGLETRANSLATE(B13816,""id"",""en"")"),"['', 'enter', 'sense', 'package', 'cook', 'expensive', 'smartfen', 'disappointed', 'high school', 'Telkomsel', 'kyk', 'gini', 'network ',' down ',' speed ',' down ',' area ',' Lombok ',' West ',' price ',' expensive ',' suitable ',' quality ',' network ',"&amp;"' decline ', 'Quality', 'Telkomsel']")</f>
        <v>['', 'enter', 'sense', 'package', 'cook', 'expensive', 'smartfen', 'disappointed', 'high school', 'Telkomsel', 'kyk', 'gini', 'network ',' down ',' speed ',' down ',' area ',' Lombok ',' West ',' price ',' expensive ',' suitable ',' quality ',' network ',' decline ', 'Quality', 'Telkomsel']</v>
      </c>
      <c r="D13816" s="3">
        <v>1.0</v>
      </c>
    </row>
    <row r="13817" ht="15.75" customHeight="1">
      <c r="A13817" s="1">
        <v>14945.0</v>
      </c>
      <c r="B13817" s="3" t="s">
        <v>13043</v>
      </c>
      <c r="C13817" s="3" t="str">
        <f>IFERROR(__xludf.DUMMYFUNCTION("GOOGLETRANSLATE(B13817,""id"",""en"")"),"['Signal', 'Telkomsel', 'Ngelag', 'Mulu', 'Severe', 'Deliver', 'Signal', 'Ajaaa', 'Please', 'Fix', '']")</f>
        <v>['Signal', 'Telkomsel', 'Ngelag', 'Mulu', 'Severe', 'Deliver', 'Signal', 'Ajaaa', 'Please', 'Fix', '']</v>
      </c>
      <c r="D13817" s="3">
        <v>1.0</v>
      </c>
    </row>
    <row r="13818" ht="15.75" customHeight="1">
      <c r="A13818" s="1">
        <v>14946.0</v>
      </c>
      <c r="B13818" s="3" t="s">
        <v>13044</v>
      </c>
      <c r="C13818" s="3" t="str">
        <f>IFERROR(__xludf.DUMMYFUNCTION("GOOGLETRANSLATE(B13818,""id"",""en"")"),"['Telkomsel', 'Good', 'anywhere', ""]")</f>
        <v>['Telkomsel', 'Good', 'anywhere', "]</v>
      </c>
      <c r="D13818" s="3">
        <v>5.0</v>
      </c>
    </row>
    <row r="13819" ht="15.75" customHeight="1">
      <c r="A13819" s="1">
        <v>14947.0</v>
      </c>
      <c r="B13819" s="3" t="s">
        <v>13045</v>
      </c>
      <c r="C13819" s="3" t="str">
        <f>IFERROR(__xludf.DUMMYFUNCTION("GOOGLETRANSLATE(B13819,""id"",""en"")"),"['here', 'slow', 'ajh', 'signal', 'buy', 'package', 'unlimited', 'open', 'that's', 'unlimited']")</f>
        <v>['here', 'slow', 'ajh', 'signal', 'buy', 'package', 'unlimited', 'open', 'that's', 'unlimited']</v>
      </c>
      <c r="D13819" s="3">
        <v>1.0</v>
      </c>
    </row>
    <row r="13820" ht="15.75" customHeight="1">
      <c r="A13820" s="1">
        <v>14948.0</v>
      </c>
      <c r="B13820" s="3" t="s">
        <v>13046</v>
      </c>
      <c r="C13820" s="3" t="str">
        <f>IFERROR(__xludf.DUMMYFUNCTION("GOOGLETRANSLATE(B13820,""id"",""en"")"),"['down prices', '']")</f>
        <v>['down prices', '']</v>
      </c>
      <c r="D13820" s="3">
        <v>4.0</v>
      </c>
    </row>
    <row r="13821" ht="15.75" customHeight="1">
      <c r="A13821" s="1">
        <v>14949.0</v>
      </c>
      <c r="B13821" s="3" t="s">
        <v>13047</v>
      </c>
      <c r="C13821" s="3" t="str">
        <f>IFERROR(__xludf.DUMMYFUNCTION("GOOGLETRANSLATE(B13821,""id"",""en"")"),"['Good', 'Sometimes', 'Err']")</f>
        <v>['Good', 'Sometimes', 'Err']</v>
      </c>
      <c r="D13821" s="3">
        <v>5.0</v>
      </c>
    </row>
    <row r="13822" ht="15.75" customHeight="1">
      <c r="A13822" s="1">
        <v>14950.0</v>
      </c>
      <c r="B13822" s="3" t="s">
        <v>12382</v>
      </c>
      <c r="C13822" s="3" t="str">
        <f>IFERROR(__xludf.DUMMYFUNCTION("GOOGLETRANSLATE(B13822,""id"",""en"")"),"['service']")</f>
        <v>['service']</v>
      </c>
      <c r="D13822" s="3">
        <v>5.0</v>
      </c>
    </row>
    <row r="13823" ht="15.75" customHeight="1">
      <c r="A13823" s="1">
        <v>14952.0</v>
      </c>
      <c r="B13823" s="3" t="s">
        <v>13048</v>
      </c>
      <c r="C13823" s="3" t="str">
        <f>IFERROR(__xludf.DUMMYFUNCTION("GOOGLETRANSLATE(B13823,""id"",""en"")"),"['Telkomsel', 'Tetep', 'Load', 'Play', 'Game', 'Play', 'Game', 'Life', 'Kayak', 'Taste', 'Pakek', 'Signal', ' difficult ',' anywhat ',' signal ',' full ',' strength ',' weak ',' different ',' card ',' signal ',' already ',' delicious', 'play', 'game' , 'K"&amp;"ek', 'Telkomsel', 'Play', 'Feel', 'Comfortable', 'Night', 'Main', 'Game', 'Gara', 'Signal', 'Telkomsel', 'Play', ' Game ',' like ',' ngeleg ',' already ',' pkek ',' Telkomsel ',' since 'since' signal ',' weak ',' hate ',' pakek ',' telkoms']")</f>
        <v>['Telkomsel', 'Tetep', 'Load', 'Play', 'Game', 'Play', 'Game', 'Life', 'Kayak', 'Taste', 'Pakek', 'Signal', ' difficult ',' anywhat ',' signal ',' full ',' strength ',' weak ',' different ',' card ',' signal ',' already ',' delicious', 'play', 'game' , 'Kek', 'Telkomsel', 'Play', 'Feel', 'Comfortable', 'Night', 'Main', 'Game', 'Gara', 'Signal', 'Telkomsel', 'Play', ' Game ',' like ',' ngeleg ',' already ',' pkek ',' Telkomsel ',' since 'since' signal ',' weak ',' hate ',' pakek ',' telkoms']</v>
      </c>
      <c r="D13823" s="3">
        <v>1.0</v>
      </c>
    </row>
    <row r="13824" ht="15.75" customHeight="1">
      <c r="A13824" s="1">
        <v>14954.0</v>
      </c>
      <c r="B13824" s="3" t="s">
        <v>2620</v>
      </c>
      <c r="C13824" s="3" t="str">
        <f>IFERROR(__xludf.DUMMYFUNCTION("GOOGLETRANSLATE(B13824,""id"",""en"")"),"Of course")</f>
        <v>Of course</v>
      </c>
      <c r="D13824" s="3">
        <v>1.0</v>
      </c>
    </row>
    <row r="13825" ht="15.75" customHeight="1">
      <c r="A13825" s="1">
        <v>14955.0</v>
      </c>
      <c r="B13825" s="3" t="s">
        <v>13049</v>
      </c>
      <c r="C13825" s="3" t="str">
        <f>IFERROR(__xludf.DUMMYFUNCTION("GOOGLETRANSLATE(B13825,""id"",""en"")"),"['Choice', 'Kouta', 'interesting']")</f>
        <v>['Choice', 'Kouta', 'interesting']</v>
      </c>
      <c r="D13825" s="3">
        <v>1.0</v>
      </c>
    </row>
    <row r="13826" ht="15.75" customHeight="1">
      <c r="A13826" s="1">
        <v>14956.0</v>
      </c>
      <c r="B13826" s="3" t="s">
        <v>13050</v>
      </c>
      <c r="C13826" s="3" t="str">
        <f>IFERROR(__xludf.DUMMYFUNCTION("GOOGLETRANSLATE(B13826,""id"",""en"")"),"['Great', 'Telkom']")</f>
        <v>['Great', 'Telkom']</v>
      </c>
      <c r="D13826" s="3">
        <v>5.0</v>
      </c>
    </row>
    <row r="13827" ht="15.75" customHeight="1">
      <c r="A13827" s="1">
        <v>14957.0</v>
      </c>
      <c r="B13827" s="3" t="s">
        <v>13051</v>
      </c>
      <c r="C13827" s="3" t="str">
        <f>IFERROR(__xludf.DUMMYFUNCTION("GOOGLETRANSLATE(B13827,""id"",""en"")"),"['easy', 'application', '']")</f>
        <v>['easy', 'application', '']</v>
      </c>
      <c r="D13827" s="3">
        <v>5.0</v>
      </c>
    </row>
    <row r="13828" ht="15.75" customHeight="1">
      <c r="A13828" s="1">
        <v>14958.0</v>
      </c>
      <c r="B13828" s="3" t="s">
        <v>10310</v>
      </c>
      <c r="C13828" s="3" t="str">
        <f>IFERROR(__xludf.DUMMYFUNCTION("GOOGLETRANSLATE(B13828,""id"",""en"")"),"['signal', 'good', '']")</f>
        <v>['signal', 'good', '']</v>
      </c>
      <c r="D13828" s="3">
        <v>5.0</v>
      </c>
    </row>
    <row r="13829" ht="15.75" customHeight="1">
      <c r="A13829" s="1">
        <v>14960.0</v>
      </c>
      <c r="B13829" s="3" t="s">
        <v>13052</v>
      </c>
      <c r="C13829" s="3" t="str">
        <f>IFERROR(__xludf.DUMMYFUNCTION("GOOGLETRANSLATE(B13829,""id"",""en"")"),"['sad', 'buy', 'pulse', 'enter', '']")</f>
        <v>['sad', 'buy', 'pulse', 'enter', '']</v>
      </c>
      <c r="D13829" s="3">
        <v>3.0</v>
      </c>
    </row>
    <row r="13830" ht="15.75" customHeight="1">
      <c r="A13830" s="1">
        <v>14961.0</v>
      </c>
      <c r="B13830" s="3" t="s">
        <v>1308</v>
      </c>
      <c r="C13830" s="3" t="str">
        <f>IFERROR(__xludf.DUMMYFUNCTION("GOOGLETRANSLATE(B13830,""id"",""en"")"),"['Application', 'Help']")</f>
        <v>['Application', 'Help']</v>
      </c>
      <c r="D13830" s="3">
        <v>5.0</v>
      </c>
    </row>
    <row r="13831" ht="15.75" customHeight="1">
      <c r="A13831" s="1">
        <v>14962.0</v>
      </c>
      <c r="B13831" s="3" t="s">
        <v>13053</v>
      </c>
      <c r="C13831" s="3" t="str">
        <f>IFERROR(__xludf.DUMMYFUNCTION("GOOGLETRANSLATE(B13831,""id"",""en"")"),"['Good', 'Job', 'Please', 'Benerin', 'Boss',' Signal ',' Sometimes', 'Contents',' Vocher ',' BS ',' Heee ',' Maap ',' boss', 'criticism']")</f>
        <v>['Good', 'Job', 'Please', 'Benerin', 'Boss',' Signal ',' Sometimes', 'Contents',' Vocher ',' BS ',' Heee ',' Maap ',' boss', 'criticism']</v>
      </c>
      <c r="D13831" s="3">
        <v>5.0</v>
      </c>
    </row>
    <row r="13832" ht="15.75" customHeight="1">
      <c r="A13832" s="1">
        <v>14963.0</v>
      </c>
      <c r="B13832" s="3" t="s">
        <v>7353</v>
      </c>
      <c r="C13832" s="3" t="str">
        <f>IFERROR(__xludf.DUMMYFUNCTION("GOOGLETRANSLATE(B13832,""id"",""en"")"),"['Helpful', 'user', 'Telkomsel']")</f>
        <v>['Helpful', 'user', 'Telkomsel']</v>
      </c>
      <c r="D13832" s="3">
        <v>4.0</v>
      </c>
    </row>
    <row r="13833" ht="15.75" customHeight="1">
      <c r="A13833" s="1">
        <v>14964.0</v>
      </c>
      <c r="B13833" s="3" t="s">
        <v>13054</v>
      </c>
      <c r="C13833" s="3" t="str">
        <f>IFERROR(__xludf.DUMMYFUNCTION("GOOGLETRANSLATE(B13833,""id"",""en"")"),"['Application', 'BURIK']")</f>
        <v>['Application', 'BURIK']</v>
      </c>
      <c r="D13833" s="3">
        <v>1.0</v>
      </c>
    </row>
    <row r="13834" ht="15.75" customHeight="1">
      <c r="A13834" s="1">
        <v>14965.0</v>
      </c>
      <c r="B13834" s="3" t="s">
        <v>13055</v>
      </c>
      <c r="C13834" s="3" t="str">
        <f>IFERROR(__xludf.DUMMYFUNCTION("GOOGLETRANSLATE(B13834,""id"",""en"")"),"['Good', 'select', 'quota']")</f>
        <v>['Good', 'select', 'quota']</v>
      </c>
      <c r="D13834" s="3">
        <v>5.0</v>
      </c>
    </row>
    <row r="13835" ht="15.75" customHeight="1">
      <c r="A13835" s="1">
        <v>14966.0</v>
      </c>
      <c r="B13835" s="3" t="s">
        <v>13056</v>
      </c>
      <c r="C13835" s="3" t="str">
        <f>IFERROR(__xludf.DUMMYFUNCTION("GOOGLETRANSLATE(B13835,""id"",""en"")"),"['Network', 'response', 'solution']")</f>
        <v>['Network', 'response', 'solution']</v>
      </c>
      <c r="D13835" s="3">
        <v>1.0</v>
      </c>
    </row>
    <row r="13836" ht="15.75" customHeight="1">
      <c r="A13836" s="1">
        <v>14967.0</v>
      </c>
      <c r="B13836" s="3" t="s">
        <v>13057</v>
      </c>
      <c r="C13836" s="3" t="str">
        <f>IFERROR(__xludf.DUMMYFUNCTION("GOOGLETRANSLATE(B13836,""id"",""en"")"),"['Quality', 'Rich', 'Speedy', 'might', 'rotten']")</f>
        <v>['Quality', 'Rich', 'Speedy', 'might', 'rotten']</v>
      </c>
      <c r="D13836" s="3">
        <v>1.0</v>
      </c>
    </row>
    <row r="13837" ht="15.75" customHeight="1">
      <c r="A13837" s="1">
        <v>14968.0</v>
      </c>
      <c r="B13837" s="3" t="s">
        <v>13058</v>
      </c>
      <c r="C13837" s="3" t="str">
        <f>IFERROR(__xludf.DUMMYFUNCTION("GOOGLETRANSLATE(B13837,""id"",""en"")"),"['network', 'internet', 'Telkomsel', 'stable', 'promotion', 'network', 'fast', 'network', 'slow', 'already', 'pay', 'quota', ' expensive ',' expensive ',' gini ',' services', 'service', 'manage', 'BUMN', 'alias',' government ',' promotion ',' number ',' q"&amp;"uality ',' zero ' , '']")</f>
        <v>['network', 'internet', 'Telkomsel', 'stable', 'promotion', 'network', 'fast', 'network', 'slow', 'already', 'pay', 'quota', ' expensive ',' expensive ',' gini ',' services', 'service', 'manage', 'BUMN', 'alias',' government ',' promotion ',' number ',' quality ',' zero ' , '']</v>
      </c>
      <c r="D13837" s="3">
        <v>1.0</v>
      </c>
    </row>
    <row r="13838" ht="15.75" customHeight="1">
      <c r="A13838" s="1">
        <v>14969.0</v>
      </c>
      <c r="B13838" s="3" t="s">
        <v>12039</v>
      </c>
      <c r="C13838" s="3" t="str">
        <f>IFERROR(__xludf.DUMMYFUNCTION("GOOGLETRANSLATE(B13838,""id"",""en"")"),"['Easy', 'Helpful']")</f>
        <v>['Easy', 'Helpful']</v>
      </c>
      <c r="D13838" s="3">
        <v>5.0</v>
      </c>
    </row>
    <row r="13839" ht="15.75" customHeight="1">
      <c r="A13839" s="1">
        <v>14970.0</v>
      </c>
      <c r="B13839" s="3" t="s">
        <v>13059</v>
      </c>
      <c r="C13839" s="3" t="str">
        <f>IFERROR(__xludf.DUMMYFUNCTION("GOOGLETRANSLATE(B13839,""id"",""en"")"),"['Thank you', 'cooperation']")</f>
        <v>['Thank you', 'cooperation']</v>
      </c>
      <c r="D13839" s="3">
        <v>5.0</v>
      </c>
    </row>
    <row r="13840" ht="15.75" customHeight="1">
      <c r="A13840" s="1">
        <v>14971.0</v>
      </c>
      <c r="B13840" s="3" t="s">
        <v>13060</v>
      </c>
      <c r="C13840" s="3" t="str">
        <f>IFERROR(__xludf.DUMMYFUNCTION("GOOGLETRANSLATE(B13840,""id"",""en"")"),"['Thank you', 'bonus']")</f>
        <v>['Thank you', 'bonus']</v>
      </c>
      <c r="D13840" s="3">
        <v>4.0</v>
      </c>
    </row>
    <row r="13841" ht="15.75" customHeight="1">
      <c r="A13841" s="1">
        <v>14972.0</v>
      </c>
      <c r="B13841" s="3" t="s">
        <v>13061</v>
      </c>
      <c r="C13841" s="3" t="str">
        <f>IFERROR(__xludf.DUMMYFUNCTION("GOOGLETRANSLATE(B13841,""id"",""en"")"),"['Application', 'makes it easier', 'fill out', 'reset', 'package', 'data']")</f>
        <v>['Application', 'makes it easier', 'fill out', 'reset', 'package', 'data']</v>
      </c>
      <c r="D13841" s="3">
        <v>5.0</v>
      </c>
    </row>
    <row r="13842" ht="15.75" customHeight="1">
      <c r="A13842" s="1">
        <v>14973.0</v>
      </c>
      <c r="B13842" s="3" t="s">
        <v>13062</v>
      </c>
      <c r="C13842" s="3" t="str">
        <f>IFERROR(__xludf.DUMMYFUNCTION("GOOGLETRANSLATE(B13842,""id"",""en"")"),"['pulse', 'pull', 'fill', 'reset']")</f>
        <v>['pulse', 'pull', 'fill', 'reset']</v>
      </c>
      <c r="D13842" s="3">
        <v>2.0</v>
      </c>
    </row>
    <row r="13843" ht="15.75" customHeight="1">
      <c r="A13843" s="1">
        <v>14974.0</v>
      </c>
      <c r="B13843" s="3" t="s">
        <v>1435</v>
      </c>
      <c r="C13843" s="3" t="str">
        <f>IFERROR(__xludf.DUMMYFUNCTION("GOOGLETRANSLATE(B13843,""id"",""en"")"),"['help', '']")</f>
        <v>['help', '']</v>
      </c>
      <c r="D13843" s="3">
        <v>5.0</v>
      </c>
    </row>
    <row r="13844" ht="15.75" customHeight="1">
      <c r="A13844" s="1">
        <v>14975.0</v>
      </c>
      <c r="B13844" s="3" t="s">
        <v>13063</v>
      </c>
      <c r="C13844" s="3" t="str">
        <f>IFERROR(__xludf.DUMMYFUNCTION("GOOGLETRANSLATE(B13844,""id"",""en"")"),"['buy', 'Telkomsel', 'guaranteed', 'signal', 'missing', 'price', 'expensive', 'ugliness', 'thank', 'love']")</f>
        <v>['buy', 'Telkomsel', 'guaranteed', 'signal', 'missing', 'price', 'expensive', 'ugliness', 'thank', 'love']</v>
      </c>
      <c r="D13844" s="3">
        <v>1.0</v>
      </c>
    </row>
    <row r="13845" ht="15.75" customHeight="1">
      <c r="A13845" s="1">
        <v>14976.0</v>
      </c>
      <c r="B13845" s="3" t="s">
        <v>13064</v>
      </c>
      <c r="C13845" s="3" t="str">
        <f>IFERROR(__xludf.DUMMYFUNCTION("GOOGLETRANSLATE(B13845,""id"",""en"")"),"['Package', 'Multimedia', 'Leet']")</f>
        <v>['Package', 'Multimedia', 'Leet']</v>
      </c>
      <c r="D13845" s="3">
        <v>2.0</v>
      </c>
    </row>
    <row r="13846" ht="15.75" customHeight="1">
      <c r="A13846" s="1">
        <v>14977.0</v>
      </c>
      <c r="B13846" s="3" t="s">
        <v>13065</v>
      </c>
      <c r="C13846" s="3" t="str">
        <f>IFERROR(__xludf.DUMMYFUNCTION("GOOGLETRANSLATE(B13846,""id"",""en"")"),"['stingy', 'bonus',' points', 'all-round', 'expensive', 'Telkomsel', 'all-round', 'expensive', 'hope', 'Husnul', 'khatimah', 'member', ' Telkomsel ']")</f>
        <v>['stingy', 'bonus',' points', 'all-round', 'expensive', 'Telkomsel', 'all-round', 'expensive', 'hope', 'Husnul', 'khatimah', 'member', ' Telkomsel ']</v>
      </c>
      <c r="D13846" s="3">
        <v>1.0</v>
      </c>
    </row>
    <row r="13847" ht="15.75" customHeight="1">
      <c r="A13847" s="1">
        <v>14978.0</v>
      </c>
      <c r="B13847" s="3" t="s">
        <v>13066</v>
      </c>
      <c r="C13847" s="3" t="str">
        <f>IFERROR(__xludf.DUMMYFUNCTION("GOOGLETRANSLATE(B13847,""id"",""en"")"),"['It's easy', 'work', 'thank', 'love', 'Telkomsel']")</f>
        <v>['It's easy', 'work', 'thank', 'love', 'Telkomsel']</v>
      </c>
      <c r="D13847" s="3">
        <v>5.0</v>
      </c>
    </row>
    <row r="13848" ht="15.75" customHeight="1">
      <c r="A13848" s="1">
        <v>14979.0</v>
      </c>
      <c r="B13848" s="3" t="s">
        <v>13067</v>
      </c>
      <c r="C13848" s="3" t="str">
        <f>IFERROR(__xludf.DUMMYFUNCTION("GOOGLETRANSLATE(B13848,""id"",""en"")"),"['Ouch', 'signal', 'Telkomsel', 'Village', 'Beringin', 'Subdistrict', 'Talang', 'Mandau', 'Kab', 'Bengkalis',' Leet ',' Embossed ',' sink', '']")</f>
        <v>['Ouch', 'signal', 'Telkomsel', 'Village', 'Beringin', 'Subdistrict', 'Talang', 'Mandau', 'Kab', 'Bengkalis',' Leet ',' Embossed ',' sink', '']</v>
      </c>
      <c r="D13848" s="3">
        <v>5.0</v>
      </c>
    </row>
    <row r="13849" ht="15.75" customHeight="1">
      <c r="A13849" s="1">
        <v>14980.0</v>
      </c>
      <c r="B13849" s="3" t="s">
        <v>13068</v>
      </c>
      <c r="C13849" s="3" t="str">
        <f>IFERROR(__xludf.DUMMYFUNCTION("GOOGLETRANSLATE(B13849,""id"",""en"")"),"['NGK', 'enter', 'sense', 'network', 'Telkomsel', 'already', 'buy', 'package', 'data', 'expensive', 'network', 'Telkomsel', ' slow ',' done ',' please ',' repay ',' signal ',' Telkomsel ',' height ',' city ',' the network ',' slow ',' ']")</f>
        <v>['NGK', 'enter', 'sense', 'network', 'Telkomsel', 'already', 'buy', 'package', 'data', 'expensive', 'network', 'Telkomsel', ' slow ',' done ',' please ',' repay ',' signal ',' Telkomsel ',' height ',' city ',' the network ',' slow ',' ']</v>
      </c>
      <c r="D13849" s="3">
        <v>1.0</v>
      </c>
    </row>
    <row r="13850" ht="15.75" customHeight="1">
      <c r="A13850" s="1">
        <v>14982.0</v>
      </c>
      <c r="B13850" s="3" t="s">
        <v>13069</v>
      </c>
      <c r="C13850" s="3" t="str">
        <f>IFERROR(__xludf.DUMMYFUNCTION("GOOGLETRANSLATE(B13850,""id"",""en"")"),"['Package', 'Promo', 'Terms',' Provisions', 'Please', 'Write', 'Use', 'Letter', 'Capital', 'Font', 'Customer', 'Deceived', ' missed ',' read ',' buy ',' product ',' really ',' embarrassing ',' written ',' font ']")</f>
        <v>['Package', 'Promo', 'Terms',' Provisions', 'Please', 'Write', 'Use', 'Letter', 'Capital', 'Font', 'Customer', 'Deceived', ' missed ',' read ',' buy ',' product ',' really ',' embarrassing ',' written ',' font ']</v>
      </c>
      <c r="D13850" s="3">
        <v>1.0</v>
      </c>
    </row>
    <row r="13851" ht="15.75" customHeight="1">
      <c r="A13851" s="1">
        <v>14983.0</v>
      </c>
      <c r="B13851" s="3" t="s">
        <v>13070</v>
      </c>
      <c r="C13851" s="3" t="str">
        <f>IFERROR(__xludf.DUMMYFUNCTION("GOOGLETRANSLATE(B13851,""id"",""en"")"),"['Telkomsel', 'rotten', 'access',' internet ',' bad ',' offer ',' redundant ',' transaction ',' delayed ',' gara ',' gara ',' internet ',' accessed']")</f>
        <v>['Telkomsel', 'rotten', 'access',' internet ',' bad ',' offer ',' redundant ',' transaction ',' delayed ',' gara ',' gara ',' internet ',' accessed']</v>
      </c>
      <c r="D13851" s="3">
        <v>1.0</v>
      </c>
    </row>
    <row r="13852" ht="15.75" customHeight="1">
      <c r="A13852" s="1">
        <v>14984.0</v>
      </c>
      <c r="B13852" s="3" t="s">
        <v>13071</v>
      </c>
      <c r="C13852" s="3" t="str">
        <f>IFERROR(__xludf.DUMMYFUNCTION("GOOGLETRANSLATE(B13852,""id"",""en"")"),"['Threat', 'System', 'Disruption', 'Improvement', 'Network', 'Apanya', 'Awaited', 'Clock', 'Change', 'Mending', 'Application', 'Deh', ' The system is', 'threat', 'that's',' disorder ',' buy ',' quota ',' make ',' money ',' signal ',' defective ',' suggest"&amp;"ion ',' mode ',' plane ' , 'Uyutnya', 'Season', 'really']")</f>
        <v>['Threat', 'System', 'Disruption', 'Improvement', 'Network', 'Apanya', 'Awaited', 'Clock', 'Change', 'Mending', 'Application', 'Deh', ' The system is', 'threat', 'that's',' disorder ',' buy ',' quota ',' make ',' money ',' signal ',' defective ',' suggestion ',' mode ',' plane ' , 'Uyutnya', 'Season', 'really']</v>
      </c>
      <c r="D13852" s="3">
        <v>1.0</v>
      </c>
    </row>
    <row r="13853" ht="15.75" customHeight="1">
      <c r="A13853" s="1">
        <v>14985.0</v>
      </c>
      <c r="B13853" s="3" t="s">
        <v>13072</v>
      </c>
      <c r="C13853" s="3" t="str">
        <f>IFERROR(__xludf.DUMMYFUNCTION("GOOGLETRANSLATE(B13853,""id"",""en"")"),"['interesting', 'application']")</f>
        <v>['interesting', 'application']</v>
      </c>
      <c r="D13853" s="3">
        <v>2.0</v>
      </c>
    </row>
    <row r="13854" ht="15.75" customHeight="1">
      <c r="A13854" s="1">
        <v>14986.0</v>
      </c>
      <c r="B13854" s="3" t="s">
        <v>13073</v>
      </c>
      <c r="C13854" s="3" t="str">
        <f>IFERROR(__xludf.DUMMYFUNCTION("GOOGLETRANSLATE(B13854,""id"",""en"")"),"['user', 'Telkomsel', 'mandatory', 'download', 'application', 'help', 'purchase', 'package', 'data', 'pulse']")</f>
        <v>['user', 'Telkomsel', 'mandatory', 'download', 'application', 'help', 'purchase', 'package', 'data', 'pulse']</v>
      </c>
      <c r="D13854" s="3">
        <v>5.0</v>
      </c>
    </row>
    <row r="13855" ht="15.75" customHeight="1">
      <c r="A13855" s="1">
        <v>14987.0</v>
      </c>
      <c r="B13855" s="3" t="s">
        <v>13074</v>
      </c>
      <c r="C13855" s="3" t="str">
        <f>IFERROR(__xludf.DUMMYFUNCTION("GOOGLETRANSLATE(B13855,""id"",""en"")"),"['Easy', 'in', 'transact']")</f>
        <v>['Easy', 'in', 'transact']</v>
      </c>
      <c r="D13855" s="3">
        <v>5.0</v>
      </c>
    </row>
    <row r="13856" ht="15.75" customHeight="1">
      <c r="A13856" s="1">
        <v>14988.0</v>
      </c>
      <c r="B13856" s="3" t="s">
        <v>13075</v>
      </c>
      <c r="C13856" s="3" t="str">
        <f>IFERROR(__xludf.DUMMYFUNCTION("GOOGLETRANSLATE(B13856,""id"",""en"")"),"['Love', 'Hockey', 'Lottery', 'Points', 'Donk', 'Telkomsel']")</f>
        <v>['Love', 'Hockey', 'Lottery', 'Points', 'Donk', 'Telkomsel']</v>
      </c>
      <c r="D13856" s="3">
        <v>5.0</v>
      </c>
    </row>
    <row r="13857" ht="15.75" customHeight="1">
      <c r="A13857" s="1">
        <v>14989.0</v>
      </c>
      <c r="B13857" s="3" t="s">
        <v>4375</v>
      </c>
      <c r="C13857" s="3" t="str">
        <f>IFERROR(__xludf.DUMMYFUNCTION("GOOGLETRANSLATE(B13857,""id"",""en"")"),"['It's easy', 'communicating']")</f>
        <v>['It's easy', 'communicating']</v>
      </c>
      <c r="D13857" s="3">
        <v>5.0</v>
      </c>
    </row>
    <row r="13858" ht="15.75" customHeight="1">
      <c r="A13858" s="1">
        <v>14990.0</v>
      </c>
      <c r="B13858" s="3" t="s">
        <v>13076</v>
      </c>
      <c r="C13858" s="3" t="str">
        <f>IFERROR(__xludf.DUMMYFUNCTION("GOOGLETRANSLATE(B13858,""id"",""en"")"),"['Entertaining', 'help']")</f>
        <v>['Entertaining', 'help']</v>
      </c>
      <c r="D13858" s="3">
        <v>5.0</v>
      </c>
    </row>
    <row r="13859" ht="15.75" customHeight="1">
      <c r="A13859" s="1">
        <v>14991.0</v>
      </c>
      <c r="B13859" s="3" t="s">
        <v>13077</v>
      </c>
      <c r="C13859" s="3" t="str">
        <f>IFERROR(__xludf.DUMMYFUNCTION("GOOGLETRANSLATE(B13859,""id"",""en"")"),"['signal', 'strong']")</f>
        <v>['signal', 'strong']</v>
      </c>
      <c r="D13859" s="3">
        <v>4.0</v>
      </c>
    </row>
    <row r="13860" ht="15.75" customHeight="1">
      <c r="A13860" s="1">
        <v>14992.0</v>
      </c>
      <c r="B13860" s="3" t="s">
        <v>13078</v>
      </c>
      <c r="C13860" s="3" t="str">
        <f>IFERROR(__xludf.DUMMYFUNCTION("GOOGLETRANSLATE(B13860,""id"",""en"")"),"['Buy', 'Paketan', 'Pay', 'Fund', 'Fear', 'Enter', 'GIMNA', 'Solution', ""]")</f>
        <v>['Buy', 'Paketan', 'Pay', 'Fund', 'Fear', 'Enter', 'GIMNA', 'Solution', "]</v>
      </c>
      <c r="D13860" s="3">
        <v>2.0</v>
      </c>
    </row>
    <row r="13861" ht="15.75" customHeight="1">
      <c r="A13861" s="1">
        <v>14993.0</v>
      </c>
      <c r="B13861" s="3" t="s">
        <v>13079</v>
      </c>
      <c r="C13861" s="3" t="str">
        <f>IFERROR(__xludf.DUMMYFUNCTION("GOOGLETRANSLATE(B13861,""id"",""en"")"),"['Save', 'signal', 'strong']")</f>
        <v>['Save', 'signal', 'strong']</v>
      </c>
      <c r="D13861" s="3">
        <v>5.0</v>
      </c>
    </row>
    <row r="13862" ht="15.75" customHeight="1">
      <c r="A13862" s="1">
        <v>14994.0</v>
      </c>
      <c r="B13862" s="3" t="s">
        <v>13080</v>
      </c>
      <c r="C13862" s="3" t="str">
        <f>IFERROR(__xludf.DUMMYFUNCTION("GOOGLETRANSLATE(B13862,""id"",""en"")"),"['signal', 'Full', 'Speed', 'zero', 'rich', ""]")</f>
        <v>['signal', 'Full', 'Speed', 'zero', 'rich', "]</v>
      </c>
      <c r="D13862" s="3">
        <v>1.0</v>
      </c>
    </row>
    <row r="13863" ht="15.75" customHeight="1">
      <c r="A13863" s="1">
        <v>14995.0</v>
      </c>
      <c r="B13863" s="3" t="s">
        <v>11274</v>
      </c>
      <c r="C13863" s="3" t="str">
        <f>IFERROR(__xludf.DUMMYFUNCTION("GOOGLETRANSLATE(B13863,""id"",""en"")"),"['The price is expensive', '']")</f>
        <v>['The price is expensive', '']</v>
      </c>
      <c r="D13863" s="3">
        <v>1.0</v>
      </c>
    </row>
    <row r="13864" ht="15.75" customHeight="1">
      <c r="A13864" s="1">
        <v>14996.0</v>
      </c>
      <c r="B13864" s="3" t="s">
        <v>13081</v>
      </c>
      <c r="C13864" s="3" t="str">
        <f>IFERROR(__xludf.DUMMYFUNCTION("GOOGLETRANSLATE(B13864,""id"",""en"")"),"['Network', 'good', 'really', 'like']")</f>
        <v>['Network', 'good', 'really', 'like']</v>
      </c>
      <c r="D13864" s="3">
        <v>5.0</v>
      </c>
    </row>
    <row r="13865" ht="15.75" customHeight="1">
      <c r="A13865" s="1">
        <v>14997.0</v>
      </c>
      <c r="B13865" s="3" t="s">
        <v>13082</v>
      </c>
      <c r="C13865" s="3" t="str">
        <f>IFERROR(__xludf.DUMMYFUNCTION("GOOGLETRANSLATE(B13865,""id"",""en"")"),"['relapse', 'buy', 'quota', 'telephone', 'all day', 'telephone', 'SLI', 'country', 'try', 'purchase', 'manual', 'buy', ' Package ',' Select ',' Location ',' Location ',' Move ',' Indonesia ',' NGAJUIIN ',' CUSTOMER ',' SERVIS ',' SOLUTION ']")</f>
        <v>['relapse', 'buy', 'quota', 'telephone', 'all day', 'telephone', 'SLI', 'country', 'try', 'purchase', 'manual', 'buy', ' Package ',' Select ',' Location ',' Location ',' Move ',' Indonesia ',' NGAJUIIN ',' CUSTOMER ',' SERVIS ',' SOLUTION ']</v>
      </c>
      <c r="D13865" s="3">
        <v>1.0</v>
      </c>
    </row>
    <row r="13866" ht="15.75" customHeight="1">
      <c r="A13866" s="1">
        <v>14998.0</v>
      </c>
      <c r="B13866" s="3" t="s">
        <v>13083</v>
      </c>
      <c r="C13866" s="3" t="str">
        <f>IFERROR(__xludf.DUMMYFUNCTION("GOOGLETRANSLATE(B13866,""id"",""en"")"),"['Network', 'fix', '']")</f>
        <v>['Network', 'fix', '']</v>
      </c>
      <c r="D13866" s="3">
        <v>5.0</v>
      </c>
    </row>
    <row r="13867" ht="15.75" customHeight="1">
      <c r="A13867" s="1">
        <v>14999.0</v>
      </c>
      <c r="B13867" s="3" t="s">
        <v>13084</v>
      </c>
      <c r="C13867" s="3" t="str">
        <f>IFERROR(__xludf.DUMMYFUNCTION("GOOGLETRANSLATE(B13867,""id"",""en"")"),"['disappointing', 'Graha', 'Pari', 'Telkomsel', 'replace', 'card', 'expayer', 'wkwkwk', 'closed', 'office']")</f>
        <v>['disappointing', 'Graha', 'Pari', 'Telkomsel', 'replace', 'card', 'expayer', 'wkwkwk', 'closed', 'office']</v>
      </c>
      <c r="D13867" s="3">
        <v>1.0</v>
      </c>
    </row>
    <row r="13868" ht="15.75" customHeight="1">
      <c r="A13868" s="1">
        <v>15000.0</v>
      </c>
      <c r="B13868" s="3" t="s">
        <v>13085</v>
      </c>
      <c r="C13868" s="3" t="str">
        <f>IFERROR(__xludf.DUMMYFUNCTION("GOOGLETRANSLATE(B13868,""id"",""en"")"),"['Okay', 'love', 'star', '']")</f>
        <v>['Okay', 'love', 'star', '']</v>
      </c>
      <c r="D13868" s="3">
        <v>5.0</v>
      </c>
    </row>
    <row r="13869" ht="15.75" customHeight="1">
      <c r="A13869" s="1">
        <v>15002.0</v>
      </c>
      <c r="B13869" s="3" t="s">
        <v>12510</v>
      </c>
      <c r="C13869" s="3" t="str">
        <f>IFERROR(__xludf.DUMMYFUNCTION("GOOGLETRANSLATE(B13869,""id"",""en"")"),"['Network', 'smooth']")</f>
        <v>['Network', 'smooth']</v>
      </c>
      <c r="D13869" s="3">
        <v>5.0</v>
      </c>
    </row>
    <row r="13870" ht="15.75" customHeight="1">
      <c r="A13870" s="1">
        <v>15003.0</v>
      </c>
      <c r="B13870" s="3" t="s">
        <v>13086</v>
      </c>
      <c r="C13870" s="3" t="str">
        <f>IFERROR(__xludf.DUMMYFUNCTION("GOOGLETRANSLATE(B13870,""id"",""en"")"),"['Help', 'Increase', 'Teruz', 'Bonus', 'Hee', 'Hee']")</f>
        <v>['Help', 'Increase', 'Teruz', 'Bonus', 'Hee', 'Hee']</v>
      </c>
      <c r="D13870" s="3">
        <v>5.0</v>
      </c>
    </row>
    <row r="13871" ht="15.75" customHeight="1">
      <c r="A13871" s="1">
        <v>15004.0</v>
      </c>
      <c r="B13871" s="3" t="s">
        <v>13087</v>
      </c>
      <c r="C13871" s="3" t="str">
        <f>IFERROR(__xludf.DUMMYFUNCTION("GOOGLETRANSLATE(B13871,""id"",""en"")"),"['Telkomsel', 'signal', 'threat']")</f>
        <v>['Telkomsel', 'signal', 'threat']</v>
      </c>
      <c r="D13871" s="3">
        <v>1.0</v>
      </c>
    </row>
    <row r="13872" ht="15.75" customHeight="1">
      <c r="A13872" s="1">
        <v>15005.0</v>
      </c>
      <c r="B13872" s="3" t="s">
        <v>13088</v>
      </c>
      <c r="C13872" s="3" t="str">
        <f>IFERROR(__xludf.DUMMYFUNCTION("GOOGLETRANSLATE(B13872,""id"",""en"")"),"['signal', 'okay', 'TPI', 'package', 'love', 'light']")</f>
        <v>['signal', 'okay', 'TPI', 'package', 'love', 'light']</v>
      </c>
      <c r="D13872" s="3">
        <v>5.0</v>
      </c>
    </row>
    <row r="13873" ht="15.75" customHeight="1">
      <c r="A13873" s="1">
        <v>15006.0</v>
      </c>
      <c r="B13873" s="3" t="s">
        <v>5327</v>
      </c>
      <c r="C13873" s="3" t="str">
        <f>IFERROR(__xludf.DUMMYFUNCTION("GOOGLETRANSLATE(B13873,""id"",""en"")"),"['Application', 'Useful']")</f>
        <v>['Application', 'Useful']</v>
      </c>
      <c r="D13873" s="3">
        <v>5.0</v>
      </c>
    </row>
    <row r="13874" ht="15.75" customHeight="1">
      <c r="A13874" s="1">
        <v>15007.0</v>
      </c>
      <c r="B13874" s="3" t="s">
        <v>13089</v>
      </c>
      <c r="C13874" s="3" t="str">
        <f>IFERROR(__xludf.DUMMYFUNCTION("GOOGLETRANSLATE(B13874,""id"",""en"")"),"['staple', 'sip']")</f>
        <v>['staple', 'sip']</v>
      </c>
      <c r="D13874" s="3">
        <v>5.0</v>
      </c>
    </row>
    <row r="13875" ht="15.75" customHeight="1">
      <c r="A13875" s="1">
        <v>15008.0</v>
      </c>
      <c r="B13875" s="3" t="s">
        <v>13090</v>
      </c>
      <c r="C13875" s="3" t="str">
        <f>IFERROR(__xludf.DUMMYFUNCTION("GOOGLETRANSLATE(B13875,""id"",""en"")"),"['Love', 'Star', 'Waiting', 'Surprise', 'Surprise', 'MyTelkomsel']")</f>
        <v>['Love', 'Star', 'Waiting', 'Surprise', 'Surprise', 'MyTelkomsel']</v>
      </c>
      <c r="D13875" s="3">
        <v>3.0</v>
      </c>
    </row>
    <row r="13876" ht="15.75" customHeight="1">
      <c r="A13876" s="1">
        <v>15009.0</v>
      </c>
      <c r="B13876" s="3" t="s">
        <v>4561</v>
      </c>
      <c r="C13876" s="3" t="str">
        <f>IFERROR(__xludf.DUMMYFUNCTION("GOOGLETRANSLATE(B13876,""id"",""en"")"),"['APK', 'Good', '']")</f>
        <v>['APK', 'Good', '']</v>
      </c>
      <c r="D13876" s="3">
        <v>5.0</v>
      </c>
    </row>
    <row r="13877" ht="15.75" customHeight="1">
      <c r="A13877" s="1">
        <v>15010.0</v>
      </c>
      <c r="B13877" s="3" t="s">
        <v>13091</v>
      </c>
      <c r="C13877" s="3" t="str">
        <f>IFERROR(__xludf.DUMMYFUNCTION("GOOGLETRANSLATE(B13877,""id"",""en"")"),"['application', 'light', 'easy']")</f>
        <v>['application', 'light', 'easy']</v>
      </c>
      <c r="D13877" s="3">
        <v>4.0</v>
      </c>
    </row>
    <row r="13878" ht="15.75" customHeight="1">
      <c r="A13878" s="1">
        <v>15011.0</v>
      </c>
      <c r="B13878" s="3" t="s">
        <v>13092</v>
      </c>
      <c r="C13878" s="3" t="str">
        <f>IFERROR(__xludf.DUMMYFUNCTION("GOOGLETRANSLATE(B13878,""id"",""en"")"),"['Hopefully', 'smooth', 'terbud']")</f>
        <v>['Hopefully', 'smooth', 'terbud']</v>
      </c>
      <c r="D13878" s="3">
        <v>5.0</v>
      </c>
    </row>
    <row r="13879" ht="15.75" customHeight="1">
      <c r="A13879" s="1">
        <v>15012.0</v>
      </c>
      <c r="B13879" s="3" t="s">
        <v>13093</v>
      </c>
      <c r="C13879" s="3" t="str">
        <f>IFERROR(__xludf.DUMMYFUNCTION("GOOGLETRANSLATE(B13879,""id"",""en"")"),"['Suck', 'pulse', 'ajg']")</f>
        <v>['Suck', 'pulse', 'ajg']</v>
      </c>
      <c r="D13879" s="3">
        <v>1.0</v>
      </c>
    </row>
    <row r="13880" ht="15.75" customHeight="1">
      <c r="A13880" s="1">
        <v>15013.0</v>
      </c>
      <c r="B13880" s="3" t="s">
        <v>13094</v>
      </c>
      <c r="C13880" s="3" t="str">
        <f>IFERROR(__xludf.DUMMYFUNCTION("GOOGLETRANSLATE(B13880,""id"",""en"")"),"['Strong', 'signal']")</f>
        <v>['Strong', 'signal']</v>
      </c>
      <c r="D13880" s="3">
        <v>4.0</v>
      </c>
    </row>
    <row r="13881" ht="15.75" customHeight="1">
      <c r="A13881" s="1">
        <v>15014.0</v>
      </c>
      <c r="B13881" s="3" t="s">
        <v>13095</v>
      </c>
      <c r="C13881" s="3" t="str">
        <f>IFERROR(__xludf.DUMMYFUNCTION("GOOGLETRANSLATE(B13881,""id"",""en"")"),"['signal', 'ugly', 'card', 'hello', 'price', 'expensive', 'signal', 'ugly']")</f>
        <v>['signal', 'ugly', 'card', 'hello', 'price', 'expensive', 'signal', 'ugly']</v>
      </c>
      <c r="D13881" s="3">
        <v>1.0</v>
      </c>
    </row>
    <row r="13882" ht="15.75" customHeight="1">
      <c r="A13882" s="1">
        <v>15015.0</v>
      </c>
      <c r="B13882" s="3" t="s">
        <v>13096</v>
      </c>
      <c r="C13882" s="3" t="str">
        <f>IFERROR(__xludf.DUMMYFUNCTION("GOOGLETRANSLATE(B13882,""id"",""en"")"),"['Open', 'Application', 'Lamaa']")</f>
        <v>['Open', 'Application', 'Lamaa']</v>
      </c>
      <c r="D13882" s="3">
        <v>1.0</v>
      </c>
    </row>
    <row r="13883" ht="15.75" customHeight="1">
      <c r="A13883" s="1">
        <v>15016.0</v>
      </c>
      <c r="B13883" s="3" t="s">
        <v>13097</v>
      </c>
      <c r="C13883" s="3" t="str">
        <f>IFERROR(__xludf.DUMMYFUNCTION("GOOGLETRANSLATE(B13883,""id"",""en"")"),"['Package', 'cheap', 'boss', 'child', 'school', 'pandemic']")</f>
        <v>['Package', 'cheap', 'boss', 'child', 'school', 'pandemic']</v>
      </c>
      <c r="D13883" s="3">
        <v>5.0</v>
      </c>
    </row>
    <row r="13884" ht="15.75" customHeight="1">
      <c r="A13884" s="1">
        <v>15017.0</v>
      </c>
      <c r="B13884" s="3" t="s">
        <v>13098</v>
      </c>
      <c r="C13884" s="3" t="str">
        <f>IFERROR(__xludf.DUMMYFUNCTION("GOOGLETRANSLATE(B13884,""id"",""en"")"),"['Developer', 'causes',' signal ',' internet ',' thought ',' Belitung ',' bad ',' moved ',' heart ',' trust ',' consumer ',' Segerah ',' Ingredients', 'operator', 'best', 'SEINDONESIA', '']")</f>
        <v>['Developer', 'causes',' signal ',' internet ',' thought ',' Belitung ',' bad ',' moved ',' heart ',' trust ',' consumer ',' Segerah ',' Ingredients', 'operator', 'best', 'SEINDONESIA', '']</v>
      </c>
      <c r="D13884" s="3">
        <v>1.0</v>
      </c>
    </row>
    <row r="13885" ht="15.75" customHeight="1">
      <c r="A13885" s="1">
        <v>15018.0</v>
      </c>
      <c r="B13885" s="3" t="s">
        <v>13099</v>
      </c>
      <c r="C13885" s="3" t="str">
        <f>IFERROR(__xludf.DUMMYFUNCTION("GOOGLETRANSLATE(B13885,""id"",""en"")"),"['mas', 'use', 'link', 'sms']")</f>
        <v>['mas', 'use', 'link', 'sms']</v>
      </c>
      <c r="D13885" s="3">
        <v>4.0</v>
      </c>
    </row>
    <row r="13886" ht="15.75" customHeight="1">
      <c r="A13886" s="1">
        <v>15019.0</v>
      </c>
      <c r="B13886" s="3" t="s">
        <v>13100</v>
      </c>
      <c r="C13886" s="3" t="str">
        <f>IFERROR(__xludf.DUMMYFUNCTION("GOOGLETRANSLATE(B13886,""id"",""en"")"),"['Get', 'Package', 'Game', 'GB', 'PAS', 'Open', 'Game', 'Mobile', 'Legends',' Nyampe ',' Minute ',' Credit ',' Sumpot ',' said ',' pulses', 'sumps',' right ',' check ',' sumps', 'base', 'operator', 'greedy', 'greedy', 'kayak', 'DPR' , 'Members',' shy ',' "&amp;"normal ',' offended ',' questions', 'listen to', 'DPR', 'corruption', 'already', 'love', 'salary', 'take', ' Money ',' People ',' ']")</f>
        <v>['Get', 'Package', 'Game', 'GB', 'PAS', 'Open', 'Game', 'Mobile', 'Legends',' Nyampe ',' Minute ',' Credit ',' Sumpot ',' said ',' pulses', 'sumps',' right ',' check ',' sumps', 'base', 'operator', 'greedy', 'greedy', 'kayak', 'DPR' , 'Members',' shy ',' normal ',' offended ',' questions', 'listen to', 'DPR', 'corruption', 'already', 'love', 'salary', 'take', ' Money ',' People ',' ']</v>
      </c>
      <c r="D13886" s="3">
        <v>1.0</v>
      </c>
    </row>
    <row r="13887" ht="15.75" customHeight="1">
      <c r="A13887" s="1">
        <v>15020.0</v>
      </c>
      <c r="B13887" s="3" t="s">
        <v>13101</v>
      </c>
      <c r="C13887" s="3" t="str">
        <f>IFERROR(__xludf.DUMMYFUNCTION("GOOGLETRANSLATE(B13887,""id"",""en"")"),"['Telkomsel', 'crazy', 'play', 'game', 'network', 'slow', 'rich', 'Kura', 'open', 'YouTube', 'video', 'facebok', ' download ',' given ',' fast ',' pulse ',' fast ',' suck ',' klw ',' play ',' game ',' little ',' data ',' anjrit ', ""]")</f>
        <v>['Telkomsel', 'crazy', 'play', 'game', 'network', 'slow', 'rich', 'Kura', 'open', 'YouTube', 'video', 'facebok', ' download ',' given ',' fast ',' pulse ',' fast ',' suck ',' klw ',' play ',' game ',' little ',' data ',' anjrit ', "]</v>
      </c>
      <c r="D13887" s="3">
        <v>5.0</v>
      </c>
    </row>
    <row r="13888" ht="15.75" customHeight="1">
      <c r="A13888" s="1">
        <v>15021.0</v>
      </c>
      <c r="B13888" s="3" t="s">
        <v>13102</v>
      </c>
      <c r="C13888" s="3" t="str">
        <f>IFERROR(__xludf.DUMMYFUNCTION("GOOGLETRANSLATE(B13888,""id"",""en"")"),"['', 'Live', 'chat', 'complicated', 'ask', 'difficult', 'kmnkasi', 'mending', 'gausah', 'pke', 'live', 'chat', 'veronika ',' Blegage ',' sleep ',' Veronikya ']")</f>
        <v>['', 'Live', 'chat', 'complicated', 'ask', 'difficult', 'kmnkasi', 'mending', 'gausah', 'pke', 'live', 'chat', 'veronika ',' Blegage ',' sleep ',' Veronikya ']</v>
      </c>
      <c r="D13888" s="3">
        <v>1.0</v>
      </c>
    </row>
    <row r="13889" ht="15.75" customHeight="1">
      <c r="A13889" s="1">
        <v>15022.0</v>
      </c>
      <c r="B13889" s="3" t="s">
        <v>13103</v>
      </c>
      <c r="C13889" s="3" t="str">
        <f>IFERROR(__xludf.DUMMYFUNCTION("GOOGLETRANSLATE(B13889,""id"",""en"")"),"['application', 'help', 'bonus', 'promised', 'knp', 'visits', ""]")</f>
        <v>['application', 'help', 'bonus', 'promised', 'knp', 'visits', "]</v>
      </c>
      <c r="D13889" s="3">
        <v>5.0</v>
      </c>
    </row>
    <row r="13890" ht="15.75" customHeight="1">
      <c r="A13890" s="1">
        <v>15023.0</v>
      </c>
      <c r="B13890" s="3" t="s">
        <v>13104</v>
      </c>
      <c r="C13890" s="3" t="str">
        <f>IFERROR(__xludf.DUMMYFUNCTION("GOOGLETRANSLATE(B13890,""id"",""en"")"),"['Steady', 'forward']")</f>
        <v>['Steady', 'forward']</v>
      </c>
      <c r="D13890" s="3">
        <v>5.0</v>
      </c>
    </row>
    <row r="13891" ht="15.75" customHeight="1">
      <c r="A13891" s="1">
        <v>15024.0</v>
      </c>
      <c r="B13891" s="3" t="s">
        <v>13105</v>
      </c>
      <c r="C13891" s="3" t="str">
        <f>IFERROR(__xludf.DUMMYFUNCTION("GOOGLETRANSLATE(B13891,""id"",""en"")"),"['card', 'pig', 'Gara', 'card', 'cave', 'play', 'game', 'lose', 'then', 'signal', 'rotten', 'rich', ' people ',' work ',' Telkomsel ',' smell ',' rotten ',' dsar ',' card ',' useful ',' cave ',' swear ',' bankrupt ', ""]")</f>
        <v>['card', 'pig', 'Gara', 'card', 'cave', 'play', 'game', 'lose', 'then', 'signal', 'rotten', 'rich', ' people ',' work ',' Telkomsel ',' smell ',' rotten ',' dsar ',' card ',' useful ',' cave ',' swear ',' bankrupt ', "]</v>
      </c>
      <c r="D13891" s="3">
        <v>1.0</v>
      </c>
    </row>
    <row r="13892" ht="15.75" customHeight="1">
      <c r="A13892" s="1">
        <v>15025.0</v>
      </c>
      <c r="B13892" s="3" t="s">
        <v>13106</v>
      </c>
      <c r="C13892" s="3" t="str">
        <f>IFERROR(__xludf.DUMMYFUNCTION("GOOGLETRANSLATE(B13892,""id"",""en"")"),"['best', 'promo', 'cheap', 'steady']")</f>
        <v>['best', 'promo', 'cheap', 'steady']</v>
      </c>
      <c r="D13892" s="3">
        <v>4.0</v>
      </c>
    </row>
    <row r="13893" ht="15.75" customHeight="1">
      <c r="A13893" s="1">
        <v>15026.0</v>
      </c>
      <c r="B13893" s="3" t="s">
        <v>13107</v>
      </c>
      <c r="C13893" s="3" t="str">
        <f>IFERROR(__xludf.DUMMYFUNCTION("GOOGLETRANSLATE(B13893,""id"",""en"")"),"['quota', 'main', 'sucked', 'pulse', 'search', 'money', 'fix', 'customer', 'disappointed', ""]")</f>
        <v>['quota', 'main', 'sucked', 'pulse', 'search', 'money', 'fix', 'customer', 'disappointed', "]</v>
      </c>
      <c r="D13893" s="3">
        <v>1.0</v>
      </c>
    </row>
    <row r="13894" ht="15.75" customHeight="1">
      <c r="A13894" s="1">
        <v>15027.0</v>
      </c>
      <c r="B13894" s="3" t="s">
        <v>13108</v>
      </c>
      <c r="C13894" s="3" t="str">
        <f>IFERROR(__xludf.DUMMYFUNCTION("GOOGLETRANSLATE(B13894,""id"",""en"")"),"['Help', 'Good', 'Terbimah', 'Love', ""]")</f>
        <v>['Help', 'Good', 'Terbimah', 'Love', "]</v>
      </c>
      <c r="D13894" s="3">
        <v>5.0</v>
      </c>
    </row>
    <row r="13895" ht="15.75" customHeight="1">
      <c r="A13895" s="1">
        <v>15028.0</v>
      </c>
      <c r="B13895" s="3" t="s">
        <v>13109</v>
      </c>
      <c r="C13895" s="3" t="str">
        <f>IFERROR(__xludf.DUMMYFUNCTION("GOOGLETRANSLATE(B13895,""id"",""en"")"),"['Steady', 'help', 'right', 'money']")</f>
        <v>['Steady', 'help', 'right', 'money']</v>
      </c>
      <c r="D13895" s="3">
        <v>5.0</v>
      </c>
    </row>
    <row r="13896" ht="15.75" customHeight="1">
      <c r="A13896" s="1">
        <v>15029.0</v>
      </c>
      <c r="B13896" s="3" t="s">
        <v>13110</v>
      </c>
      <c r="C13896" s="3" t="str">
        <f>IFERROR(__xludf.DUMMYFUNCTION("GOOGLETRANSLATE(B13896,""id"",""en"")"),"['Love', 'Service', 'Good', 'Price', 'Affordable']")</f>
        <v>['Love', 'Service', 'Good', 'Price', 'Affordable']</v>
      </c>
      <c r="D13896" s="3">
        <v>5.0</v>
      </c>
    </row>
    <row r="13897" ht="15.75" customHeight="1">
      <c r="A13897" s="1">
        <v>15030.0</v>
      </c>
      <c r="B13897" s="3" t="s">
        <v>13111</v>
      </c>
      <c r="C13897" s="3" t="str">
        <f>IFERROR(__xludf.DUMMYFUNCTION("GOOGLETRANSLATE(B13897,""id"",""en"")"),"['signal', 'kyk', 'taee', 'collapsed', 'star', 'here', 'quality', 'signal', 'ugly', 'disappointed', 'severe']")</f>
        <v>['signal', 'kyk', 'taee', 'collapsed', 'star', 'here', 'quality', 'signal', 'ugly', 'disappointed', 'severe']</v>
      </c>
      <c r="D13897" s="3">
        <v>1.0</v>
      </c>
    </row>
    <row r="13898" ht="15.75" customHeight="1">
      <c r="A13898" s="1">
        <v>15031.0</v>
      </c>
      <c r="B13898" s="3" t="s">
        <v>13112</v>
      </c>
      <c r="C13898" s="3" t="str">
        <f>IFERROR(__xludf.DUMMYFUNCTION("GOOGLETRANSLATE(B13898,""id"",""en"")"),"['Gift', 'Points', 'Taii', 'It's better', 'shop', 'Next to']")</f>
        <v>['Gift', 'Points', 'Taii', 'It's better', 'shop', 'Next to']</v>
      </c>
      <c r="D13898" s="3">
        <v>1.0</v>
      </c>
    </row>
    <row r="13899" ht="15.75" customHeight="1">
      <c r="A13899" s="1">
        <v>15032.0</v>
      </c>
      <c r="B13899" s="3" t="s">
        <v>13113</v>
      </c>
      <c r="C13899" s="3" t="str">
        <f>IFERROR(__xludf.DUMMYFUNCTION("GOOGLETRANSLATE(B13899,""id"",""en"")"),"['Please', 'love', 'discount', 'cheap', 'dock', 'Telkomsel', 'already']")</f>
        <v>['Please', 'love', 'discount', 'cheap', 'dock', 'Telkomsel', 'already']</v>
      </c>
      <c r="D13899" s="3">
        <v>1.0</v>
      </c>
    </row>
    <row r="13900" ht="15.75" customHeight="1">
      <c r="A13900" s="1">
        <v>15033.0</v>
      </c>
      <c r="B13900" s="3" t="s">
        <v>9192</v>
      </c>
      <c r="C13900" s="3" t="str">
        <f>IFERROR(__xludf.DUMMYFUNCTION("GOOGLETRANSLATE(B13900,""id"",""en"")"),"['thank you', '']")</f>
        <v>['thank you', '']</v>
      </c>
      <c r="D13900" s="3">
        <v>5.0</v>
      </c>
    </row>
    <row r="13901" ht="15.75" customHeight="1">
      <c r="A13901" s="1">
        <v>15034.0</v>
      </c>
      <c r="B13901" s="3" t="s">
        <v>13114</v>
      </c>
      <c r="C13901" s="3" t="str">
        <f>IFERROR(__xludf.DUMMYFUNCTION("GOOGLETRANSLATE(B13901,""id"",""en"")"),"['steady', 'hopefully', 'sustenance', 'exchange', 'point', '']")</f>
        <v>['steady', 'hopefully', 'sustenance', 'exchange', 'point', '']</v>
      </c>
      <c r="D13901" s="3">
        <v>5.0</v>
      </c>
    </row>
    <row r="13902" ht="15.75" customHeight="1">
      <c r="A13902" s="1">
        <v>15035.0</v>
      </c>
      <c r="B13902" s="3" t="s">
        <v>13115</v>
      </c>
      <c r="C13902" s="3" t="str">
        <f>IFERROR(__xludf.DUMMYFUNCTION("GOOGLETRANSLATE(B13902,""id"",""en"")"),"['Network', 'good', 'rustic', 'help', 'really']")</f>
        <v>['Network', 'good', 'rustic', 'help', 'really']</v>
      </c>
      <c r="D13902" s="3">
        <v>5.0</v>
      </c>
    </row>
    <row r="13903" ht="15.75" customHeight="1">
      <c r="A13903" s="1">
        <v>15036.0</v>
      </c>
      <c r="B13903" s="3" t="s">
        <v>13116</v>
      </c>
      <c r="C13903" s="3" t="str">
        <f>IFERROR(__xludf.DUMMYFUNCTION("GOOGLETRANSLATE(B13903,""id"",""en"")"),"['Network', 'Internet', 'Down']")</f>
        <v>['Network', 'Internet', 'Down']</v>
      </c>
      <c r="D13903" s="3">
        <v>3.0</v>
      </c>
    </row>
    <row r="13904" ht="15.75" customHeight="1">
      <c r="A13904" s="1">
        <v>15037.0</v>
      </c>
      <c r="B13904" s="3" t="s">
        <v>13117</v>
      </c>
      <c r="C13904" s="3" t="str">
        <f>IFERROR(__xludf.DUMMYFUNCTION("GOOGLETRANSLATE(B13904,""id"",""en"")"),"['sound', 'notification', 'omitted', 'appears']")</f>
        <v>['sound', 'notification', 'omitted', 'appears']</v>
      </c>
      <c r="D13904" s="3">
        <v>3.0</v>
      </c>
    </row>
    <row r="13905" ht="15.75" customHeight="1">
      <c r="A13905" s="1">
        <v>15038.0</v>
      </c>
      <c r="B13905" s="3" t="s">
        <v>13118</v>
      </c>
      <c r="C13905" s="3" t="str">
        <f>IFERROR(__xludf.DUMMYFUNCTION("GOOGLETRANSLATE(B13905,""id"",""en"")"),"['Hopefully', 'quota', 'main', 'price', 'cheap', 'affordable', 'school', 'online']")</f>
        <v>['Hopefully', 'quota', 'main', 'price', 'cheap', 'affordable', 'school', 'online']</v>
      </c>
      <c r="D13905" s="3">
        <v>5.0</v>
      </c>
    </row>
    <row r="13906" ht="15.75" customHeight="1">
      <c r="A13906" s="1">
        <v>15039.0</v>
      </c>
      <c r="B13906" s="3" t="s">
        <v>13119</v>
      </c>
      <c r="C13906" s="3" t="str">
        <f>IFERROR(__xludf.DUMMYFUNCTION("GOOGLETRANSLATE(B13906,""id"",""en"")"),"['easy', 'contents', 'quota', 'bonus', 'quota', 'chekin', 'daily']")</f>
        <v>['easy', 'contents', 'quota', 'bonus', 'quota', 'chekin', 'daily']</v>
      </c>
      <c r="D13906" s="3">
        <v>5.0</v>
      </c>
    </row>
    <row r="13907" ht="15.75" customHeight="1">
      <c r="A13907" s="1">
        <v>15040.0</v>
      </c>
      <c r="B13907" s="3" t="s">
        <v>13120</v>
      </c>
      <c r="C13907" s="3" t="str">
        <f>IFERROR(__xludf.DUMMYFUNCTION("GOOGLETRANSLATE(B13907,""id"",""en"")"),"['Price', 'package', 'expensive', 'signal', 'trouble']")</f>
        <v>['Price', 'package', 'expensive', 'signal', 'trouble']</v>
      </c>
      <c r="D13907" s="3">
        <v>2.0</v>
      </c>
    </row>
    <row r="13908" ht="15.75" customHeight="1">
      <c r="A13908" s="1">
        <v>15041.0</v>
      </c>
      <c r="B13908" s="3" t="s">
        <v>13121</v>
      </c>
      <c r="C13908" s="3" t="str">
        <f>IFERROR(__xludf.DUMMYFUNCTION("GOOGLETRANSLATE(B13908,""id"",""en"")"),"['users',' Telkomsel ',' Bener ',' disappointed ',' Kouta ',' fast ',' abis', 'package', 'expensive', 'signal', 'like', 'asuuu', ' Please ',' Admin ',' Represented ',' Signal ',' Meanwhile ',' Madura ',' Pamekasan ',' Region ',' North ',' Main ',' Game ',"&amp;"' Liat ',' YouTube ' , 'ugly', 'really', 'signal', '']")</f>
        <v>['users',' Telkomsel ',' Bener ',' disappointed ',' Kouta ',' fast ',' abis', 'package', 'expensive', 'signal', 'like', 'asuuu', ' Please ',' Admin ',' Represented ',' Signal ',' Meanwhile ',' Madura ',' Pamekasan ',' Region ',' North ',' Main ',' Game ',' Liat ',' YouTube ' , 'ugly', 'really', 'signal', '']</v>
      </c>
      <c r="D13908" s="3">
        <v>1.0</v>
      </c>
    </row>
    <row r="13909" ht="15.75" customHeight="1">
      <c r="A13909" s="1">
        <v>15042.0</v>
      </c>
      <c r="B13909" s="3" t="s">
        <v>13122</v>
      </c>
      <c r="C13909" s="3" t="str">
        <f>IFERROR(__xludf.DUMMYFUNCTION("GOOGLETRANSLATE(B13909,""id"",""en"")"),"['min', 'please', 'gear', 'quota', 'abis',' pulse ',' safe ',' rich ',' card ',' key ',' pulse ',' that's', ' love ',' star ',' min ',' already ',' key ',' pulse ',' love ',' star ', ""]")</f>
        <v>['min', 'please', 'gear', 'quota', 'abis',' pulse ',' safe ',' rich ',' card ',' key ',' pulse ',' that's', ' love ',' star ',' min ',' already ',' key ',' pulse ',' love ',' star ', "]</v>
      </c>
      <c r="D13909" s="3">
        <v>5.0</v>
      </c>
    </row>
    <row r="13910" ht="15.75" customHeight="1">
      <c r="A13910" s="1">
        <v>15043.0</v>
      </c>
      <c r="B13910" s="3" t="s">
        <v>13123</v>
      </c>
      <c r="C13910" s="3" t="str">
        <f>IFERROR(__xludf.DUMMYFUNCTION("GOOGLETRANSLATE(B13910,""id"",""en"")"),"['', 'Telokmsel', 'help', 'access', 'easy', 'ngak', 'kluar', 'home', 'buy', 'package']")</f>
        <v>['', 'Telokmsel', 'help', 'access', 'easy', 'ngak', 'kluar', 'home', 'buy', 'package']</v>
      </c>
      <c r="D13910" s="3">
        <v>5.0</v>
      </c>
    </row>
    <row r="13911" ht="15.75" customHeight="1">
      <c r="A13911" s="1">
        <v>15044.0</v>
      </c>
      <c r="B13911" s="3" t="s">
        <v>13124</v>
      </c>
      <c r="C13911" s="3" t="str">
        <f>IFERROR(__xludf.DUMMYFUNCTION("GOOGLETRANSLATE(B13911,""id"",""en"")"),"['package', 'expensive', 'signal', 'strong', '']")</f>
        <v>['package', 'expensive', 'signal', 'strong', '']</v>
      </c>
      <c r="D13911" s="3">
        <v>5.0</v>
      </c>
    </row>
    <row r="13912" ht="15.75" customHeight="1">
      <c r="A13912" s="1">
        <v>15045.0</v>
      </c>
      <c r="B13912" s="3" t="s">
        <v>13125</v>
      </c>
      <c r="C13912" s="3" t="str">
        <f>IFERROR(__xludf.DUMMYFUNCTION("GOOGLETRANSLATE(B13912,""id"",""en"")"),"['Telkomsel', 'Bad', 'The network', 'annoyed']")</f>
        <v>['Telkomsel', 'Bad', 'The network', 'annoyed']</v>
      </c>
      <c r="D13912" s="3">
        <v>2.0</v>
      </c>
    </row>
    <row r="13913" ht="15.75" customHeight="1">
      <c r="A13913" s="1">
        <v>15046.0</v>
      </c>
      <c r="B13913" s="3" t="s">
        <v>13126</v>
      </c>
      <c r="C13913" s="3" t="str">
        <f>IFERROR(__xludf.DUMMYFUNCTION("GOOGLETRANSLATE(B13913,""id"",""en"")"),"['love', 'promo', 'cheap', 'customer', 'loyal', 'telkomsel']")</f>
        <v>['love', 'promo', 'cheap', 'customer', 'loyal', 'telkomsel']</v>
      </c>
      <c r="D13913" s="3">
        <v>4.0</v>
      </c>
    </row>
    <row r="13914" ht="15.75" customHeight="1">
      <c r="A13914" s="1">
        <v>15047.0</v>
      </c>
      <c r="B13914" s="3" t="s">
        <v>13127</v>
      </c>
      <c r="C13914" s="3" t="str">
        <f>IFERROR(__xludf.DUMMYFUNCTION("GOOGLETRANSLATE(B13914,""id"",""en"")"),"['promo', 'improve', 'woy', 'price', 'package', 'regular', 'change', 'cook', 'cheap', 'koq', 'expensive', 'love', ' Combo ',' cheap ',' ']")</f>
        <v>['promo', 'improve', 'woy', 'price', 'package', 'regular', 'change', 'cook', 'cheap', 'koq', 'expensive', 'love', ' Combo ',' cheap ',' ']</v>
      </c>
      <c r="D13914" s="3">
        <v>5.0</v>
      </c>
    </row>
    <row r="13915" ht="15.75" customHeight="1">
      <c r="A13915" s="1">
        <v>15048.0</v>
      </c>
      <c r="B13915" s="3" t="s">
        <v>13128</v>
      </c>
      <c r="C13915" s="3" t="str">
        <f>IFERROR(__xludf.DUMMYFUNCTION("GOOGLETRANSLATE(B13915,""id"",""en"")"),"['Good', 'network']")</f>
        <v>['Good', 'network']</v>
      </c>
      <c r="D13915" s="3">
        <v>5.0</v>
      </c>
    </row>
    <row r="13916" ht="15.75" customHeight="1">
      <c r="A13916" s="1">
        <v>15049.0</v>
      </c>
      <c r="B13916" s="3" t="s">
        <v>13129</v>
      </c>
      <c r="C13916" s="3" t="str">
        <f>IFERROR(__xludf.DUMMYFUNCTION("GOOGLETRANSLATE(B13916,""id"",""en"")"),"['Service', 'bad', 'detrimental', 'community', 'quota', 'pulse', 'chick', 'complain', 'pulse', 'truncated', 'told', 'buy', ' package ',' world ',' hereafter ',' sincere ']")</f>
        <v>['Service', 'bad', 'detrimental', 'community', 'quota', 'pulse', 'chick', 'complain', 'pulse', 'truncated', 'told', 'buy', ' package ',' world ',' hereafter ',' sincere ']</v>
      </c>
      <c r="D13916" s="3">
        <v>1.0</v>
      </c>
    </row>
    <row r="13917" ht="15.75" customHeight="1">
      <c r="A13917" s="1">
        <v>15050.0</v>
      </c>
      <c r="B13917" s="3" t="s">
        <v>13130</v>
      </c>
      <c r="C13917" s="3" t="str">
        <f>IFERROR(__xludf.DUMMYFUNCTION("GOOGLETRANSLATE(B13917,""id"",""en"")"),"['Main', 'Game', 'Sing', 'Towards',' Afternoon ',' Bad ',' Gau ',' Season ',' Kayak ',' Gini ',' Doain ',' Telkomsel ',' bankrupt ',' people ',' moved ',' network ',' game ',' AFK ',' Riport ',' missing ',' account ',' how ',' difficult ',' watch ', ""]")</f>
        <v>['Main', 'Game', 'Sing', 'Towards',' Afternoon ',' Bad ',' Gau ',' Season ',' Kayak ',' Gini ',' Doain ',' Telkomsel ',' bankrupt ',' people ',' moved ',' network ',' game ',' AFK ',' Riport ',' missing ',' account ',' how ',' difficult ',' watch ', "]</v>
      </c>
      <c r="D13917" s="3">
        <v>1.0</v>
      </c>
    </row>
    <row r="13918" ht="15.75" customHeight="1">
      <c r="A13918" s="1">
        <v>15051.0</v>
      </c>
      <c r="B13918" s="3" t="s">
        <v>13131</v>
      </c>
      <c r="C13918" s="3" t="str">
        <f>IFERROR(__xludf.DUMMYFUNCTION("GOOGLETRANSLATE(B13918,""id"",""en"")"),"['Sekarng', 'slow', 'NOT']")</f>
        <v>['Sekarng', 'slow', 'NOT']</v>
      </c>
      <c r="D13918" s="3">
        <v>5.0</v>
      </c>
    </row>
    <row r="13919" ht="15.75" customHeight="1">
      <c r="A13919" s="1">
        <v>15052.0</v>
      </c>
      <c r="B13919" s="3" t="s">
        <v>13132</v>
      </c>
      <c r="C13919" s="3" t="str">
        <f>IFERROR(__xludf.DUMMYFUNCTION("GOOGLETRANSLATE(B13919,""id"",""en"")"),"['Promo', 'Telkomsel']")</f>
        <v>['Promo', 'Telkomsel']</v>
      </c>
      <c r="D13919" s="3">
        <v>4.0</v>
      </c>
    </row>
    <row r="13920" ht="15.75" customHeight="1">
      <c r="A13920" s="1">
        <v>15053.0</v>
      </c>
      <c r="B13920" s="3" t="s">
        <v>13133</v>
      </c>
      <c r="C13920" s="3" t="str">
        <f>IFERROR(__xludf.DUMMYFUNCTION("GOOGLETRANSLATE(B13920,""id"",""en"")"),"['Package', 'Internet', 'monthly', 'expensive', 'skrg']")</f>
        <v>['Package', 'Internet', 'monthly', 'expensive', 'skrg']</v>
      </c>
      <c r="D13920" s="3">
        <v>3.0</v>
      </c>
    </row>
    <row r="13921" ht="15.75" customHeight="1">
      <c r="A13921" s="1">
        <v>15054.0</v>
      </c>
      <c r="B13921" s="3" t="s">
        <v>13134</v>
      </c>
      <c r="C13921" s="3" t="str">
        <f>IFERROR(__xludf.DUMMYFUNCTION("GOOGLETRANSLATE(B13921,""id"",""en"")"),"['Baek', 'Pay']")</f>
        <v>['Baek', 'Pay']</v>
      </c>
      <c r="D13921" s="3">
        <v>5.0</v>
      </c>
    </row>
    <row r="13922" ht="15.75" customHeight="1">
      <c r="A13922" s="1">
        <v>15055.0</v>
      </c>
      <c r="B13922" s="3" t="s">
        <v>7600</v>
      </c>
      <c r="C13922" s="3" t="str">
        <f>IFERROR(__xludf.DUMMYFUNCTION("GOOGLETRANSLATE(B13922,""id"",""en"")"),"['hopefully', '']")</f>
        <v>['hopefully', '']</v>
      </c>
      <c r="D13922" s="3">
        <v>5.0</v>
      </c>
    </row>
    <row r="13923" ht="15.75" customHeight="1">
      <c r="A13923" s="1">
        <v>15056.0</v>
      </c>
      <c r="B13923" s="3" t="s">
        <v>13135</v>
      </c>
      <c r="C13923" s="3" t="str">
        <f>IFERROR(__xludf.DUMMYFUNCTION("GOOGLETRANSLATE(B13923,""id"",""en"")"),"['Increases',' Telkomsel ',' Credit ',' Contents', 'Datux', 'Life', 'Please', 'Cut', 'Pulses',' Karna ',' Internet ',' Package ',' Internet ',' buy ',' ']")</f>
        <v>['Increases',' Telkomsel ',' Credit ',' Contents', 'Datux', 'Life', 'Please', 'Cut', 'Pulses',' Karna ',' Internet ',' Package ',' Internet ',' buy ',' ']</v>
      </c>
      <c r="D13923" s="3">
        <v>5.0</v>
      </c>
    </row>
    <row r="13924" ht="15.75" customHeight="1">
      <c r="A13924" s="1">
        <v>15057.0</v>
      </c>
      <c r="B13924" s="3" t="s">
        <v>13136</v>
      </c>
      <c r="C13924" s="3" t="str">
        <f>IFERROR(__xludf.DUMMYFUNCTION("GOOGLETRANSLATE(B13924,""id"",""en"")"),"['Telkomsel', 'skrg', 'klwr', 'sndri', 'app', 'sya', 'trs',' login ',' pkai ',' number ',' entry ',' wktu ',' Points', 'Sya', 'Adlh', 'TB', 'Lost', 'Weird', 'Dlu', 'Klu', 'Points',' BYK ',' TTP ',' WLPN ',' BRTMBH ' , 'Lost', 'Disappointed', 'PDHL', 'Telk"&amp;"omsel', 'App', 'Sya', 'like', 'Dlu', ""]")</f>
        <v>['Telkomsel', 'skrg', 'klwr', 'sndri', 'app', 'sya', 'trs',' login ',' pkai ',' number ',' entry ',' wktu ',' Points', 'Sya', 'Adlh', 'TB', 'Lost', 'Weird', 'Dlu', 'Klu', 'Points',' BYK ',' TTP ',' WLPN ',' BRTMBH ' , 'Lost', 'Disappointed', 'PDHL', 'Telkomsel', 'App', 'Sya', 'like', 'Dlu', "]</v>
      </c>
      <c r="D13924" s="3">
        <v>2.0</v>
      </c>
    </row>
    <row r="13925" ht="15.75" customHeight="1">
      <c r="A13925" s="1">
        <v>15059.0</v>
      </c>
      <c r="B13925" s="3" t="s">
        <v>2914</v>
      </c>
      <c r="C13925" s="3" t="str">
        <f>IFERROR(__xludf.DUMMYFUNCTION("GOOGLETRANSLATE(B13925,""id"",""en"")"),"['Good', 'help']")</f>
        <v>['Good', 'help']</v>
      </c>
      <c r="D13925" s="3">
        <v>5.0</v>
      </c>
    </row>
    <row r="13926" ht="15.75" customHeight="1">
      <c r="A13926" s="1">
        <v>15060.0</v>
      </c>
      <c r="B13926" s="3" t="s">
        <v>13137</v>
      </c>
      <c r="C13926" s="3" t="str">
        <f>IFERROR(__xludf.DUMMYFUNCTION("GOOGLETRANSLATE(B13926,""id"",""en"")"),"['Error', 'Mulu', 'Season']")</f>
        <v>['Error', 'Mulu', 'Season']</v>
      </c>
      <c r="D13926" s="3">
        <v>3.0</v>
      </c>
    </row>
    <row r="13927" ht="15.75" customHeight="1">
      <c r="A13927" s="1">
        <v>15061.0</v>
      </c>
      <c r="B13927" s="3" t="s">
        <v>6640</v>
      </c>
      <c r="C13927" s="3" t="str">
        <f>IFERROR(__xludf.DUMMYFUNCTION("GOOGLETRANSLATE(B13927,""id"",""en"")"),"['Setia', 'Telkomsel']")</f>
        <v>['Setia', 'Telkomsel']</v>
      </c>
      <c r="D13927" s="3">
        <v>4.0</v>
      </c>
    </row>
    <row r="13928" ht="15.75" customHeight="1">
      <c r="A13928" s="1">
        <v>15062.0</v>
      </c>
      <c r="B13928" s="3" t="s">
        <v>13138</v>
      </c>
      <c r="C13928" s="3" t="str">
        <f>IFERROR(__xludf.DUMMYFUNCTION("GOOGLETRANSLATE(B13928,""id"",""en"")"),"['update', 'full', 'bug', 'lalot', 'forgiveness']")</f>
        <v>['update', 'full', 'bug', 'lalot', 'forgiveness']</v>
      </c>
      <c r="D13928" s="3">
        <v>1.0</v>
      </c>
    </row>
    <row r="13929" ht="15.75" customHeight="1">
      <c r="A13929" s="1">
        <v>15063.0</v>
      </c>
      <c r="B13929" s="3" t="s">
        <v>13139</v>
      </c>
      <c r="C13929" s="3" t="str">
        <f>IFERROR(__xludf.DUMMYFUNCTION("GOOGLETRANSLATE(B13929,""id"",""en"")"),"['network', 'strength', 'internet', '']")</f>
        <v>['network', 'strength', 'internet', '']</v>
      </c>
      <c r="D13929" s="3">
        <v>1.0</v>
      </c>
    </row>
    <row r="13930" ht="15.75" customHeight="1">
      <c r="A13930" s="1">
        <v>15064.0</v>
      </c>
      <c r="B13930" s="3" t="s">
        <v>13140</v>
      </c>
      <c r="C13930" s="3" t="str">
        <f>IFERROR(__xludf.DUMMYFUNCTION("GOOGLETRANSLATE(B13930,""id"",""en"")"),"['Tumbenan', 'Telkomsel', 'gabisa', 'opened', 'contents',' pulse ',' brisonline ',' night ',' kog ',' pulse ',' entry ',' gapernah ',' kek ',' gni ',' pulse ',' slalu ',' cut ',' package ',' credit ',' sympathy ',' pulse ',' please ',' repaired ',' thx ',"&amp;"' uda ' , 'November', 'Telkomsel', 'disorder', 'yach', 'knapa', 'always', 'kluar', 'application', '']")</f>
        <v>['Tumbenan', 'Telkomsel', 'gabisa', 'opened', 'contents',' pulse ',' brisonline ',' night ',' kog ',' pulse ',' entry ',' gapernah ',' kek ',' gni ',' pulse ',' slalu ',' cut ',' package ',' credit ',' sympathy ',' pulse ',' please ',' repaired ',' thx ',' uda ' , 'November', 'Telkomsel', 'disorder', 'yach', 'knapa', 'always', 'kluar', 'application', '']</v>
      </c>
      <c r="D13930" s="3">
        <v>1.0</v>
      </c>
    </row>
    <row r="13931" ht="15.75" customHeight="1">
      <c r="A13931" s="1">
        <v>15065.0</v>
      </c>
      <c r="B13931" s="3" t="s">
        <v>13141</v>
      </c>
      <c r="C13931" s="3" t="str">
        <f>IFERROR(__xludf.DUMMYFUNCTION("GOOGLETRANSLATE(B13931,""id"",""en"")"),"['WOI', 'The network', 'Leg', 'How', '']")</f>
        <v>['WOI', 'The network', 'Leg', 'How', '']</v>
      </c>
      <c r="D13931" s="3">
        <v>1.0</v>
      </c>
    </row>
    <row r="13932" ht="15.75" customHeight="1">
      <c r="A13932" s="1">
        <v>15066.0</v>
      </c>
      <c r="B13932" s="3" t="s">
        <v>13142</v>
      </c>
      <c r="C13932" s="3" t="str">
        <f>IFERROR(__xludf.DUMMYFUNCTION("GOOGLETRANSLATE(B13932,""id"",""en"")"),"['Pokoe', 'TelkomselMh', 'Loading', 'Position', 'Plantation']")</f>
        <v>['Pokoe', 'TelkomselMh', 'Loading', 'Position', 'Plantation']</v>
      </c>
      <c r="D13932" s="3">
        <v>5.0</v>
      </c>
    </row>
    <row r="13933" ht="15.75" customHeight="1">
      <c r="A13933" s="1">
        <v>15067.0</v>
      </c>
      <c r="B13933" s="3" t="s">
        <v>13143</v>
      </c>
      <c r="C13933" s="3" t="str">
        <f>IFERROR(__xludf.DUMMYFUNCTION("GOOGLETRANSLATE(B13933,""id"",""en"")"),"['Jrang', 'disorder']")</f>
        <v>['Jrang', 'disorder']</v>
      </c>
      <c r="D13933" s="3">
        <v>5.0</v>
      </c>
    </row>
    <row r="13934" ht="15.75" customHeight="1">
      <c r="A13934" s="1">
        <v>15068.0</v>
      </c>
      <c r="B13934" s="3" t="s">
        <v>13144</v>
      </c>
      <c r="C13934" s="3" t="str">
        <f>IFERROR(__xludf.DUMMYFUNCTION("GOOGLETRANSLATE(B13934,""id"",""en"")"),"['Quality', 'quality', 'please', 'repaired']")</f>
        <v>['Quality', 'quality', 'please', 'repaired']</v>
      </c>
      <c r="D13934" s="3">
        <v>4.0</v>
      </c>
    </row>
    <row r="13935" ht="15.75" customHeight="1">
      <c r="A13935" s="1">
        <v>15069.0</v>
      </c>
      <c r="B13935" s="3" t="s">
        <v>13145</v>
      </c>
      <c r="C13935" s="3" t="str">
        <f>IFERROR(__xludf.DUMMYFUNCTION("GOOGLETRANSLATE(B13935,""id"",""en"")"),"['blame', 'servant', 'Telkomsel', 'satisfying', 'satisfying']")</f>
        <v>['blame', 'servant', 'Telkomsel', 'satisfying', 'satisfying']</v>
      </c>
      <c r="D13935" s="3">
        <v>1.0</v>
      </c>
    </row>
    <row r="13936" ht="15.75" customHeight="1">
      <c r="A13936" s="1">
        <v>15070.0</v>
      </c>
      <c r="B13936" s="3" t="s">
        <v>13146</v>
      </c>
      <c r="C13936" s="3" t="str">
        <f>IFERROR(__xludf.DUMMYFUNCTION("GOOGLETRANSLATE(B13936,""id"",""en"")"),"['Network', 'ugly', 'clearsss']")</f>
        <v>['Network', 'ugly', 'clearsss']</v>
      </c>
      <c r="D13936" s="3">
        <v>1.0</v>
      </c>
    </row>
    <row r="13937" ht="15.75" customHeight="1">
      <c r="A13937" s="1">
        <v>15071.0</v>
      </c>
      <c r="B13937" s="3" t="s">
        <v>13147</v>
      </c>
      <c r="C13937" s="3" t="str">
        <f>IFERROR(__xludf.DUMMYFUNCTION("GOOGLETRANSLATE(B13937,""id"",""en"")"),"['Honest', 'user', 'card', 'Telkomsel', 'disappointed', 'network', 'stable', 'play', 'game', 'open', 'application', ' electricity ',' dead ',' rain ',' signal ',' please ',' repaired ',' the network ',' ']")</f>
        <v>['Honest', 'user', 'card', 'Telkomsel', 'disappointed', 'network', 'stable', 'play', 'game', 'open', 'application', ' electricity ',' dead ',' rain ',' signal ',' please ',' repaired ',' the network ',' ']</v>
      </c>
      <c r="D13937" s="3">
        <v>1.0</v>
      </c>
    </row>
    <row r="13938" ht="15.75" customHeight="1">
      <c r="A13938" s="1">
        <v>15072.0</v>
      </c>
      <c r="B13938" s="3" t="s">
        <v>13148</v>
      </c>
      <c r="C13938" s="3" t="str">
        <f>IFERROR(__xludf.DUMMYFUNCTION("GOOGLETRANSLATE(B13938,""id"",""en"")"),"['Kren', 'help', ""]")</f>
        <v>['Kren', 'help', "]</v>
      </c>
      <c r="D13938" s="3">
        <v>5.0</v>
      </c>
    </row>
    <row r="13939" ht="15.75" customHeight="1">
      <c r="A13939" s="1">
        <v>15073.0</v>
      </c>
      <c r="B13939" s="3" t="s">
        <v>13149</v>
      </c>
      <c r="C13939" s="3" t="str">
        <f>IFERROR(__xludf.DUMMYFUNCTION("GOOGLETRANSLATE(B13939,""id"",""en"")"),"['boring']")</f>
        <v>['boring']</v>
      </c>
      <c r="D13939" s="3">
        <v>4.0</v>
      </c>
    </row>
    <row r="13940" ht="15.75" customHeight="1">
      <c r="A13940" s="1">
        <v>15074.0</v>
      </c>
      <c r="B13940" s="3" t="s">
        <v>5455</v>
      </c>
      <c r="C13940" s="3" t="str">
        <f>IFERROR(__xludf.DUMMYFUNCTION("GOOGLETRANSLATE(B13940,""id"",""en"")"),"['Practical', '']")</f>
        <v>['Practical', '']</v>
      </c>
      <c r="D13940" s="3">
        <v>5.0</v>
      </c>
    </row>
    <row r="13941" ht="15.75" customHeight="1">
      <c r="A13941" s="1">
        <v>15075.0</v>
      </c>
      <c r="B13941" s="3" t="s">
        <v>13150</v>
      </c>
      <c r="C13941" s="3" t="str">
        <f>IFERROR(__xludf.DUMMYFUNCTION("GOOGLETRANSLATE(B13941,""id"",""en"")"),"['Network', 'Telkomsel', 'broke', 'connection']")</f>
        <v>['Network', 'Telkomsel', 'broke', 'connection']</v>
      </c>
      <c r="D13941" s="3">
        <v>2.0</v>
      </c>
    </row>
    <row r="13942" ht="15.75" customHeight="1">
      <c r="A13942" s="1">
        <v>15076.0</v>
      </c>
      <c r="B13942" s="3" t="s">
        <v>13151</v>
      </c>
      <c r="C13942" s="3" t="str">
        <f>IFERROR(__xludf.DUMMYFUNCTION("GOOGLETRANSLATE(B13942,""id"",""en"")"),"['Likes', 'APK', 'Internet', 'Free', 'Mulu', 'Delicious', 'Tiktokan']")</f>
        <v>['Likes', 'APK', 'Internet', 'Free', 'Mulu', 'Delicious', 'Tiktokan']</v>
      </c>
      <c r="D13942" s="3">
        <v>5.0</v>
      </c>
    </row>
    <row r="13943" ht="15.75" customHeight="1">
      <c r="A13943" s="1">
        <v>15077.0</v>
      </c>
      <c r="B13943" s="3" t="s">
        <v>13152</v>
      </c>
      <c r="C13943" s="3" t="str">
        <f>IFERROR(__xludf.DUMMYFUNCTION("GOOGLETRANSLATE(B13943,""id"",""en"")"),"['slow network', '']")</f>
        <v>['slow network', '']</v>
      </c>
      <c r="D13943" s="3">
        <v>2.0</v>
      </c>
    </row>
    <row r="13944" ht="15.75" customHeight="1">
      <c r="A13944" s="1">
        <v>15079.0</v>
      </c>
      <c r="B13944" s="3" t="s">
        <v>13153</v>
      </c>
      <c r="C13944" s="3" t="str">
        <f>IFERROR(__xludf.DUMMYFUNCTION("GOOGLETRANSLATE(B13944,""id"",""en"")"),"['Useful']")</f>
        <v>['Useful']</v>
      </c>
      <c r="D13944" s="3">
        <v>4.0</v>
      </c>
    </row>
    <row r="13945" ht="15.75" customHeight="1">
      <c r="A13945" s="1">
        <v>15081.0</v>
      </c>
      <c r="B13945" s="3" t="s">
        <v>13154</v>
      </c>
      <c r="C13945" s="3" t="str">
        <f>IFERROR(__xludf.DUMMYFUNCTION("GOOGLETRANSLATE(B13945,""id"",""en"")"),"['Good', 'apk', 'sagat', 'help']")</f>
        <v>['Good', 'apk', 'sagat', 'help']</v>
      </c>
      <c r="D13945" s="3">
        <v>5.0</v>
      </c>
    </row>
    <row r="13946" ht="15.75" customHeight="1">
      <c r="A13946" s="1">
        <v>15082.0</v>
      </c>
      <c r="B13946" s="3" t="s">
        <v>13155</v>
      </c>
      <c r="C13946" s="3" t="str">
        <f>IFERROR(__xludf.DUMMYFUNCTION("GOOGLETRANSLATE(B13946,""id"",""en"")"),"['network', 'area', 'kayak', 'taik', 'consistent', 'Telkomsel', 'expensive', 'doank', 'quality', 'anjjj']")</f>
        <v>['network', 'area', 'kayak', 'taik', 'consistent', 'Telkomsel', 'expensive', 'doank', 'quality', 'anjjj']</v>
      </c>
      <c r="D13946" s="3">
        <v>1.0</v>
      </c>
    </row>
    <row r="13947" ht="15.75" customHeight="1">
      <c r="A13947" s="1">
        <v>15083.0</v>
      </c>
      <c r="B13947" s="3" t="s">
        <v>1271</v>
      </c>
      <c r="C13947" s="3" t="str">
        <f>IFERROR(__xludf.DUMMYFUNCTION("GOOGLETRANSLATE(B13947,""id"",""en"")"),"['thank', 'love', 'Telkomsel']")</f>
        <v>['thank', 'love', 'Telkomsel']</v>
      </c>
      <c r="D13947" s="3">
        <v>5.0</v>
      </c>
    </row>
    <row r="13948" ht="15.75" customHeight="1">
      <c r="A13948" s="1">
        <v>15084.0</v>
      </c>
      <c r="B13948" s="3" t="s">
        <v>13156</v>
      </c>
      <c r="C13948" s="3" t="str">
        <f>IFERROR(__xludf.DUMMYFUNCTION("GOOGLETRANSLATE(B13948,""id"",""en"")"),"['Lally', 'promo', 'min', 'thank you', 'greetings', 'user', 'loyal', 'Telkomsel', ""]")</f>
        <v>['Lally', 'promo', 'min', 'thank you', 'greetings', 'user', 'loyal', 'Telkomsel', "]</v>
      </c>
      <c r="D13948" s="3">
        <v>5.0</v>
      </c>
    </row>
    <row r="13949" ht="15.75" customHeight="1">
      <c r="A13949" s="1">
        <v>15085.0</v>
      </c>
      <c r="B13949" s="3" t="s">
        <v>13157</v>
      </c>
      <c r="C13949" s="3" t="str">
        <f>IFERROR(__xludf.DUMMYFUNCTION("GOOGLETRANSLATE(B13949,""id"",""en"")"),"['Stay', 'City', 'Serasa', 'Stay', 'Disaster', 'Welort', 'The Network', 'Virtue', 'Good', 'Network', 'Telkom', 'Already', ' good', '']")</f>
        <v>['Stay', 'City', 'Serasa', 'Stay', 'Disaster', 'Welort', 'The Network', 'Virtue', 'Good', 'Network', 'Telkom', 'Already', ' good', '']</v>
      </c>
      <c r="D13949" s="3">
        <v>1.0</v>
      </c>
    </row>
    <row r="13950" ht="15.75" customHeight="1">
      <c r="A13950" s="1">
        <v>15087.0</v>
      </c>
      <c r="B13950" s="3" t="s">
        <v>4057</v>
      </c>
      <c r="C13950" s="3" t="str">
        <f>IFERROR(__xludf.DUMMYFUNCTION("GOOGLETRANSLATE(B13950,""id"",""en"")"),"['The application', 'steady']")</f>
        <v>['The application', 'steady']</v>
      </c>
      <c r="D13950" s="3">
        <v>5.0</v>
      </c>
    </row>
    <row r="13951" ht="15.75" customHeight="1">
      <c r="A13951" s="1">
        <v>15089.0</v>
      </c>
      <c r="B13951" s="3" t="s">
        <v>13158</v>
      </c>
      <c r="C13951" s="3" t="str">
        <f>IFERROR(__xludf.DUMMYFUNCTION("GOOGLETRANSLATE(B13951,""id"",""en"")"),"['application', 'useful', 'buy', 'package', 'pulse', 'sms', 'notification', 'pulse']")</f>
        <v>['application', 'useful', 'buy', 'package', 'pulse', 'sms', 'notification', 'pulse']</v>
      </c>
      <c r="D13951" s="3">
        <v>1.0</v>
      </c>
    </row>
    <row r="13952" ht="15.75" customHeight="1">
      <c r="A13952" s="1">
        <v>15090.0</v>
      </c>
      <c r="B13952" s="3" t="s">
        <v>13159</v>
      </c>
      <c r="C13952" s="3" t="str">
        <f>IFERROR(__xludf.DUMMYFUNCTION("GOOGLETRANSLATE(B13952,""id"",""en"")"),"['Gift', 'Tired', 'Direct', 'Partner', 'Telkomsel']")</f>
        <v>['Gift', 'Tired', 'Direct', 'Partner', 'Telkomsel']</v>
      </c>
      <c r="D13952" s="3">
        <v>5.0</v>
      </c>
    </row>
    <row r="13953" ht="15.75" customHeight="1">
      <c r="A13953" s="1">
        <v>15091.0</v>
      </c>
      <c r="B13953" s="3" t="s">
        <v>2914</v>
      </c>
      <c r="C13953" s="3" t="str">
        <f>IFERROR(__xludf.DUMMYFUNCTION("GOOGLETRANSLATE(B13953,""id"",""en"")"),"['Good', 'help']")</f>
        <v>['Good', 'help']</v>
      </c>
      <c r="D13953" s="3">
        <v>5.0</v>
      </c>
    </row>
    <row r="13954" ht="15.75" customHeight="1">
      <c r="A13954" s="1">
        <v>15092.0</v>
      </c>
      <c r="B13954" s="3" t="s">
        <v>13160</v>
      </c>
      <c r="C13954" s="3" t="str">
        <f>IFERROR(__xludf.DUMMYFUNCTION("GOOGLETRANSLATE(B13954,""id"",""en"")"),"['pls', 'free']")</f>
        <v>['pls', 'free']</v>
      </c>
      <c r="D13954" s="3">
        <v>5.0</v>
      </c>
    </row>
    <row r="13955" ht="15.75" customHeight="1">
      <c r="A13955" s="1">
        <v>15093.0</v>
      </c>
      <c r="B13955" s="3" t="s">
        <v>6817</v>
      </c>
      <c r="C13955" s="3" t="str">
        <f>IFERROR(__xludf.DUMMYFUNCTION("GOOGLETRANSLATE(B13955,""id"",""en"")"),"['Good', 'satisfied']")</f>
        <v>['Good', 'satisfied']</v>
      </c>
      <c r="D13955" s="3">
        <v>5.0</v>
      </c>
    </row>
    <row r="13956" ht="15.75" customHeight="1">
      <c r="A13956" s="1">
        <v>15094.0</v>
      </c>
      <c r="B13956" s="3" t="s">
        <v>13161</v>
      </c>
      <c r="C13956" s="3" t="str">
        <f>IFERROR(__xludf.DUMMYFUNCTION("GOOGLETRANSLATE(B13956,""id"",""en"")"),"['Disappointed', 'Telkomsel', 'Sory', 'Make', 'Service', 'Internet', 'Telkomsel', 'Services',' Internet ',' Believe ',' Telkomsel ',' Bye ',' Telkomsel ',' Service ',' Telkomsel ',' Telfn ',' Catfn ',' ']")</f>
        <v>['Disappointed', 'Telkomsel', 'Sory', 'Make', 'Service', 'Internet', 'Telkomsel', 'Services',' Internet ',' Believe ',' Telkomsel ',' Bye ',' Telkomsel ',' Service ',' Telkomsel ',' Telfn ',' Catfn ',' ']</v>
      </c>
      <c r="D13956" s="3">
        <v>1.0</v>
      </c>
    </row>
    <row r="13957" ht="15.75" customHeight="1">
      <c r="A13957" s="1">
        <v>15095.0</v>
      </c>
      <c r="B13957" s="3" t="s">
        <v>13162</v>
      </c>
      <c r="C13957" s="3" t="str">
        <f>IFERROR(__xludf.DUMMYFUNCTION("GOOGLETRANSLATE(B13957,""id"",""en"")"),"['Help', 'Application', 'Price', 'Ultimated', 'Price', 'Economical', 'Champion', 'User', 'Card', 'Telkomsel', 'mkasih']")</f>
        <v>['Help', 'Application', 'Price', 'Ultimated', 'Price', 'Economical', 'Champion', 'User', 'Card', 'Telkomsel', 'mkasih']</v>
      </c>
      <c r="D13957" s="3">
        <v>5.0</v>
      </c>
    </row>
    <row r="13958" ht="15.75" customHeight="1">
      <c r="A13958" s="1">
        <v>15097.0</v>
      </c>
      <c r="B13958" s="3" t="s">
        <v>13163</v>
      </c>
      <c r="C13958" s="3" t="str">
        <f>IFERROR(__xludf.DUMMYFUNCTION("GOOGLETRANSLATE(B13958,""id"",""en"")"),"['difficult', 'ngetikan', 'TLP', 'times', 'enter', 'application', 'Different', 'version']")</f>
        <v>['difficult', 'ngetikan', 'TLP', 'times', 'enter', 'application', 'Different', 'version']</v>
      </c>
      <c r="D13958" s="3">
        <v>1.0</v>
      </c>
    </row>
    <row r="13959" ht="15.75" customHeight="1">
      <c r="A13959" s="1">
        <v>15098.0</v>
      </c>
      <c r="B13959" s="3" t="s">
        <v>13164</v>
      </c>
      <c r="C13959" s="3" t="str">
        <f>IFERROR(__xludf.DUMMYFUNCTION("GOOGLETRANSLATE(B13959,""id"",""en"")"),"['Marketing', 'Potential', 'Package', 'Data', 'Trapping', 'Weve', 'Uda', 'Pograms',' Klu ',' Hbs', 'Package', 'Main', ' Super ',' slow ',' klu ',' filled ',' package ',' main ',' smooth ',' Jaya ',' less', 'marketing', 'trapping', 'less',' promo ' , 'trap"&amp;"ped']")</f>
        <v>['Marketing', 'Potential', 'Package', 'Data', 'Trapping', 'Weve', 'Uda', 'Pograms',' Klu ',' Hbs', 'Package', 'Main', ' Super ',' slow ',' klu ',' filled ',' package ',' main ',' smooth ',' Jaya ',' less', 'marketing', 'trapping', 'less',' promo ' , 'trapped']</v>
      </c>
      <c r="D13959" s="3">
        <v>2.0</v>
      </c>
    </row>
    <row r="13960" ht="15.75" customHeight="1">
      <c r="A13960" s="1">
        <v>15099.0</v>
      </c>
      <c r="B13960" s="3" t="s">
        <v>1347</v>
      </c>
      <c r="C13960" s="3" t="str">
        <f>IFERROR(__xludf.DUMMYFUNCTION("GOOGLETRANSLATE(B13960,""id"",""en"")"),"['Package', 'Internet', 'expensive']")</f>
        <v>['Package', 'Internet', 'expensive']</v>
      </c>
      <c r="D13960" s="3">
        <v>3.0</v>
      </c>
    </row>
    <row r="13961" ht="15.75" customHeight="1">
      <c r="A13961" s="1">
        <v>15100.0</v>
      </c>
      <c r="B13961" s="3" t="s">
        <v>13165</v>
      </c>
      <c r="C13961" s="3" t="str">
        <f>IFERROR(__xludf.DUMMYFUNCTION("GOOGLETRANSLATE(B13961,""id"",""en"")"),"['already', 'login', 'via', 'Facebook', '']")</f>
        <v>['already', 'login', 'via', 'Facebook', '']</v>
      </c>
      <c r="D13961" s="3">
        <v>1.0</v>
      </c>
    </row>
    <row r="13962" ht="15.75" customHeight="1">
      <c r="A13962" s="1">
        <v>15101.0</v>
      </c>
      <c r="B13962" s="3" t="s">
        <v>13166</v>
      </c>
      <c r="C13962" s="3" t="str">
        <f>IFERROR(__xludf.DUMMYFUNCTION("GOOGLETRANSLATE(B13962,""id"",""en"")"),"['Kenda', 'in the area', 'maximum']")</f>
        <v>['Kenda', 'in the area', 'maximum']</v>
      </c>
      <c r="D13962" s="3">
        <v>4.0</v>
      </c>
    </row>
    <row r="13963" ht="15.75" customHeight="1">
      <c r="A13963" s="1">
        <v>15102.0</v>
      </c>
      <c r="B13963" s="3" t="s">
        <v>11872</v>
      </c>
      <c r="C13963" s="3" t="str">
        <f>IFERROR(__xludf.DUMMYFUNCTION("GOOGLETRANSLATE(B13963,""id"",""en"")"),"['Service']")</f>
        <v>['Service']</v>
      </c>
      <c r="D13963" s="3">
        <v>5.0</v>
      </c>
    </row>
    <row r="13964" ht="15.75" customHeight="1">
      <c r="A13964" s="1">
        <v>15103.0</v>
      </c>
      <c r="B13964" s="3" t="s">
        <v>13167</v>
      </c>
      <c r="C13964" s="3" t="str">
        <f>IFERROR(__xludf.DUMMYFUNCTION("GOOGLETRANSLATE(B13964,""id"",""en"")"),"['efficient', 'easy', 'transaction']")</f>
        <v>['efficient', 'easy', 'transaction']</v>
      </c>
      <c r="D13964" s="3">
        <v>5.0</v>
      </c>
    </row>
    <row r="13965" ht="15.75" customHeight="1">
      <c r="A13965" s="1">
        <v>15104.0</v>
      </c>
      <c r="B13965" s="3" t="s">
        <v>13168</v>
      </c>
      <c r="C13965" s="3" t="str">
        <f>IFERROR(__xludf.DUMMYFUNCTION("GOOGLETRANSLATE(B13965,""id"",""en"")"),"['easy', 'choose', 'package', 'help']")</f>
        <v>['easy', 'choose', 'package', 'help']</v>
      </c>
      <c r="D13965" s="3">
        <v>5.0</v>
      </c>
    </row>
    <row r="13966" ht="15.75" customHeight="1">
      <c r="A13966" s="1">
        <v>15105.0</v>
      </c>
      <c r="B13966" s="3" t="s">
        <v>13169</v>
      </c>
      <c r="C13966" s="3" t="str">
        <f>IFERROR(__xludf.DUMMYFUNCTION("GOOGLETRANSLATE(B13966,""id"",""en"")"),"['Distribution', 'quota', 'service', 'buy', 'quota', 'multimedia', '']")</f>
        <v>['Distribution', 'quota', 'service', 'buy', 'quota', 'multimedia', '']</v>
      </c>
      <c r="D13966" s="3">
        <v>3.0</v>
      </c>
    </row>
    <row r="13967" ht="15.75" customHeight="1">
      <c r="A13967" s="1">
        <v>15106.0</v>
      </c>
      <c r="B13967" s="3" t="s">
        <v>13170</v>
      </c>
      <c r="C13967" s="3" t="str">
        <f>IFERROR(__xludf.DUMMYFUNCTION("GOOGLETRANSLATE(B13967,""id"",""en"")"),"['Like', 'Bngt', 'APK', 'JGA', 'SAY', 'Quota', 'Internet', 'Pulses',' Sucked ',' Please ',' Given ',' Feature ',' the key ',' pulse ',' sumps', 'that's',' quota ',' already ',' run out ',' suck ',' pulse ',' no ',' aba ',' aba ',' direct ' , 'already', 'a"&amp;"bis', 'pulses', 'internetny', 'please', 'yaaaaa', 'plisss', 'suck', 'pulse', 'tired', 'tired', 'ngisaa']")</f>
        <v>['Like', 'Bngt', 'APK', 'JGA', 'SAY', 'Quota', 'Internet', 'Pulses',' Sucked ',' Please ',' Given ',' Feature ',' the key ',' pulse ',' sumps', 'that's',' quota ',' already ',' run out ',' suck ',' pulse ',' no ',' aba ',' aba ',' direct ' , 'already', 'abis', 'pulses', 'internetny', 'please', 'yaaaaa', 'plisss', 'suck', 'pulse', 'tired', 'tired', 'ngisaa']</v>
      </c>
      <c r="D13967" s="3">
        <v>4.0</v>
      </c>
    </row>
    <row r="13968" ht="15.75" customHeight="1">
      <c r="A13968" s="1">
        <v>15108.0</v>
      </c>
      <c r="B13968" s="3" t="s">
        <v>13171</v>
      </c>
      <c r="C13968" s="3" t="str">
        <f>IFERROR(__xludf.DUMMYFUNCTION("GOOGLETRANSLATE(B13968,""id"",""en"")"),"['It's easy', 'promo']")</f>
        <v>['It's easy', 'promo']</v>
      </c>
      <c r="D13968" s="3">
        <v>5.0</v>
      </c>
    </row>
    <row r="13969" ht="15.75" customHeight="1">
      <c r="A13969" s="1">
        <v>15109.0</v>
      </c>
      <c r="B13969" s="3" t="s">
        <v>13172</v>
      </c>
      <c r="C13969" s="3" t="str">
        <f>IFERROR(__xludf.DUMMYFUNCTION("GOOGLETRANSLATE(B13969,""id"",""en"")"),"['Package', 'Data', 'Mihil', '']")</f>
        <v>['Package', 'Data', 'Mihil', '']</v>
      </c>
      <c r="D13969" s="3">
        <v>5.0</v>
      </c>
    </row>
    <row r="13970" ht="15.75" customHeight="1">
      <c r="A13970" s="1">
        <v>15110.0</v>
      </c>
      <c r="B13970" s="3" t="s">
        <v>13173</v>
      </c>
      <c r="C13970" s="3" t="str">
        <f>IFERROR(__xludf.DUMMYFUNCTION("GOOGLETRANSLATE(B13970,""id"",""en"")"),"['Sorry', 'contents',' credit ',' extend ',' lifetime ',' number ',' already ',' needed ',' comment ',' package ',' expensive ',' turn ',' interesting ',' limited ',' package ',' buy ',' redundant ',' package ',' ompppun ',' slow ',' stuck ',' road ',' bl"&amp;"as', 'buy', 'pulse' , 'Sumpot', 'Package', 'Data', 'Out', 'Karna', 'Credit', 'Locked', 'SERBA', 'SALE', 'Endured', 'bought', 'Number', ' Trima ',' Kasih ',' Ryesel ',' Card ',' Telkomsel ', ""]")</f>
        <v>['Sorry', 'contents',' credit ',' extend ',' lifetime ',' number ',' already ',' needed ',' comment ',' package ',' expensive ',' turn ',' interesting ',' limited ',' package ',' buy ',' redundant ',' package ',' ompppun ',' slow ',' stuck ',' road ',' blas', 'buy', 'pulse' , 'Sumpot', 'Package', 'Data', 'Out', 'Karna', 'Credit', 'Locked', 'SERBA', 'SALE', 'Endured', 'bought', 'Number', ' Trima ',' Kasih ',' Ryesel ',' Card ',' Telkomsel ', "]</v>
      </c>
      <c r="D13970" s="3">
        <v>1.0</v>
      </c>
    </row>
    <row r="13971" ht="15.75" customHeight="1">
      <c r="A13971" s="1">
        <v>15111.0</v>
      </c>
      <c r="B13971" s="3" t="s">
        <v>11546</v>
      </c>
      <c r="C13971" s="3" t="str">
        <f>IFERROR(__xludf.DUMMYFUNCTION("GOOGLETRANSLATE(B13971,""id"",""en"")"),"['promo']")</f>
        <v>['promo']</v>
      </c>
      <c r="D13971" s="3">
        <v>1.0</v>
      </c>
    </row>
    <row r="13972" ht="15.75" customHeight="1">
      <c r="A13972" s="1">
        <v>15112.0</v>
      </c>
      <c r="B13972" s="3" t="s">
        <v>13174</v>
      </c>
      <c r="C13972" s="3" t="str">
        <f>IFERROR(__xludf.DUMMYFUNCTION("GOOGLETRANSLATE(B13972,""id"",""en"")"),"['Satisfied', 'poko', 'obstacle']")</f>
        <v>['Satisfied', 'poko', 'obstacle']</v>
      </c>
      <c r="D13972" s="3">
        <v>5.0</v>
      </c>
    </row>
    <row r="13973" ht="15.75" customHeight="1">
      <c r="A13973" s="1">
        <v>15113.0</v>
      </c>
      <c r="B13973" s="3" t="s">
        <v>13175</v>
      </c>
      <c r="C13973" s="3" t="str">
        <f>IFERROR(__xludf.DUMMYFUNCTION("GOOGLETRANSLATE(B13973,""id"",""en"")"),"['Good', 'Helping', 'Most', 'Promo', '']")</f>
        <v>['Good', 'Helping', 'Most', 'Promo', '']</v>
      </c>
      <c r="D13973" s="3">
        <v>5.0</v>
      </c>
    </row>
    <row r="13974" ht="15.75" customHeight="1">
      <c r="A13974" s="1">
        <v>15114.0</v>
      </c>
      <c r="B13974" s="3" t="s">
        <v>13176</v>
      </c>
      <c r="C13974" s="3" t="str">
        <f>IFERROR(__xludf.DUMMYFUNCTION("GOOGLETRANSLATE(B13974,""id"",""en"")"),"['', 'Network', 'Sometimes', 'Error', 'NTT']")</f>
        <v>['', 'Network', 'Sometimes', 'Error', 'NTT']</v>
      </c>
      <c r="D13974" s="3">
        <v>4.0</v>
      </c>
    </row>
    <row r="13975" ht="15.75" customHeight="1">
      <c r="A13975" s="1">
        <v>15118.0</v>
      </c>
      <c r="B13975" s="3" t="s">
        <v>13177</v>
      </c>
      <c r="C13975" s="3" t="str">
        <f>IFERROR(__xludf.DUMMYFUNCTION("GOOGLETRANSLATE(B13975,""id"",""en"")"),"['Telkomsel', 'The', 'Best', 'Hopefully', 'Can', 'Gift', 'Exchange', 'Point']")</f>
        <v>['Telkomsel', 'The', 'Best', 'Hopefully', 'Can', 'Gift', 'Exchange', 'Point']</v>
      </c>
      <c r="D13975" s="3">
        <v>5.0</v>
      </c>
    </row>
    <row r="13976" ht="15.75" customHeight="1">
      <c r="A13976" s="1">
        <v>15120.0</v>
      </c>
      <c r="B13976" s="3" t="s">
        <v>13178</v>
      </c>
      <c r="C13976" s="3" t="str">
        <f>IFERROR(__xludf.DUMMYFUNCTION("GOOGLETRANSLATE(B13976,""id"",""en"")"),"['It seems', 'Ditelkomsel', 'sabotage', 'do it', 'buy', 'package', 'internet', 'registered', '']")</f>
        <v>['It seems', 'Ditelkomsel', 'sabotage', 'do it', 'buy', 'package', 'internet', 'registered', '']</v>
      </c>
      <c r="D13976" s="3">
        <v>5.0</v>
      </c>
    </row>
    <row r="13977" ht="15.75" customHeight="1">
      <c r="A13977" s="1">
        <v>15121.0</v>
      </c>
      <c r="B13977" s="3" t="s">
        <v>13179</v>
      </c>
      <c r="C13977" s="3" t="str">
        <f>IFERROR(__xludf.DUMMYFUNCTION("GOOGLETRANSLATE(B13977,""id"",""en"")"),"['Network', 'Telkomsel', 'JDI', 'Lost', 'Network', 'Loading', 'Lamaaaa', 'Please', 'Enhanced', 'Quality', 'Comparable', 'Price']")</f>
        <v>['Network', 'Telkomsel', 'JDI', 'Lost', 'Network', 'Loading', 'Lamaaaa', 'Please', 'Enhanced', 'Quality', 'Comparable', 'Price']</v>
      </c>
      <c r="D13977" s="3">
        <v>2.0</v>
      </c>
    </row>
    <row r="13978" ht="15.75" customHeight="1">
      <c r="A13978" s="1">
        <v>15123.0</v>
      </c>
      <c r="B13978" s="3" t="s">
        <v>13180</v>
      </c>
      <c r="C13978" s="3" t="str">
        <f>IFERROR(__xludf.DUMMYFUNCTION("GOOGLETRANSLATE(B13978,""id"",""en"")"),"['mantaap', 'network', 'break up']")</f>
        <v>['mantaap', 'network', 'break up']</v>
      </c>
      <c r="D13978" s="3">
        <v>4.0</v>
      </c>
    </row>
    <row r="13979" ht="15.75" customHeight="1">
      <c r="A13979" s="1">
        <v>15124.0</v>
      </c>
      <c r="B13979" s="3" t="s">
        <v>13181</v>
      </c>
      <c r="C13979" s="3" t="str">
        <f>IFERROR(__xludf.DUMMYFUNCTION("GOOGLETRANSLATE(B13979,""id"",""en"")"),"['effective', 'update', 'trusted', 'good']")</f>
        <v>['effective', 'update', 'trusted', 'good']</v>
      </c>
      <c r="D13979" s="3">
        <v>5.0</v>
      </c>
    </row>
    <row r="13980" ht="15.75" customHeight="1">
      <c r="A13980" s="1">
        <v>15125.0</v>
      </c>
      <c r="B13980" s="3" t="s">
        <v>13182</v>
      </c>
      <c r="C13980" s="3" t="str">
        <f>IFERROR(__xludf.DUMMYFUNCTION("GOOGLETRANSLATE(B13980,""id"",""en"")"),"['steady', 'promo', 'signal', 'steady', 'juosss']")</f>
        <v>['steady', 'promo', 'signal', 'steady', 'juosss']</v>
      </c>
      <c r="D13980" s="3">
        <v>5.0</v>
      </c>
    </row>
    <row r="13981" ht="15.75" customHeight="1">
      <c r="A13981" s="1">
        <v>15126.0</v>
      </c>
      <c r="B13981" s="3" t="s">
        <v>13183</v>
      </c>
      <c r="C13981" s="3" t="str">
        <f>IFERROR(__xludf.DUMMYFUNCTION("GOOGLETRANSLATE(B13981,""id"",""en"")"),"['The story', 'pulse', 'package', 'daily', 'hrga', 'activated', 'skitar', 'clock', 'night', 'run out', 'cellphone', ' Until ',' clock ',' morning ',' packagein ',' daily ',' check ',' balance ',' pulse ',' run out ',' cruel ',' really ',' min ',' like ' ,"&amp;" 'really', 'cut', 'cut', 'bye', 'bye', 'Telkomsel', '']")</f>
        <v>['The story', 'pulse', 'package', 'daily', 'hrga', 'activated', 'skitar', 'clock', 'night', 'run out', 'cellphone', ' Until ',' clock ',' morning ',' packagein ',' daily ',' check ',' balance ',' pulse ',' run out ',' cruel ',' really ',' min ',' like ' , 'really', 'cut', 'cut', 'bye', 'bye', 'Telkomsel', '']</v>
      </c>
      <c r="D13981" s="3">
        <v>1.0</v>
      </c>
    </row>
    <row r="13982" ht="15.75" customHeight="1">
      <c r="A13982" s="1">
        <v>15128.0</v>
      </c>
      <c r="B13982" s="3" t="s">
        <v>13184</v>
      </c>
      <c r="C13982" s="3" t="str">
        <f>IFERROR(__xludf.DUMMYFUNCTION("GOOGLETRANSLATE(B13982,""id"",""en"")"),"['Network', 'nggk', 'stable', 'kayak', 'Telkomsel', '']")</f>
        <v>['Network', 'nggk', 'stable', 'kayak', 'Telkomsel', '']</v>
      </c>
      <c r="D13982" s="3">
        <v>1.0</v>
      </c>
    </row>
    <row r="13983" ht="15.75" customHeight="1">
      <c r="A13983" s="1">
        <v>15130.0</v>
      </c>
      <c r="B13983" s="3" t="s">
        <v>13185</v>
      </c>
      <c r="C13983" s="3" t="str">
        <f>IFERROR(__xludf.DUMMYFUNCTION("GOOGLETRANSLATE(B13983,""id"",""en"")"),"['hope', 'brio']")</f>
        <v>['hope', 'brio']</v>
      </c>
      <c r="D13983" s="3">
        <v>5.0</v>
      </c>
    </row>
    <row r="13984" ht="15.75" customHeight="1">
      <c r="A13984" s="1">
        <v>15131.0</v>
      </c>
      <c r="B13984" s="3" t="s">
        <v>13186</v>
      </c>
      <c r="C13984" s="3" t="str">
        <f>IFERROR(__xludf.DUMMYFUNCTION("GOOGLETRANSLATE(B13984,""id"",""en"")"),"['pulse', 'save', 'signal', 'internet', 'weak', 'automatic', 'pulse', 'truncated', 'pulse', 'automatic', 'run out', ""]")</f>
        <v>['pulse', 'save', 'signal', 'internet', 'weak', 'automatic', 'pulse', 'truncated', 'pulse', 'automatic', 'run out', "]</v>
      </c>
      <c r="D13984" s="3">
        <v>1.0</v>
      </c>
    </row>
    <row r="13985" ht="15.75" customHeight="1">
      <c r="A13985" s="1">
        <v>15132.0</v>
      </c>
      <c r="B13985" s="3" t="s">
        <v>13187</v>
      </c>
      <c r="C13985" s="3" t="str">
        <f>IFERROR(__xludf.DUMMYFUNCTION("GOOGLETRANSLATE(B13985,""id"",""en"")"),"['best', 'family', 'org', 'poor', 'thanks']")</f>
        <v>['best', 'family', 'org', 'poor', 'thanks']</v>
      </c>
      <c r="D13985" s="3">
        <v>5.0</v>
      </c>
    </row>
    <row r="13986" ht="15.75" customHeight="1">
      <c r="A13986" s="1">
        <v>15133.0</v>
      </c>
      <c r="B13986" s="3" t="s">
        <v>13188</v>
      </c>
      <c r="C13986" s="3" t="str">
        <f>IFERROR(__xludf.DUMMYFUNCTION("GOOGLETRANSLATE(B13986,""id"",""en"")"),"['', 'star', 'promo', 'interesting', 'love', 'star', 'understand', ""]")</f>
        <v>['', 'star', 'promo', 'interesting', 'love', 'star', 'understand', "]</v>
      </c>
      <c r="D13986" s="3">
        <v>4.0</v>
      </c>
    </row>
    <row r="13987" ht="15.75" customHeight="1">
      <c r="A13987" s="1">
        <v>15134.0</v>
      </c>
      <c r="B13987" s="3" t="s">
        <v>13189</v>
      </c>
      <c r="C13987" s="3" t="str">
        <f>IFERROR(__xludf.DUMMYFUNCTION("GOOGLETRANSLATE(B13987,""id"",""en"")"),"['chaotic', 'contents',' package ',' data ',' disorder ',' system ',' fix ',' right ',' server ',' already ',' price ',' package ',' expensive ',' really ',' content ',' package ',' data ',' difficult ',' told ',' update ',' change ',' hard ',' really ','"&amp;" ']")</f>
        <v>['chaotic', 'contents',' package ',' data ',' disorder ',' system ',' fix ',' right ',' server ',' already ',' price ',' package ',' expensive ',' really ',' content ',' package ',' data ',' difficult ',' told ',' update ',' change ',' hard ',' really ',' ']</v>
      </c>
      <c r="D13987" s="3">
        <v>1.0</v>
      </c>
    </row>
    <row r="13988" ht="15.75" customHeight="1">
      <c r="A13988" s="1">
        <v>15135.0</v>
      </c>
      <c r="B13988" s="3" t="s">
        <v>13190</v>
      </c>
      <c r="C13988" s="3" t="str">
        <f>IFERROR(__xludf.DUMMYFUNCTION("GOOGLETRANSLATE(B13988,""id"",""en"")"),"['Help', 'Trimakasih', 'Telkomsel', '']")</f>
        <v>['Help', 'Trimakasih', 'Telkomsel', '']</v>
      </c>
      <c r="D13988" s="3">
        <v>5.0</v>
      </c>
    </row>
    <row r="13989" ht="15.75" customHeight="1">
      <c r="A13989" s="1">
        <v>15136.0</v>
      </c>
      <c r="B13989" s="3" t="s">
        <v>12735</v>
      </c>
      <c r="C13989" s="3" t="str">
        <f>IFERROR(__xludf.DUMMYFUNCTION("GOOGLETRANSLATE(B13989,""id"",""en"")"),"['Use', 'Telkomsel']")</f>
        <v>['Use', 'Telkomsel']</v>
      </c>
      <c r="D13989" s="3">
        <v>5.0</v>
      </c>
    </row>
    <row r="13990" ht="15.75" customHeight="1">
      <c r="A13990" s="1">
        <v>15137.0</v>
      </c>
      <c r="B13990" s="3" t="s">
        <v>13191</v>
      </c>
      <c r="C13990" s="3" t="str">
        <f>IFERROR(__xludf.DUMMYFUNCTION("GOOGLETRANSLATE(B13990,""id"",""en"")"),"['Operator', 'Maling', 'Credit', '']")</f>
        <v>['Operator', 'Maling', 'Credit', '']</v>
      </c>
      <c r="D13990" s="3">
        <v>1.0</v>
      </c>
    </row>
    <row r="13991" ht="15.75" customHeight="1">
      <c r="A13991" s="1">
        <v>15138.0</v>
      </c>
      <c r="B13991" s="3" t="s">
        <v>13192</v>
      </c>
      <c r="C13991" s="3" t="str">
        <f>IFERROR(__xludf.DUMMYFUNCTION("GOOGLETRANSLATE(B13991,""id"",""en"")"),"['Favorite', 'deh', 'signal', 'strong', 'Where', 'Until', 'remote', 'mantul', 'pokonya', 'Telkomsel', ""]")</f>
        <v>['Favorite', 'deh', 'signal', 'strong', 'Where', 'Until', 'remote', 'mantul', 'pokonya', 'Telkomsel', "]</v>
      </c>
      <c r="D13991" s="3">
        <v>5.0</v>
      </c>
    </row>
    <row r="13992" ht="15.75" customHeight="1">
      <c r="A13992" s="1">
        <v>15139.0</v>
      </c>
      <c r="B13992" s="3" t="s">
        <v>13193</v>
      </c>
      <c r="C13992" s="3" t="str">
        <f>IFERROR(__xludf.DUMMYFUNCTION("GOOGLETRANSLATE(B13992,""id"",""en"")"),"['service', 'signal', 'good', 'in the area', 'urban']")</f>
        <v>['service', 'signal', 'good', 'in the area', 'urban']</v>
      </c>
      <c r="D13992" s="3">
        <v>4.0</v>
      </c>
    </row>
    <row r="13993" ht="15.75" customHeight="1">
      <c r="A13993" s="1">
        <v>15140.0</v>
      </c>
      <c r="B13993" s="3" t="s">
        <v>13194</v>
      </c>
      <c r="C13993" s="3" t="str">
        <f>IFERROR(__xludf.DUMMYFUNCTION("GOOGLETRANSLATE(B13993,""id"",""en"")"),"['Credit', 'enter', 'LGSG', 'Sumpot', 'second', 'Gara', 'deliberate', 'open', 'data', 'quota', 'fyi', 'network', ' Good ',' Maling ',' pulses']")</f>
        <v>['Credit', 'enter', 'LGSG', 'Sumpot', 'second', 'Gara', 'deliberate', 'open', 'data', 'quota', 'fyi', 'network', ' Good ',' Maling ',' pulses']</v>
      </c>
      <c r="D13993" s="3">
        <v>1.0</v>
      </c>
    </row>
    <row r="13994" ht="15.75" customHeight="1">
      <c r="A13994" s="1">
        <v>15141.0</v>
      </c>
      <c r="B13994" s="3" t="s">
        <v>7409</v>
      </c>
      <c r="C13994" s="3" t="str">
        <f>IFERROR(__xludf.DUMMYFUNCTION("GOOGLETRANSLATE(B13994,""id"",""en"")"),"['package', 'expensive', '']")</f>
        <v>['package', 'expensive', '']</v>
      </c>
      <c r="D13994" s="3">
        <v>3.0</v>
      </c>
    </row>
    <row r="13995" ht="15.75" customHeight="1">
      <c r="A13995" s="1">
        <v>15142.0</v>
      </c>
      <c r="B13995" s="3" t="s">
        <v>13195</v>
      </c>
      <c r="C13995" s="3" t="str">
        <f>IFERROR(__xludf.DUMMYFUNCTION("GOOGLETRANSLATE(B13995,""id"",""en"")"),"['Love', 'star', 'Donk', 'Krna', 'user', 'loyal', 'just', 'sometimes', 'like', 'choose', 'love']")</f>
        <v>['Love', 'star', 'Donk', 'Krna', 'user', 'loyal', 'just', 'sometimes', 'like', 'choose', 'love']</v>
      </c>
      <c r="D13995" s="3">
        <v>5.0</v>
      </c>
    </row>
    <row r="13996" ht="15.75" customHeight="1">
      <c r="A13996" s="1">
        <v>15144.0</v>
      </c>
      <c r="B13996" s="3" t="s">
        <v>4375</v>
      </c>
      <c r="C13996" s="3" t="str">
        <f>IFERROR(__xludf.DUMMYFUNCTION("GOOGLETRANSLATE(B13996,""id"",""en"")"),"['It's easy', 'communicating']")</f>
        <v>['It's easy', 'communicating']</v>
      </c>
      <c r="D13996" s="3">
        <v>5.0</v>
      </c>
    </row>
    <row r="13997" ht="15.75" customHeight="1">
      <c r="A13997" s="1">
        <v>15145.0</v>
      </c>
      <c r="B13997" s="3" t="s">
        <v>13196</v>
      </c>
      <c r="C13997" s="3" t="str">
        <f>IFERROR(__xludf.DUMMYFUNCTION("GOOGLETRANSLATE(B13997,""id"",""en"")"),"['', 'easy', 'transaction']")</f>
        <v>['', 'easy', 'transaction']</v>
      </c>
      <c r="D13997" s="3">
        <v>5.0</v>
      </c>
    </row>
    <row r="13998" ht="15.75" customHeight="1">
      <c r="A13998" s="1">
        <v>15146.0</v>
      </c>
      <c r="B13998" s="3" t="s">
        <v>13197</v>
      </c>
      <c r="C13998" s="3" t="str">
        <f>IFERROR(__xludf.DUMMYFUNCTION("GOOGLETRANSLATE(B13998,""id"",""en"")"),"['Application', 'satisfying', 'trim', 'Telkomsel']")</f>
        <v>['Application', 'satisfying', 'trim', 'Telkomsel']</v>
      </c>
      <c r="D13998" s="3">
        <v>5.0</v>
      </c>
    </row>
    <row r="13999" ht="15.75" customHeight="1">
      <c r="A13999" s="1">
        <v>15147.0</v>
      </c>
      <c r="B13999" s="3" t="s">
        <v>13198</v>
      </c>
      <c r="C13999" s="3" t="str">
        <f>IFERROR(__xludf.DUMMYFUNCTION("GOOGLETRANSLATE(B13999,""id"",""en"")"),"['Good', 'application', 'help']")</f>
        <v>['Good', 'application', 'help']</v>
      </c>
      <c r="D13999" s="3">
        <v>5.0</v>
      </c>
    </row>
    <row r="14000" ht="15.75" customHeight="1">
      <c r="A14000" s="1">
        <v>15148.0</v>
      </c>
      <c r="B14000" s="3" t="s">
        <v>13199</v>
      </c>
      <c r="C14000" s="3" t="str">
        <f>IFERROR(__xludf.DUMMYFUNCTION("GOOGLETRANSLATE(B14000,""id"",""en"")"),"['promo', 'quota', 'SNGT', 'fun', 'thank', 'love', 'satisfied', 'service', 'mytelkomsel']")</f>
        <v>['promo', 'quota', 'SNGT', 'fun', 'thank', 'love', 'satisfied', 'service', 'mytelkomsel']</v>
      </c>
      <c r="D14000" s="3">
        <v>5.0</v>
      </c>
    </row>
    <row r="14001" ht="15.75" customHeight="1">
      <c r="A14001" s="1">
        <v>15150.0</v>
      </c>
      <c r="B14001" s="3" t="s">
        <v>13200</v>
      </c>
      <c r="C14001" s="3" t="str">
        <f>IFERROR(__xludf.DUMMYFUNCTION("GOOGLETRANSLATE(B14001,""id"",""en"")"),"['Pulas', 'Haingga', 'GB']")</f>
        <v>['Pulas', 'Haingga', 'GB']</v>
      </c>
      <c r="D14001" s="3">
        <v>5.0</v>
      </c>
    </row>
    <row r="14002" ht="15.75" customHeight="1">
      <c r="A14002" s="1">
        <v>15151.0</v>
      </c>
      <c r="B14002" s="3" t="s">
        <v>13201</v>
      </c>
      <c r="C14002" s="3" t="str">
        <f>IFERROR(__xludf.DUMMYFUNCTION("GOOGLETRANSLATE(B14002,""id"",""en"")"),"['Ribet', 'mhn', 'made easier', 'service']")</f>
        <v>['Ribet', 'mhn', 'made easier', 'service']</v>
      </c>
      <c r="D14002" s="3">
        <v>2.0</v>
      </c>
    </row>
    <row r="14003" ht="15.75" customHeight="1">
      <c r="A14003" s="1">
        <v>15152.0</v>
      </c>
      <c r="B14003" s="3" t="s">
        <v>13202</v>
      </c>
      <c r="C14003" s="3" t="str">
        <f>IFERROR(__xludf.DUMMYFUNCTION("GOOGLETRANSLATE(B14003,""id"",""en"")"),"['Missial', 'application']")</f>
        <v>['Missial', 'application']</v>
      </c>
      <c r="D14003" s="3">
        <v>4.0</v>
      </c>
    </row>
    <row r="14004" ht="15.75" customHeight="1">
      <c r="A14004" s="1">
        <v>15154.0</v>
      </c>
      <c r="B14004" s="3" t="s">
        <v>13203</v>
      </c>
      <c r="C14004" s="3" t="str">
        <f>IFERROR(__xludf.DUMMYFUNCTION("GOOGLETRANSLATE(B14004,""id"",""en"")"),"['CRAS', 'Severe', 'App', 'Klobdibuka', '']")</f>
        <v>['CRAS', 'Severe', 'App', 'Klobdibuka', '']</v>
      </c>
      <c r="D14004" s="3">
        <v>1.0</v>
      </c>
    </row>
    <row r="14005" ht="15.75" customHeight="1">
      <c r="A14005" s="1">
        <v>15155.0</v>
      </c>
      <c r="B14005" s="3" t="s">
        <v>13204</v>
      </c>
      <c r="C14005" s="3" t="str">
        <f>IFERROR(__xludf.DUMMYFUNCTION("GOOGLETRANSLATE(B14005,""id"",""en"")"),"['The', 'Best', 'contents',' pulse ',' buy ',' package ',' buy ',' display ',' apk ',' buy ',' sip ',' sia ',' pulse', '']")</f>
        <v>['The', 'Best', 'contents',' pulse ',' buy ',' package ',' buy ',' display ',' apk ',' buy ',' sip ',' sia ',' pulse', '']</v>
      </c>
      <c r="D14005" s="3">
        <v>1.0</v>
      </c>
    </row>
    <row r="14006" ht="15.75" customHeight="1">
      <c r="A14006" s="1">
        <v>15156.0</v>
      </c>
      <c r="B14006" s="3" t="s">
        <v>13205</v>
      </c>
      <c r="C14006" s="3" t="str">
        <f>IFERROR(__xludf.DUMMYFUNCTION("GOOGLETRANSLATE(B14006,""id"",""en"")"),"['Bad', 'Telkomsel']")</f>
        <v>['Bad', 'Telkomsel']</v>
      </c>
      <c r="D14006" s="3">
        <v>1.0</v>
      </c>
    </row>
    <row r="14007" ht="15.75" customHeight="1">
      <c r="A14007" s="1">
        <v>15157.0</v>
      </c>
      <c r="B14007" s="3" t="s">
        <v>13206</v>
      </c>
      <c r="C14007" s="3" t="str">
        <f>IFERROR(__xludf.DUMMYFUNCTION("GOOGLETRANSLATE(B14007,""id"",""en"")"),"['Card', 'Hello', 'Call', 'Telkomsel', 'Nerima', 'SMS', 'Notification', ""]")</f>
        <v>['Card', 'Hello', 'Call', 'Telkomsel', 'Nerima', 'SMS', 'Notification', "]</v>
      </c>
      <c r="D14007" s="3">
        <v>3.0</v>
      </c>
    </row>
    <row r="14008" ht="15.75" customHeight="1">
      <c r="A14008" s="1">
        <v>15158.0</v>
      </c>
      <c r="B14008" s="3" t="s">
        <v>13207</v>
      </c>
      <c r="C14008" s="3" t="str">
        <f>IFERROR(__xludf.DUMMYFUNCTION("GOOGLETRANSLATE(B14008,""id"",""en"")"),"['Verifikasi', 'Tsel', 'tlek']")</f>
        <v>['Verifikasi', 'Tsel', 'tlek']</v>
      </c>
      <c r="D14008" s="3">
        <v>1.0</v>
      </c>
    </row>
    <row r="14009" ht="15.75" customHeight="1">
      <c r="A14009" s="1">
        <v>15159.0</v>
      </c>
      <c r="B14009" s="3" t="s">
        <v>13208</v>
      </c>
      <c r="C14009" s="3" t="str">
        <f>IFERROR(__xludf.DUMMYFUNCTION("GOOGLETRANSLATE(B14009,""id"",""en"")"),"['application', 'help', 'need', 'package', 'telephone', 'data', 'house', 'recommended', 'really', ""]")</f>
        <v>['application', 'help', 'need', 'package', 'telephone', 'data', 'house', 'recommended', 'really', "]</v>
      </c>
      <c r="D14009" s="3">
        <v>5.0</v>
      </c>
    </row>
    <row r="14010" ht="15.75" customHeight="1">
      <c r="A14010" s="1">
        <v>15160.0</v>
      </c>
      <c r="B14010" s="3" t="s">
        <v>13209</v>
      </c>
      <c r="C14010" s="3" t="str">
        <f>IFERROR(__xludf.DUMMYFUNCTION("GOOGLETRANSLATE(B14010,""id"",""en"")"),"['Balance', 'used', 'automatic', 'package', 'quota', 'run out', 'Telkomsel', 'notification', 'customer', 'package', 'quota', 'available', ' Customers', 'Willing', 'Automatic', 'Taken', 'Balance', 'Available']")</f>
        <v>['Balance', 'used', 'automatic', 'package', 'quota', 'run out', 'Telkomsel', 'notification', 'customer', 'package', 'quota', 'available', ' Customers', 'Willing', 'Automatic', 'Taken', 'Balance', 'Available']</v>
      </c>
      <c r="D14010" s="3">
        <v>1.0</v>
      </c>
    </row>
    <row r="14011" ht="15.75" customHeight="1">
      <c r="A14011" s="1">
        <v>15161.0</v>
      </c>
      <c r="B14011" s="3" t="s">
        <v>13210</v>
      </c>
      <c r="C14011" s="3" t="str">
        <f>IFERROR(__xludf.DUMMYFUNCTION("GOOGLETRANSLATE(B14011,""id"",""en"")"),"['quota', 'unlimited', 'youtube', 'weekly', 'trap', 'tetep', 'nyedot', 'quota', 'main', 'cheated', 'watch', 'right', ' check ',' quota ',' main ',' ilang ',' GB ',' quota ',' unlimited ',' youtube ',' weekly ',' poor ',' quota ',' game ',' quota ' , 'Tipu"&amp;"', 'tetep', 'sucked', 'quota', 'main', 'nyedot', 'play', 'hahahah', 'cheating', 'his name']")</f>
        <v>['quota', 'unlimited', 'youtube', 'weekly', 'trap', 'tetep', 'nyedot', 'quota', 'main', 'cheated', 'watch', 'right', ' check ',' quota ',' main ',' ilang ',' GB ',' quota ',' unlimited ',' youtube ',' weekly ',' poor ',' quota ',' game ',' quota ' , 'Tipu', 'tetep', 'sucked', 'quota', 'main', 'nyedot', 'play', 'hahahah', 'cheating', 'his name']</v>
      </c>
      <c r="D14011" s="3">
        <v>5.0</v>
      </c>
    </row>
    <row r="14012" ht="15.75" customHeight="1">
      <c r="A14012" s="1">
        <v>15162.0</v>
      </c>
      <c r="B14012" s="3" t="s">
        <v>13211</v>
      </c>
      <c r="C14012" s="3" t="str">
        <f>IFERROR(__xludf.DUMMYFUNCTION("GOOGLETRANSLATE(B14012,""id"",""en"")"),"['quota', 'entry', 'nagih', 'bill', 'direct', 'fast']")</f>
        <v>['quota', 'entry', 'nagih', 'bill', 'direct', 'fast']</v>
      </c>
      <c r="D14012" s="3">
        <v>1.0</v>
      </c>
    </row>
    <row r="14013" ht="15.75" customHeight="1">
      <c r="A14013" s="1">
        <v>15163.0</v>
      </c>
      <c r="B14013" s="3" t="s">
        <v>13212</v>
      </c>
      <c r="C14013" s="3" t="str">
        <f>IFERROR(__xludf.DUMMYFUNCTION("GOOGLETRANSLATE(B14013,""id"",""en"")"),"['Please', 'Quality', 'Network', 'Enhanced', 'Price', 'Package', 'Lower', 'Application', 'Help', 'Check', 'Credit', 'Quota', ' ']")</f>
        <v>['Please', 'Quality', 'Network', 'Enhanced', 'Price', 'Package', 'Lower', 'Application', 'Help', 'Check', 'Credit', 'Quota', ' ']</v>
      </c>
      <c r="D14013" s="3">
        <v>5.0</v>
      </c>
    </row>
    <row r="14014" ht="15.75" customHeight="1">
      <c r="A14014" s="1">
        <v>15164.0</v>
      </c>
      <c r="B14014" s="3" t="s">
        <v>13213</v>
      </c>
      <c r="C14014" s="3" t="str">
        <f>IFERROR(__xludf.DUMMYFUNCTION("GOOGLETRANSLATE(B14014,""id"",""en"")"),"['Buy', 'Package', 'Combo', 'Sakti', 'Gabisa', 'Error', 'Kantel', 'Package', 'Internet', 'Night', ""]")</f>
        <v>['Buy', 'Package', 'Combo', 'Sakti', 'Gabisa', 'Error', 'Kantel', 'Package', 'Internet', 'Night', "]</v>
      </c>
      <c r="D14014" s="3">
        <v>1.0</v>
      </c>
    </row>
    <row r="14015" ht="15.75" customHeight="1">
      <c r="A14015" s="1">
        <v>15165.0</v>
      </c>
      <c r="B14015" s="3" t="s">
        <v>13214</v>
      </c>
      <c r="C14015" s="3" t="str">
        <f>IFERROR(__xludf.DUMMYFUNCTION("GOOGLETRANSLATE(B14015,""id"",""en"")"),"['steady', 'keep', 'his products', 'package', 'package', 'save', 'cheap', 'package', 'data', 'internet']")</f>
        <v>['steady', 'keep', 'his products', 'package', 'package', 'save', 'cheap', 'package', 'data', 'internet']</v>
      </c>
      <c r="D14015" s="3">
        <v>5.0</v>
      </c>
    </row>
    <row r="14016" ht="15.75" customHeight="1">
      <c r="A14016" s="1">
        <v>15166.0</v>
      </c>
      <c r="B14016" s="3" t="s">
        <v>13215</v>
      </c>
      <c r="C14016" s="3" t="str">
        <f>IFERROR(__xludf.DUMMYFUNCTION("GOOGLETRANSLATE(B14016,""id"",""en"")"),"['signal', 'ugly', 'BTS', '']")</f>
        <v>['signal', 'ugly', 'BTS', '']</v>
      </c>
      <c r="D14016" s="3">
        <v>3.0</v>
      </c>
    </row>
    <row r="14017" ht="15.75" customHeight="1">
      <c r="A14017" s="1">
        <v>15167.0</v>
      </c>
      <c r="B14017" s="3" t="s">
        <v>13216</v>
      </c>
      <c r="C14017" s="3" t="str">
        <f>IFERROR(__xludf.DUMMYFUNCTION("GOOGLETRANSLATE(B14017,""id"",""en"")"),"['Service', 'fast', 'easy', 'accessed', '']")</f>
        <v>['Service', 'fast', 'easy', 'accessed', '']</v>
      </c>
      <c r="D14017" s="3">
        <v>4.0</v>
      </c>
    </row>
    <row r="14018" ht="15.75" customHeight="1">
      <c r="A14018" s="1">
        <v>15168.0</v>
      </c>
      <c r="B14018" s="3" t="s">
        <v>13217</v>
      </c>
      <c r="C14018" s="3" t="str">
        <f>IFERROR(__xludf.DUMMYFUNCTION("GOOGLETRANSLATE(B14018,""id"",""en"")"),"['price', 'quota', 'expensive', 'plus', 'problematic', 'beg', 'repaired', 'tks', ""]")</f>
        <v>['price', 'quota', 'expensive', 'plus', 'problematic', 'beg', 'repaired', 'tks', "]</v>
      </c>
      <c r="D14018" s="3">
        <v>1.0</v>
      </c>
    </row>
    <row r="14019" ht="15.75" customHeight="1">
      <c r="A14019" s="1">
        <v>15169.0</v>
      </c>
      <c r="B14019" s="3" t="s">
        <v>13218</v>
      </c>
      <c r="C14019" s="3" t="str">
        <f>IFERROR(__xludf.DUMMYFUNCTION("GOOGLETRANSLATE(B14019,""id"",""en"")"),"['Telkomsel', 'pulse', 'gwe', 'cut', 'mulu', 'paid up', 'debt', 'gee', 'owe', 'please', 'min', 'stop', ' How ',' yeah ',' buy ',' pulse ',' cheek ',' Mulu ', ""]")</f>
        <v>['Telkomsel', 'pulse', 'gwe', 'cut', 'mulu', 'paid up', 'debt', 'gee', 'owe', 'please', 'min', 'stop', ' How ',' yeah ',' buy ',' pulse ',' cheek ',' Mulu ', "]</v>
      </c>
      <c r="D14019" s="3">
        <v>1.0</v>
      </c>
    </row>
    <row r="14020" ht="15.75" customHeight="1">
      <c r="A14020" s="1">
        <v>15170.0</v>
      </c>
      <c r="B14020" s="3" t="s">
        <v>13219</v>
      </c>
      <c r="C14020" s="3" t="str">
        <f>IFERROR(__xludf.DUMMYFUNCTION("GOOGLETRANSLATE(B14020,""id"",""en"")"),"['expensive', 'package', '']")</f>
        <v>['expensive', 'package', '']</v>
      </c>
      <c r="D14020" s="3">
        <v>2.0</v>
      </c>
    </row>
    <row r="14021" ht="15.75" customHeight="1">
      <c r="A14021" s="1">
        <v>15171.0</v>
      </c>
      <c r="B14021" s="3" t="s">
        <v>13220</v>
      </c>
      <c r="C14021" s="3" t="str">
        <f>IFERROR(__xludf.DUMMYFUNCTION("GOOGLETRANSLATE(B14021,""id"",""en"")"),"['APL', 'Good']")</f>
        <v>['APL', 'Good']</v>
      </c>
      <c r="D14021" s="3">
        <v>5.0</v>
      </c>
    </row>
    <row r="14022" ht="15.75" customHeight="1">
      <c r="A14022" s="1">
        <v>15172.0</v>
      </c>
      <c r="B14022" s="3" t="s">
        <v>13221</v>
      </c>
      <c r="C14022" s="3" t="str">
        <f>IFERROR(__xludf.DUMMYFUNCTION("GOOGLETRANSLATE(B14022,""id"",""en"")"),"['Addin', 'promo']")</f>
        <v>['Addin', 'promo']</v>
      </c>
      <c r="D14022" s="3">
        <v>5.0</v>
      </c>
    </row>
    <row r="14023" ht="15.75" customHeight="1">
      <c r="A14023" s="1">
        <v>15173.0</v>
      </c>
      <c r="B14023" s="3" t="s">
        <v>13222</v>
      </c>
      <c r="C14023" s="3" t="str">
        <f>IFERROR(__xludf.DUMMYFUNCTION("GOOGLETRANSLATE(B14023,""id"",""en"")"),"['easy', 'contents', 'reset', 'kouta']")</f>
        <v>['easy', 'contents', 'reset', 'kouta']</v>
      </c>
      <c r="D14023" s="3">
        <v>1.0</v>
      </c>
    </row>
    <row r="14024" ht="15.75" customHeight="1">
      <c r="A14024" s="1">
        <v>15174.0</v>
      </c>
      <c r="B14024" s="3" t="s">
        <v>13223</v>
      </c>
      <c r="C14024" s="3" t="str">
        <f>IFERROR(__xludf.DUMMYFUNCTION("GOOGLETRANSLATE(B14024,""id"",""en"")"),"['Gunane', 'Move', 'Postpaid', 'Paketan', 'Mahall', 'Date', 'Blum', 'Sya', 'Limit', 'Out', 'First', 'Chat', ' Center ',' Help ',' Bot ',' LBHIH ',' It's good ',' OPrator ',' OTH ',' PKETAN ',' Cheap ',' Connection ',' Setabil ', ""]")</f>
        <v>['Gunane', 'Move', 'Postpaid', 'Paketan', 'Mahall', 'Date', 'Blum', 'Sya', 'Limit', 'Out', 'First', 'Chat', ' Center ',' Help ',' Bot ',' LBHIH ',' It's good ',' OPrator ',' OTH ',' PKETAN ',' Cheap ',' Connection ',' Setabil ', "]</v>
      </c>
      <c r="D14024" s="3">
        <v>1.0</v>
      </c>
    </row>
    <row r="14025" ht="15.75" customHeight="1">
      <c r="A14025" s="1">
        <v>15175.0</v>
      </c>
      <c r="B14025" s="3" t="s">
        <v>13224</v>
      </c>
      <c r="C14025" s="3" t="str">
        <f>IFERROR(__xludf.DUMMYFUNCTION("GOOGLETRANSLATE(B14025,""id"",""en"")"),"['App', 'Maha', 'Heavy', 'Deh', 'Understanding', 'Open', 'Doang', 'Nyedot', 'Data', 'remember', 'Lord', 'already', ' So ',' error ',' interfaces', 'mberungin', 'buy', 'pulse', 'just', 'bureaucracy', 'scroll', 'click', 'click', 'click', 'understand' , 'Siy"&amp;"', 'complicated', 'people', 'turn', 'heart', ""]")</f>
        <v>['App', 'Maha', 'Heavy', 'Deh', 'Understanding', 'Open', 'Doang', 'Nyedot', 'Data', 'remember', 'Lord', 'already', ' So ',' error ',' interfaces', 'mberungin', 'buy', 'pulse', 'just', 'bureaucracy', 'scroll', 'click', 'click', 'click', 'understand' , 'Siy', 'complicated', 'people', 'turn', 'heart', "]</v>
      </c>
      <c r="D14025" s="3">
        <v>2.0</v>
      </c>
    </row>
    <row r="14026" ht="15.75" customHeight="1">
      <c r="A14026" s="1">
        <v>15176.0</v>
      </c>
      <c r="B14026" s="3" t="s">
        <v>13225</v>
      </c>
      <c r="C14026" s="3" t="str">
        <f>IFERROR(__xludf.DUMMYFUNCTION("GOOGLETRANSLATE(B14026,""id"",""en"")"),"['Yng', 'like', 'package', 'internet', 'main', 'UDH', 'HBIS', 'JDI', 'Live', 'Unlimited', 'TPI', 'Zoom', ' lag ',' likes', 'jdi', 'camera', 'closed', 'ush', 'face', 'yng', 'ugly', 'tpi', 'mshi', 'listen', 'voice' , 'Kek', 'gini', 'jdi', 'moved', 'internet"&amp;"', 'bkalan', 'stay', 'trus']")</f>
        <v>['Yng', 'like', 'package', 'internet', 'main', 'UDH', 'HBIS', 'JDI', 'Live', 'Unlimited', 'TPI', 'Zoom', ' lag ',' likes', 'jdi', 'camera', 'closed', 'ush', 'face', 'yng', 'ugly', 'tpi', 'mshi', 'listen', 'voice' , 'Kek', 'gini', 'jdi', 'moved', 'internet', 'bkalan', 'stay', 'trus']</v>
      </c>
      <c r="D14026" s="3">
        <v>5.0</v>
      </c>
    </row>
    <row r="14027" ht="15.75" customHeight="1">
      <c r="A14027" s="1">
        <v>15177.0</v>
      </c>
      <c r="B14027" s="3" t="s">
        <v>13226</v>
      </c>
      <c r="C14027" s="3" t="str">
        <f>IFERROR(__xludf.DUMMYFUNCTION("GOOGLETRANSLATE(B14027,""id"",""en"")"),"['Package', 'Out', 'Play', 'Cut', 'Credit']")</f>
        <v>['Package', 'Out', 'Play', 'Cut', 'Credit']</v>
      </c>
      <c r="D14027" s="3">
        <v>2.0</v>
      </c>
    </row>
    <row r="14028" ht="15.75" customHeight="1">
      <c r="A14028" s="1">
        <v>15178.0</v>
      </c>
      <c r="B14028" s="3" t="s">
        <v>13227</v>
      </c>
      <c r="C14028" s="3" t="str">
        <f>IFERROR(__xludf.DUMMYFUNCTION("GOOGLETRANSLATE(B14028,""id"",""en"")"),"['Internet', 'combo', 'Sakti', 'unlimited', 'kouta', 'unlimited', 'slow', 'really', 'open', 'tiktok', 'games']")</f>
        <v>['Internet', 'combo', 'Sakti', 'unlimited', 'kouta', 'unlimited', 'slow', 'really', 'open', 'tiktok', 'games']</v>
      </c>
      <c r="D14028" s="3">
        <v>1.0</v>
      </c>
    </row>
    <row r="14029" ht="15.75" customHeight="1">
      <c r="A14029" s="1">
        <v>15179.0</v>
      </c>
      <c r="B14029" s="3" t="s">
        <v>13228</v>
      </c>
      <c r="C14029" s="3" t="str">
        <f>IFERROR(__xludf.DUMMYFUNCTION("GOOGLETRANSLATE(B14029,""id"",""en"")"),"['buy', 'package', 'promo', 'sampek', 'ten', 'times', 'processed', 'just', 'bug', 'or', 'how', '']")</f>
        <v>['buy', 'package', 'promo', 'sampek', 'ten', 'times', 'processed', 'just', 'bug', 'or', 'how', '']</v>
      </c>
      <c r="D14029" s="3">
        <v>4.0</v>
      </c>
    </row>
    <row r="14030" ht="15.75" customHeight="1">
      <c r="A14030" s="1">
        <v>15180.0</v>
      </c>
      <c r="B14030" s="3" t="s">
        <v>996</v>
      </c>
      <c r="C14030" s="3" t="str">
        <f>IFERROR(__xludf.DUMMYFUNCTION("GOOGLETRANSLATE(B14030,""id"",""en"")"),"['Application', 'Good', '']")</f>
        <v>['Application', 'Good', '']</v>
      </c>
      <c r="D14030" s="3">
        <v>5.0</v>
      </c>
    </row>
    <row r="14031" ht="15.75" customHeight="1">
      <c r="A14031" s="1">
        <v>15182.0</v>
      </c>
      <c r="B14031" s="3" t="s">
        <v>13229</v>
      </c>
      <c r="C14031" s="3" t="str">
        <f>IFERROR(__xludf.DUMMYFUNCTION("GOOGLETRANSLATE(B14031,""id"",""en"")"),"['', 'Download', 'good', 'sdkt', 'keep', 'good', 'repaired', ""]")</f>
        <v>['', 'Download', 'good', 'sdkt', 'keep', 'good', 'repaired', "]</v>
      </c>
      <c r="D14031" s="3">
        <v>4.0</v>
      </c>
    </row>
    <row r="14032" ht="15.75" customHeight="1">
      <c r="A14032" s="1">
        <v>15184.0</v>
      </c>
      <c r="B14032" s="3" t="s">
        <v>13230</v>
      </c>
      <c r="C14032" s="3" t="str">
        <f>IFERROR(__xludf.DUMMYFUNCTION("GOOGLETRANSLATE(B14032,""id"",""en"")"),"['LBH', 'TTG', 'Info', 'Regarding', 'Service', 'Telkomsel']")</f>
        <v>['LBH', 'TTG', 'Info', 'Regarding', 'Service', 'Telkomsel']</v>
      </c>
      <c r="D14032" s="3">
        <v>3.0</v>
      </c>
    </row>
    <row r="14033" ht="15.75" customHeight="1">
      <c r="A14033" s="1">
        <v>15185.0</v>
      </c>
      <c r="B14033" s="3" t="s">
        <v>13231</v>
      </c>
      <c r="C14033" s="3" t="str">
        <f>IFERROR(__xludf.DUMMYFUNCTION("GOOGLETRANSLATE(B14033,""id"",""en"")"),"['easy', 'buy', 'quota', 'package', 'telephone', 'thank you', 'happy', 'application', '']")</f>
        <v>['easy', 'buy', 'quota', 'package', 'telephone', 'thank you', 'happy', 'application', '']</v>
      </c>
      <c r="D14033" s="3">
        <v>5.0</v>
      </c>
    </row>
    <row r="14034" ht="15.75" customHeight="1">
      <c r="A14034" s="1">
        <v>15186.0</v>
      </c>
      <c r="B14034" s="3" t="s">
        <v>13232</v>
      </c>
      <c r="C14034" s="3" t="str">
        <f>IFERROR(__xludf.DUMMYFUNCTION("GOOGLETRANSLATE(B14034,""id"",""en"")"),"['Application', 'Help', ""]")</f>
        <v>['Application', 'Help', "]</v>
      </c>
      <c r="D14034" s="3">
        <v>5.0</v>
      </c>
    </row>
    <row r="14035" ht="15.75" customHeight="1">
      <c r="A14035" s="1">
        <v>15187.0</v>
      </c>
      <c r="B14035" s="3" t="s">
        <v>13233</v>
      </c>
      <c r="C14035" s="3" t="str">
        <f>IFERROR(__xludf.DUMMYFUNCTION("GOOGLETRANSLATE(B14035,""id"",""en"")"),"['The application', 'stop', 'Please', 'Fix', 'Bintang', 'Nyusul', '']")</f>
        <v>['The application', 'stop', 'Please', 'Fix', 'Bintang', 'Nyusul', '']</v>
      </c>
      <c r="D14035" s="3">
        <v>1.0</v>
      </c>
    </row>
    <row r="14036" ht="15.75" customHeight="1">
      <c r="A14036" s="1">
        <v>15188.0</v>
      </c>
      <c r="B14036" s="3" t="s">
        <v>13234</v>
      </c>
      <c r="C14036" s="3" t="str">
        <f>IFERROR(__xludf.DUMMYFUNCTION("GOOGLETRANSLATE(B14036,""id"",""en"")"),"['Application', 'good', 'rating', 'highest', 'Telkomsel']")</f>
        <v>['Application', 'good', 'rating', 'highest', 'Telkomsel']</v>
      </c>
      <c r="D14036" s="3">
        <v>5.0</v>
      </c>
    </row>
    <row r="14037" ht="15.75" customHeight="1">
      <c r="A14037" s="1">
        <v>15189.0</v>
      </c>
      <c r="B14037" s="3" t="s">
        <v>13235</v>
      </c>
      <c r="C14037" s="3" t="str">
        <f>IFERROR(__xludf.DUMMYFUNCTION("GOOGLETRANSLATE(B14037,""id"",""en"")"),"['Tingktkan', 'Service', 'Maintain']")</f>
        <v>['Tingktkan', 'Service', 'Maintain']</v>
      </c>
      <c r="D14037" s="3">
        <v>5.0</v>
      </c>
    </row>
    <row r="14038" ht="15.75" customHeight="1">
      <c r="A14038" s="1">
        <v>15190.0</v>
      </c>
      <c r="B14038" s="3" t="s">
        <v>13236</v>
      </c>
      <c r="C14038" s="3" t="str">
        <f>IFERROR(__xludf.DUMMYFUNCTION("GOOGLETRANSLATE(B14038,""id"",""en"")"),"['ISI', 'ULNG', 'Credit', 'TPI', 'Points', 'No', 'Nambah', ""]")</f>
        <v>['ISI', 'ULNG', 'Credit', 'TPI', 'Points', 'No', 'Nambah', "]</v>
      </c>
      <c r="D14038" s="3">
        <v>3.0</v>
      </c>
    </row>
    <row r="14039" ht="15.75" customHeight="1">
      <c r="A14039" s="1">
        <v>15191.0</v>
      </c>
      <c r="B14039" s="3" t="s">
        <v>13237</v>
      </c>
      <c r="C14039" s="3" t="str">
        <f>IFERROR(__xludf.DUMMYFUNCTION("GOOGLETRANSLATE(B14039,""id"",""en"")"),"['Current', 'Jaya']")</f>
        <v>['Current', 'Jaya']</v>
      </c>
      <c r="D14039" s="3">
        <v>4.0</v>
      </c>
    </row>
    <row r="14040" ht="15.75" customHeight="1">
      <c r="A14040" s="1">
        <v>15192.0</v>
      </c>
      <c r="B14040" s="3" t="s">
        <v>13238</v>
      </c>
      <c r="C14040" s="3" t="str">
        <f>IFERROR(__xludf.DUMMYFUNCTION("GOOGLETRANSLATE(B14040,""id"",""en"")"),"['Love', 'Promo', 'Min', 'Telkomsel']")</f>
        <v>['Love', 'Promo', 'Min', 'Telkomsel']</v>
      </c>
      <c r="D14040" s="3">
        <v>5.0</v>
      </c>
    </row>
    <row r="14041" ht="15.75" customHeight="1">
      <c r="A14041" s="1">
        <v>15194.0</v>
      </c>
      <c r="B14041" s="3" t="s">
        <v>13239</v>
      </c>
      <c r="C14041" s="3" t="str">
        <f>IFERROR(__xludf.DUMMYFUNCTION("GOOGLETRANSLATE(B14041,""id"",""en"")"),"['like', 'application', 'help', 'activity', 'business', 'social']")</f>
        <v>['like', 'application', 'help', 'activity', 'business', 'social']</v>
      </c>
      <c r="D14041" s="3">
        <v>5.0</v>
      </c>
    </row>
    <row r="14042" ht="15.75" customHeight="1">
      <c r="A14042" s="1">
        <v>15195.0</v>
      </c>
      <c r="B14042" s="3" t="s">
        <v>13240</v>
      </c>
      <c r="C14042" s="3" t="str">
        <f>IFERROR(__xludf.DUMMYFUNCTION("GOOGLETRANSLATE(B14042,""id"",""en"")"),"['Package', 'Internet', 'night', 'APK', 'Telkomsel']")</f>
        <v>['Package', 'Internet', 'night', 'APK', 'Telkomsel']</v>
      </c>
      <c r="D14042" s="3">
        <v>1.0</v>
      </c>
    </row>
    <row r="14043" ht="15.75" customHeight="1">
      <c r="A14043" s="1">
        <v>15196.0</v>
      </c>
      <c r="B14043" s="3" t="s">
        <v>13241</v>
      </c>
      <c r="C14043" s="3" t="str">
        <f>IFERROR(__xludf.DUMMYFUNCTION("GOOGLETRANSLATE(B14043,""id"",""en"")"),"['Hopefully', 'Signal', 'Lola']")</f>
        <v>['Hopefully', 'Signal', 'Lola']</v>
      </c>
      <c r="D14043" s="3">
        <v>4.0</v>
      </c>
    </row>
    <row r="14044" ht="15.75" customHeight="1">
      <c r="A14044" s="1">
        <v>15197.0</v>
      </c>
      <c r="B14044" s="3" t="s">
        <v>13242</v>
      </c>
      <c r="C14044" s="3" t="str">
        <f>IFERROR(__xludf.DUMMYFUNCTION("GOOGLETRANSLATE(B14044,""id"",""en"")"),"['Please', 'Fix', 'Application', 'Telkomsel', 'Buy', 'Package', 'Register', 'Package', 'Telkomsel', 'Have', 'prisak', 'Connection', ' network ',' good ',' forced ',' deh ',' list ',' package ',' applied ',' staple ',' love ',' star ',' kerna ',' the appli"&amp;"cation ',' so ' , 'thank you']")</f>
        <v>['Please', 'Fix', 'Application', 'Telkomsel', 'Buy', 'Package', 'Register', 'Package', 'Telkomsel', 'Have', 'prisak', 'Connection', ' network ',' good ',' forced ',' deh ',' list ',' package ',' applied ',' staple ',' love ',' star ',' kerna ',' the application ',' so ' , 'thank you']</v>
      </c>
      <c r="D14044" s="3">
        <v>1.0</v>
      </c>
    </row>
    <row r="14045" ht="15.75" customHeight="1">
      <c r="A14045" s="1">
        <v>15199.0</v>
      </c>
      <c r="B14045" s="3" t="s">
        <v>181</v>
      </c>
      <c r="C14045" s="3" t="str">
        <f>IFERROR(__xludf.DUMMYFUNCTION("GOOGLETRANSLATE(B14045,""id"",""en"")"),"['help']")</f>
        <v>['help']</v>
      </c>
      <c r="D14045" s="3">
        <v>5.0</v>
      </c>
    </row>
    <row r="14046" ht="15.75" customHeight="1">
      <c r="A14046" s="1">
        <v>15200.0</v>
      </c>
      <c r="B14046" s="3" t="s">
        <v>4611</v>
      </c>
      <c r="C14046" s="3" t="str">
        <f>IFERROR(__xludf.DUMMYFUNCTION("GOOGLETRANSLATE(B14046,""id"",""en"")"),"['Package', 'expensive']")</f>
        <v>['Package', 'expensive']</v>
      </c>
      <c r="D14046" s="3">
        <v>3.0</v>
      </c>
    </row>
    <row r="14047" ht="15.75" customHeight="1">
      <c r="A14047" s="1">
        <v>15201.0</v>
      </c>
      <c r="B14047" s="3" t="s">
        <v>13243</v>
      </c>
      <c r="C14047" s="3" t="str">
        <f>IFERROR(__xludf.DUMMYFUNCTION("GOOGLETRANSLATE(B14047,""id"",""en"")"),"['Good', 'Continue']")</f>
        <v>['Good', 'Continue']</v>
      </c>
      <c r="D14047" s="3">
        <v>5.0</v>
      </c>
    </row>
    <row r="14048" ht="15.75" customHeight="1">
      <c r="A14048" s="1">
        <v>15202.0</v>
      </c>
      <c r="B14048" s="3" t="s">
        <v>13244</v>
      </c>
      <c r="C14048" s="3" t="str">
        <f>IFERROR(__xludf.DUMMYFUNCTION("GOOGLETRANSLATE(B14048,""id"",""en"")"),"['My APK', 'Baguus', 'Bngett', 'NDK', 'Nyesell', 'Install', 'Telkomsel', ""]")</f>
        <v>['My APK', 'Baguus', 'Bngett', 'NDK', 'Nyesell', 'Install', 'Telkomsel', "]</v>
      </c>
      <c r="D14048" s="3">
        <v>5.0</v>
      </c>
    </row>
    <row r="14049" ht="15.75" customHeight="1">
      <c r="A14049" s="1">
        <v>15203.0</v>
      </c>
      <c r="B14049" s="3" t="s">
        <v>13245</v>
      </c>
      <c r="C14049" s="3" t="str">
        <f>IFERROR(__xludf.DUMMYFUNCTION("GOOGLETRANSLATE(B14049,""id"",""en"")"),"['Promo', 'Easy', 'Aksex']")</f>
        <v>['Promo', 'Easy', 'Aksex']</v>
      </c>
      <c r="D14049" s="3">
        <v>5.0</v>
      </c>
    </row>
    <row r="14050" ht="15.75" customHeight="1">
      <c r="A14050" s="1">
        <v>15204.0</v>
      </c>
      <c r="B14050" s="3" t="s">
        <v>13246</v>
      </c>
      <c r="C14050" s="3" t="str">
        <f>IFERROR(__xludf.DUMMYFUNCTION("GOOGLETRANSLATE(B14050,""id"",""en"")"),"['The package', 'expensive', 'Mending', 'buy', 'Package', 'Lewar', 'SMS', 'Ajah', 'hehehehehe']")</f>
        <v>['The package', 'expensive', 'Mending', 'buy', 'Package', 'Lewar', 'SMS', 'Ajah', 'hehehehehe']</v>
      </c>
      <c r="D14050" s="3">
        <v>5.0</v>
      </c>
    </row>
    <row r="14051" ht="15.75" customHeight="1">
      <c r="A14051" s="1">
        <v>15206.0</v>
      </c>
      <c r="B14051" s="3" t="s">
        <v>13247</v>
      </c>
      <c r="C14051" s="3" t="str">
        <f>IFERROR(__xludf.DUMMYFUNCTION("GOOGLETRANSLATE(B14051,""id"",""en"")"),"['Network', 'good', 'exceed', '']")</f>
        <v>['Network', 'good', 'exceed', '']</v>
      </c>
      <c r="D14051" s="3">
        <v>1.0</v>
      </c>
    </row>
    <row r="14052" ht="15.75" customHeight="1">
      <c r="A14052" s="1">
        <v>15207.0</v>
      </c>
      <c r="B14052" s="3" t="s">
        <v>13248</v>
      </c>
      <c r="C14052" s="3" t="str">
        <f>IFERROR(__xludf.DUMMYFUNCTION("GOOGLETRANSLATE(B14052,""id"",""en"")"),"['Credit', 'truncated', 'per day', 'rupiah', 'plus', 'notif', 'pulse', 'cut out', 'reduced', 'used']")</f>
        <v>['Credit', 'truncated', 'per day', 'rupiah', 'plus', 'notif', 'pulse', 'cut out', 'reduced', 'used']</v>
      </c>
      <c r="D14052" s="3">
        <v>1.0</v>
      </c>
    </row>
    <row r="14053" ht="15.75" customHeight="1">
      <c r="A14053" s="1">
        <v>15208.0</v>
      </c>
      <c r="B14053" s="3" t="s">
        <v>13249</v>
      </c>
      <c r="C14053" s="3" t="str">
        <f>IFERROR(__xludf.DUMMYFUNCTION("GOOGLETRANSLATE(B14053,""id"",""en"")"),"['pact', 'data', 'expensive', 'package', 'unlimited', 'game', 'access', 'thank you']")</f>
        <v>['pact', 'data', 'expensive', 'package', 'unlimited', 'game', 'access', 'thank you']</v>
      </c>
      <c r="D14053" s="3">
        <v>2.0</v>
      </c>
    </row>
    <row r="14054" ht="15.75" customHeight="1">
      <c r="A14054" s="1">
        <v>15210.0</v>
      </c>
      <c r="B14054" s="3" t="s">
        <v>13250</v>
      </c>
      <c r="C14054" s="3" t="str">
        <f>IFERROR(__xludf.DUMMYFUNCTION("GOOGLETRANSLATE(B14054,""id"",""en"")"),"['Satisfied', 'number', 'Telkomsel', 'promo', 'cheap', 'signal', 'please', 'repaired', 'stay', 'area', 'rural', ""]")</f>
        <v>['Satisfied', 'number', 'Telkomsel', 'promo', 'cheap', 'signal', 'please', 'repaired', 'stay', 'area', 'rural', "]</v>
      </c>
      <c r="D14054" s="3">
        <v>5.0</v>
      </c>
    </row>
    <row r="14055" ht="15.75" customHeight="1">
      <c r="A14055" s="1">
        <v>15211.0</v>
      </c>
      <c r="B14055" s="3" t="s">
        <v>1525</v>
      </c>
      <c r="C14055" s="3" t="str">
        <f>IFERROR(__xludf.DUMMYFUNCTION("GOOGLETRANSLATE(B14055,""id"",""en"")"),"['APK']")</f>
        <v>['APK']</v>
      </c>
      <c r="D14055" s="3">
        <v>1.0</v>
      </c>
    </row>
    <row r="14056" ht="15.75" customHeight="1">
      <c r="A14056" s="1">
        <v>15212.0</v>
      </c>
      <c r="B14056" s="3" t="s">
        <v>13251</v>
      </c>
      <c r="C14056" s="3" t="str">
        <f>IFERROR(__xludf.DUMMYFUNCTION("GOOGLETRANSLATE(B14056,""id"",""en"")"),"['Glad', 'easy']")</f>
        <v>['Glad', 'easy']</v>
      </c>
      <c r="D14056" s="3">
        <v>5.0</v>
      </c>
    </row>
    <row r="14057" ht="15.75" customHeight="1">
      <c r="A14057" s="1">
        <v>15213.0</v>
      </c>
      <c r="B14057" s="3" t="s">
        <v>13252</v>
      </c>
      <c r="C14057" s="3" t="str">
        <f>IFERROR(__xludf.DUMMYFUNCTION("GOOGLETRANSLATE(B14057,""id"",""en"")"),"['many years', 'Telkomsel', ""]")</f>
        <v>['many years', 'Telkomsel', "]</v>
      </c>
      <c r="D14057" s="3">
        <v>5.0</v>
      </c>
    </row>
    <row r="14058" ht="15.75" customHeight="1">
      <c r="A14058" s="1">
        <v>15214.0</v>
      </c>
      <c r="B14058" s="3" t="s">
        <v>13253</v>
      </c>
      <c r="C14058" s="3" t="str">
        <f>IFERROR(__xludf.DUMMYFUNCTION("GOOGLETRANSLATE(B14058,""id"",""en"")"),"['Application', 'Useful', 'Jangn', 'Download']")</f>
        <v>['Application', 'Useful', 'Jangn', 'Download']</v>
      </c>
      <c r="D14058" s="3">
        <v>1.0</v>
      </c>
    </row>
    <row r="14059" ht="15.75" customHeight="1">
      <c r="A14059" s="1">
        <v>15215.0</v>
      </c>
      <c r="B14059" s="3" t="s">
        <v>13254</v>
      </c>
      <c r="C14059" s="3" t="str">
        <f>IFERROR(__xludf.DUMMYFUNCTION("GOOGLETRANSLATE(B14059,""id"",""en"")"),"['Good', 'got', 'bonus', 'quota', '']")</f>
        <v>['Good', 'got', 'bonus', 'quota', '']</v>
      </c>
      <c r="D14059" s="3">
        <v>5.0</v>
      </c>
    </row>
    <row r="14060" ht="15.75" customHeight="1">
      <c r="A14060" s="1">
        <v>15216.0</v>
      </c>
      <c r="B14060" s="3" t="s">
        <v>13255</v>
      </c>
      <c r="C14060" s="3" t="str">
        <f>IFERROR(__xludf.DUMMYFUNCTION("GOOGLETRANSLATE(B14060,""id"",""en"")"),"['Good', 'makes it easier', 'buy', 'package', 'contents', 'pulse']")</f>
        <v>['Good', 'makes it easier', 'buy', 'package', 'contents', 'pulse']</v>
      </c>
      <c r="D14060" s="3">
        <v>4.0</v>
      </c>
    </row>
    <row r="14061" ht="15.75" customHeight="1">
      <c r="A14061" s="1">
        <v>15217.0</v>
      </c>
      <c r="B14061" s="3" t="s">
        <v>4086</v>
      </c>
      <c r="C14061" s="3" t="str">
        <f>IFERROR(__xludf.DUMMYFUNCTION("GOOGLETRANSLATE(B14061,""id"",""en"")"),"['Application', 'interesting']")</f>
        <v>['Application', 'interesting']</v>
      </c>
      <c r="D14061" s="3">
        <v>5.0</v>
      </c>
    </row>
    <row r="14062" ht="15.75" customHeight="1">
      <c r="A14062" s="1">
        <v>15218.0</v>
      </c>
      <c r="B14062" s="3" t="s">
        <v>8980</v>
      </c>
      <c r="C14062" s="3" t="str">
        <f>IFERROR(__xludf.DUMMYFUNCTION("GOOGLETRANSLATE(B14062,""id"",""en"")"),"['Mantap', 'Application']")</f>
        <v>['Mantap', 'Application']</v>
      </c>
      <c r="D14062" s="3">
        <v>5.0</v>
      </c>
    </row>
    <row r="14063" ht="15.75" customHeight="1">
      <c r="A14063" s="1">
        <v>15219.0</v>
      </c>
      <c r="B14063" s="3" t="s">
        <v>13256</v>
      </c>
      <c r="C14063" s="3" t="str">
        <f>IFERROR(__xludf.DUMMYFUNCTION("GOOGLETRANSLATE(B14063,""id"",""en"")"),"['application', 'heavy', 'old', 'sometimes', 'display', 'leftover', 'pulse', 'internet', 'update', 'sucks']")</f>
        <v>['application', 'heavy', 'old', 'sometimes', 'display', 'leftover', 'pulse', 'internet', 'update', 'sucks']</v>
      </c>
      <c r="D14063" s="3">
        <v>1.0</v>
      </c>
    </row>
    <row r="14064" ht="15.75" customHeight="1">
      <c r="A14064" s="1">
        <v>15220.0</v>
      </c>
      <c r="B14064" s="3" t="s">
        <v>13257</v>
      </c>
      <c r="C14064" s="3" t="str">
        <f>IFERROR(__xludf.DUMMYFUNCTION("GOOGLETRANSLATE(B14064,""id"",""en"")"),"['The application', 'mainstay', 'really', 'buy', 'quota', 'appears',' blanket ',' check ',' connection ',' repeat ',' transaction ',' minutes', ' thanks', 'try', 'please', 'admin', 'how', 'disappointed', 'really']")</f>
        <v>['The application', 'mainstay', 'really', 'buy', 'quota', 'appears',' blanket ',' check ',' connection ',' repeat ',' transaction ',' minutes', ' thanks', 'try', 'please', 'admin', 'how', 'disappointed', 'really']</v>
      </c>
      <c r="D14064" s="3">
        <v>1.0</v>
      </c>
    </row>
    <row r="14065" ht="15.75" customHeight="1">
      <c r="A14065" s="1">
        <v>15221.0</v>
      </c>
      <c r="B14065" s="3" t="s">
        <v>1096</v>
      </c>
      <c r="C14065" s="3" t="str">
        <f>IFERROR(__xludf.DUMMYFUNCTION("GOOGLETRANSLATE(B14065,""id"",""en"")"),"['suitable']")</f>
        <v>['suitable']</v>
      </c>
      <c r="D14065" s="3">
        <v>5.0</v>
      </c>
    </row>
    <row r="14066" ht="15.75" customHeight="1">
      <c r="A14066" s="1">
        <v>15222.0</v>
      </c>
      <c r="B14066" s="3" t="s">
        <v>13258</v>
      </c>
      <c r="C14066" s="3" t="str">
        <f>IFERROR(__xludf.DUMMYFUNCTION("GOOGLETRANSLATE(B14066,""id"",""en"")"),"['Help', 'packetannyiip']")</f>
        <v>['Help', 'packetannyiip']</v>
      </c>
      <c r="D14066" s="3">
        <v>5.0</v>
      </c>
    </row>
    <row r="14067" ht="15.75" customHeight="1">
      <c r="A14067" s="1">
        <v>15223.0</v>
      </c>
      <c r="B14067" s="3" t="s">
        <v>13259</v>
      </c>
      <c r="C14067" s="3" t="str">
        <f>IFERROR(__xludf.DUMMYFUNCTION("GOOGLETRANSLATE(B14067,""id"",""en"")"),"['Disturbed', 'Voice', 'Notification', 'Telkomsel']")</f>
        <v>['Disturbed', 'Voice', 'Notification', 'Telkomsel']</v>
      </c>
      <c r="D14067" s="3">
        <v>3.0</v>
      </c>
    </row>
    <row r="14068" ht="15.75" customHeight="1">
      <c r="A14068" s="1">
        <v>15224.0</v>
      </c>
      <c r="B14068" s="3" t="s">
        <v>13260</v>
      </c>
      <c r="C14068" s="3" t="str">
        <f>IFERROR(__xludf.DUMMYFUNCTION("GOOGLETRANSLATE(B14068,""id"",""en"")"),"['TOP', 'big one', 'LOTIN', 'promo', 'expensive', 'expensive', 'price', 'package', '']")</f>
        <v>['TOP', 'big one', 'LOTIN', 'promo', 'expensive', 'expensive', 'price', 'package', '']</v>
      </c>
      <c r="D14068" s="3">
        <v>5.0</v>
      </c>
    </row>
    <row r="14069" ht="15.75" customHeight="1">
      <c r="A14069" s="1">
        <v>15225.0</v>
      </c>
      <c r="B14069" s="3" t="s">
        <v>13261</v>
      </c>
      <c r="C14069" s="3" t="str">
        <f>IFERROR(__xludf.DUMMYFUNCTION("GOOGLETRANSLATE(B14069,""id"",""en"")"),"['convenience', 'can']")</f>
        <v>['convenience', 'can']</v>
      </c>
      <c r="D14069" s="3">
        <v>5.0</v>
      </c>
    </row>
    <row r="14070" ht="15.75" customHeight="1">
      <c r="A14070" s="1">
        <v>15226.0</v>
      </c>
      <c r="B14070" s="3" t="s">
        <v>13262</v>
      </c>
      <c r="C14070" s="3" t="str">
        <f>IFERROR(__xludf.DUMMYFUNCTION("GOOGLETRANSLATE(B14070,""id"",""en"")"),"['tlg', 'assisted', 'purchase', 'package', 'data', 'delicious']")</f>
        <v>['tlg', 'assisted', 'purchase', 'package', 'data', 'delicious']</v>
      </c>
      <c r="D14070" s="3">
        <v>5.0</v>
      </c>
    </row>
    <row r="14071" ht="15.75" customHeight="1">
      <c r="A14071" s="1">
        <v>15227.0</v>
      </c>
      <c r="B14071" s="3" t="s">
        <v>13263</v>
      </c>
      <c r="C14071" s="3" t="str">
        <f>IFERROR(__xludf.DUMMYFUNCTION("GOOGLETRANSLATE(B14071,""id"",""en"")"),"['Kek', 'Telkom', 'Package', 'expensive', 'TPII', 'Ngelag', 'truss', ""]")</f>
        <v>['Kek', 'Telkom', 'Package', 'expensive', 'TPII', 'Ngelag', 'truss', "]</v>
      </c>
      <c r="D14071" s="3">
        <v>1.0</v>
      </c>
    </row>
    <row r="14072" ht="15.75" customHeight="1">
      <c r="A14072" s="1">
        <v>15228.0</v>
      </c>
      <c r="B14072" s="3" t="s">
        <v>13264</v>
      </c>
      <c r="C14072" s="3" t="str">
        <f>IFERROR(__xludf.DUMMYFUNCTION("GOOGLETRANSLATE(B14072,""id"",""en"")"),"['stop', 'package', 'internet', 'how', 'buy', 'package', 'internet', 'leftover', 'MB', 'quota', 'unlimited', 'buy', ' package ',' Internet ',' automatic ',' quota ',' make ',' package ',' different ',' active ',' influence ',' play ',' game ',' asw ',' pi"&amp;"ng ' , 'in', 'game', 'no', 'stable', 'customer', 'bot', 'banging', 'active', 'leftover', 'quota', 'MB', 'expiration', ' signal ',' normal ',' play ',' game ',' ping ',' normal ',' wait ',' until ',' active ',' expiration ',' ']")</f>
        <v>['stop', 'package', 'internet', 'how', 'buy', 'package', 'internet', 'leftover', 'MB', 'quota', 'unlimited', 'buy', ' package ',' Internet ',' automatic ',' quota ',' make ',' package ',' different ',' active ',' influence ',' play ',' game ',' asw ',' ping ' , 'in', 'game', 'no', 'stable', 'customer', 'bot', 'banging', 'active', 'leftover', 'quota', 'MB', 'expiration', ' signal ',' normal ',' play ',' game ',' ping ',' normal ',' wait ',' until ',' active ',' expiration ',' ']</v>
      </c>
      <c r="D14072" s="3">
        <v>4.0</v>
      </c>
    </row>
    <row r="14073" ht="15.75" customHeight="1">
      <c r="A14073" s="1">
        <v>15230.0</v>
      </c>
      <c r="B14073" s="3" t="s">
        <v>13265</v>
      </c>
      <c r="C14073" s="3" t="str">
        <f>IFERROR(__xludf.DUMMYFUNCTION("GOOGLETRANSLATE(B14073,""id"",""en"")"),"['', 'star', '']")</f>
        <v>['', 'star', '']</v>
      </c>
      <c r="D14073" s="3">
        <v>4.0</v>
      </c>
    </row>
    <row r="14074" ht="15.75" customHeight="1">
      <c r="A14074" s="1">
        <v>15231.0</v>
      </c>
      <c r="B14074" s="3" t="s">
        <v>13266</v>
      </c>
      <c r="C14074" s="3" t="str">
        <f>IFERROR(__xludf.DUMMYFUNCTION("GOOGLETRANSLATE(B14074,""id"",""en"")"),"['Telkom', 'BUMN', 'Jaya']")</f>
        <v>['Telkom', 'BUMN', 'Jaya']</v>
      </c>
      <c r="D14074" s="3">
        <v>4.0</v>
      </c>
    </row>
    <row r="14075" ht="15.75" customHeight="1">
      <c r="A14075" s="1">
        <v>15232.0</v>
      </c>
      <c r="B14075" s="3" t="s">
        <v>13267</v>
      </c>
      <c r="C14075" s="3" t="str">
        <f>IFERROR(__xludf.DUMMYFUNCTION("GOOGLETRANSLATE(B14075,""id"",""en"")"),"['Sya', 'curious', 'gift', 'exchange', 'coin', 'Sya', 'Prove', 'MyTelkomsel', 'Sharing', 'Gift', ""]")</f>
        <v>['Sya', 'curious', 'gift', 'exchange', 'coin', 'Sya', 'Prove', 'MyTelkomsel', 'Sharing', 'Gift', "]</v>
      </c>
      <c r="D14075" s="3">
        <v>5.0</v>
      </c>
    </row>
    <row r="14076" ht="15.75" customHeight="1">
      <c r="A14076" s="1">
        <v>15233.0</v>
      </c>
      <c r="B14076" s="3" t="s">
        <v>13268</v>
      </c>
      <c r="C14076" s="3" t="str">
        <f>IFERROR(__xludf.DUMMYFUNCTION("GOOGLETRANSLATE(B14076,""id"",""en"")"),"['Not bad', 'Helpful']")</f>
        <v>['Not bad', 'Helpful']</v>
      </c>
      <c r="D14076" s="3">
        <v>2.0</v>
      </c>
    </row>
    <row r="14077" ht="15.75" customHeight="1">
      <c r="A14077" s="1">
        <v>15234.0</v>
      </c>
      <c r="B14077" s="3" t="s">
        <v>13269</v>
      </c>
      <c r="C14077" s="3" t="str">
        <f>IFERROR(__xludf.DUMMYFUNCTION("GOOGLETRANSLATE(B14077,""id"",""en"")"),"['Please', 'Telkomsel', 'Type', 'Package', 'Data', 'Dipromo', 'Application', 'Telkomsel', 'Price', 'Considered', 'User', 'Crying', ' down ',' feel ',' expensive ',' aspects', 'price', 'please', 'think', 'price', 'application', 'Telkomsel', ""]")</f>
        <v>['Please', 'Telkomsel', 'Type', 'Package', 'Data', 'Dipromo', 'Application', 'Telkomsel', 'Price', 'Considered', 'User', 'Crying', ' down ',' feel ',' expensive ',' aspects', 'price', 'please', 'think', 'price', 'application', 'Telkomsel', "]</v>
      </c>
      <c r="D14077" s="3">
        <v>1.0</v>
      </c>
    </row>
    <row r="14078" ht="15.75" customHeight="1">
      <c r="A14078" s="1">
        <v>15235.0</v>
      </c>
      <c r="B14078" s="3" t="s">
        <v>13270</v>
      </c>
      <c r="C14078" s="3" t="str">
        <f>IFERROR(__xludf.DUMMYFUNCTION("GOOGLETRANSLATE(B14078,""id"",""en"")"),"['Please', 'Update', 'Support', 'Android', '']")</f>
        <v>['Please', 'Update', 'Support', 'Android', '']</v>
      </c>
      <c r="D14078" s="3">
        <v>2.0</v>
      </c>
    </row>
    <row r="14079" ht="15.75" customHeight="1">
      <c r="A14079" s="1">
        <v>15236.0</v>
      </c>
      <c r="B14079" s="3" t="s">
        <v>13271</v>
      </c>
      <c r="C14079" s="3" t="str">
        <f>IFERROR(__xludf.DUMMYFUNCTION("GOOGLETRANSLATE(B14079,""id"",""en"")"),"['Contents', 'The application', 'informative', 'hope', 'misused', 'fraud', ""]")</f>
        <v>['Contents', 'The application', 'informative', 'hope', 'misused', 'fraud', "]</v>
      </c>
      <c r="D14079" s="3">
        <v>5.0</v>
      </c>
    </row>
    <row r="14080" ht="15.75" customHeight="1">
      <c r="A14080" s="1">
        <v>15237.0</v>
      </c>
      <c r="B14080" s="3" t="s">
        <v>13272</v>
      </c>
      <c r="C14080" s="3" t="str">
        <f>IFERROR(__xludf.DUMMYFUNCTION("GOOGLETRANSLATE(B14080,""id"",""en"")"),"['Prime', 'GRA', 'Covid', 'Error', 'Network', 'Customer', 'Bonus', 'Please', 'Entrepreneur', 'Boss', ""]")</f>
        <v>['Prime', 'GRA', 'Covid', 'Error', 'Network', 'Customer', 'Bonus', 'Please', 'Entrepreneur', 'Boss', "]</v>
      </c>
      <c r="D14080" s="3">
        <v>1.0</v>
      </c>
    </row>
    <row r="14081" ht="15.75" customHeight="1">
      <c r="A14081" s="1">
        <v>15238.0</v>
      </c>
      <c r="B14081" s="3" t="s">
        <v>13273</v>
      </c>
      <c r="C14081" s="3" t="str">
        <f>IFERROR(__xludf.DUMMYFUNCTION("GOOGLETRANSLATE(B14081,""id"",""en"")"),"['Exchange', 'Points', 'FAIL']")</f>
        <v>['Exchange', 'Points', 'FAIL']</v>
      </c>
      <c r="D14081" s="3">
        <v>1.0</v>
      </c>
    </row>
    <row r="14082" ht="15.75" customHeight="1">
      <c r="A14082" s="1">
        <v>15239.0</v>
      </c>
      <c r="B14082" s="3" t="s">
        <v>13274</v>
      </c>
      <c r="C14082" s="3" t="str">
        <f>IFERROR(__xludf.DUMMYFUNCTION("GOOGLETRANSLATE(B14082,""id"",""en"")"),"['Package', 'emergency', 'mba']")</f>
        <v>['Package', 'emergency', 'mba']</v>
      </c>
      <c r="D14082" s="3">
        <v>5.0</v>
      </c>
    </row>
    <row r="14083" ht="15.75" customHeight="1">
      <c r="A14083" s="1">
        <v>15241.0</v>
      </c>
      <c r="B14083" s="3" t="s">
        <v>13275</v>
      </c>
      <c r="C14083" s="3" t="str">
        <f>IFERROR(__xludf.DUMMYFUNCTION("GOOGLETRANSLATE(B14083,""id"",""en"")"),"['Josssss', 'Bingit', 'Ehh', ""]")</f>
        <v>['Josssss', 'Bingit', 'Ehh', "]</v>
      </c>
      <c r="D14083" s="3">
        <v>5.0</v>
      </c>
    </row>
    <row r="14084" ht="15.75" customHeight="1">
      <c r="A14084" s="1">
        <v>15242.0</v>
      </c>
      <c r="B14084" s="3" t="s">
        <v>13276</v>
      </c>
      <c r="C14084" s="3" t="str">
        <f>IFERROR(__xludf.DUMMYFUNCTION("GOOGLETRANSLATE(B14084,""id"",""en"")"),"['Package', 'telephone', 'weekly', 'loop', 'deleted', 'tsel', 'update', ""]")</f>
        <v>['Package', 'telephone', 'weekly', 'loop', 'deleted', 'tsel', 'update', "]</v>
      </c>
      <c r="D14084" s="3">
        <v>4.0</v>
      </c>
    </row>
    <row r="14085" ht="15.75" customHeight="1">
      <c r="A14085" s="1">
        <v>15243.0</v>
      </c>
      <c r="B14085" s="3" t="s">
        <v>13277</v>
      </c>
      <c r="C14085" s="3" t="str">
        <f>IFERROR(__xludf.DUMMYFUNCTION("GOOGLETRANSLATE(B14085,""id"",""en"")"),"['Service', 'Good', '']")</f>
        <v>['Service', 'Good', '']</v>
      </c>
      <c r="D14085" s="3">
        <v>5.0</v>
      </c>
    </row>
    <row r="14086" ht="15.75" customHeight="1">
      <c r="A14086" s="1">
        <v>15244.0</v>
      </c>
      <c r="B14086" s="3" t="s">
        <v>4561</v>
      </c>
      <c r="C14086" s="3" t="str">
        <f>IFERROR(__xludf.DUMMYFUNCTION("GOOGLETRANSLATE(B14086,""id"",""en"")"),"['APK', 'Good', '']")</f>
        <v>['APK', 'Good', '']</v>
      </c>
      <c r="D14086" s="3">
        <v>2.0</v>
      </c>
    </row>
    <row r="14087" ht="15.75" customHeight="1">
      <c r="A14087" s="1">
        <v>15245.0</v>
      </c>
      <c r="B14087" s="3" t="s">
        <v>13278</v>
      </c>
      <c r="C14087" s="3" t="str">
        <f>IFERROR(__xludf.DUMMYFUNCTION("GOOGLETRANSLATE(B14087,""id"",""en"")"),"['', 'Telkomsel', 'like', 'promo']")</f>
        <v>['', 'Telkomsel', 'like', 'promo']</v>
      </c>
      <c r="D14087" s="3">
        <v>4.0</v>
      </c>
    </row>
    <row r="14088" ht="15.75" customHeight="1">
      <c r="A14088" s="1">
        <v>15246.0</v>
      </c>
      <c r="B14088" s="3" t="s">
        <v>13279</v>
      </c>
      <c r="C14088" s="3" t="str">
        <f>IFERROR(__xludf.DUMMYFUNCTION("GOOGLETRANSLATE(B14088,""id"",""en"")"),"['Sak', 'sincere', 'amen', ""]")</f>
        <v>['Sak', 'sincere', 'amen', "]</v>
      </c>
      <c r="D14088" s="3">
        <v>5.0</v>
      </c>
    </row>
    <row r="14089" ht="15.75" customHeight="1">
      <c r="A14089" s="1">
        <v>15247.0</v>
      </c>
      <c r="B14089" s="3" t="s">
        <v>13280</v>
      </c>
      <c r="C14089" s="3" t="str">
        <f>IFERROR(__xludf.DUMMYFUNCTION("GOOGLETRANSLATE(B14089,""id"",""en"")"),"['expensive', 'doang', 'quality', 'bad', 'night', 'clock', 'error', 'strange', 'network', 'dead', 'lights',' strange ',' Follow ',' ilang ',' signal ',' strange ',' bin ',' magical ',' expensive ',' doang ',' bad ', ""]")</f>
        <v>['expensive', 'doang', 'quality', 'bad', 'night', 'clock', 'error', 'strange', 'network', 'dead', 'lights',' strange ',' Follow ',' ilang ',' signal ',' strange ',' bin ',' magical ',' expensive ',' doang ',' bad ', "]</v>
      </c>
      <c r="D14089" s="3">
        <v>1.0</v>
      </c>
    </row>
    <row r="14090" ht="15.75" customHeight="1">
      <c r="A14090" s="1">
        <v>15248.0</v>
      </c>
      <c r="B14090" s="3" t="s">
        <v>13281</v>
      </c>
      <c r="C14090" s="3" t="str">
        <f>IFERROR(__xludf.DUMMYFUNCTION("GOOGLETRANSLATE(B14090,""id"",""en"")"),"['Prizes', 'Lotsin', 'Prizes', 'People', 'Feel', 'Gift', 'Telkomsel', ""]")</f>
        <v>['Prizes', 'Lotsin', 'Prizes', 'People', 'Feel', 'Gift', 'Telkomsel', "]</v>
      </c>
      <c r="D14090" s="3">
        <v>5.0</v>
      </c>
    </row>
    <row r="14091" ht="15.75" customHeight="1">
      <c r="A14091" s="1">
        <v>15249.0</v>
      </c>
      <c r="B14091" s="3" t="s">
        <v>13282</v>
      </c>
      <c r="C14091" s="3" t="str">
        <f>IFERROR(__xludf.DUMMYFUNCTION("GOOGLETRANSLATE(B14091,""id"",""en"")"),"['Check', 'quota', 'purchase', 'quota', 'easy', 'sometimes', 'application', 'Lola', 'please', 'level', 'service']")</f>
        <v>['Check', 'quota', 'purchase', 'quota', 'easy', 'sometimes', 'application', 'Lola', 'please', 'level', 'service']</v>
      </c>
      <c r="D14091" s="3">
        <v>5.0</v>
      </c>
    </row>
    <row r="14092" ht="15.75" customHeight="1">
      <c r="A14092" s="1">
        <v>15250.0</v>
      </c>
      <c r="B14092" s="3" t="s">
        <v>13283</v>
      </c>
      <c r="C14092" s="3" t="str">
        <f>IFERROR(__xludf.DUMMYFUNCTION("GOOGLETRANSLATE(B14092,""id"",""en"")"),"['Application', 'MyTelkomsel', 'right', 'click', 'Loading', 'Bingit']")</f>
        <v>['Application', 'MyTelkomsel', 'right', 'click', 'Loading', 'Bingit']</v>
      </c>
      <c r="D14092" s="3">
        <v>1.0</v>
      </c>
    </row>
    <row r="14093" ht="15.75" customHeight="1">
      <c r="A14093" s="1">
        <v>15251.0</v>
      </c>
      <c r="B14093" s="3" t="s">
        <v>13284</v>
      </c>
      <c r="C14093" s="3" t="str">
        <f>IFERROR(__xludf.DUMMYFUNCTION("GOOGLETRANSLATE(B14093,""id"",""en"")"),"['Woy', 'Telkomsel', 'Package', 'UDH', 'Purchase', 'Package', 'Date', 'Times',' Nelp ',' Have ',' Wait ',' Sampe ',' Hours', 'Hey', 'Mimin', 'Momon', 'Faza', 'Tickets',' Complaints', 'Czyhag', 'Prosessss',' NGK ',' Clarity ',' Sampe ',' Date ' , 'Producin"&amp;"g', 'Fund', 'Say', 'Buy', 'Package', 'Difficult', 'Look', 'Money', 'Clothling', 'Honest', 'Services',' Telkomsel ',' His reply ',' Season ',' Firmansyah ']")</f>
        <v>['Woy', 'Telkomsel', 'Package', 'UDH', 'Purchase', 'Package', 'Date', 'Times',' Nelp ',' Have ',' Wait ',' Sampe ',' Hours', 'Hey', 'Mimin', 'Momon', 'Faza', 'Tickets',' Complaints', 'Czyhag', 'Prosessss',' NGK ',' Clarity ',' Sampe ',' Date ' , 'Producing', 'Fund', 'Say', 'Buy', 'Package', 'Difficult', 'Look', 'Money', 'Clothling', 'Honest', 'Services',' Telkomsel ',' His reply ',' Season ',' Firmansyah ']</v>
      </c>
      <c r="D14093" s="3">
        <v>1.0</v>
      </c>
    </row>
    <row r="14094" ht="15.75" customHeight="1">
      <c r="A14094" s="1">
        <v>15252.0</v>
      </c>
      <c r="B14094" s="3" t="s">
        <v>13285</v>
      </c>
      <c r="C14094" s="3" t="str">
        <f>IFERROR(__xludf.DUMMYFUNCTION("GOOGLETRANSLATE(B14094,""id"",""en"")"),"['Alhamdulillah', 'sympathy', 'improvement', 'ugly', 'BERIK', 'threat', 'expensive', 'taik', 'thank God', 'moved', 'operator', 'inkatan', ' Quality ',' signal ',' sympathy ',' play ',' game ',' ngelek ',' severe ',' threat ']")</f>
        <v>['Alhamdulillah', 'sympathy', 'improvement', 'ugly', 'BERIK', 'threat', 'expensive', 'taik', 'thank God', 'moved', 'operator', 'inkatan', ' Quality ',' signal ',' sympathy ',' play ',' game ',' ngelek ',' severe ',' threat ']</v>
      </c>
      <c r="D14094" s="3">
        <v>5.0</v>
      </c>
    </row>
    <row r="14095" ht="15.75" customHeight="1">
      <c r="A14095" s="1">
        <v>15253.0</v>
      </c>
      <c r="B14095" s="3" t="s">
        <v>13286</v>
      </c>
      <c r="C14095" s="3" t="str">
        <f>IFERROR(__xludf.DUMMYFUNCTION("GOOGLETRANSLATE(B14095,""id"",""en"")"),"['My APK', 'baguuuuuuuus', 'really', 'love', 'star', '']")</f>
        <v>['My APK', 'baguuuuuuuus', 'really', 'love', 'star', '']</v>
      </c>
      <c r="D14095" s="3">
        <v>4.0</v>
      </c>
    </row>
    <row r="14096" ht="15.75" customHeight="1">
      <c r="A14096" s="1">
        <v>15254.0</v>
      </c>
      <c r="B14096" s="3" t="s">
        <v>13287</v>
      </c>
      <c r="C14096" s="3" t="str">
        <f>IFERROR(__xludf.DUMMYFUNCTION("GOOGLETRANSLATE(B14096,""id"",""en"")"),"['Star', 'Wonder', 'Package', 'Cheap']")</f>
        <v>['Star', 'Wonder', 'Package', 'Cheap']</v>
      </c>
      <c r="D14096" s="3">
        <v>3.0</v>
      </c>
    </row>
    <row r="14097" ht="15.75" customHeight="1">
      <c r="A14097" s="1">
        <v>15255.0</v>
      </c>
      <c r="B14097" s="3" t="s">
        <v>13288</v>
      </c>
      <c r="C14097" s="3" t="str">
        <f>IFERROR(__xludf.DUMMYFUNCTION("GOOGLETRANSLATE(B14097,""id"",""en"")"),"['Useful', 'really', 'users', 'Telkomsel', 'Hello', 'Unlimited', 'Control', 'Bill', 'Use', '']")</f>
        <v>['Useful', 'really', 'users', 'Telkomsel', 'Hello', 'Unlimited', 'Control', 'Bill', 'Use', '']</v>
      </c>
      <c r="D14097" s="3">
        <v>5.0</v>
      </c>
    </row>
    <row r="14098" ht="15.75" customHeight="1">
      <c r="A14098" s="1">
        <v>15256.0</v>
      </c>
      <c r="B14098" s="3" t="s">
        <v>13289</v>
      </c>
      <c r="C14098" s="3" t="str">
        <f>IFERROR(__xludf.DUMMYFUNCTION("GOOGLETRANSLATE(B14098,""id"",""en"")"),"['Telkomsel', 'fast', 'active', 'speed', 'internet', 'ampoen', 'because', 'number']")</f>
        <v>['Telkomsel', 'fast', 'active', 'speed', 'internet', 'ampoen', 'because', 'number']</v>
      </c>
      <c r="D14098" s="3">
        <v>2.0</v>
      </c>
    </row>
    <row r="14099" ht="15.75" customHeight="1">
      <c r="A14099" s="1">
        <v>15257.0</v>
      </c>
      <c r="B14099" s="3" t="s">
        <v>13290</v>
      </c>
      <c r="C14099" s="3" t="str">
        <f>IFERROR(__xludf.DUMMYFUNCTION("GOOGLETRANSLATE(B14099,""id"",""en"")"),"['set', '']")</f>
        <v>['set', '']</v>
      </c>
      <c r="D14099" s="3">
        <v>5.0</v>
      </c>
    </row>
    <row r="14100" ht="15.75" customHeight="1">
      <c r="A14100" s="1">
        <v>15258.0</v>
      </c>
      <c r="B14100" s="3" t="s">
        <v>13291</v>
      </c>
      <c r="C14100" s="3" t="str">
        <f>IFERROR(__xludf.DUMMYFUNCTION("GOOGLETRANSLATE(B14100,""id"",""en"")"),"['Not bad', 'experience', 'wear', 'card', 'Telkomsel']")</f>
        <v>['Not bad', 'experience', 'wear', 'card', 'Telkomsel']</v>
      </c>
      <c r="D14100" s="3">
        <v>4.0</v>
      </c>
    </row>
    <row r="14101" ht="15.75" customHeight="1">
      <c r="A14101" s="1">
        <v>15259.0</v>
      </c>
      <c r="B14101" s="3" t="s">
        <v>13292</v>
      </c>
      <c r="C14101" s="3" t="str">
        <f>IFERROR(__xludf.DUMMYFUNCTION("GOOGLETRANSLATE(B14101,""id"",""en"")"),"['application', 'ugly', 'lalot', 'quota', 'expensive']")</f>
        <v>['application', 'ugly', 'lalot', 'quota', 'expensive']</v>
      </c>
      <c r="D14101" s="3">
        <v>2.0</v>
      </c>
    </row>
    <row r="14102" ht="15.75" customHeight="1">
      <c r="A14102" s="1">
        <v>15260.0</v>
      </c>
      <c r="B14102" s="3" t="s">
        <v>2204</v>
      </c>
      <c r="C14102" s="3" t="str">
        <f>IFERROR(__xludf.DUMMYFUNCTION("GOOGLETRANSLATE(B14102,""id"",""en"")"),"['signal', 'good']")</f>
        <v>['signal', 'good']</v>
      </c>
      <c r="D14102" s="3">
        <v>5.0</v>
      </c>
    </row>
    <row r="14103" ht="15.75" customHeight="1">
      <c r="A14103" s="1">
        <v>15261.0</v>
      </c>
      <c r="B14103" s="3" t="s">
        <v>13293</v>
      </c>
      <c r="C14103" s="3" t="str">
        <f>IFERROR(__xludf.DUMMYFUNCTION("GOOGLETRANSLATE(B14103,""id"",""en"")"),"['electricity', 'go out', 'signal', 'missing', 'hub', 'difficult']")</f>
        <v>['electricity', 'go out', 'signal', 'missing', 'hub', 'difficult']</v>
      </c>
      <c r="D14103" s="3">
        <v>1.0</v>
      </c>
    </row>
    <row r="14104" ht="15.75" customHeight="1">
      <c r="A14104" s="1">
        <v>15262.0</v>
      </c>
      <c r="B14104" s="3" t="s">
        <v>13294</v>
      </c>
      <c r="C14104" s="3" t="str">
        <f>IFERROR(__xludf.DUMMYFUNCTION("GOOGLETRANSLATE(B14104,""id"",""en"")"),"['Please', 'Developer', 'Connect', 'Optimize', 'Gaming', 'Drizzle', 'Doang', 'Signal', 'ilang', 'wifi', 'Please', 'Kek', ' prime ',' next door ',' connection ',' severe ',' please ',' optimize ',' connection ',' gaming ',' thank you ']")</f>
        <v>['Please', 'Developer', 'Connect', 'Optimize', 'Gaming', 'Drizzle', 'Doang', 'Signal', 'ilang', 'wifi', 'Please', 'Kek', ' prime ',' next door ',' connection ',' severe ',' please ',' optimize ',' connection ',' gaming ',' thank you ']</v>
      </c>
      <c r="D14104" s="3">
        <v>1.0</v>
      </c>
    </row>
    <row r="14105" ht="15.75" customHeight="1">
      <c r="A14105" s="1">
        <v>15263.0</v>
      </c>
      <c r="B14105" s="3" t="s">
        <v>13295</v>
      </c>
      <c r="C14105" s="3" t="str">
        <f>IFERROR(__xludf.DUMMYFUNCTION("GOOGLETRANSLATE(B14105,""id"",""en"")"),"['Method', 'Purchase', 'Package', 'Telkomsel', 'Application', 'Credit', 'Choice', ""]")</f>
        <v>['Method', 'Purchase', 'Package', 'Telkomsel', 'Application', 'Credit', 'Choice', "]</v>
      </c>
      <c r="D14105" s="3">
        <v>5.0</v>
      </c>
    </row>
    <row r="14106" ht="15.75" customHeight="1">
      <c r="A14106" s="1">
        <v>15264.0</v>
      </c>
      <c r="B14106" s="3" t="s">
        <v>13296</v>
      </c>
      <c r="C14106" s="3" t="str">
        <f>IFERROR(__xludf.DUMMYFUNCTION("GOOGLETRANSLATE(B14106,""id"",""en"")"),"['Kren']")</f>
        <v>['Kren']</v>
      </c>
      <c r="D14106" s="3">
        <v>5.0</v>
      </c>
    </row>
    <row r="14107" ht="15.75" customHeight="1">
      <c r="A14107" s="1">
        <v>15265.0</v>
      </c>
      <c r="B14107" s="3" t="s">
        <v>13297</v>
      </c>
      <c r="C14107" s="3" t="str">
        <f>IFERROR(__xludf.DUMMYFUNCTION("GOOGLETRANSLATE(B14107,""id"",""en"")"),"['card', 'no', 'share', 'pulse', 'sdah', 'contents', 'balance', 'card x', 'sdah', 'active']")</f>
        <v>['card', 'no', 'share', 'pulse', 'sdah', 'contents', 'balance', 'card x', 'sdah', 'active']</v>
      </c>
      <c r="D14107" s="3">
        <v>5.0</v>
      </c>
    </row>
    <row r="14108" ht="15.75" customHeight="1">
      <c r="A14108" s="1">
        <v>15266.0</v>
      </c>
      <c r="B14108" s="3" t="s">
        <v>13298</v>
      </c>
      <c r="C14108" s="3" t="str">
        <f>IFERROR(__xludf.DUMMYFUNCTION("GOOGLETRANSLATE(B14108,""id"",""en"")"),"['Package', 'expensive', 'Naek', '']")</f>
        <v>['Package', 'expensive', 'Naek', '']</v>
      </c>
      <c r="D14108" s="3">
        <v>1.0</v>
      </c>
    </row>
    <row r="14109" ht="15.75" customHeight="1">
      <c r="A14109" s="1">
        <v>15267.0</v>
      </c>
      <c r="B14109" s="3" t="s">
        <v>13299</v>
      </c>
      <c r="C14109" s="3" t="str">
        <f>IFERROR(__xludf.DUMMYFUNCTION("GOOGLETRANSLATE(B14109,""id"",""en"")"),"['Divide', 'Help']")</f>
        <v>['Divide', 'Help']</v>
      </c>
      <c r="D14109" s="3">
        <v>5.0</v>
      </c>
    </row>
    <row r="14110" ht="15.75" customHeight="1">
      <c r="A14110" s="1">
        <v>15268.0</v>
      </c>
      <c r="B14110" s="3" t="s">
        <v>13300</v>
      </c>
      <c r="C14110" s="3" t="str">
        <f>IFERROR(__xludf.DUMMYFUNCTION("GOOGLETRANSLATE(B14110,""id"",""en"")"),"['Good', 'love', 'gift', 'car', 'boss', 'naruk', 'pawn', 'ndk']")</f>
        <v>['Good', 'love', 'gift', 'car', 'boss', 'naruk', 'pawn', 'ndk']</v>
      </c>
      <c r="D14110" s="3">
        <v>5.0</v>
      </c>
    </row>
    <row r="14111" ht="15.75" customHeight="1">
      <c r="A14111" s="1">
        <v>15269.0</v>
      </c>
      <c r="B14111" s="3" t="s">
        <v>13301</v>
      </c>
      <c r="C14111" s="3" t="str">
        <f>IFERROR(__xludf.DUMMYFUNCTION("GOOGLETRANSLATE(B14111,""id"",""en"")"),"['Sorry', 'package', 'data', 'buy', 'buy', 'manual', 'type', 'gabisa', 'astagaaa', 'Capation', 'Telkomsel']")</f>
        <v>['Sorry', 'package', 'data', 'buy', 'buy', 'manual', 'type', 'gabisa', 'astagaaa', 'Capation', 'Telkomsel']</v>
      </c>
      <c r="D14111" s="3">
        <v>1.0</v>
      </c>
    </row>
    <row r="14112" ht="15.75" customHeight="1">
      <c r="A14112" s="1">
        <v>15270.0</v>
      </c>
      <c r="B14112" s="3" t="s">
        <v>13302</v>
      </c>
      <c r="C14112" s="3" t="str">
        <f>IFERROR(__xludf.DUMMYFUNCTION("GOOGLETRANSLATE(B14112,""id"",""en"")"),"['expensive', 'signal', 'ugly', 'like', 'gembin', 'pulse', 'poor', 'Telkomsel', ""]")</f>
        <v>['expensive', 'signal', 'ugly', 'like', 'gembin', 'pulse', 'poor', 'Telkomsel', "]</v>
      </c>
      <c r="D14112" s="3">
        <v>1.0</v>
      </c>
    </row>
    <row r="14113" ht="15.75" customHeight="1">
      <c r="A14113" s="1">
        <v>15271.0</v>
      </c>
      <c r="B14113" s="3" t="s">
        <v>13303</v>
      </c>
      <c r="C14113" s="3" t="str">
        <f>IFERROR(__xludf.DUMMYFUNCTION("GOOGLETRANSLATE(B14113,""id"",""en"")"),"['signal', 'sympathy', 'game', 'phone', 'broke', 'signal', 'please', 'fix', 'sya', 'try', 'mode', 'manual', ' Disconnect ',' mode ',' automatic ',' sympathy ',' signal ',' village ',' city ',' signal ',' internet ',' tlpn ',' broke ',' mulu ',' mode ' , '"&amp;"plane', 'modeh', 'whole', 'broke', '']")</f>
        <v>['signal', 'sympathy', 'game', 'phone', 'broke', 'signal', 'please', 'fix', 'sya', 'try', 'mode', 'manual', ' Disconnect ',' mode ',' automatic ',' sympathy ',' signal ',' village ',' city ',' signal ',' internet ',' tlpn ',' broke ',' mulu ',' mode ' , 'plane', 'modeh', 'whole', 'broke', '']</v>
      </c>
      <c r="D14113"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2022-02-26T07:34:50Z</dcterms:created>
  <dc:creator>openpyxl</dc:creator>
</cp:coreProperties>
</file>